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2"/>
  <workbookPr codeName="ThisWorkbook" defaultThemeVersion="124226"/>
  <bookViews>
    <workbookView xWindow="480" yWindow="240" windowWidth="12120" windowHeight="7590" tabRatio="895" firstSheet="13" activeTab="2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state="hidden" r:id="rId20"/>
    <sheet name="假设开发法" sheetId="12" state="hidden" r:id="rId21"/>
    <sheet name="收益法 (元)" sheetId="67" state="hidden" r:id="rId22"/>
    <sheet name="比较法-商业" sheetId="33" r:id="rId23"/>
    <sheet name="典型户型修正" sheetId="31" state="hidden" r:id="rId24"/>
    <sheet name="典型户型修正(先权重后修正)" sheetId="95" r:id="rId25"/>
    <sheet name="单套价值" sheetId="98" r:id="rId26"/>
    <sheet name="收益法（汇总）" sheetId="70" r:id="rId27"/>
    <sheet name="酒店收入计算" sheetId="66" state="hidden" r:id="rId28"/>
    <sheet name="比较法-住宅" sheetId="21" state="hidden" r:id="rId29"/>
    <sheet name="收益法1层" sheetId="15" r:id="rId30"/>
    <sheet name="收益法2层" sheetId="90" state="hidden" r:id="rId31"/>
    <sheet name="收益法3层" sheetId="91" state="hidden" r:id="rId32"/>
    <sheet name="收益法4.5层" sheetId="92" state="hidden" r:id="rId33"/>
    <sheet name="收益法-1层" sheetId="93" state="hidden" r:id="rId34"/>
    <sheet name="收益法-2层" sheetId="94" state="hidden" r:id="rId35"/>
    <sheet name="比较法-办公" sheetId="34" state="hidden" r:id="rId36"/>
    <sheet name="比较法-工业" sheetId="37" state="hidden" r:id="rId37"/>
    <sheet name="比较法-车位" sheetId="35" state="hidden" r:id="rId38"/>
    <sheet name="比较法-仓储" sheetId="36" state="hidden" r:id="rId39"/>
    <sheet name="土地比较法-住宅、综合" sheetId="39" state="hidden" r:id="rId40"/>
    <sheet name="土地比较法-工业" sheetId="40" state="hidden" r:id="rId41"/>
    <sheet name="基准地价修正" sheetId="43" state="hidden" r:id="rId42"/>
    <sheet name="修正" sheetId="45" state="hidden" r:id="rId43"/>
    <sheet name="容积率修正" sheetId="46" state="hidden" r:id="rId44"/>
    <sheet name="基准地价（汇总）" sheetId="76" state="hidden" r:id="rId45"/>
    <sheet name="地价" sheetId="71" state="hidden" r:id="rId46"/>
    <sheet name="成本法（废）" sheetId="11" state="hidden" r:id="rId47"/>
    <sheet name="区片价" sheetId="44" state="hidden" r:id="rId48"/>
    <sheet name="因素修正幅度" sheetId="65" state="hidden" r:id="rId49"/>
    <sheet name="存贷款利率" sheetId="73" state="hidden" r:id="rId50"/>
    <sheet name="区片价（范围）" sheetId="75" state="hidden" r:id="rId51"/>
    <sheet name="Sheet1" sheetId="77" state="hidden" r:id="rId52"/>
    <sheet name="Sheet2" sheetId="78" state="hidden" r:id="rId53"/>
    <sheet name="抵押物清单" sheetId="82" state="hidden" r:id="rId54"/>
    <sheet name="面积表" sheetId="79" state="hidden" r:id="rId55"/>
    <sheet name="销售清单" sheetId="83" r:id="rId56"/>
    <sheet name="1层销售状态" sheetId="84" state="hidden" r:id="rId57"/>
    <sheet name="2层销售状态" sheetId="85" state="hidden" r:id="rId58"/>
    <sheet name="3层销售状态" sheetId="86" state="hidden" r:id="rId59"/>
    <sheet name="4.5层销售状态" sheetId="87" state="hidden" r:id="rId60"/>
    <sheet name="-1层销售状态" sheetId="88" state="hidden" r:id="rId61"/>
    <sheet name="-2c层销售状态" sheetId="89" state="hidden" r:id="rId62"/>
    <sheet name="Sheet4" sheetId="97" state="hidden" r:id="rId63"/>
  </sheets>
  <definedNames>
    <definedName name="_xlnm._FilterDatabase" localSheetId="56" hidden="1">'1层销售状态'!$A$1:$I$169</definedName>
    <definedName name="_xlnm._FilterDatabase" localSheetId="60" hidden="1">'-1层销售状态'!$A$1:$I$277</definedName>
    <definedName name="_xlnm._FilterDatabase" localSheetId="61" hidden="1">'-2c层销售状态'!$A$1:$I$135</definedName>
    <definedName name="_xlnm._FilterDatabase" localSheetId="57" hidden="1">'2层销售状态'!$A$1:$I$190</definedName>
    <definedName name="_xlnm._FilterDatabase" localSheetId="58" hidden="1">'3层销售状态'!$A$1:$I$65</definedName>
    <definedName name="_xlnm._FilterDatabase" localSheetId="59" hidden="1">'4.5层销售状态'!$A$1:$I$22</definedName>
    <definedName name="_xlnm._FilterDatabase" localSheetId="51" hidden="1">Sheet1!$A$1:$F$379</definedName>
    <definedName name="_xlnm._FilterDatabase" localSheetId="52" hidden="1">Sheet2!$A$3:$XEW$293</definedName>
    <definedName name="_xlnm._FilterDatabase" localSheetId="62" hidden="1">Sheet4!$A$2:$I$668</definedName>
    <definedName name="_xlnm._FilterDatabase" localSheetId="35" hidden="1">'比较法-办公'!$A$1:$L$50</definedName>
    <definedName name="_xlnm._FilterDatabase" localSheetId="38" hidden="1">'比较法-仓储'!$A$1:$L$37</definedName>
    <definedName name="_xlnm._FilterDatabase" localSheetId="37" hidden="1">'比较法-车位'!$A$1:$L$39</definedName>
    <definedName name="_xlnm._FilterDatabase" localSheetId="36" hidden="1">'比较法-工业'!$A$1:$L$43</definedName>
    <definedName name="_xlnm._FilterDatabase" localSheetId="22" hidden="1">'比较法-商业'!$A$1:$L$49</definedName>
    <definedName name="_xlnm._FilterDatabase" localSheetId="28" hidden="1">'比较法-住宅'!$A$1:$L$49</definedName>
    <definedName name="_xlnm._FilterDatabase" localSheetId="25" hidden="1">单套价值!$A$2:$I$668</definedName>
    <definedName name="_xlnm._FilterDatabase" localSheetId="53" hidden="1">抵押物清单!$A$1:$F$667</definedName>
    <definedName name="_xlnm._FilterDatabase" localSheetId="11" hidden="1">'数据-基础表'!$A$12:$AT$587</definedName>
    <definedName name="_xlnm._FilterDatabase" localSheetId="40" hidden="1">'土地比较法-工业'!$A$1:$L$43</definedName>
    <definedName name="_xlnm._FilterDatabase" localSheetId="39" hidden="1">'土地比较法-住宅、综合'!$A$1:$L$48</definedName>
    <definedName name="_xlnm._FilterDatabase" localSheetId="10" hidden="1">项目基本情况!$A$42:$N$42</definedName>
    <definedName name="_xlnm._FilterDatabase" localSheetId="55" hidden="1">销售清单!$A$1:$I$3910</definedName>
    <definedName name="_xlnm.Print_Area" localSheetId="22">'比较法-商业'!$A$1:$K$49</definedName>
    <definedName name="_xlnm.Print_Area" localSheetId="24">'典型户型修正(先权重后修正)'!$A$19:$T$33</definedName>
    <definedName name="_xlnm.Print_Area" localSheetId="8">估价师及机构信息!$A$1:$F$29</definedName>
    <definedName name="_xlnm.Print_Area" localSheetId="21">'收益法 (元)'!$A$1:$AK$69</definedName>
    <definedName name="_xlnm.Print_Area" localSheetId="29">收益法1层!$A$1:$F$43</definedName>
    <definedName name="_xlnm.Print_Area" localSheetId="33">'收益法-1层'!$A$1:$AK$69</definedName>
    <definedName name="_xlnm.Print_Area" localSheetId="30">收益法2层!$A$1:$AK$69</definedName>
    <definedName name="_xlnm.Print_Area" localSheetId="34">'收益法-2层'!$A$1:$AK$69</definedName>
    <definedName name="_xlnm.Print_Area" localSheetId="31">收益法3层!$A$1:$AK$69</definedName>
    <definedName name="_xlnm.Print_Area" localSheetId="32">收益法4.5层!$A$1:$AK$69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 localSheetId="24">'典型户型修正(先权重后修正)'!$5:$5</definedName>
    <definedName name="一修多修正项2">典型户型修正!$5:$5</definedName>
    <definedName name="一修多修正项3" localSheetId="24">'典型户型修正(先权重后修正)'!$7:$7</definedName>
    <definedName name="一修多修正项3">典型户型修正!$7:$7</definedName>
    <definedName name="一修多修正项4" localSheetId="24">'典型户型修正(先权重后修正)'!$9:$9</definedName>
    <definedName name="一修多修正项4">典型户型修正!$9:$9</definedName>
    <definedName name="一修多修正项5" localSheetId="24">'典型户型修正(先权重后修正)'!$11:$11</definedName>
    <definedName name="一修多修正项5">典型户型修正!$11:$11</definedName>
    <definedName name="一修多修正项6" localSheetId="24">'典型户型修正(先权重后修正)'!$13:$13</definedName>
    <definedName name="一修多修正项6">典型户型修正!$13:$13</definedName>
    <definedName name="一修多修正项7" localSheetId="24">'典型户型修正(先权重后修正)'!$15:$15</definedName>
    <definedName name="一修多修正项7">典型户型修正!$15:$15</definedName>
    <definedName name="一修多修正项8" localSheetId="24">'典型户型修正(先权重后修正)'!$17:$17</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F668" i="98" l="1"/>
  <c r="I2" i="98"/>
  <c r="H2" i="98"/>
  <c r="L4" i="79"/>
  <c r="B6" i="79"/>
  <c r="F668" i="97"/>
  <c r="Q47" i="79" l="1"/>
  <c r="N64" i="79"/>
  <c r="N59" i="79"/>
  <c r="N60" i="79"/>
  <c r="N61" i="79"/>
  <c r="N62" i="79"/>
  <c r="L59" i="79"/>
  <c r="L60" i="79"/>
  <c r="L61" i="79"/>
  <c r="L62" i="79"/>
  <c r="L63" i="79"/>
  <c r="L64" i="79"/>
  <c r="N58" i="79"/>
  <c r="J60" i="79"/>
  <c r="J61" i="79"/>
  <c r="J62" i="79"/>
  <c r="J63" i="79"/>
  <c r="J64" i="79"/>
  <c r="J58" i="79"/>
  <c r="H59" i="79"/>
  <c r="H60" i="79"/>
  <c r="H61" i="79"/>
  <c r="H62" i="79"/>
  <c r="H63" i="79"/>
  <c r="H64" i="79"/>
  <c r="F59" i="79"/>
  <c r="F60" i="79"/>
  <c r="F61" i="79"/>
  <c r="F62" i="79"/>
  <c r="F63" i="79"/>
  <c r="F64" i="79"/>
  <c r="F58" i="79"/>
  <c r="H58" i="79"/>
  <c r="L58" i="79"/>
  <c r="D59" i="79"/>
  <c r="D61" i="79"/>
  <c r="D62" i="79"/>
  <c r="D63" i="79"/>
  <c r="D64" i="79"/>
  <c r="D58" i="79"/>
  <c r="B64" i="79"/>
  <c r="B59" i="79"/>
  <c r="B60" i="79"/>
  <c r="B61" i="79"/>
  <c r="B63" i="79"/>
  <c r="B58" i="79"/>
  <c r="L54" i="79"/>
  <c r="H54" i="79"/>
  <c r="F54" i="79"/>
  <c r="F55" i="79" s="1"/>
  <c r="B54" i="79"/>
  <c r="Q53" i="79"/>
  <c r="P53" i="79"/>
  <c r="N52" i="79"/>
  <c r="N54" i="79" s="1"/>
  <c r="N56" i="79" s="1"/>
  <c r="Q51" i="79"/>
  <c r="P51" i="79"/>
  <c r="Q50" i="79"/>
  <c r="P50" i="79"/>
  <c r="D49" i="79"/>
  <c r="Q49" i="79" s="1"/>
  <c r="J48" i="79"/>
  <c r="J54" i="79" s="1"/>
  <c r="P47" i="79"/>
  <c r="Q48" i="79" l="1"/>
  <c r="P49" i="79"/>
  <c r="B55" i="79"/>
  <c r="B56" i="79" s="1"/>
  <c r="H55" i="79"/>
  <c r="J59" i="79"/>
  <c r="J55" i="79" s="1"/>
  <c r="J56" i="79" s="1"/>
  <c r="N63" i="79"/>
  <c r="L55" i="79"/>
  <c r="L56" i="79"/>
  <c r="H56" i="79"/>
  <c r="F56" i="79"/>
  <c r="D54" i="79"/>
  <c r="D60" i="79"/>
  <c r="Q52" i="79"/>
  <c r="P48" i="79"/>
  <c r="P52" i="79"/>
  <c r="Q5" i="79"/>
  <c r="Q6" i="79"/>
  <c r="Q8" i="79"/>
  <c r="Q2" i="79"/>
  <c r="Q55" i="79" l="1"/>
  <c r="D55" i="79"/>
  <c r="D56" i="79"/>
  <c r="P56" i="79" s="1"/>
  <c r="P54" i="79"/>
  <c r="Q54" i="79" s="1"/>
  <c r="A667" i="82"/>
  <c r="J8" i="82"/>
  <c r="D21" i="79" s="1"/>
  <c r="J7" i="82"/>
  <c r="D20" i="79" s="1"/>
  <c r="J6" i="82"/>
  <c r="J5" i="82"/>
  <c r="D19" i="79" s="1"/>
  <c r="J4" i="82"/>
  <c r="D18" i="79" s="1"/>
  <c r="J3" i="82"/>
  <c r="D17" i="79" s="1"/>
  <c r="J2" i="82"/>
  <c r="J9" i="82" s="1"/>
  <c r="R524" i="95"/>
  <c r="S524" i="95" s="1"/>
  <c r="Q524" i="95"/>
  <c r="O524" i="95"/>
  <c r="M524" i="95"/>
  <c r="K524" i="95"/>
  <c r="I524" i="95"/>
  <c r="G524" i="95"/>
  <c r="C524" i="95"/>
  <c r="R523" i="95"/>
  <c r="S523" i="95" s="1"/>
  <c r="Q523" i="95"/>
  <c r="O523" i="95"/>
  <c r="M523" i="95"/>
  <c r="K523" i="95"/>
  <c r="I523" i="95"/>
  <c r="G523" i="95"/>
  <c r="C523" i="95"/>
  <c r="R522" i="95"/>
  <c r="S522" i="95" s="1"/>
  <c r="Q522" i="95"/>
  <c r="O522" i="95"/>
  <c r="M522" i="95"/>
  <c r="K522" i="95"/>
  <c r="I522" i="95"/>
  <c r="G522" i="95"/>
  <c r="C522" i="95"/>
  <c r="R521" i="95"/>
  <c r="S521" i="95" s="1"/>
  <c r="Q521" i="95"/>
  <c r="O521" i="95"/>
  <c r="M521" i="95"/>
  <c r="K521" i="95"/>
  <c r="I521" i="95"/>
  <c r="G521" i="95"/>
  <c r="C521" i="95"/>
  <c r="R520" i="95"/>
  <c r="S520" i="95" s="1"/>
  <c r="Q520" i="95"/>
  <c r="O520" i="95"/>
  <c r="M520" i="95"/>
  <c r="K520" i="95"/>
  <c r="I520" i="95"/>
  <c r="G520" i="95"/>
  <c r="C520" i="95"/>
  <c r="R519" i="95"/>
  <c r="S519" i="95" s="1"/>
  <c r="Q519" i="95"/>
  <c r="O519" i="95"/>
  <c r="M519" i="95"/>
  <c r="K519" i="95"/>
  <c r="I519" i="95"/>
  <c r="G519" i="95"/>
  <c r="C519" i="95"/>
  <c r="R518" i="95"/>
  <c r="S518" i="95" s="1"/>
  <c r="Q518" i="95"/>
  <c r="O518" i="95"/>
  <c r="M518" i="95"/>
  <c r="K518" i="95"/>
  <c r="I518" i="95"/>
  <c r="G518" i="95"/>
  <c r="C518" i="95"/>
  <c r="R517" i="95"/>
  <c r="S517" i="95" s="1"/>
  <c r="Q517" i="95"/>
  <c r="O517" i="95"/>
  <c r="M517" i="95"/>
  <c r="K517" i="95"/>
  <c r="I517" i="95"/>
  <c r="G517" i="95"/>
  <c r="C517" i="95"/>
  <c r="R516" i="95"/>
  <c r="S516" i="95" s="1"/>
  <c r="Q516" i="95"/>
  <c r="O516" i="95"/>
  <c r="M516" i="95"/>
  <c r="K516" i="95"/>
  <c r="I516" i="95"/>
  <c r="G516" i="95"/>
  <c r="C516" i="95"/>
  <c r="R515" i="95"/>
  <c r="S515" i="95" s="1"/>
  <c r="Q515" i="95"/>
  <c r="O515" i="95"/>
  <c r="M515" i="95"/>
  <c r="K515" i="95"/>
  <c r="I515" i="95"/>
  <c r="G515" i="95"/>
  <c r="C515" i="95"/>
  <c r="R514" i="95"/>
  <c r="S514" i="95" s="1"/>
  <c r="Q514" i="95"/>
  <c r="O514" i="95"/>
  <c r="M514" i="95"/>
  <c r="K514" i="95"/>
  <c r="I514" i="95"/>
  <c r="G514" i="95"/>
  <c r="C514" i="95"/>
  <c r="R513" i="95"/>
  <c r="S513" i="95" s="1"/>
  <c r="Q513" i="95"/>
  <c r="O513" i="95"/>
  <c r="M513" i="95"/>
  <c r="K513" i="95"/>
  <c r="I513" i="95"/>
  <c r="G513" i="95"/>
  <c r="C513" i="95"/>
  <c r="R512" i="95"/>
  <c r="S512" i="95" s="1"/>
  <c r="Q512" i="95"/>
  <c r="O512" i="95"/>
  <c r="M512" i="95"/>
  <c r="K512" i="95"/>
  <c r="I512" i="95"/>
  <c r="G512" i="95"/>
  <c r="C512" i="95"/>
  <c r="R511" i="95"/>
  <c r="S511" i="95" s="1"/>
  <c r="Q511" i="95"/>
  <c r="O511" i="95"/>
  <c r="M511" i="95"/>
  <c r="K511" i="95"/>
  <c r="I511" i="95"/>
  <c r="G511" i="95"/>
  <c r="C511" i="95"/>
  <c r="R510" i="95"/>
  <c r="S510" i="95" s="1"/>
  <c r="Q510" i="95"/>
  <c r="O510" i="95"/>
  <c r="M510" i="95"/>
  <c r="K510" i="95"/>
  <c r="I510" i="95"/>
  <c r="G510" i="95"/>
  <c r="C510" i="95"/>
  <c r="R509" i="95"/>
  <c r="S509" i="95" s="1"/>
  <c r="Q509" i="95"/>
  <c r="O509" i="95"/>
  <c r="M509" i="95"/>
  <c r="K509" i="95"/>
  <c r="I509" i="95"/>
  <c r="G509" i="95"/>
  <c r="C509" i="95"/>
  <c r="R508" i="95"/>
  <c r="S508" i="95" s="1"/>
  <c r="Q508" i="95"/>
  <c r="O508" i="95"/>
  <c r="M508" i="95"/>
  <c r="K508" i="95"/>
  <c r="I508" i="95"/>
  <c r="G508" i="95"/>
  <c r="C508" i="95"/>
  <c r="R507" i="95"/>
  <c r="S507" i="95" s="1"/>
  <c r="Q507" i="95"/>
  <c r="O507" i="95"/>
  <c r="M507" i="95"/>
  <c r="K507" i="95"/>
  <c r="I507" i="95"/>
  <c r="G507" i="95"/>
  <c r="C507" i="95"/>
  <c r="R506" i="95"/>
  <c r="S506" i="95" s="1"/>
  <c r="Q506" i="95"/>
  <c r="O506" i="95"/>
  <c r="M506" i="95"/>
  <c r="K506" i="95"/>
  <c r="I506" i="95"/>
  <c r="G506" i="95"/>
  <c r="C506" i="95"/>
  <c r="R505" i="95"/>
  <c r="S505" i="95" s="1"/>
  <c r="Q505" i="95"/>
  <c r="O505" i="95"/>
  <c r="M505" i="95"/>
  <c r="K505" i="95"/>
  <c r="I505" i="95"/>
  <c r="G505" i="95"/>
  <c r="C505" i="95"/>
  <c r="R504" i="95"/>
  <c r="S504" i="95" s="1"/>
  <c r="Q504" i="95"/>
  <c r="O504" i="95"/>
  <c r="M504" i="95"/>
  <c r="K504" i="95"/>
  <c r="I504" i="95"/>
  <c r="G504" i="95"/>
  <c r="C504" i="95"/>
  <c r="R503" i="95"/>
  <c r="S503" i="95" s="1"/>
  <c r="Q503" i="95"/>
  <c r="O503" i="95"/>
  <c r="M503" i="95"/>
  <c r="K503" i="95"/>
  <c r="I503" i="95"/>
  <c r="G503" i="95"/>
  <c r="C503" i="95"/>
  <c r="R502" i="95"/>
  <c r="S502" i="95" s="1"/>
  <c r="Q502" i="95"/>
  <c r="O502" i="95"/>
  <c r="M502" i="95"/>
  <c r="K502" i="95"/>
  <c r="I502" i="95"/>
  <c r="G502" i="95"/>
  <c r="C502" i="95"/>
  <c r="R501" i="95"/>
  <c r="S501" i="95" s="1"/>
  <c r="Q501" i="95"/>
  <c r="O501" i="95"/>
  <c r="M501" i="95"/>
  <c r="K501" i="95"/>
  <c r="I501" i="95"/>
  <c r="G501" i="95"/>
  <c r="C501" i="95"/>
  <c r="R500" i="95"/>
  <c r="S500" i="95" s="1"/>
  <c r="Q500" i="95"/>
  <c r="O500" i="95"/>
  <c r="M500" i="95"/>
  <c r="K500" i="95"/>
  <c r="I500" i="95"/>
  <c r="G500" i="95"/>
  <c r="C500" i="95"/>
  <c r="R499" i="95"/>
  <c r="S499" i="95" s="1"/>
  <c r="Q499" i="95"/>
  <c r="O499" i="95"/>
  <c r="M499" i="95"/>
  <c r="K499" i="95"/>
  <c r="I499" i="95"/>
  <c r="G499" i="95"/>
  <c r="C499" i="95"/>
  <c r="R498" i="95"/>
  <c r="S498" i="95" s="1"/>
  <c r="Q498" i="95"/>
  <c r="O498" i="95"/>
  <c r="M498" i="95"/>
  <c r="K498" i="95"/>
  <c r="I498" i="95"/>
  <c r="G498" i="95"/>
  <c r="C498" i="95"/>
  <c r="R497" i="95"/>
  <c r="S497" i="95" s="1"/>
  <c r="Q497" i="95"/>
  <c r="O497" i="95"/>
  <c r="M497" i="95"/>
  <c r="K497" i="95"/>
  <c r="I497" i="95"/>
  <c r="G497" i="95"/>
  <c r="C497" i="95"/>
  <c r="R496" i="95"/>
  <c r="S496" i="95" s="1"/>
  <c r="Q496" i="95"/>
  <c r="O496" i="95"/>
  <c r="M496" i="95"/>
  <c r="K496" i="95"/>
  <c r="I496" i="95"/>
  <c r="G496" i="95"/>
  <c r="C496" i="95"/>
  <c r="R495" i="95"/>
  <c r="S495" i="95" s="1"/>
  <c r="Q495" i="95"/>
  <c r="O495" i="95"/>
  <c r="M495" i="95"/>
  <c r="K495" i="95"/>
  <c r="I495" i="95"/>
  <c r="G495" i="95"/>
  <c r="C495" i="95"/>
  <c r="R494" i="95"/>
  <c r="S494" i="95" s="1"/>
  <c r="Q494" i="95"/>
  <c r="O494" i="95"/>
  <c r="M494" i="95"/>
  <c r="K494" i="95"/>
  <c r="I494" i="95"/>
  <c r="G494" i="95"/>
  <c r="C494" i="95"/>
  <c r="R493" i="95"/>
  <c r="S493" i="95" s="1"/>
  <c r="Q493" i="95"/>
  <c r="O493" i="95"/>
  <c r="M493" i="95"/>
  <c r="K493" i="95"/>
  <c r="I493" i="95"/>
  <c r="G493" i="95"/>
  <c r="C493" i="95"/>
  <c r="R492" i="95"/>
  <c r="S492" i="95" s="1"/>
  <c r="Q492" i="95"/>
  <c r="O492" i="95"/>
  <c r="M492" i="95"/>
  <c r="K492" i="95"/>
  <c r="I492" i="95"/>
  <c r="G492" i="95"/>
  <c r="C492" i="95"/>
  <c r="R491" i="95"/>
  <c r="S491" i="95" s="1"/>
  <c r="Q491" i="95"/>
  <c r="O491" i="95"/>
  <c r="M491" i="95"/>
  <c r="K491" i="95"/>
  <c r="I491" i="95"/>
  <c r="G491" i="95"/>
  <c r="C491" i="95"/>
  <c r="R490" i="95"/>
  <c r="S490" i="95" s="1"/>
  <c r="Q490" i="95"/>
  <c r="O490" i="95"/>
  <c r="M490" i="95"/>
  <c r="K490" i="95"/>
  <c r="I490" i="95"/>
  <c r="G490" i="95"/>
  <c r="C490" i="95"/>
  <c r="R489" i="95"/>
  <c r="S489" i="95" s="1"/>
  <c r="Q489" i="95"/>
  <c r="O489" i="95"/>
  <c r="M489" i="95"/>
  <c r="K489" i="95"/>
  <c r="I489" i="95"/>
  <c r="G489" i="95"/>
  <c r="C489" i="95"/>
  <c r="R488" i="95"/>
  <c r="S488" i="95" s="1"/>
  <c r="Q488" i="95"/>
  <c r="O488" i="95"/>
  <c r="M488" i="95"/>
  <c r="K488" i="95"/>
  <c r="I488" i="95"/>
  <c r="G488" i="95"/>
  <c r="C488" i="95"/>
  <c r="R487" i="95"/>
  <c r="S487" i="95" s="1"/>
  <c r="Q487" i="95"/>
  <c r="O487" i="95"/>
  <c r="M487" i="95"/>
  <c r="K487" i="95"/>
  <c r="I487" i="95"/>
  <c r="G487" i="95"/>
  <c r="C487" i="95"/>
  <c r="R486" i="95"/>
  <c r="S486" i="95" s="1"/>
  <c r="Q486" i="95"/>
  <c r="O486" i="95"/>
  <c r="M486" i="95"/>
  <c r="K486" i="95"/>
  <c r="I486" i="95"/>
  <c r="G486" i="95"/>
  <c r="C486" i="95"/>
  <c r="R485" i="95"/>
  <c r="S485" i="95" s="1"/>
  <c r="Q485" i="95"/>
  <c r="O485" i="95"/>
  <c r="M485" i="95"/>
  <c r="K485" i="95"/>
  <c r="I485" i="95"/>
  <c r="G485" i="95"/>
  <c r="C485" i="95"/>
  <c r="R484" i="95"/>
  <c r="S484" i="95" s="1"/>
  <c r="Q484" i="95"/>
  <c r="O484" i="95"/>
  <c r="M484" i="95"/>
  <c r="K484" i="95"/>
  <c r="I484" i="95"/>
  <c r="G484" i="95"/>
  <c r="C484" i="95"/>
  <c r="R483" i="95"/>
  <c r="S483" i="95" s="1"/>
  <c r="Q483" i="95"/>
  <c r="O483" i="95"/>
  <c r="M483" i="95"/>
  <c r="K483" i="95"/>
  <c r="I483" i="95"/>
  <c r="G483" i="95"/>
  <c r="C483" i="95"/>
  <c r="R482" i="95"/>
  <c r="S482" i="95" s="1"/>
  <c r="Q482" i="95"/>
  <c r="O482" i="95"/>
  <c r="M482" i="95"/>
  <c r="K482" i="95"/>
  <c r="I482" i="95"/>
  <c r="G482" i="95"/>
  <c r="C482" i="95"/>
  <c r="R481" i="95"/>
  <c r="S481" i="95" s="1"/>
  <c r="Q481" i="95"/>
  <c r="O481" i="95"/>
  <c r="M481" i="95"/>
  <c r="K481" i="95"/>
  <c r="I481" i="95"/>
  <c r="G481" i="95"/>
  <c r="C481" i="95"/>
  <c r="R480" i="95"/>
  <c r="S480" i="95" s="1"/>
  <c r="Q480" i="95"/>
  <c r="O480" i="95"/>
  <c r="M480" i="95"/>
  <c r="K480" i="95"/>
  <c r="I480" i="95"/>
  <c r="G480" i="95"/>
  <c r="C480" i="95"/>
  <c r="R479" i="95"/>
  <c r="S479" i="95" s="1"/>
  <c r="Q479" i="95"/>
  <c r="O479" i="95"/>
  <c r="M479" i="95"/>
  <c r="K479" i="95"/>
  <c r="I479" i="95"/>
  <c r="G479" i="95"/>
  <c r="C479" i="95"/>
  <c r="R478" i="95"/>
  <c r="S478" i="95" s="1"/>
  <c r="Q478" i="95"/>
  <c r="O478" i="95"/>
  <c r="M478" i="95"/>
  <c r="K478" i="95"/>
  <c r="I478" i="95"/>
  <c r="G478" i="95"/>
  <c r="C478" i="95"/>
  <c r="R477" i="95"/>
  <c r="S477" i="95" s="1"/>
  <c r="Q477" i="95"/>
  <c r="O477" i="95"/>
  <c r="M477" i="95"/>
  <c r="K477" i="95"/>
  <c r="I477" i="95"/>
  <c r="G477" i="95"/>
  <c r="C477" i="95"/>
  <c r="R476" i="95"/>
  <c r="S476" i="95" s="1"/>
  <c r="Q476" i="95"/>
  <c r="O476" i="95"/>
  <c r="M476" i="95"/>
  <c r="K476" i="95"/>
  <c r="I476" i="95"/>
  <c r="G476" i="95"/>
  <c r="C476" i="95"/>
  <c r="R475" i="95"/>
  <c r="S475" i="95" s="1"/>
  <c r="Q475" i="95"/>
  <c r="O475" i="95"/>
  <c r="M475" i="95"/>
  <c r="K475" i="95"/>
  <c r="I475" i="95"/>
  <c r="G475" i="95"/>
  <c r="C475" i="95"/>
  <c r="R474" i="95"/>
  <c r="S474" i="95" s="1"/>
  <c r="Q474" i="95"/>
  <c r="O474" i="95"/>
  <c r="M474" i="95"/>
  <c r="K474" i="95"/>
  <c r="I474" i="95"/>
  <c r="G474" i="95"/>
  <c r="C474" i="95"/>
  <c r="R473" i="95"/>
  <c r="S473" i="95" s="1"/>
  <c r="Q473" i="95"/>
  <c r="O473" i="95"/>
  <c r="M473" i="95"/>
  <c r="K473" i="95"/>
  <c r="I473" i="95"/>
  <c r="G473" i="95"/>
  <c r="C473" i="95"/>
  <c r="R472" i="95"/>
  <c r="S472" i="95" s="1"/>
  <c r="Q472" i="95"/>
  <c r="O472" i="95"/>
  <c r="M472" i="95"/>
  <c r="K472" i="95"/>
  <c r="I472" i="95"/>
  <c r="G472" i="95"/>
  <c r="C472" i="95"/>
  <c r="R471" i="95"/>
  <c r="S471" i="95" s="1"/>
  <c r="Q471" i="95"/>
  <c r="O471" i="95"/>
  <c r="M471" i="95"/>
  <c r="K471" i="95"/>
  <c r="I471" i="95"/>
  <c r="G471" i="95"/>
  <c r="C471" i="95"/>
  <c r="R470" i="95"/>
  <c r="S470" i="95" s="1"/>
  <c r="Q470" i="95"/>
  <c r="O470" i="95"/>
  <c r="M470" i="95"/>
  <c r="K470" i="95"/>
  <c r="I470" i="95"/>
  <c r="G470" i="95"/>
  <c r="C470" i="95"/>
  <c r="R469" i="95"/>
  <c r="S469" i="95" s="1"/>
  <c r="Q469" i="95"/>
  <c r="O469" i="95"/>
  <c r="M469" i="95"/>
  <c r="K469" i="95"/>
  <c r="I469" i="95"/>
  <c r="G469" i="95"/>
  <c r="C469" i="95"/>
  <c r="R468" i="95"/>
  <c r="S468" i="95" s="1"/>
  <c r="Q468" i="95"/>
  <c r="O468" i="95"/>
  <c r="M468" i="95"/>
  <c r="K468" i="95"/>
  <c r="I468" i="95"/>
  <c r="G468" i="95"/>
  <c r="C468" i="95"/>
  <c r="R467" i="95"/>
  <c r="S467" i="95" s="1"/>
  <c r="Q467" i="95"/>
  <c r="O467" i="95"/>
  <c r="M467" i="95"/>
  <c r="K467" i="95"/>
  <c r="I467" i="95"/>
  <c r="G467" i="95"/>
  <c r="C467" i="95"/>
  <c r="R466" i="95"/>
  <c r="S466" i="95" s="1"/>
  <c r="Q466" i="95"/>
  <c r="O466" i="95"/>
  <c r="M466" i="95"/>
  <c r="K466" i="95"/>
  <c r="I466" i="95"/>
  <c r="G466" i="95"/>
  <c r="C466" i="95"/>
  <c r="R465" i="95"/>
  <c r="S465" i="95" s="1"/>
  <c r="Q465" i="95"/>
  <c r="O465" i="95"/>
  <c r="M465" i="95"/>
  <c r="K465" i="95"/>
  <c r="I465" i="95"/>
  <c r="G465" i="95"/>
  <c r="C465" i="95"/>
  <c r="R464" i="95"/>
  <c r="S464" i="95" s="1"/>
  <c r="Q464" i="95"/>
  <c r="O464" i="95"/>
  <c r="M464" i="95"/>
  <c r="K464" i="95"/>
  <c r="I464" i="95"/>
  <c r="G464" i="95"/>
  <c r="C464" i="95"/>
  <c r="R463" i="95"/>
  <c r="S463" i="95" s="1"/>
  <c r="Q463" i="95"/>
  <c r="O463" i="95"/>
  <c r="M463" i="95"/>
  <c r="K463" i="95"/>
  <c r="I463" i="95"/>
  <c r="G463" i="95"/>
  <c r="C463" i="95"/>
  <c r="R462" i="95"/>
  <c r="S462" i="95" s="1"/>
  <c r="Q462" i="95"/>
  <c r="O462" i="95"/>
  <c r="M462" i="95"/>
  <c r="K462" i="95"/>
  <c r="I462" i="95"/>
  <c r="G462" i="95"/>
  <c r="C462" i="95"/>
  <c r="R461" i="95"/>
  <c r="S461" i="95" s="1"/>
  <c r="Q461" i="95"/>
  <c r="O461" i="95"/>
  <c r="M461" i="95"/>
  <c r="K461" i="95"/>
  <c r="I461" i="95"/>
  <c r="G461" i="95"/>
  <c r="C461" i="95"/>
  <c r="R460" i="95"/>
  <c r="S460" i="95" s="1"/>
  <c r="Q460" i="95"/>
  <c r="O460" i="95"/>
  <c r="M460" i="95"/>
  <c r="K460" i="95"/>
  <c r="I460" i="95"/>
  <c r="G460" i="95"/>
  <c r="C460" i="95"/>
  <c r="R459" i="95"/>
  <c r="S459" i="95" s="1"/>
  <c r="Q459" i="95"/>
  <c r="O459" i="95"/>
  <c r="M459" i="95"/>
  <c r="K459" i="95"/>
  <c r="I459" i="95"/>
  <c r="G459" i="95"/>
  <c r="C459" i="95"/>
  <c r="R458" i="95"/>
  <c r="S458" i="95" s="1"/>
  <c r="Q458" i="95"/>
  <c r="O458" i="95"/>
  <c r="M458" i="95"/>
  <c r="K458" i="95"/>
  <c r="I458" i="95"/>
  <c r="G458" i="95"/>
  <c r="C458" i="95"/>
  <c r="R457" i="95"/>
  <c r="S457" i="95" s="1"/>
  <c r="Q457" i="95"/>
  <c r="O457" i="95"/>
  <c r="M457" i="95"/>
  <c r="K457" i="95"/>
  <c r="I457" i="95"/>
  <c r="G457" i="95"/>
  <c r="C457" i="95"/>
  <c r="R456" i="95"/>
  <c r="S456" i="95" s="1"/>
  <c r="Q456" i="95"/>
  <c r="O456" i="95"/>
  <c r="M456" i="95"/>
  <c r="K456" i="95"/>
  <c r="I456" i="95"/>
  <c r="G456" i="95"/>
  <c r="C456" i="95"/>
  <c r="R455" i="95"/>
  <c r="S455" i="95" s="1"/>
  <c r="Q455" i="95"/>
  <c r="O455" i="95"/>
  <c r="M455" i="95"/>
  <c r="K455" i="95"/>
  <c r="I455" i="95"/>
  <c r="G455" i="95"/>
  <c r="C455" i="95"/>
  <c r="R454" i="95"/>
  <c r="S454" i="95" s="1"/>
  <c r="Q454" i="95"/>
  <c r="O454" i="95"/>
  <c r="M454" i="95"/>
  <c r="K454" i="95"/>
  <c r="I454" i="95"/>
  <c r="G454" i="95"/>
  <c r="C454" i="95"/>
  <c r="R453" i="95"/>
  <c r="S453" i="95" s="1"/>
  <c r="Q453" i="95"/>
  <c r="O453" i="95"/>
  <c r="M453" i="95"/>
  <c r="K453" i="95"/>
  <c r="I453" i="95"/>
  <c r="G453" i="95"/>
  <c r="C453" i="95"/>
  <c r="R452" i="95"/>
  <c r="S452" i="95" s="1"/>
  <c r="Q452" i="95"/>
  <c r="O452" i="95"/>
  <c r="M452" i="95"/>
  <c r="K452" i="95"/>
  <c r="I452" i="95"/>
  <c r="G452" i="95"/>
  <c r="C452" i="95"/>
  <c r="R451" i="95"/>
  <c r="S451" i="95" s="1"/>
  <c r="Q451" i="95"/>
  <c r="O451" i="95"/>
  <c r="M451" i="95"/>
  <c r="K451" i="95"/>
  <c r="I451" i="95"/>
  <c r="G451" i="95"/>
  <c r="C451" i="95"/>
  <c r="R450" i="95"/>
  <c r="S450" i="95" s="1"/>
  <c r="Q450" i="95"/>
  <c r="O450" i="95"/>
  <c r="M450" i="95"/>
  <c r="K450" i="95"/>
  <c r="I450" i="95"/>
  <c r="G450" i="95"/>
  <c r="C450" i="95"/>
  <c r="R449" i="95"/>
  <c r="S449" i="95" s="1"/>
  <c r="Q449" i="95"/>
  <c r="O449" i="95"/>
  <c r="M449" i="95"/>
  <c r="K449" i="95"/>
  <c r="I449" i="95"/>
  <c r="G449" i="95"/>
  <c r="C449" i="95"/>
  <c r="R448" i="95"/>
  <c r="S448" i="95" s="1"/>
  <c r="Q448" i="95"/>
  <c r="O448" i="95"/>
  <c r="M448" i="95"/>
  <c r="K448" i="95"/>
  <c r="I448" i="95"/>
  <c r="G448" i="95"/>
  <c r="C448" i="95"/>
  <c r="R447" i="95"/>
  <c r="S447" i="95" s="1"/>
  <c r="Q447" i="95"/>
  <c r="O447" i="95"/>
  <c r="M447" i="95"/>
  <c r="K447" i="95"/>
  <c r="I447" i="95"/>
  <c r="G447" i="95"/>
  <c r="C447" i="95"/>
  <c r="R446" i="95"/>
  <c r="S446" i="95" s="1"/>
  <c r="Q446" i="95"/>
  <c r="O446" i="95"/>
  <c r="M446" i="95"/>
  <c r="K446" i="95"/>
  <c r="I446" i="95"/>
  <c r="G446" i="95"/>
  <c r="C446" i="95"/>
  <c r="R445" i="95"/>
  <c r="S445" i="95" s="1"/>
  <c r="Q445" i="95"/>
  <c r="O445" i="95"/>
  <c r="M445" i="95"/>
  <c r="K445" i="95"/>
  <c r="I445" i="95"/>
  <c r="G445" i="95"/>
  <c r="C445" i="95"/>
  <c r="R444" i="95"/>
  <c r="S444" i="95" s="1"/>
  <c r="Q444" i="95"/>
  <c r="O444" i="95"/>
  <c r="M444" i="95"/>
  <c r="K444" i="95"/>
  <c r="I444" i="95"/>
  <c r="G444" i="95"/>
  <c r="C444" i="95"/>
  <c r="R443" i="95"/>
  <c r="S443" i="95" s="1"/>
  <c r="Q443" i="95"/>
  <c r="O443" i="95"/>
  <c r="M443" i="95"/>
  <c r="K443" i="95"/>
  <c r="I443" i="95"/>
  <c r="G443" i="95"/>
  <c r="C443" i="95"/>
  <c r="R442" i="95"/>
  <c r="S442" i="95" s="1"/>
  <c r="Q442" i="95"/>
  <c r="O442" i="95"/>
  <c r="M442" i="95"/>
  <c r="K442" i="95"/>
  <c r="I442" i="95"/>
  <c r="G442" i="95"/>
  <c r="C442" i="95"/>
  <c r="R441" i="95"/>
  <c r="S441" i="95" s="1"/>
  <c r="Q441" i="95"/>
  <c r="O441" i="95"/>
  <c r="M441" i="95"/>
  <c r="K441" i="95"/>
  <c r="I441" i="95"/>
  <c r="G441" i="95"/>
  <c r="C441" i="95"/>
  <c r="R440" i="95"/>
  <c r="S440" i="95" s="1"/>
  <c r="Q440" i="95"/>
  <c r="O440" i="95"/>
  <c r="M440" i="95"/>
  <c r="K440" i="95"/>
  <c r="I440" i="95"/>
  <c r="G440" i="95"/>
  <c r="C440" i="95"/>
  <c r="R439" i="95"/>
  <c r="S439" i="95" s="1"/>
  <c r="Q439" i="95"/>
  <c r="O439" i="95"/>
  <c r="M439" i="95"/>
  <c r="K439" i="95"/>
  <c r="I439" i="95"/>
  <c r="G439" i="95"/>
  <c r="C439" i="95"/>
  <c r="R438" i="95"/>
  <c r="S438" i="95" s="1"/>
  <c r="Q438" i="95"/>
  <c r="O438" i="95"/>
  <c r="M438" i="95"/>
  <c r="K438" i="95"/>
  <c r="I438" i="95"/>
  <c r="G438" i="95"/>
  <c r="C438" i="95"/>
  <c r="R437" i="95"/>
  <c r="S437" i="95" s="1"/>
  <c r="Q437" i="95"/>
  <c r="O437" i="95"/>
  <c r="M437" i="95"/>
  <c r="K437" i="95"/>
  <c r="I437" i="95"/>
  <c r="G437" i="95"/>
  <c r="C437" i="95"/>
  <c r="R436" i="95"/>
  <c r="S436" i="95" s="1"/>
  <c r="Q436" i="95"/>
  <c r="O436" i="95"/>
  <c r="M436" i="95"/>
  <c r="K436" i="95"/>
  <c r="I436" i="95"/>
  <c r="G436" i="95"/>
  <c r="C436" i="95"/>
  <c r="R435" i="95"/>
  <c r="S435" i="95" s="1"/>
  <c r="Q435" i="95"/>
  <c r="O435" i="95"/>
  <c r="M435" i="95"/>
  <c r="K435" i="95"/>
  <c r="I435" i="95"/>
  <c r="G435" i="95"/>
  <c r="C435" i="95"/>
  <c r="R434" i="95"/>
  <c r="S434" i="95" s="1"/>
  <c r="Q434" i="95"/>
  <c r="O434" i="95"/>
  <c r="M434" i="95"/>
  <c r="K434" i="95"/>
  <c r="I434" i="95"/>
  <c r="G434" i="95"/>
  <c r="C434" i="95"/>
  <c r="R433" i="95"/>
  <c r="S433" i="95" s="1"/>
  <c r="Q433" i="95"/>
  <c r="O433" i="95"/>
  <c r="M433" i="95"/>
  <c r="K433" i="95"/>
  <c r="I433" i="95"/>
  <c r="G433" i="95"/>
  <c r="C433" i="95"/>
  <c r="R432" i="95"/>
  <c r="S432" i="95" s="1"/>
  <c r="Q432" i="95"/>
  <c r="O432" i="95"/>
  <c r="M432" i="95"/>
  <c r="K432" i="95"/>
  <c r="I432" i="95"/>
  <c r="G432" i="95"/>
  <c r="C432" i="95"/>
  <c r="R431" i="95"/>
  <c r="S431" i="95" s="1"/>
  <c r="Q431" i="95"/>
  <c r="O431" i="95"/>
  <c r="M431" i="95"/>
  <c r="K431" i="95"/>
  <c r="I431" i="95"/>
  <c r="G431" i="95"/>
  <c r="C431" i="95"/>
  <c r="R430" i="95"/>
  <c r="S430" i="95" s="1"/>
  <c r="Q430" i="95"/>
  <c r="O430" i="95"/>
  <c r="M430" i="95"/>
  <c r="K430" i="95"/>
  <c r="I430" i="95"/>
  <c r="G430" i="95"/>
  <c r="C430" i="95"/>
  <c r="R429" i="95"/>
  <c r="S429" i="95" s="1"/>
  <c r="Q429" i="95"/>
  <c r="O429" i="95"/>
  <c r="M429" i="95"/>
  <c r="K429" i="95"/>
  <c r="I429" i="95"/>
  <c r="G429" i="95"/>
  <c r="C429" i="95"/>
  <c r="R428" i="95"/>
  <c r="S428" i="95" s="1"/>
  <c r="Q428" i="95"/>
  <c r="O428" i="95"/>
  <c r="M428" i="95"/>
  <c r="K428" i="95"/>
  <c r="I428" i="95"/>
  <c r="G428" i="95"/>
  <c r="C428" i="95"/>
  <c r="R427" i="95"/>
  <c r="S427" i="95" s="1"/>
  <c r="Q427" i="95"/>
  <c r="O427" i="95"/>
  <c r="M427" i="95"/>
  <c r="K427" i="95"/>
  <c r="I427" i="95"/>
  <c r="G427" i="95"/>
  <c r="C427" i="95"/>
  <c r="R426" i="95"/>
  <c r="S426" i="95" s="1"/>
  <c r="Q426" i="95"/>
  <c r="O426" i="95"/>
  <c r="M426" i="95"/>
  <c r="K426" i="95"/>
  <c r="I426" i="95"/>
  <c r="G426" i="95"/>
  <c r="C426" i="95"/>
  <c r="R425" i="95"/>
  <c r="S425" i="95" s="1"/>
  <c r="Q425" i="95"/>
  <c r="O425" i="95"/>
  <c r="M425" i="95"/>
  <c r="K425" i="95"/>
  <c r="I425" i="95"/>
  <c r="G425" i="95"/>
  <c r="C425" i="95"/>
  <c r="R424" i="95"/>
  <c r="S424" i="95" s="1"/>
  <c r="Q424" i="95"/>
  <c r="O424" i="95"/>
  <c r="M424" i="95"/>
  <c r="K424" i="95"/>
  <c r="I424" i="95"/>
  <c r="G424" i="95"/>
  <c r="C424" i="95"/>
  <c r="R423" i="95"/>
  <c r="S423" i="95" s="1"/>
  <c r="Q423" i="95"/>
  <c r="O423" i="95"/>
  <c r="M423" i="95"/>
  <c r="K423" i="95"/>
  <c r="I423" i="95"/>
  <c r="G423" i="95"/>
  <c r="C423" i="95"/>
  <c r="R422" i="95"/>
  <c r="S422" i="95" s="1"/>
  <c r="Q422" i="95"/>
  <c r="O422" i="95"/>
  <c r="M422" i="95"/>
  <c r="K422" i="95"/>
  <c r="I422" i="95"/>
  <c r="G422" i="95"/>
  <c r="C422" i="95"/>
  <c r="R421" i="95"/>
  <c r="S421" i="95" s="1"/>
  <c r="Q421" i="95"/>
  <c r="O421" i="95"/>
  <c r="M421" i="95"/>
  <c r="K421" i="95"/>
  <c r="I421" i="95"/>
  <c r="G421" i="95"/>
  <c r="C421" i="95"/>
  <c r="R420" i="95"/>
  <c r="S420" i="95" s="1"/>
  <c r="Q420" i="95"/>
  <c r="O420" i="95"/>
  <c r="M420" i="95"/>
  <c r="K420" i="95"/>
  <c r="I420" i="95"/>
  <c r="G420" i="95"/>
  <c r="C420" i="95"/>
  <c r="R419" i="95"/>
  <c r="S419" i="95" s="1"/>
  <c r="Q419" i="95"/>
  <c r="O419" i="95"/>
  <c r="M419" i="95"/>
  <c r="K419" i="95"/>
  <c r="I419" i="95"/>
  <c r="G419" i="95"/>
  <c r="C419" i="95"/>
  <c r="R418" i="95"/>
  <c r="S418" i="95" s="1"/>
  <c r="Q418" i="95"/>
  <c r="O418" i="95"/>
  <c r="M418" i="95"/>
  <c r="K418" i="95"/>
  <c r="I418" i="95"/>
  <c r="G418" i="95"/>
  <c r="C418" i="95"/>
  <c r="R417" i="95"/>
  <c r="S417" i="95" s="1"/>
  <c r="Q417" i="95"/>
  <c r="O417" i="95"/>
  <c r="M417" i="95"/>
  <c r="K417" i="95"/>
  <c r="I417" i="95"/>
  <c r="G417" i="95"/>
  <c r="C417" i="95"/>
  <c r="R416" i="95"/>
  <c r="S416" i="95" s="1"/>
  <c r="Q416" i="95"/>
  <c r="O416" i="95"/>
  <c r="M416" i="95"/>
  <c r="K416" i="95"/>
  <c r="I416" i="95"/>
  <c r="G416" i="95"/>
  <c r="C416" i="95"/>
  <c r="R415" i="95"/>
  <c r="S415" i="95" s="1"/>
  <c r="Q415" i="95"/>
  <c r="O415" i="95"/>
  <c r="M415" i="95"/>
  <c r="K415" i="95"/>
  <c r="I415" i="95"/>
  <c r="G415" i="95"/>
  <c r="C415" i="95"/>
  <c r="R414" i="95"/>
  <c r="S414" i="95" s="1"/>
  <c r="Q414" i="95"/>
  <c r="O414" i="95"/>
  <c r="M414" i="95"/>
  <c r="K414" i="95"/>
  <c r="I414" i="95"/>
  <c r="G414" i="95"/>
  <c r="C414" i="95"/>
  <c r="R413" i="95"/>
  <c r="S413" i="95" s="1"/>
  <c r="Q413" i="95"/>
  <c r="O413" i="95"/>
  <c r="M413" i="95"/>
  <c r="K413" i="95"/>
  <c r="I413" i="95"/>
  <c r="G413" i="95"/>
  <c r="C413" i="95"/>
  <c r="R412" i="95"/>
  <c r="S412" i="95" s="1"/>
  <c r="Q412" i="95"/>
  <c r="O412" i="95"/>
  <c r="M412" i="95"/>
  <c r="K412" i="95"/>
  <c r="I412" i="95"/>
  <c r="G412" i="95"/>
  <c r="C412" i="95"/>
  <c r="R411" i="95"/>
  <c r="S411" i="95" s="1"/>
  <c r="Q411" i="95"/>
  <c r="O411" i="95"/>
  <c r="M411" i="95"/>
  <c r="K411" i="95"/>
  <c r="I411" i="95"/>
  <c r="G411" i="95"/>
  <c r="C411" i="95"/>
  <c r="R410" i="95"/>
  <c r="S410" i="95" s="1"/>
  <c r="Q410" i="95"/>
  <c r="O410" i="95"/>
  <c r="M410" i="95"/>
  <c r="K410" i="95"/>
  <c r="I410" i="95"/>
  <c r="G410" i="95"/>
  <c r="C410" i="95"/>
  <c r="R409" i="95"/>
  <c r="S409" i="95" s="1"/>
  <c r="Q409" i="95"/>
  <c r="O409" i="95"/>
  <c r="M409" i="95"/>
  <c r="K409" i="95"/>
  <c r="I409" i="95"/>
  <c r="G409" i="95"/>
  <c r="C409" i="95"/>
  <c r="R408" i="95"/>
  <c r="S408" i="95" s="1"/>
  <c r="Q408" i="95"/>
  <c r="O408" i="95"/>
  <c r="M408" i="95"/>
  <c r="K408" i="95"/>
  <c r="I408" i="95"/>
  <c r="G408" i="95"/>
  <c r="C408" i="95"/>
  <c r="R407" i="95"/>
  <c r="S407" i="95" s="1"/>
  <c r="Q407" i="95"/>
  <c r="O407" i="95"/>
  <c r="M407" i="95"/>
  <c r="K407" i="95"/>
  <c r="I407" i="95"/>
  <c r="G407" i="95"/>
  <c r="C407" i="95"/>
  <c r="R406" i="95"/>
  <c r="S406" i="95" s="1"/>
  <c r="Q406" i="95"/>
  <c r="O406" i="95"/>
  <c r="M406" i="95"/>
  <c r="K406" i="95"/>
  <c r="I406" i="95"/>
  <c r="G406" i="95"/>
  <c r="C406" i="95"/>
  <c r="R405" i="95"/>
  <c r="S405" i="95" s="1"/>
  <c r="Q405" i="95"/>
  <c r="O405" i="95"/>
  <c r="M405" i="95"/>
  <c r="K405" i="95"/>
  <c r="I405" i="95"/>
  <c r="G405" i="95"/>
  <c r="C405" i="95"/>
  <c r="R404" i="95"/>
  <c r="S404" i="95" s="1"/>
  <c r="Q404" i="95"/>
  <c r="O404" i="95"/>
  <c r="M404" i="95"/>
  <c r="K404" i="95"/>
  <c r="I404" i="95"/>
  <c r="G404" i="95"/>
  <c r="C404" i="95"/>
  <c r="R403" i="95"/>
  <c r="S403" i="95" s="1"/>
  <c r="Q403" i="95"/>
  <c r="O403" i="95"/>
  <c r="M403" i="95"/>
  <c r="K403" i="95"/>
  <c r="I403" i="95"/>
  <c r="G403" i="95"/>
  <c r="C403" i="95"/>
  <c r="R402" i="95"/>
  <c r="S402" i="95" s="1"/>
  <c r="Q402" i="95"/>
  <c r="O402" i="95"/>
  <c r="M402" i="95"/>
  <c r="K402" i="95"/>
  <c r="I402" i="95"/>
  <c r="G402" i="95"/>
  <c r="C402" i="95"/>
  <c r="R401" i="95"/>
  <c r="S401" i="95" s="1"/>
  <c r="Q401" i="95"/>
  <c r="O401" i="95"/>
  <c r="M401" i="95"/>
  <c r="K401" i="95"/>
  <c r="I401" i="95"/>
  <c r="G401" i="95"/>
  <c r="C401" i="95"/>
  <c r="R400" i="95"/>
  <c r="S400" i="95" s="1"/>
  <c r="Q400" i="95"/>
  <c r="O400" i="95"/>
  <c r="M400" i="95"/>
  <c r="K400" i="95"/>
  <c r="I400" i="95"/>
  <c r="G400" i="95"/>
  <c r="C400" i="95"/>
  <c r="R399" i="95"/>
  <c r="S399" i="95" s="1"/>
  <c r="Q399" i="95"/>
  <c r="O399" i="95"/>
  <c r="M399" i="95"/>
  <c r="K399" i="95"/>
  <c r="I399" i="95"/>
  <c r="G399" i="95"/>
  <c r="C399" i="95"/>
  <c r="R398" i="95"/>
  <c r="S398" i="95" s="1"/>
  <c r="Q398" i="95"/>
  <c r="O398" i="95"/>
  <c r="M398" i="95"/>
  <c r="K398" i="95"/>
  <c r="I398" i="95"/>
  <c r="G398" i="95"/>
  <c r="C398" i="95"/>
  <c r="R397" i="95"/>
  <c r="S397" i="95" s="1"/>
  <c r="Q397" i="95"/>
  <c r="O397" i="95"/>
  <c r="M397" i="95"/>
  <c r="K397" i="95"/>
  <c r="I397" i="95"/>
  <c r="G397" i="95"/>
  <c r="C397" i="95"/>
  <c r="R396" i="95"/>
  <c r="S396" i="95" s="1"/>
  <c r="Q396" i="95"/>
  <c r="O396" i="95"/>
  <c r="M396" i="95"/>
  <c r="K396" i="95"/>
  <c r="I396" i="95"/>
  <c r="G396" i="95"/>
  <c r="C396" i="95"/>
  <c r="R395" i="95"/>
  <c r="S395" i="95" s="1"/>
  <c r="Q395" i="95"/>
  <c r="O395" i="95"/>
  <c r="M395" i="95"/>
  <c r="K395" i="95"/>
  <c r="I395" i="95"/>
  <c r="G395" i="95"/>
  <c r="C395" i="95"/>
  <c r="R394" i="95"/>
  <c r="S394" i="95" s="1"/>
  <c r="Q394" i="95"/>
  <c r="O394" i="95"/>
  <c r="M394" i="95"/>
  <c r="K394" i="95"/>
  <c r="I394" i="95"/>
  <c r="G394" i="95"/>
  <c r="C394" i="95"/>
  <c r="R393" i="95"/>
  <c r="S393" i="95" s="1"/>
  <c r="Q393" i="95"/>
  <c r="O393" i="95"/>
  <c r="M393" i="95"/>
  <c r="K393" i="95"/>
  <c r="I393" i="95"/>
  <c r="G393" i="95"/>
  <c r="C393" i="95"/>
  <c r="R392" i="95"/>
  <c r="S392" i="95" s="1"/>
  <c r="Q392" i="95"/>
  <c r="O392" i="95"/>
  <c r="M392" i="95"/>
  <c r="K392" i="95"/>
  <c r="I392" i="95"/>
  <c r="G392" i="95"/>
  <c r="C392" i="95"/>
  <c r="R391" i="95"/>
  <c r="S391" i="95" s="1"/>
  <c r="Q391" i="95"/>
  <c r="O391" i="95"/>
  <c r="M391" i="95"/>
  <c r="K391" i="95"/>
  <c r="I391" i="95"/>
  <c r="G391" i="95"/>
  <c r="C391" i="95"/>
  <c r="R390" i="95"/>
  <c r="S390" i="95" s="1"/>
  <c r="Q390" i="95"/>
  <c r="O390" i="95"/>
  <c r="M390" i="95"/>
  <c r="K390" i="95"/>
  <c r="I390" i="95"/>
  <c r="G390" i="95"/>
  <c r="C390" i="95"/>
  <c r="R389" i="95"/>
  <c r="S389" i="95" s="1"/>
  <c r="Q389" i="95"/>
  <c r="O389" i="95"/>
  <c r="M389" i="95"/>
  <c r="K389" i="95"/>
  <c r="I389" i="95"/>
  <c r="G389" i="95"/>
  <c r="C389" i="95"/>
  <c r="R388" i="95"/>
  <c r="S388" i="95" s="1"/>
  <c r="Q388" i="95"/>
  <c r="O388" i="95"/>
  <c r="M388" i="95"/>
  <c r="K388" i="95"/>
  <c r="I388" i="95"/>
  <c r="G388" i="95"/>
  <c r="C388" i="95"/>
  <c r="R387" i="95"/>
  <c r="S387" i="95" s="1"/>
  <c r="Q387" i="95"/>
  <c r="O387" i="95"/>
  <c r="M387" i="95"/>
  <c r="K387" i="95"/>
  <c r="I387" i="95"/>
  <c r="G387" i="95"/>
  <c r="C387" i="95"/>
  <c r="R386" i="95"/>
  <c r="S386" i="95" s="1"/>
  <c r="Q386" i="95"/>
  <c r="O386" i="95"/>
  <c r="M386" i="95"/>
  <c r="K386" i="95"/>
  <c r="I386" i="95"/>
  <c r="G386" i="95"/>
  <c r="C386" i="95"/>
  <c r="R385" i="95"/>
  <c r="S385" i="95" s="1"/>
  <c r="Q385" i="95"/>
  <c r="O385" i="95"/>
  <c r="M385" i="95"/>
  <c r="K385" i="95"/>
  <c r="I385" i="95"/>
  <c r="G385" i="95"/>
  <c r="C385" i="95"/>
  <c r="R384" i="95"/>
  <c r="S384" i="95" s="1"/>
  <c r="Q384" i="95"/>
  <c r="O384" i="95"/>
  <c r="M384" i="95"/>
  <c r="K384" i="95"/>
  <c r="I384" i="95"/>
  <c r="G384" i="95"/>
  <c r="C384" i="95"/>
  <c r="R383" i="95"/>
  <c r="S383" i="95" s="1"/>
  <c r="Q383" i="95"/>
  <c r="O383" i="95"/>
  <c r="M383" i="95"/>
  <c r="K383" i="95"/>
  <c r="I383" i="95"/>
  <c r="G383" i="95"/>
  <c r="C383" i="95"/>
  <c r="R382" i="95"/>
  <c r="S382" i="95" s="1"/>
  <c r="Q382" i="95"/>
  <c r="O382" i="95"/>
  <c r="M382" i="95"/>
  <c r="K382" i="95"/>
  <c r="I382" i="95"/>
  <c r="G382" i="95"/>
  <c r="C382" i="95"/>
  <c r="R381" i="95"/>
  <c r="S381" i="95" s="1"/>
  <c r="Q381" i="95"/>
  <c r="O381" i="95"/>
  <c r="M381" i="95"/>
  <c r="K381" i="95"/>
  <c r="I381" i="95"/>
  <c r="G381" i="95"/>
  <c r="C381" i="95"/>
  <c r="R380" i="95"/>
  <c r="S380" i="95" s="1"/>
  <c r="Q380" i="95"/>
  <c r="O380" i="95"/>
  <c r="M380" i="95"/>
  <c r="K380" i="95"/>
  <c r="I380" i="95"/>
  <c r="G380" i="95"/>
  <c r="C380" i="95"/>
  <c r="R379" i="95"/>
  <c r="S379" i="95" s="1"/>
  <c r="Q379" i="95"/>
  <c r="O379" i="95"/>
  <c r="M379" i="95"/>
  <c r="K379" i="95"/>
  <c r="I379" i="95"/>
  <c r="G379" i="95"/>
  <c r="C379" i="95"/>
  <c r="R378" i="95"/>
  <c r="S378" i="95" s="1"/>
  <c r="Q378" i="95"/>
  <c r="O378" i="95"/>
  <c r="M378" i="95"/>
  <c r="K378" i="95"/>
  <c r="I378" i="95"/>
  <c r="G378" i="95"/>
  <c r="C378" i="95"/>
  <c r="R377" i="95"/>
  <c r="S377" i="95" s="1"/>
  <c r="Q377" i="95"/>
  <c r="O377" i="95"/>
  <c r="M377" i="95"/>
  <c r="K377" i="95"/>
  <c r="I377" i="95"/>
  <c r="G377" i="95"/>
  <c r="C377" i="95"/>
  <c r="R376" i="95"/>
  <c r="S376" i="95" s="1"/>
  <c r="Q376" i="95"/>
  <c r="O376" i="95"/>
  <c r="M376" i="95"/>
  <c r="K376" i="95"/>
  <c r="I376" i="95"/>
  <c r="G376" i="95"/>
  <c r="C376" i="95"/>
  <c r="R375" i="95"/>
  <c r="S375" i="95" s="1"/>
  <c r="Q375" i="95"/>
  <c r="O375" i="95"/>
  <c r="M375" i="95"/>
  <c r="K375" i="95"/>
  <c r="I375" i="95"/>
  <c r="G375" i="95"/>
  <c r="C375" i="95"/>
  <c r="R374" i="95"/>
  <c r="S374" i="95" s="1"/>
  <c r="Q374" i="95"/>
  <c r="O374" i="95"/>
  <c r="M374" i="95"/>
  <c r="K374" i="95"/>
  <c r="I374" i="95"/>
  <c r="G374" i="95"/>
  <c r="C374" i="95"/>
  <c r="R373" i="95"/>
  <c r="S373" i="95" s="1"/>
  <c r="Q373" i="95"/>
  <c r="O373" i="95"/>
  <c r="M373" i="95"/>
  <c r="K373" i="95"/>
  <c r="I373" i="95"/>
  <c r="G373" i="95"/>
  <c r="C373" i="95"/>
  <c r="R372" i="95"/>
  <c r="S372" i="95" s="1"/>
  <c r="Q372" i="95"/>
  <c r="O372" i="95"/>
  <c r="M372" i="95"/>
  <c r="K372" i="95"/>
  <c r="I372" i="95"/>
  <c r="G372" i="95"/>
  <c r="C372" i="95"/>
  <c r="R371" i="95"/>
  <c r="S371" i="95" s="1"/>
  <c r="Q371" i="95"/>
  <c r="O371" i="95"/>
  <c r="M371" i="95"/>
  <c r="K371" i="95"/>
  <c r="I371" i="95"/>
  <c r="G371" i="95"/>
  <c r="C371" i="95"/>
  <c r="R370" i="95"/>
  <c r="S370" i="95" s="1"/>
  <c r="Q370" i="95"/>
  <c r="O370" i="95"/>
  <c r="M370" i="95"/>
  <c r="K370" i="95"/>
  <c r="I370" i="95"/>
  <c r="G370" i="95"/>
  <c r="C370" i="95"/>
  <c r="R369" i="95"/>
  <c r="S369" i="95" s="1"/>
  <c r="Q369" i="95"/>
  <c r="O369" i="95"/>
  <c r="M369" i="95"/>
  <c r="K369" i="95"/>
  <c r="I369" i="95"/>
  <c r="G369" i="95"/>
  <c r="C369" i="95"/>
  <c r="R368" i="95"/>
  <c r="S368" i="95" s="1"/>
  <c r="Q368" i="95"/>
  <c r="O368" i="95"/>
  <c r="M368" i="95"/>
  <c r="K368" i="95"/>
  <c r="I368" i="95"/>
  <c r="G368" i="95"/>
  <c r="C368" i="95"/>
  <c r="R367" i="95"/>
  <c r="S367" i="95" s="1"/>
  <c r="Q367" i="95"/>
  <c r="O367" i="95"/>
  <c r="M367" i="95"/>
  <c r="K367" i="95"/>
  <c r="I367" i="95"/>
  <c r="G367" i="95"/>
  <c r="C367" i="95"/>
  <c r="R366" i="95"/>
  <c r="S366" i="95" s="1"/>
  <c r="Q366" i="95"/>
  <c r="O366" i="95"/>
  <c r="M366" i="95"/>
  <c r="K366" i="95"/>
  <c r="I366" i="95"/>
  <c r="G366" i="95"/>
  <c r="C366" i="95"/>
  <c r="R365" i="95"/>
  <c r="S365" i="95" s="1"/>
  <c r="Q365" i="95"/>
  <c r="O365" i="95"/>
  <c r="M365" i="95"/>
  <c r="K365" i="95"/>
  <c r="I365" i="95"/>
  <c r="G365" i="95"/>
  <c r="C365" i="95"/>
  <c r="R364" i="95"/>
  <c r="S364" i="95" s="1"/>
  <c r="Q364" i="95"/>
  <c r="O364" i="95"/>
  <c r="M364" i="95"/>
  <c r="K364" i="95"/>
  <c r="I364" i="95"/>
  <c r="G364" i="95"/>
  <c r="C364" i="95"/>
  <c r="R363" i="95"/>
  <c r="S363" i="95" s="1"/>
  <c r="Q363" i="95"/>
  <c r="O363" i="95"/>
  <c r="M363" i="95"/>
  <c r="K363" i="95"/>
  <c r="I363" i="95"/>
  <c r="G363" i="95"/>
  <c r="C363" i="95"/>
  <c r="R362" i="95"/>
  <c r="S362" i="95" s="1"/>
  <c r="Q362" i="95"/>
  <c r="O362" i="95"/>
  <c r="M362" i="95"/>
  <c r="K362" i="95"/>
  <c r="I362" i="95"/>
  <c r="G362" i="95"/>
  <c r="C362" i="95"/>
  <c r="R361" i="95"/>
  <c r="S361" i="95" s="1"/>
  <c r="Q361" i="95"/>
  <c r="O361" i="95"/>
  <c r="M361" i="95"/>
  <c r="K361" i="95"/>
  <c r="I361" i="95"/>
  <c r="G361" i="95"/>
  <c r="C361" i="95"/>
  <c r="R360" i="95"/>
  <c r="S360" i="95" s="1"/>
  <c r="Q360" i="95"/>
  <c r="O360" i="95"/>
  <c r="M360" i="95"/>
  <c r="K360" i="95"/>
  <c r="I360" i="95"/>
  <c r="G360" i="95"/>
  <c r="C360" i="95"/>
  <c r="R359" i="95"/>
  <c r="S359" i="95" s="1"/>
  <c r="Q359" i="95"/>
  <c r="O359" i="95"/>
  <c r="M359" i="95"/>
  <c r="K359" i="95"/>
  <c r="I359" i="95"/>
  <c r="G359" i="95"/>
  <c r="C359" i="95"/>
  <c r="R358" i="95"/>
  <c r="S358" i="95" s="1"/>
  <c r="Q358" i="95"/>
  <c r="O358" i="95"/>
  <c r="M358" i="95"/>
  <c r="K358" i="95"/>
  <c r="I358" i="95"/>
  <c r="G358" i="95"/>
  <c r="C358" i="95"/>
  <c r="R357" i="95"/>
  <c r="S357" i="95" s="1"/>
  <c r="Q357" i="95"/>
  <c r="O357" i="95"/>
  <c r="M357" i="95"/>
  <c r="K357" i="95"/>
  <c r="I357" i="95"/>
  <c r="G357" i="95"/>
  <c r="C357" i="95"/>
  <c r="R356" i="95"/>
  <c r="S356" i="95" s="1"/>
  <c r="Q356" i="95"/>
  <c r="O356" i="95"/>
  <c r="M356" i="95"/>
  <c r="K356" i="95"/>
  <c r="I356" i="95"/>
  <c r="G356" i="95"/>
  <c r="C356" i="95"/>
  <c r="R355" i="95"/>
  <c r="S355" i="95" s="1"/>
  <c r="Q355" i="95"/>
  <c r="O355" i="95"/>
  <c r="M355" i="95"/>
  <c r="K355" i="95"/>
  <c r="I355" i="95"/>
  <c r="G355" i="95"/>
  <c r="C355" i="95"/>
  <c r="R354" i="95"/>
  <c r="S354" i="95" s="1"/>
  <c r="Q354" i="95"/>
  <c r="O354" i="95"/>
  <c r="M354" i="95"/>
  <c r="K354" i="95"/>
  <c r="I354" i="95"/>
  <c r="G354" i="95"/>
  <c r="C354" i="95"/>
  <c r="R353" i="95"/>
  <c r="S353" i="95" s="1"/>
  <c r="Q353" i="95"/>
  <c r="O353" i="95"/>
  <c r="M353" i="95"/>
  <c r="K353" i="95"/>
  <c r="I353" i="95"/>
  <c r="G353" i="95"/>
  <c r="C353" i="95"/>
  <c r="R352" i="95"/>
  <c r="S352" i="95" s="1"/>
  <c r="Q352" i="95"/>
  <c r="O352" i="95"/>
  <c r="M352" i="95"/>
  <c r="K352" i="95"/>
  <c r="I352" i="95"/>
  <c r="G352" i="95"/>
  <c r="C352" i="95"/>
  <c r="R351" i="95"/>
  <c r="S351" i="95" s="1"/>
  <c r="Q351" i="95"/>
  <c r="O351" i="95"/>
  <c r="M351" i="95"/>
  <c r="K351" i="95"/>
  <c r="I351" i="95"/>
  <c r="G351" i="95"/>
  <c r="C351" i="95"/>
  <c r="R350" i="95"/>
  <c r="S350" i="95" s="1"/>
  <c r="Q350" i="95"/>
  <c r="O350" i="95"/>
  <c r="M350" i="95"/>
  <c r="K350" i="95"/>
  <c r="I350" i="95"/>
  <c r="G350" i="95"/>
  <c r="C350" i="95"/>
  <c r="R349" i="95"/>
  <c r="S349" i="95" s="1"/>
  <c r="Q349" i="95"/>
  <c r="O349" i="95"/>
  <c r="M349" i="95"/>
  <c r="K349" i="95"/>
  <c r="I349" i="95"/>
  <c r="G349" i="95"/>
  <c r="C349" i="95"/>
  <c r="R348" i="95"/>
  <c r="S348" i="95" s="1"/>
  <c r="Q348" i="95"/>
  <c r="O348" i="95"/>
  <c r="M348" i="95"/>
  <c r="K348" i="95"/>
  <c r="I348" i="95"/>
  <c r="G348" i="95"/>
  <c r="C348" i="95"/>
  <c r="R347" i="95"/>
  <c r="S347" i="95" s="1"/>
  <c r="Q347" i="95"/>
  <c r="O347" i="95"/>
  <c r="M347" i="95"/>
  <c r="K347" i="95"/>
  <c r="I347" i="95"/>
  <c r="G347" i="95"/>
  <c r="C347" i="95"/>
  <c r="R346" i="95"/>
  <c r="S346" i="95" s="1"/>
  <c r="Q346" i="95"/>
  <c r="O346" i="95"/>
  <c r="M346" i="95"/>
  <c r="K346" i="95"/>
  <c r="I346" i="95"/>
  <c r="G346" i="95"/>
  <c r="C346" i="95"/>
  <c r="R345" i="95"/>
  <c r="S345" i="95" s="1"/>
  <c r="Q345" i="95"/>
  <c r="O345" i="95"/>
  <c r="M345" i="95"/>
  <c r="K345" i="95"/>
  <c r="I345" i="95"/>
  <c r="G345" i="95"/>
  <c r="C345" i="95"/>
  <c r="R344" i="95"/>
  <c r="S344" i="95" s="1"/>
  <c r="Q344" i="95"/>
  <c r="O344" i="95"/>
  <c r="M344" i="95"/>
  <c r="K344" i="95"/>
  <c r="I344" i="95"/>
  <c r="G344" i="95"/>
  <c r="C344" i="95"/>
  <c r="R343" i="95"/>
  <c r="S343" i="95" s="1"/>
  <c r="Q343" i="95"/>
  <c r="O343" i="95"/>
  <c r="M343" i="95"/>
  <c r="K343" i="95"/>
  <c r="I343" i="95"/>
  <c r="G343" i="95"/>
  <c r="C343" i="95"/>
  <c r="R342" i="95"/>
  <c r="S342" i="95" s="1"/>
  <c r="Q342" i="95"/>
  <c r="O342" i="95"/>
  <c r="M342" i="95"/>
  <c r="K342" i="95"/>
  <c r="I342" i="95"/>
  <c r="G342" i="95"/>
  <c r="C342" i="95"/>
  <c r="R341" i="95"/>
  <c r="S341" i="95" s="1"/>
  <c r="Q341" i="95"/>
  <c r="O341" i="95"/>
  <c r="M341" i="95"/>
  <c r="K341" i="95"/>
  <c r="I341" i="95"/>
  <c r="G341" i="95"/>
  <c r="C341" i="95"/>
  <c r="R340" i="95"/>
  <c r="S340" i="95" s="1"/>
  <c r="Q340" i="95"/>
  <c r="O340" i="95"/>
  <c r="M340" i="95"/>
  <c r="K340" i="95"/>
  <c r="I340" i="95"/>
  <c r="G340" i="95"/>
  <c r="C340" i="95"/>
  <c r="R339" i="95"/>
  <c r="S339" i="95" s="1"/>
  <c r="Q339" i="95"/>
  <c r="O339" i="95"/>
  <c r="M339" i="95"/>
  <c r="K339" i="95"/>
  <c r="I339" i="95"/>
  <c r="G339" i="95"/>
  <c r="C339" i="95"/>
  <c r="R338" i="95"/>
  <c r="S338" i="95" s="1"/>
  <c r="Q338" i="95"/>
  <c r="O338" i="95"/>
  <c r="M338" i="95"/>
  <c r="K338" i="95"/>
  <c r="I338" i="95"/>
  <c r="G338" i="95"/>
  <c r="C338" i="95"/>
  <c r="R337" i="95"/>
  <c r="S337" i="95" s="1"/>
  <c r="Q337" i="95"/>
  <c r="O337" i="95"/>
  <c r="M337" i="95"/>
  <c r="K337" i="95"/>
  <c r="I337" i="95"/>
  <c r="G337" i="95"/>
  <c r="C337" i="95"/>
  <c r="R336" i="95"/>
  <c r="S336" i="95" s="1"/>
  <c r="Q336" i="95"/>
  <c r="O336" i="95"/>
  <c r="M336" i="95"/>
  <c r="K336" i="95"/>
  <c r="I336" i="95"/>
  <c r="G336" i="95"/>
  <c r="C336" i="95"/>
  <c r="R335" i="95"/>
  <c r="S335" i="95" s="1"/>
  <c r="Q335" i="95"/>
  <c r="O335" i="95"/>
  <c r="M335" i="95"/>
  <c r="K335" i="95"/>
  <c r="I335" i="95"/>
  <c r="G335" i="95"/>
  <c r="C335" i="95"/>
  <c r="R334" i="95"/>
  <c r="S334" i="95" s="1"/>
  <c r="Q334" i="95"/>
  <c r="O334" i="95"/>
  <c r="M334" i="95"/>
  <c r="K334" i="95"/>
  <c r="I334" i="95"/>
  <c r="G334" i="95"/>
  <c r="C334" i="95"/>
  <c r="R333" i="95"/>
  <c r="S333" i="95" s="1"/>
  <c r="Q333" i="95"/>
  <c r="O333" i="95"/>
  <c r="M333" i="95"/>
  <c r="K333" i="95"/>
  <c r="I333" i="95"/>
  <c r="G333" i="95"/>
  <c r="C333" i="95"/>
  <c r="R332" i="95"/>
  <c r="S332" i="95" s="1"/>
  <c r="Q332" i="95"/>
  <c r="O332" i="95"/>
  <c r="M332" i="95"/>
  <c r="K332" i="95"/>
  <c r="I332" i="95"/>
  <c r="G332" i="95"/>
  <c r="C332" i="95"/>
  <c r="R331" i="95"/>
  <c r="S331" i="95" s="1"/>
  <c r="Q331" i="95"/>
  <c r="O331" i="95"/>
  <c r="M331" i="95"/>
  <c r="K331" i="95"/>
  <c r="I331" i="95"/>
  <c r="G331" i="95"/>
  <c r="C331" i="95"/>
  <c r="R330" i="95"/>
  <c r="S330" i="95" s="1"/>
  <c r="Q330" i="95"/>
  <c r="O330" i="95"/>
  <c r="M330" i="95"/>
  <c r="K330" i="95"/>
  <c r="I330" i="95"/>
  <c r="G330" i="95"/>
  <c r="C330" i="95"/>
  <c r="R329" i="95"/>
  <c r="S329" i="95" s="1"/>
  <c r="Q329" i="95"/>
  <c r="O329" i="95"/>
  <c r="M329" i="95"/>
  <c r="K329" i="95"/>
  <c r="I329" i="95"/>
  <c r="G329" i="95"/>
  <c r="C329" i="95"/>
  <c r="R328" i="95"/>
  <c r="S328" i="95" s="1"/>
  <c r="Q328" i="95"/>
  <c r="O328" i="95"/>
  <c r="M328" i="95"/>
  <c r="K328" i="95"/>
  <c r="I328" i="95"/>
  <c r="G328" i="95"/>
  <c r="C328" i="95"/>
  <c r="R327" i="95"/>
  <c r="S327" i="95" s="1"/>
  <c r="Q327" i="95"/>
  <c r="O327" i="95"/>
  <c r="M327" i="95"/>
  <c r="K327" i="95"/>
  <c r="I327" i="95"/>
  <c r="G327" i="95"/>
  <c r="C327" i="95"/>
  <c r="R326" i="95"/>
  <c r="S326" i="95" s="1"/>
  <c r="Q326" i="95"/>
  <c r="O326" i="95"/>
  <c r="M326" i="95"/>
  <c r="K326" i="95"/>
  <c r="I326" i="95"/>
  <c r="G326" i="95"/>
  <c r="C326" i="95"/>
  <c r="R325" i="95"/>
  <c r="S325" i="95" s="1"/>
  <c r="Q325" i="95"/>
  <c r="O325" i="95"/>
  <c r="M325" i="95"/>
  <c r="K325" i="95"/>
  <c r="I325" i="95"/>
  <c r="G325" i="95"/>
  <c r="C325" i="95"/>
  <c r="R324" i="95"/>
  <c r="S324" i="95" s="1"/>
  <c r="Q324" i="95"/>
  <c r="O324" i="95"/>
  <c r="M324" i="95"/>
  <c r="K324" i="95"/>
  <c r="I324" i="95"/>
  <c r="G324" i="95"/>
  <c r="C324" i="95"/>
  <c r="R323" i="95"/>
  <c r="S323" i="95" s="1"/>
  <c r="Q323" i="95"/>
  <c r="O323" i="95"/>
  <c r="M323" i="95"/>
  <c r="K323" i="95"/>
  <c r="I323" i="95"/>
  <c r="G323" i="95"/>
  <c r="C323" i="95"/>
  <c r="R322" i="95"/>
  <c r="S322" i="95" s="1"/>
  <c r="Q322" i="95"/>
  <c r="O322" i="95"/>
  <c r="M322" i="95"/>
  <c r="K322" i="95"/>
  <c r="I322" i="95"/>
  <c r="G322" i="95"/>
  <c r="C322" i="95"/>
  <c r="R321" i="95"/>
  <c r="S321" i="95" s="1"/>
  <c r="Q321" i="95"/>
  <c r="O321" i="95"/>
  <c r="M321" i="95"/>
  <c r="K321" i="95"/>
  <c r="I321" i="95"/>
  <c r="G321" i="95"/>
  <c r="C321" i="95"/>
  <c r="R320" i="95"/>
  <c r="S320" i="95" s="1"/>
  <c r="Q320" i="95"/>
  <c r="O320" i="95"/>
  <c r="M320" i="95"/>
  <c r="K320" i="95"/>
  <c r="I320" i="95"/>
  <c r="G320" i="95"/>
  <c r="C320" i="95"/>
  <c r="R319" i="95"/>
  <c r="S319" i="95" s="1"/>
  <c r="Q319" i="95"/>
  <c r="O319" i="95"/>
  <c r="M319" i="95"/>
  <c r="K319" i="95"/>
  <c r="I319" i="95"/>
  <c r="G319" i="95"/>
  <c r="C319" i="95"/>
  <c r="R318" i="95"/>
  <c r="S318" i="95" s="1"/>
  <c r="Q318" i="95"/>
  <c r="O318" i="95"/>
  <c r="M318" i="95"/>
  <c r="K318" i="95"/>
  <c r="I318" i="95"/>
  <c r="G318" i="95"/>
  <c r="C318" i="95"/>
  <c r="R317" i="95"/>
  <c r="S317" i="95" s="1"/>
  <c r="Q317" i="95"/>
  <c r="O317" i="95"/>
  <c r="M317" i="95"/>
  <c r="K317" i="95"/>
  <c r="I317" i="95"/>
  <c r="G317" i="95"/>
  <c r="C317" i="95"/>
  <c r="R316" i="95"/>
  <c r="S316" i="95" s="1"/>
  <c r="Q316" i="95"/>
  <c r="O316" i="95"/>
  <c r="M316" i="95"/>
  <c r="K316" i="95"/>
  <c r="I316" i="95"/>
  <c r="G316" i="95"/>
  <c r="C316" i="95"/>
  <c r="R315" i="95"/>
  <c r="S315" i="95" s="1"/>
  <c r="Q315" i="95"/>
  <c r="O315" i="95"/>
  <c r="M315" i="95"/>
  <c r="K315" i="95"/>
  <c r="I315" i="95"/>
  <c r="G315" i="95"/>
  <c r="C315" i="95"/>
  <c r="R314" i="95"/>
  <c r="S314" i="95" s="1"/>
  <c r="Q314" i="95"/>
  <c r="O314" i="95"/>
  <c r="M314" i="95"/>
  <c r="K314" i="95"/>
  <c r="I314" i="95"/>
  <c r="G314" i="95"/>
  <c r="C314" i="95"/>
  <c r="R313" i="95"/>
  <c r="S313" i="95" s="1"/>
  <c r="Q313" i="95"/>
  <c r="O313" i="95"/>
  <c r="M313" i="95"/>
  <c r="K313" i="95"/>
  <c r="I313" i="95"/>
  <c r="G313" i="95"/>
  <c r="C313" i="95"/>
  <c r="R312" i="95"/>
  <c r="S312" i="95" s="1"/>
  <c r="Q312" i="95"/>
  <c r="O312" i="95"/>
  <c r="M312" i="95"/>
  <c r="K312" i="95"/>
  <c r="I312" i="95"/>
  <c r="G312" i="95"/>
  <c r="C312" i="95"/>
  <c r="R311" i="95"/>
  <c r="S311" i="95" s="1"/>
  <c r="Q311" i="95"/>
  <c r="O311" i="95"/>
  <c r="M311" i="95"/>
  <c r="K311" i="95"/>
  <c r="I311" i="95"/>
  <c r="G311" i="95"/>
  <c r="C311" i="95"/>
  <c r="R310" i="95"/>
  <c r="S310" i="95" s="1"/>
  <c r="Q310" i="95"/>
  <c r="O310" i="95"/>
  <c r="M310" i="95"/>
  <c r="K310" i="95"/>
  <c r="I310" i="95"/>
  <c r="G310" i="95"/>
  <c r="C310" i="95"/>
  <c r="R309" i="95"/>
  <c r="S309" i="95" s="1"/>
  <c r="Q309" i="95"/>
  <c r="O309" i="95"/>
  <c r="M309" i="95"/>
  <c r="K309" i="95"/>
  <c r="I309" i="95"/>
  <c r="G309" i="95"/>
  <c r="C309" i="95"/>
  <c r="R308" i="95"/>
  <c r="S308" i="95" s="1"/>
  <c r="Q308" i="95"/>
  <c r="O308" i="95"/>
  <c r="M308" i="95"/>
  <c r="K308" i="95"/>
  <c r="I308" i="95"/>
  <c r="G308" i="95"/>
  <c r="C308" i="95"/>
  <c r="R307" i="95"/>
  <c r="S307" i="95" s="1"/>
  <c r="Q307" i="95"/>
  <c r="O307" i="95"/>
  <c r="M307" i="95"/>
  <c r="K307" i="95"/>
  <c r="I307" i="95"/>
  <c r="G307" i="95"/>
  <c r="C307" i="95"/>
  <c r="R306" i="95"/>
  <c r="S306" i="95" s="1"/>
  <c r="Q306" i="95"/>
  <c r="O306" i="95"/>
  <c r="M306" i="95"/>
  <c r="K306" i="95"/>
  <c r="I306" i="95"/>
  <c r="G306" i="95"/>
  <c r="C306" i="95"/>
  <c r="R305" i="95"/>
  <c r="S305" i="95" s="1"/>
  <c r="Q305" i="95"/>
  <c r="O305" i="95"/>
  <c r="M305" i="95"/>
  <c r="K305" i="95"/>
  <c r="I305" i="95"/>
  <c r="G305" i="95"/>
  <c r="C305" i="95"/>
  <c r="R304" i="95"/>
  <c r="S304" i="95" s="1"/>
  <c r="Q304" i="95"/>
  <c r="O304" i="95"/>
  <c r="M304" i="95"/>
  <c r="K304" i="95"/>
  <c r="I304" i="95"/>
  <c r="G304" i="95"/>
  <c r="C304" i="95"/>
  <c r="R303" i="95"/>
  <c r="S303" i="95" s="1"/>
  <c r="Q303" i="95"/>
  <c r="O303" i="95"/>
  <c r="M303" i="95"/>
  <c r="K303" i="95"/>
  <c r="I303" i="95"/>
  <c r="G303" i="95"/>
  <c r="C303" i="95"/>
  <c r="R302" i="95"/>
  <c r="S302" i="95" s="1"/>
  <c r="Q302" i="95"/>
  <c r="O302" i="95"/>
  <c r="M302" i="95"/>
  <c r="K302" i="95"/>
  <c r="I302" i="95"/>
  <c r="G302" i="95"/>
  <c r="C302" i="95"/>
  <c r="R301" i="95"/>
  <c r="S301" i="95" s="1"/>
  <c r="Q301" i="95"/>
  <c r="O301" i="95"/>
  <c r="M301" i="95"/>
  <c r="K301" i="95"/>
  <c r="I301" i="95"/>
  <c r="G301" i="95"/>
  <c r="C301" i="95"/>
  <c r="R300" i="95"/>
  <c r="S300" i="95" s="1"/>
  <c r="Q300" i="95"/>
  <c r="O300" i="95"/>
  <c r="M300" i="95"/>
  <c r="K300" i="95"/>
  <c r="I300" i="95"/>
  <c r="G300" i="95"/>
  <c r="C300" i="95"/>
  <c r="R299" i="95"/>
  <c r="S299" i="95" s="1"/>
  <c r="Q299" i="95"/>
  <c r="O299" i="95"/>
  <c r="M299" i="95"/>
  <c r="K299" i="95"/>
  <c r="I299" i="95"/>
  <c r="G299" i="95"/>
  <c r="C299" i="95"/>
  <c r="R298" i="95"/>
  <c r="S298" i="95" s="1"/>
  <c r="Q298" i="95"/>
  <c r="O298" i="95"/>
  <c r="M298" i="95"/>
  <c r="K298" i="95"/>
  <c r="I298" i="95"/>
  <c r="G298" i="95"/>
  <c r="C298" i="95"/>
  <c r="R297" i="95"/>
  <c r="S297" i="95" s="1"/>
  <c r="Q297" i="95"/>
  <c r="O297" i="95"/>
  <c r="M297" i="95"/>
  <c r="K297" i="95"/>
  <c r="I297" i="95"/>
  <c r="G297" i="95"/>
  <c r="C297" i="95"/>
  <c r="R296" i="95"/>
  <c r="S296" i="95" s="1"/>
  <c r="Q296" i="95"/>
  <c r="O296" i="95"/>
  <c r="M296" i="95"/>
  <c r="K296" i="95"/>
  <c r="I296" i="95"/>
  <c r="G296" i="95"/>
  <c r="C296" i="95"/>
  <c r="R295" i="95"/>
  <c r="S295" i="95" s="1"/>
  <c r="Q295" i="95"/>
  <c r="O295" i="95"/>
  <c r="M295" i="95"/>
  <c r="K295" i="95"/>
  <c r="I295" i="95"/>
  <c r="G295" i="95"/>
  <c r="C295" i="95"/>
  <c r="R294" i="95"/>
  <c r="S294" i="95" s="1"/>
  <c r="Q294" i="95"/>
  <c r="O294" i="95"/>
  <c r="M294" i="95"/>
  <c r="K294" i="95"/>
  <c r="I294" i="95"/>
  <c r="G294" i="95"/>
  <c r="C294" i="95"/>
  <c r="R293" i="95"/>
  <c r="S293" i="95" s="1"/>
  <c r="Q293" i="95"/>
  <c r="O293" i="95"/>
  <c r="M293" i="95"/>
  <c r="K293" i="95"/>
  <c r="I293" i="95"/>
  <c r="G293" i="95"/>
  <c r="C293" i="95"/>
  <c r="R292" i="95"/>
  <c r="S292" i="95" s="1"/>
  <c r="Q292" i="95"/>
  <c r="O292" i="95"/>
  <c r="M292" i="95"/>
  <c r="K292" i="95"/>
  <c r="I292" i="95"/>
  <c r="G292" i="95"/>
  <c r="C292" i="95"/>
  <c r="R291" i="95"/>
  <c r="S291" i="95" s="1"/>
  <c r="Q291" i="95"/>
  <c r="O291" i="95"/>
  <c r="M291" i="95"/>
  <c r="K291" i="95"/>
  <c r="I291" i="95"/>
  <c r="G291" i="95"/>
  <c r="C291" i="95"/>
  <c r="R290" i="95"/>
  <c r="S290" i="95" s="1"/>
  <c r="Q290" i="95"/>
  <c r="O290" i="95"/>
  <c r="M290" i="95"/>
  <c r="K290" i="95"/>
  <c r="I290" i="95"/>
  <c r="G290" i="95"/>
  <c r="C290" i="95"/>
  <c r="R289" i="95"/>
  <c r="S289" i="95" s="1"/>
  <c r="Q289" i="95"/>
  <c r="O289" i="95"/>
  <c r="M289" i="95"/>
  <c r="K289" i="95"/>
  <c r="I289" i="95"/>
  <c r="G289" i="95"/>
  <c r="C289" i="95"/>
  <c r="R288" i="95"/>
  <c r="S288" i="95" s="1"/>
  <c r="Q288" i="95"/>
  <c r="O288" i="95"/>
  <c r="M288" i="95"/>
  <c r="K288" i="95"/>
  <c r="I288" i="95"/>
  <c r="G288" i="95"/>
  <c r="C288" i="95"/>
  <c r="R287" i="95"/>
  <c r="S287" i="95" s="1"/>
  <c r="Q287" i="95"/>
  <c r="O287" i="95"/>
  <c r="M287" i="95"/>
  <c r="K287" i="95"/>
  <c r="I287" i="95"/>
  <c r="G287" i="95"/>
  <c r="C287" i="95"/>
  <c r="R286" i="95"/>
  <c r="S286" i="95" s="1"/>
  <c r="Q286" i="95"/>
  <c r="O286" i="95"/>
  <c r="M286" i="95"/>
  <c r="K286" i="95"/>
  <c r="I286" i="95"/>
  <c r="G286" i="95"/>
  <c r="C286" i="95"/>
  <c r="R285" i="95"/>
  <c r="S285" i="95" s="1"/>
  <c r="Q285" i="95"/>
  <c r="O285" i="95"/>
  <c r="M285" i="95"/>
  <c r="K285" i="95"/>
  <c r="I285" i="95"/>
  <c r="G285" i="95"/>
  <c r="C285" i="95"/>
  <c r="R284" i="95"/>
  <c r="S284" i="95" s="1"/>
  <c r="Q284" i="95"/>
  <c r="O284" i="95"/>
  <c r="M284" i="95"/>
  <c r="K284" i="95"/>
  <c r="I284" i="95"/>
  <c r="G284" i="95"/>
  <c r="C284" i="95"/>
  <c r="R283" i="95"/>
  <c r="S283" i="95" s="1"/>
  <c r="Q283" i="95"/>
  <c r="O283" i="95"/>
  <c r="M283" i="95"/>
  <c r="K283" i="95"/>
  <c r="I283" i="95"/>
  <c r="G283" i="95"/>
  <c r="C283" i="95"/>
  <c r="R282" i="95"/>
  <c r="S282" i="95" s="1"/>
  <c r="Q282" i="95"/>
  <c r="O282" i="95"/>
  <c r="M282" i="95"/>
  <c r="K282" i="95"/>
  <c r="I282" i="95"/>
  <c r="G282" i="95"/>
  <c r="C282" i="95"/>
  <c r="R281" i="95"/>
  <c r="S281" i="95" s="1"/>
  <c r="Q281" i="95"/>
  <c r="O281" i="95"/>
  <c r="M281" i="95"/>
  <c r="K281" i="95"/>
  <c r="I281" i="95"/>
  <c r="G281" i="95"/>
  <c r="C281" i="95"/>
  <c r="R280" i="95"/>
  <c r="S280" i="95" s="1"/>
  <c r="Q280" i="95"/>
  <c r="O280" i="95"/>
  <c r="M280" i="95"/>
  <c r="K280" i="95"/>
  <c r="I280" i="95"/>
  <c r="G280" i="95"/>
  <c r="C280" i="95"/>
  <c r="R279" i="95"/>
  <c r="S279" i="95" s="1"/>
  <c r="Q279" i="95"/>
  <c r="O279" i="95"/>
  <c r="M279" i="95"/>
  <c r="K279" i="95"/>
  <c r="I279" i="95"/>
  <c r="G279" i="95"/>
  <c r="C279" i="95"/>
  <c r="R278" i="95"/>
  <c r="S278" i="95" s="1"/>
  <c r="Q278" i="95"/>
  <c r="O278" i="95"/>
  <c r="M278" i="95"/>
  <c r="K278" i="95"/>
  <c r="I278" i="95"/>
  <c r="G278" i="95"/>
  <c r="C278" i="95"/>
  <c r="R277" i="95"/>
  <c r="S277" i="95" s="1"/>
  <c r="Q277" i="95"/>
  <c r="O277" i="95"/>
  <c r="M277" i="95"/>
  <c r="K277" i="95"/>
  <c r="I277" i="95"/>
  <c r="G277" i="95"/>
  <c r="C277" i="95"/>
  <c r="R276" i="95"/>
  <c r="S276" i="95" s="1"/>
  <c r="Q276" i="95"/>
  <c r="O276" i="95"/>
  <c r="M276" i="95"/>
  <c r="K276" i="95"/>
  <c r="I276" i="95"/>
  <c r="G276" i="95"/>
  <c r="C276" i="95"/>
  <c r="R275" i="95"/>
  <c r="S275" i="95" s="1"/>
  <c r="Q275" i="95"/>
  <c r="O275" i="95"/>
  <c r="M275" i="95"/>
  <c r="K275" i="95"/>
  <c r="I275" i="95"/>
  <c r="G275" i="95"/>
  <c r="C275" i="95"/>
  <c r="R274" i="95"/>
  <c r="S274" i="95" s="1"/>
  <c r="Q274" i="95"/>
  <c r="O274" i="95"/>
  <c r="M274" i="95"/>
  <c r="K274" i="95"/>
  <c r="I274" i="95"/>
  <c r="G274" i="95"/>
  <c r="C274" i="95"/>
  <c r="R273" i="95"/>
  <c r="S273" i="95" s="1"/>
  <c r="Q273" i="95"/>
  <c r="O273" i="95"/>
  <c r="M273" i="95"/>
  <c r="K273" i="95"/>
  <c r="I273" i="95"/>
  <c r="G273" i="95"/>
  <c r="C273" i="95"/>
  <c r="R272" i="95"/>
  <c r="S272" i="95" s="1"/>
  <c r="Q272" i="95"/>
  <c r="O272" i="95"/>
  <c r="M272" i="95"/>
  <c r="K272" i="95"/>
  <c r="I272" i="95"/>
  <c r="G272" i="95"/>
  <c r="C272" i="95"/>
  <c r="R271" i="95"/>
  <c r="S271" i="95" s="1"/>
  <c r="Q271" i="95"/>
  <c r="O271" i="95"/>
  <c r="M271" i="95"/>
  <c r="K271" i="95"/>
  <c r="I271" i="95"/>
  <c r="G271" i="95"/>
  <c r="C271" i="95"/>
  <c r="R270" i="95"/>
  <c r="S270" i="95" s="1"/>
  <c r="Q270" i="95"/>
  <c r="O270" i="95"/>
  <c r="M270" i="95"/>
  <c r="K270" i="95"/>
  <c r="I270" i="95"/>
  <c r="G270" i="95"/>
  <c r="C270" i="95"/>
  <c r="R269" i="95"/>
  <c r="S269" i="95" s="1"/>
  <c r="Q269" i="95"/>
  <c r="O269" i="95"/>
  <c r="M269" i="95"/>
  <c r="K269" i="95"/>
  <c r="I269" i="95"/>
  <c r="G269" i="95"/>
  <c r="C269" i="95"/>
  <c r="R268" i="95"/>
  <c r="S268" i="95" s="1"/>
  <c r="Q268" i="95"/>
  <c r="O268" i="95"/>
  <c r="M268" i="95"/>
  <c r="K268" i="95"/>
  <c r="I268" i="95"/>
  <c r="G268" i="95"/>
  <c r="C268" i="95"/>
  <c r="R267" i="95"/>
  <c r="S267" i="95" s="1"/>
  <c r="Q267" i="95"/>
  <c r="O267" i="95"/>
  <c r="M267" i="95"/>
  <c r="K267" i="95"/>
  <c r="I267" i="95"/>
  <c r="G267" i="95"/>
  <c r="C267" i="95"/>
  <c r="R266" i="95"/>
  <c r="S266" i="95" s="1"/>
  <c r="Q266" i="95"/>
  <c r="O266" i="95"/>
  <c r="M266" i="95"/>
  <c r="K266" i="95"/>
  <c r="I266" i="95"/>
  <c r="G266" i="95"/>
  <c r="C266" i="95"/>
  <c r="R265" i="95"/>
  <c r="S265" i="95" s="1"/>
  <c r="Q265" i="95"/>
  <c r="O265" i="95"/>
  <c r="M265" i="95"/>
  <c r="K265" i="95"/>
  <c r="I265" i="95"/>
  <c r="G265" i="95"/>
  <c r="C265" i="95"/>
  <c r="R264" i="95"/>
  <c r="S264" i="95" s="1"/>
  <c r="Q264" i="95"/>
  <c r="O264" i="95"/>
  <c r="M264" i="95"/>
  <c r="K264" i="95"/>
  <c r="I264" i="95"/>
  <c r="G264" i="95"/>
  <c r="C264" i="95"/>
  <c r="R263" i="95"/>
  <c r="S263" i="95" s="1"/>
  <c r="Q263" i="95"/>
  <c r="O263" i="95"/>
  <c r="M263" i="95"/>
  <c r="K263" i="95"/>
  <c r="I263" i="95"/>
  <c r="G263" i="95"/>
  <c r="C263" i="95"/>
  <c r="R262" i="95"/>
  <c r="S262" i="95" s="1"/>
  <c r="Q262" i="95"/>
  <c r="O262" i="95"/>
  <c r="M262" i="95"/>
  <c r="K262" i="95"/>
  <c r="I262" i="95"/>
  <c r="G262" i="95"/>
  <c r="C262" i="95"/>
  <c r="R261" i="95"/>
  <c r="S261" i="95" s="1"/>
  <c r="Q261" i="95"/>
  <c r="O261" i="95"/>
  <c r="M261" i="95"/>
  <c r="K261" i="95"/>
  <c r="I261" i="95"/>
  <c r="G261" i="95"/>
  <c r="C261" i="95"/>
  <c r="R260" i="95"/>
  <c r="S260" i="95" s="1"/>
  <c r="Q260" i="95"/>
  <c r="O260" i="95"/>
  <c r="M260" i="95"/>
  <c r="K260" i="95"/>
  <c r="I260" i="95"/>
  <c r="G260" i="95"/>
  <c r="C260" i="95"/>
  <c r="R259" i="95"/>
  <c r="S259" i="95" s="1"/>
  <c r="Q259" i="95"/>
  <c r="O259" i="95"/>
  <c r="M259" i="95"/>
  <c r="K259" i="95"/>
  <c r="I259" i="95"/>
  <c r="G259" i="95"/>
  <c r="C259" i="95"/>
  <c r="R258" i="95"/>
  <c r="S258" i="95" s="1"/>
  <c r="Q258" i="95"/>
  <c r="O258" i="95"/>
  <c r="M258" i="95"/>
  <c r="K258" i="95"/>
  <c r="I258" i="95"/>
  <c r="G258" i="95"/>
  <c r="C258" i="95"/>
  <c r="R257" i="95"/>
  <c r="S257" i="95" s="1"/>
  <c r="Q257" i="95"/>
  <c r="O257" i="95"/>
  <c r="M257" i="95"/>
  <c r="K257" i="95"/>
  <c r="I257" i="95"/>
  <c r="G257" i="95"/>
  <c r="C257" i="95"/>
  <c r="R256" i="95"/>
  <c r="S256" i="95" s="1"/>
  <c r="Q256" i="95"/>
  <c r="O256" i="95"/>
  <c r="M256" i="95"/>
  <c r="K256" i="95"/>
  <c r="I256" i="95"/>
  <c r="G256" i="95"/>
  <c r="C256" i="95"/>
  <c r="R255" i="95"/>
  <c r="S255" i="95" s="1"/>
  <c r="Q255" i="95"/>
  <c r="O255" i="95"/>
  <c r="M255" i="95"/>
  <c r="K255" i="95"/>
  <c r="I255" i="95"/>
  <c r="G255" i="95"/>
  <c r="C255" i="95"/>
  <c r="R254" i="95"/>
  <c r="S254" i="95" s="1"/>
  <c r="Q254" i="95"/>
  <c r="O254" i="95"/>
  <c r="M254" i="95"/>
  <c r="K254" i="95"/>
  <c r="I254" i="95"/>
  <c r="G254" i="95"/>
  <c r="C254" i="95"/>
  <c r="R253" i="95"/>
  <c r="S253" i="95" s="1"/>
  <c r="Q253" i="95"/>
  <c r="O253" i="95"/>
  <c r="M253" i="95"/>
  <c r="K253" i="95"/>
  <c r="I253" i="95"/>
  <c r="G253" i="95"/>
  <c r="C253" i="95"/>
  <c r="R252" i="95"/>
  <c r="S252" i="95" s="1"/>
  <c r="Q252" i="95"/>
  <c r="O252" i="95"/>
  <c r="M252" i="95"/>
  <c r="K252" i="95"/>
  <c r="I252" i="95"/>
  <c r="G252" i="95"/>
  <c r="C252" i="95"/>
  <c r="R251" i="95"/>
  <c r="S251" i="95" s="1"/>
  <c r="Q251" i="95"/>
  <c r="O251" i="95"/>
  <c r="M251" i="95"/>
  <c r="K251" i="95"/>
  <c r="I251" i="95"/>
  <c r="G251" i="95"/>
  <c r="C251" i="95"/>
  <c r="R250" i="95"/>
  <c r="S250" i="95" s="1"/>
  <c r="Q250" i="95"/>
  <c r="O250" i="95"/>
  <c r="M250" i="95"/>
  <c r="K250" i="95"/>
  <c r="I250" i="95"/>
  <c r="G250" i="95"/>
  <c r="C250" i="95"/>
  <c r="R249" i="95"/>
  <c r="S249" i="95" s="1"/>
  <c r="Q249" i="95"/>
  <c r="O249" i="95"/>
  <c r="M249" i="95"/>
  <c r="K249" i="95"/>
  <c r="I249" i="95"/>
  <c r="G249" i="95"/>
  <c r="C249" i="95"/>
  <c r="R248" i="95"/>
  <c r="S248" i="95" s="1"/>
  <c r="Q248" i="95"/>
  <c r="O248" i="95"/>
  <c r="M248" i="95"/>
  <c r="K248" i="95"/>
  <c r="I248" i="95"/>
  <c r="G248" i="95"/>
  <c r="C248" i="95"/>
  <c r="R247" i="95"/>
  <c r="S247" i="95" s="1"/>
  <c r="Q247" i="95"/>
  <c r="O247" i="95"/>
  <c r="M247" i="95"/>
  <c r="K247" i="95"/>
  <c r="I247" i="95"/>
  <c r="G247" i="95"/>
  <c r="C247" i="95"/>
  <c r="R246" i="95"/>
  <c r="S246" i="95" s="1"/>
  <c r="Q246" i="95"/>
  <c r="O246" i="95"/>
  <c r="M246" i="95"/>
  <c r="K246" i="95"/>
  <c r="I246" i="95"/>
  <c r="G246" i="95"/>
  <c r="C246" i="95"/>
  <c r="R245" i="95"/>
  <c r="S245" i="95" s="1"/>
  <c r="Q245" i="95"/>
  <c r="O245" i="95"/>
  <c r="M245" i="95"/>
  <c r="K245" i="95"/>
  <c r="I245" i="95"/>
  <c r="G245" i="95"/>
  <c r="C245" i="95"/>
  <c r="R244" i="95"/>
  <c r="S244" i="95" s="1"/>
  <c r="Q244" i="95"/>
  <c r="O244" i="95"/>
  <c r="M244" i="95"/>
  <c r="K244" i="95"/>
  <c r="I244" i="95"/>
  <c r="G244" i="95"/>
  <c r="C244" i="95"/>
  <c r="R243" i="95"/>
  <c r="S243" i="95" s="1"/>
  <c r="Q243" i="95"/>
  <c r="O243" i="95"/>
  <c r="M243" i="95"/>
  <c r="K243" i="95"/>
  <c r="I243" i="95"/>
  <c r="G243" i="95"/>
  <c r="C243" i="95"/>
  <c r="R242" i="95"/>
  <c r="S242" i="95" s="1"/>
  <c r="Q242" i="95"/>
  <c r="O242" i="95"/>
  <c r="M242" i="95"/>
  <c r="K242" i="95"/>
  <c r="I242" i="95"/>
  <c r="G242" i="95"/>
  <c r="C242" i="95"/>
  <c r="R241" i="95"/>
  <c r="S241" i="95" s="1"/>
  <c r="Q241" i="95"/>
  <c r="O241" i="95"/>
  <c r="M241" i="95"/>
  <c r="K241" i="95"/>
  <c r="I241" i="95"/>
  <c r="G241" i="95"/>
  <c r="C241" i="95"/>
  <c r="R240" i="95"/>
  <c r="S240" i="95" s="1"/>
  <c r="Q240" i="95"/>
  <c r="O240" i="95"/>
  <c r="M240" i="95"/>
  <c r="K240" i="95"/>
  <c r="I240" i="95"/>
  <c r="G240" i="95"/>
  <c r="C240" i="95"/>
  <c r="R239" i="95"/>
  <c r="S239" i="95" s="1"/>
  <c r="Q239" i="95"/>
  <c r="O239" i="95"/>
  <c r="M239" i="95"/>
  <c r="K239" i="95"/>
  <c r="I239" i="95"/>
  <c r="G239" i="95"/>
  <c r="C239" i="95"/>
  <c r="R238" i="95"/>
  <c r="S238" i="95" s="1"/>
  <c r="Q238" i="95"/>
  <c r="O238" i="95"/>
  <c r="M238" i="95"/>
  <c r="K238" i="95"/>
  <c r="I238" i="95"/>
  <c r="G238" i="95"/>
  <c r="C238" i="95"/>
  <c r="R237" i="95"/>
  <c r="S237" i="95" s="1"/>
  <c r="Q237" i="95"/>
  <c r="O237" i="95"/>
  <c r="M237" i="95"/>
  <c r="K237" i="95"/>
  <c r="I237" i="95"/>
  <c r="G237" i="95"/>
  <c r="C237" i="95"/>
  <c r="R236" i="95"/>
  <c r="S236" i="95" s="1"/>
  <c r="Q236" i="95"/>
  <c r="O236" i="95"/>
  <c r="M236" i="95"/>
  <c r="K236" i="95"/>
  <c r="I236" i="95"/>
  <c r="G236" i="95"/>
  <c r="C236" i="95"/>
  <c r="R235" i="95"/>
  <c r="S235" i="95" s="1"/>
  <c r="Q235" i="95"/>
  <c r="O235" i="95"/>
  <c r="M235" i="95"/>
  <c r="K235" i="95"/>
  <c r="I235" i="95"/>
  <c r="G235" i="95"/>
  <c r="C235" i="95"/>
  <c r="R234" i="95"/>
  <c r="S234" i="95" s="1"/>
  <c r="Q234" i="95"/>
  <c r="O234" i="95"/>
  <c r="M234" i="95"/>
  <c r="K234" i="95"/>
  <c r="I234" i="95"/>
  <c r="G234" i="95"/>
  <c r="C234" i="95"/>
  <c r="R233" i="95"/>
  <c r="S233" i="95" s="1"/>
  <c r="Q233" i="95"/>
  <c r="O233" i="95"/>
  <c r="M233" i="95"/>
  <c r="K233" i="95"/>
  <c r="I233" i="95"/>
  <c r="G233" i="95"/>
  <c r="C233" i="95"/>
  <c r="R232" i="95"/>
  <c r="S232" i="95" s="1"/>
  <c r="Q232" i="95"/>
  <c r="O232" i="95"/>
  <c r="M232" i="95"/>
  <c r="K232" i="95"/>
  <c r="I232" i="95"/>
  <c r="G232" i="95"/>
  <c r="C232" i="95"/>
  <c r="R231" i="95"/>
  <c r="S231" i="95" s="1"/>
  <c r="Q231" i="95"/>
  <c r="O231" i="95"/>
  <c r="M231" i="95"/>
  <c r="K231" i="95"/>
  <c r="I231" i="95"/>
  <c r="G231" i="95"/>
  <c r="C231" i="95"/>
  <c r="R230" i="95"/>
  <c r="S230" i="95" s="1"/>
  <c r="Q230" i="95"/>
  <c r="O230" i="95"/>
  <c r="M230" i="95"/>
  <c r="K230" i="95"/>
  <c r="I230" i="95"/>
  <c r="G230" i="95"/>
  <c r="C230" i="95"/>
  <c r="R229" i="95"/>
  <c r="S229" i="95" s="1"/>
  <c r="Q229" i="95"/>
  <c r="O229" i="95"/>
  <c r="M229" i="95"/>
  <c r="K229" i="95"/>
  <c r="I229" i="95"/>
  <c r="G229" i="95"/>
  <c r="C229" i="95"/>
  <c r="R228" i="95"/>
  <c r="S228" i="95" s="1"/>
  <c r="Q228" i="95"/>
  <c r="O228" i="95"/>
  <c r="M228" i="95"/>
  <c r="K228" i="95"/>
  <c r="I228" i="95"/>
  <c r="G228" i="95"/>
  <c r="C228" i="95"/>
  <c r="R227" i="95"/>
  <c r="S227" i="95" s="1"/>
  <c r="Q227" i="95"/>
  <c r="O227" i="95"/>
  <c r="M227" i="95"/>
  <c r="K227" i="95"/>
  <c r="I227" i="95"/>
  <c r="G227" i="95"/>
  <c r="C227" i="95"/>
  <c r="R226" i="95"/>
  <c r="S226" i="95" s="1"/>
  <c r="Q226" i="95"/>
  <c r="O226" i="95"/>
  <c r="M226" i="95"/>
  <c r="K226" i="95"/>
  <c r="I226" i="95"/>
  <c r="G226" i="95"/>
  <c r="C226" i="95"/>
  <c r="R225" i="95"/>
  <c r="S225" i="95" s="1"/>
  <c r="Q225" i="95"/>
  <c r="O225" i="95"/>
  <c r="M225" i="95"/>
  <c r="K225" i="95"/>
  <c r="I225" i="95"/>
  <c r="G225" i="95"/>
  <c r="C225" i="95"/>
  <c r="R224" i="95"/>
  <c r="S224" i="95" s="1"/>
  <c r="Q224" i="95"/>
  <c r="O224" i="95"/>
  <c r="M224" i="95"/>
  <c r="K224" i="95"/>
  <c r="I224" i="95"/>
  <c r="G224" i="95"/>
  <c r="C224" i="95"/>
  <c r="R223" i="95"/>
  <c r="S223" i="95" s="1"/>
  <c r="Q223" i="95"/>
  <c r="O223" i="95"/>
  <c r="M223" i="95"/>
  <c r="K223" i="95"/>
  <c r="I223" i="95"/>
  <c r="G223" i="95"/>
  <c r="C223" i="95"/>
  <c r="R222" i="95"/>
  <c r="S222" i="95" s="1"/>
  <c r="Q222" i="95"/>
  <c r="O222" i="95"/>
  <c r="M222" i="95"/>
  <c r="K222" i="95"/>
  <c r="I222" i="95"/>
  <c r="G222" i="95"/>
  <c r="C222" i="95"/>
  <c r="R221" i="95"/>
  <c r="S221" i="95" s="1"/>
  <c r="Q221" i="95"/>
  <c r="O221" i="95"/>
  <c r="M221" i="95"/>
  <c r="K221" i="95"/>
  <c r="I221" i="95"/>
  <c r="G221" i="95"/>
  <c r="C221" i="95"/>
  <c r="R220" i="95"/>
  <c r="S220" i="95" s="1"/>
  <c r="Q220" i="95"/>
  <c r="O220" i="95"/>
  <c r="M220" i="95"/>
  <c r="K220" i="95"/>
  <c r="I220" i="95"/>
  <c r="G220" i="95"/>
  <c r="C220" i="95"/>
  <c r="R219" i="95"/>
  <c r="S219" i="95" s="1"/>
  <c r="Q219" i="95"/>
  <c r="O219" i="95"/>
  <c r="M219" i="95"/>
  <c r="K219" i="95"/>
  <c r="I219" i="95"/>
  <c r="G219" i="95"/>
  <c r="C219" i="95"/>
  <c r="R218" i="95"/>
  <c r="S218" i="95" s="1"/>
  <c r="Q218" i="95"/>
  <c r="O218" i="95"/>
  <c r="M218" i="95"/>
  <c r="K218" i="95"/>
  <c r="I218" i="95"/>
  <c r="G218" i="95"/>
  <c r="C218" i="95"/>
  <c r="R217" i="95"/>
  <c r="S217" i="95" s="1"/>
  <c r="Q217" i="95"/>
  <c r="O217" i="95"/>
  <c r="M217" i="95"/>
  <c r="K217" i="95"/>
  <c r="I217" i="95"/>
  <c r="G217" i="95"/>
  <c r="C217" i="95"/>
  <c r="R216" i="95"/>
  <c r="S216" i="95" s="1"/>
  <c r="Q216" i="95"/>
  <c r="O216" i="95"/>
  <c r="M216" i="95"/>
  <c r="K216" i="95"/>
  <c r="I216" i="95"/>
  <c r="G216" i="95"/>
  <c r="C216" i="95"/>
  <c r="R215" i="95"/>
  <c r="S215" i="95" s="1"/>
  <c r="Q215" i="95"/>
  <c r="O215" i="95"/>
  <c r="M215" i="95"/>
  <c r="K215" i="95"/>
  <c r="I215" i="95"/>
  <c r="G215" i="95"/>
  <c r="C215" i="95"/>
  <c r="R214" i="95"/>
  <c r="S214" i="95" s="1"/>
  <c r="Q214" i="95"/>
  <c r="O214" i="95"/>
  <c r="M214" i="95"/>
  <c r="K214" i="95"/>
  <c r="I214" i="95"/>
  <c r="G214" i="95"/>
  <c r="C214" i="95"/>
  <c r="R213" i="95"/>
  <c r="S213" i="95" s="1"/>
  <c r="Q213" i="95"/>
  <c r="O213" i="95"/>
  <c r="M213" i="95"/>
  <c r="K213" i="95"/>
  <c r="I213" i="95"/>
  <c r="G213" i="95"/>
  <c r="C213" i="95"/>
  <c r="R212" i="95"/>
  <c r="S212" i="95" s="1"/>
  <c r="Q212" i="95"/>
  <c r="O212" i="95"/>
  <c r="M212" i="95"/>
  <c r="K212" i="95"/>
  <c r="I212" i="95"/>
  <c r="G212" i="95"/>
  <c r="C212" i="95"/>
  <c r="R211" i="95"/>
  <c r="S211" i="95" s="1"/>
  <c r="Q211" i="95"/>
  <c r="O211" i="95"/>
  <c r="M211" i="95"/>
  <c r="K211" i="95"/>
  <c r="I211" i="95"/>
  <c r="G211" i="95"/>
  <c r="C211" i="95"/>
  <c r="R210" i="95"/>
  <c r="S210" i="95" s="1"/>
  <c r="Q210" i="95"/>
  <c r="O210" i="95"/>
  <c r="M210" i="95"/>
  <c r="K210" i="95"/>
  <c r="I210" i="95"/>
  <c r="G210" i="95"/>
  <c r="C210" i="95"/>
  <c r="R209" i="95"/>
  <c r="S209" i="95" s="1"/>
  <c r="Q209" i="95"/>
  <c r="O209" i="95"/>
  <c r="M209" i="95"/>
  <c r="K209" i="95"/>
  <c r="I209" i="95"/>
  <c r="G209" i="95"/>
  <c r="C209" i="95"/>
  <c r="R208" i="95"/>
  <c r="S208" i="95" s="1"/>
  <c r="Q208" i="95"/>
  <c r="O208" i="95"/>
  <c r="M208" i="95"/>
  <c r="K208" i="95"/>
  <c r="I208" i="95"/>
  <c r="G208" i="95"/>
  <c r="C208" i="95"/>
  <c r="R207" i="95"/>
  <c r="S207" i="95" s="1"/>
  <c r="Q207" i="95"/>
  <c r="O207" i="95"/>
  <c r="M207" i="95"/>
  <c r="K207" i="95"/>
  <c r="I207" i="95"/>
  <c r="G207" i="95"/>
  <c r="C207" i="95"/>
  <c r="R206" i="95"/>
  <c r="S206" i="95" s="1"/>
  <c r="Q206" i="95"/>
  <c r="O206" i="95"/>
  <c r="M206" i="95"/>
  <c r="K206" i="95"/>
  <c r="I206" i="95"/>
  <c r="G206" i="95"/>
  <c r="C206" i="95"/>
  <c r="R205" i="95"/>
  <c r="S205" i="95" s="1"/>
  <c r="Q205" i="95"/>
  <c r="O205" i="95"/>
  <c r="M205" i="95"/>
  <c r="K205" i="95"/>
  <c r="I205" i="95"/>
  <c r="G205" i="95"/>
  <c r="C205" i="95"/>
  <c r="R204" i="95"/>
  <c r="S204" i="95" s="1"/>
  <c r="Q204" i="95"/>
  <c r="O204" i="95"/>
  <c r="M204" i="95"/>
  <c r="K204" i="95"/>
  <c r="I204" i="95"/>
  <c r="G204" i="95"/>
  <c r="C204" i="95"/>
  <c r="R203" i="95"/>
  <c r="S203" i="95" s="1"/>
  <c r="Q203" i="95"/>
  <c r="O203" i="95"/>
  <c r="M203" i="95"/>
  <c r="K203" i="95"/>
  <c r="I203" i="95"/>
  <c r="G203" i="95"/>
  <c r="C203" i="95"/>
  <c r="R202" i="95"/>
  <c r="S202" i="95" s="1"/>
  <c r="Q202" i="95"/>
  <c r="O202" i="95"/>
  <c r="M202" i="95"/>
  <c r="K202" i="95"/>
  <c r="I202" i="95"/>
  <c r="G202" i="95"/>
  <c r="C202" i="95"/>
  <c r="R201" i="95"/>
  <c r="S201" i="95" s="1"/>
  <c r="Q201" i="95"/>
  <c r="O201" i="95"/>
  <c r="M201" i="95"/>
  <c r="K201" i="95"/>
  <c r="I201" i="95"/>
  <c r="G201" i="95"/>
  <c r="C201" i="95"/>
  <c r="R200" i="95"/>
  <c r="S200" i="95" s="1"/>
  <c r="Q200" i="95"/>
  <c r="O200" i="95"/>
  <c r="M200" i="95"/>
  <c r="K200" i="95"/>
  <c r="I200" i="95"/>
  <c r="G200" i="95"/>
  <c r="C200" i="95"/>
  <c r="R199" i="95"/>
  <c r="S199" i="95" s="1"/>
  <c r="Q199" i="95"/>
  <c r="O199" i="95"/>
  <c r="M199" i="95"/>
  <c r="K199" i="95"/>
  <c r="I199" i="95"/>
  <c r="G199" i="95"/>
  <c r="C199" i="95"/>
  <c r="R198" i="95"/>
  <c r="S198" i="95" s="1"/>
  <c r="Q198" i="95"/>
  <c r="O198" i="95"/>
  <c r="M198" i="95"/>
  <c r="K198" i="95"/>
  <c r="I198" i="95"/>
  <c r="G198" i="95"/>
  <c r="C198" i="95"/>
  <c r="R197" i="95"/>
  <c r="S197" i="95" s="1"/>
  <c r="Q197" i="95"/>
  <c r="O197" i="95"/>
  <c r="M197" i="95"/>
  <c r="K197" i="95"/>
  <c r="I197" i="95"/>
  <c r="G197" i="95"/>
  <c r="C197" i="95"/>
  <c r="R196" i="95"/>
  <c r="S196" i="95" s="1"/>
  <c r="Q196" i="95"/>
  <c r="O196" i="95"/>
  <c r="M196" i="95"/>
  <c r="K196" i="95"/>
  <c r="I196" i="95"/>
  <c r="G196" i="95"/>
  <c r="C196" i="95"/>
  <c r="R195" i="95"/>
  <c r="S195" i="95" s="1"/>
  <c r="Q195" i="95"/>
  <c r="O195" i="95"/>
  <c r="M195" i="95"/>
  <c r="K195" i="95"/>
  <c r="I195" i="95"/>
  <c r="G195" i="95"/>
  <c r="C195" i="95"/>
  <c r="R194" i="95"/>
  <c r="S194" i="95" s="1"/>
  <c r="Q194" i="95"/>
  <c r="O194" i="95"/>
  <c r="M194" i="95"/>
  <c r="K194" i="95"/>
  <c r="I194" i="95"/>
  <c r="G194" i="95"/>
  <c r="C194" i="95"/>
  <c r="R193" i="95"/>
  <c r="S193" i="95" s="1"/>
  <c r="Q193" i="95"/>
  <c r="O193" i="95"/>
  <c r="M193" i="95"/>
  <c r="K193" i="95"/>
  <c r="I193" i="95"/>
  <c r="G193" i="95"/>
  <c r="C193" i="95"/>
  <c r="R192" i="95"/>
  <c r="S192" i="95" s="1"/>
  <c r="Q192" i="95"/>
  <c r="O192" i="95"/>
  <c r="M192" i="95"/>
  <c r="K192" i="95"/>
  <c r="I192" i="95"/>
  <c r="G192" i="95"/>
  <c r="C192" i="95"/>
  <c r="R191" i="95"/>
  <c r="S191" i="95" s="1"/>
  <c r="Q191" i="95"/>
  <c r="O191" i="95"/>
  <c r="M191" i="95"/>
  <c r="K191" i="95"/>
  <c r="I191" i="95"/>
  <c r="G191" i="95"/>
  <c r="C191" i="95"/>
  <c r="R190" i="95"/>
  <c r="S190" i="95" s="1"/>
  <c r="Q190" i="95"/>
  <c r="O190" i="95"/>
  <c r="M190" i="95"/>
  <c r="K190" i="95"/>
  <c r="I190" i="95"/>
  <c r="G190" i="95"/>
  <c r="C190" i="95"/>
  <c r="R189" i="95"/>
  <c r="S189" i="95" s="1"/>
  <c r="Q189" i="95"/>
  <c r="O189" i="95"/>
  <c r="M189" i="95"/>
  <c r="K189" i="95"/>
  <c r="I189" i="95"/>
  <c r="G189" i="95"/>
  <c r="C189" i="95"/>
  <c r="R188" i="95"/>
  <c r="S188" i="95" s="1"/>
  <c r="Q188" i="95"/>
  <c r="O188" i="95"/>
  <c r="M188" i="95"/>
  <c r="K188" i="95"/>
  <c r="I188" i="95"/>
  <c r="G188" i="95"/>
  <c r="C188" i="95"/>
  <c r="R187" i="95"/>
  <c r="S187" i="95" s="1"/>
  <c r="Q187" i="95"/>
  <c r="O187" i="95"/>
  <c r="M187" i="95"/>
  <c r="K187" i="95"/>
  <c r="I187" i="95"/>
  <c r="G187" i="95"/>
  <c r="C187" i="95"/>
  <c r="R186" i="95"/>
  <c r="S186" i="95" s="1"/>
  <c r="Q186" i="95"/>
  <c r="O186" i="95"/>
  <c r="M186" i="95"/>
  <c r="K186" i="95"/>
  <c r="I186" i="95"/>
  <c r="G186" i="95"/>
  <c r="C186" i="95"/>
  <c r="R185" i="95"/>
  <c r="S185" i="95" s="1"/>
  <c r="Q185" i="95"/>
  <c r="O185" i="95"/>
  <c r="M185" i="95"/>
  <c r="K185" i="95"/>
  <c r="I185" i="95"/>
  <c r="G185" i="95"/>
  <c r="C185" i="95"/>
  <c r="R184" i="95"/>
  <c r="S184" i="95" s="1"/>
  <c r="Q184" i="95"/>
  <c r="O184" i="95"/>
  <c r="M184" i="95"/>
  <c r="K184" i="95"/>
  <c r="I184" i="95"/>
  <c r="G184" i="95"/>
  <c r="C184" i="95"/>
  <c r="R183" i="95"/>
  <c r="S183" i="95" s="1"/>
  <c r="Q183" i="95"/>
  <c r="O183" i="95"/>
  <c r="M183" i="95"/>
  <c r="K183" i="95"/>
  <c r="I183" i="95"/>
  <c r="G183" i="95"/>
  <c r="C183" i="95"/>
  <c r="R182" i="95"/>
  <c r="S182" i="95" s="1"/>
  <c r="Q182" i="95"/>
  <c r="O182" i="95"/>
  <c r="M182" i="95"/>
  <c r="K182" i="95"/>
  <c r="I182" i="95"/>
  <c r="G182" i="95"/>
  <c r="C182" i="95"/>
  <c r="R181" i="95"/>
  <c r="S181" i="95" s="1"/>
  <c r="Q181" i="95"/>
  <c r="O181" i="95"/>
  <c r="M181" i="95"/>
  <c r="K181" i="95"/>
  <c r="I181" i="95"/>
  <c r="G181" i="95"/>
  <c r="C181" i="95"/>
  <c r="R180" i="95"/>
  <c r="S180" i="95" s="1"/>
  <c r="Q180" i="95"/>
  <c r="O180" i="95"/>
  <c r="M180" i="95"/>
  <c r="K180" i="95"/>
  <c r="I180" i="95"/>
  <c r="G180" i="95"/>
  <c r="C180" i="95"/>
  <c r="R179" i="95"/>
  <c r="S179" i="95" s="1"/>
  <c r="Q179" i="95"/>
  <c r="O179" i="95"/>
  <c r="M179" i="95"/>
  <c r="K179" i="95"/>
  <c r="I179" i="95"/>
  <c r="G179" i="95"/>
  <c r="C179" i="95"/>
  <c r="R178" i="95"/>
  <c r="S178" i="95" s="1"/>
  <c r="Q178" i="95"/>
  <c r="O178" i="95"/>
  <c r="M178" i="95"/>
  <c r="K178" i="95"/>
  <c r="I178" i="95"/>
  <c r="G178" i="95"/>
  <c r="C178" i="95"/>
  <c r="R177" i="95"/>
  <c r="S177" i="95" s="1"/>
  <c r="Q177" i="95"/>
  <c r="O177" i="95"/>
  <c r="M177" i="95"/>
  <c r="K177" i="95"/>
  <c r="I177" i="95"/>
  <c r="G177" i="95"/>
  <c r="C177" i="95"/>
  <c r="R176" i="95"/>
  <c r="S176" i="95" s="1"/>
  <c r="Q176" i="95"/>
  <c r="O176" i="95"/>
  <c r="M176" i="95"/>
  <c r="K176" i="95"/>
  <c r="I176" i="95"/>
  <c r="G176" i="95"/>
  <c r="C176" i="95"/>
  <c r="R175" i="95"/>
  <c r="S175" i="95" s="1"/>
  <c r="Q175" i="95"/>
  <c r="O175" i="95"/>
  <c r="M175" i="95"/>
  <c r="K175" i="95"/>
  <c r="I175" i="95"/>
  <c r="G175" i="95"/>
  <c r="C175" i="95"/>
  <c r="R174" i="95"/>
  <c r="S174" i="95" s="1"/>
  <c r="Q174" i="95"/>
  <c r="O174" i="95"/>
  <c r="M174" i="95"/>
  <c r="K174" i="95"/>
  <c r="I174" i="95"/>
  <c r="G174" i="95"/>
  <c r="C174" i="95"/>
  <c r="R173" i="95"/>
  <c r="S173" i="95" s="1"/>
  <c r="Q173" i="95"/>
  <c r="O173" i="95"/>
  <c r="M173" i="95"/>
  <c r="K173" i="95"/>
  <c r="I173" i="95"/>
  <c r="G173" i="95"/>
  <c r="C173" i="95"/>
  <c r="R172" i="95"/>
  <c r="S172" i="95" s="1"/>
  <c r="Q172" i="95"/>
  <c r="O172" i="95"/>
  <c r="M172" i="95"/>
  <c r="K172" i="95"/>
  <c r="I172" i="95"/>
  <c r="G172" i="95"/>
  <c r="C172" i="95"/>
  <c r="R171" i="95"/>
  <c r="S171" i="95" s="1"/>
  <c r="Q171" i="95"/>
  <c r="O171" i="95"/>
  <c r="M171" i="95"/>
  <c r="K171" i="95"/>
  <c r="I171" i="95"/>
  <c r="G171" i="95"/>
  <c r="C171" i="95"/>
  <c r="R170" i="95"/>
  <c r="S170" i="95" s="1"/>
  <c r="Q170" i="95"/>
  <c r="O170" i="95"/>
  <c r="M170" i="95"/>
  <c r="K170" i="95"/>
  <c r="I170" i="95"/>
  <c r="G170" i="95"/>
  <c r="C170" i="95"/>
  <c r="R169" i="95"/>
  <c r="S169" i="95" s="1"/>
  <c r="Q169" i="95"/>
  <c r="O169" i="95"/>
  <c r="M169" i="95"/>
  <c r="K169" i="95"/>
  <c r="I169" i="95"/>
  <c r="G169" i="95"/>
  <c r="C169" i="95"/>
  <c r="R168" i="95"/>
  <c r="S168" i="95" s="1"/>
  <c r="Q168" i="95"/>
  <c r="O168" i="95"/>
  <c r="M168" i="95"/>
  <c r="K168" i="95"/>
  <c r="I168" i="95"/>
  <c r="G168" i="95"/>
  <c r="C168" i="95"/>
  <c r="R167" i="95"/>
  <c r="S167" i="95" s="1"/>
  <c r="Q167" i="95"/>
  <c r="O167" i="95"/>
  <c r="M167" i="95"/>
  <c r="K167" i="95"/>
  <c r="I167" i="95"/>
  <c r="G167" i="95"/>
  <c r="C167" i="95"/>
  <c r="R166" i="95"/>
  <c r="S166" i="95" s="1"/>
  <c r="Q166" i="95"/>
  <c r="O166" i="95"/>
  <c r="M166" i="95"/>
  <c r="K166" i="95"/>
  <c r="I166" i="95"/>
  <c r="G166" i="95"/>
  <c r="C166" i="95"/>
  <c r="R165" i="95"/>
  <c r="S165" i="95" s="1"/>
  <c r="Q165" i="95"/>
  <c r="O165" i="95"/>
  <c r="M165" i="95"/>
  <c r="K165" i="95"/>
  <c r="I165" i="95"/>
  <c r="G165" i="95"/>
  <c r="C165" i="95"/>
  <c r="R164" i="95"/>
  <c r="S164" i="95" s="1"/>
  <c r="Q164" i="95"/>
  <c r="O164" i="95"/>
  <c r="M164" i="95"/>
  <c r="K164" i="95"/>
  <c r="I164" i="95"/>
  <c r="G164" i="95"/>
  <c r="C164" i="95"/>
  <c r="R163" i="95"/>
  <c r="S163" i="95" s="1"/>
  <c r="Q163" i="95"/>
  <c r="O163" i="95"/>
  <c r="M163" i="95"/>
  <c r="K163" i="95"/>
  <c r="I163" i="95"/>
  <c r="G163" i="95"/>
  <c r="C163" i="95"/>
  <c r="R162" i="95"/>
  <c r="S162" i="95" s="1"/>
  <c r="Q162" i="95"/>
  <c r="O162" i="95"/>
  <c r="M162" i="95"/>
  <c r="K162" i="95"/>
  <c r="I162" i="95"/>
  <c r="G162" i="95"/>
  <c r="C162" i="95"/>
  <c r="R161" i="95"/>
  <c r="S161" i="95" s="1"/>
  <c r="Q161" i="95"/>
  <c r="O161" i="95"/>
  <c r="M161" i="95"/>
  <c r="K161" i="95"/>
  <c r="I161" i="95"/>
  <c r="G161" i="95"/>
  <c r="C161" i="95"/>
  <c r="R160" i="95"/>
  <c r="S160" i="95" s="1"/>
  <c r="Q160" i="95"/>
  <c r="O160" i="95"/>
  <c r="M160" i="95"/>
  <c r="K160" i="95"/>
  <c r="I160" i="95"/>
  <c r="G160" i="95"/>
  <c r="C160" i="95"/>
  <c r="R159" i="95"/>
  <c r="S159" i="95" s="1"/>
  <c r="Q159" i="95"/>
  <c r="O159" i="95"/>
  <c r="M159" i="95"/>
  <c r="K159" i="95"/>
  <c r="I159" i="95"/>
  <c r="G159" i="95"/>
  <c r="C159" i="95"/>
  <c r="R158" i="95"/>
  <c r="S158" i="95" s="1"/>
  <c r="Q158" i="95"/>
  <c r="O158" i="95"/>
  <c r="M158" i="95"/>
  <c r="K158" i="95"/>
  <c r="I158" i="95"/>
  <c r="G158" i="95"/>
  <c r="C158" i="95"/>
  <c r="R157" i="95"/>
  <c r="S157" i="95" s="1"/>
  <c r="Q157" i="95"/>
  <c r="O157" i="95"/>
  <c r="M157" i="95"/>
  <c r="K157" i="95"/>
  <c r="I157" i="95"/>
  <c r="G157" i="95"/>
  <c r="C157" i="95"/>
  <c r="R156" i="95"/>
  <c r="S156" i="95" s="1"/>
  <c r="Q156" i="95"/>
  <c r="O156" i="95"/>
  <c r="M156" i="95"/>
  <c r="K156" i="95"/>
  <c r="I156" i="95"/>
  <c r="G156" i="95"/>
  <c r="C156" i="95"/>
  <c r="R155" i="95"/>
  <c r="S155" i="95" s="1"/>
  <c r="Q155" i="95"/>
  <c r="O155" i="95"/>
  <c r="M155" i="95"/>
  <c r="K155" i="95"/>
  <c r="I155" i="95"/>
  <c r="G155" i="95"/>
  <c r="C155" i="95"/>
  <c r="R154" i="95"/>
  <c r="S154" i="95" s="1"/>
  <c r="Q154" i="95"/>
  <c r="O154" i="95"/>
  <c r="M154" i="95"/>
  <c r="K154" i="95"/>
  <c r="I154" i="95"/>
  <c r="G154" i="95"/>
  <c r="C154" i="95"/>
  <c r="R153" i="95"/>
  <c r="S153" i="95" s="1"/>
  <c r="Q153" i="95"/>
  <c r="O153" i="95"/>
  <c r="M153" i="95"/>
  <c r="K153" i="95"/>
  <c r="I153" i="95"/>
  <c r="G153" i="95"/>
  <c r="C153" i="95"/>
  <c r="R152" i="95"/>
  <c r="S152" i="95" s="1"/>
  <c r="Q152" i="95"/>
  <c r="O152" i="95"/>
  <c r="M152" i="95"/>
  <c r="K152" i="95"/>
  <c r="I152" i="95"/>
  <c r="G152" i="95"/>
  <c r="C152" i="95"/>
  <c r="R151" i="95"/>
  <c r="S151" i="95" s="1"/>
  <c r="Q151" i="95"/>
  <c r="O151" i="95"/>
  <c r="M151" i="95"/>
  <c r="K151" i="95"/>
  <c r="I151" i="95"/>
  <c r="G151" i="95"/>
  <c r="C151" i="95"/>
  <c r="R150" i="95"/>
  <c r="S150" i="95" s="1"/>
  <c r="Q150" i="95"/>
  <c r="O150" i="95"/>
  <c r="M150" i="95"/>
  <c r="K150" i="95"/>
  <c r="I150" i="95"/>
  <c r="G150" i="95"/>
  <c r="C150" i="95"/>
  <c r="R149" i="95"/>
  <c r="S149" i="95" s="1"/>
  <c r="Q149" i="95"/>
  <c r="O149" i="95"/>
  <c r="M149" i="95"/>
  <c r="K149" i="95"/>
  <c r="I149" i="95"/>
  <c r="G149" i="95"/>
  <c r="C149" i="95"/>
  <c r="R148" i="95"/>
  <c r="S148" i="95" s="1"/>
  <c r="Q148" i="95"/>
  <c r="O148" i="95"/>
  <c r="M148" i="95"/>
  <c r="K148" i="95"/>
  <c r="I148" i="95"/>
  <c r="G148" i="95"/>
  <c r="C148" i="95"/>
  <c r="R147" i="95"/>
  <c r="S147" i="95" s="1"/>
  <c r="Q147" i="95"/>
  <c r="O147" i="95"/>
  <c r="M147" i="95"/>
  <c r="K147" i="95"/>
  <c r="I147" i="95"/>
  <c r="G147" i="95"/>
  <c r="C147" i="95"/>
  <c r="R146" i="95"/>
  <c r="S146" i="95" s="1"/>
  <c r="Q146" i="95"/>
  <c r="O146" i="95"/>
  <c r="M146" i="95"/>
  <c r="K146" i="95"/>
  <c r="I146" i="95"/>
  <c r="G146" i="95"/>
  <c r="C146" i="95"/>
  <c r="R145" i="95"/>
  <c r="S145" i="95" s="1"/>
  <c r="Q145" i="95"/>
  <c r="O145" i="95"/>
  <c r="M145" i="95"/>
  <c r="K145" i="95"/>
  <c r="I145" i="95"/>
  <c r="G145" i="95"/>
  <c r="C145" i="95"/>
  <c r="R144" i="95"/>
  <c r="S144" i="95" s="1"/>
  <c r="Q144" i="95"/>
  <c r="O144" i="95"/>
  <c r="M144" i="95"/>
  <c r="K144" i="95"/>
  <c r="I144" i="95"/>
  <c r="G144" i="95"/>
  <c r="C144" i="95"/>
  <c r="R143" i="95"/>
  <c r="S143" i="95" s="1"/>
  <c r="Q143" i="95"/>
  <c r="O143" i="95"/>
  <c r="M143" i="95"/>
  <c r="K143" i="95"/>
  <c r="I143" i="95"/>
  <c r="G143" i="95"/>
  <c r="C143" i="95"/>
  <c r="R142" i="95"/>
  <c r="S142" i="95" s="1"/>
  <c r="Q142" i="95"/>
  <c r="O142" i="95"/>
  <c r="M142" i="95"/>
  <c r="K142" i="95"/>
  <c r="I142" i="95"/>
  <c r="G142" i="95"/>
  <c r="C142" i="95"/>
  <c r="R141" i="95"/>
  <c r="S141" i="95" s="1"/>
  <c r="Q141" i="95"/>
  <c r="O141" i="95"/>
  <c r="M141" i="95"/>
  <c r="K141" i="95"/>
  <c r="I141" i="95"/>
  <c r="G141" i="95"/>
  <c r="C141" i="95"/>
  <c r="R140" i="95"/>
  <c r="S140" i="95" s="1"/>
  <c r="Q140" i="95"/>
  <c r="O140" i="95"/>
  <c r="M140" i="95"/>
  <c r="K140" i="95"/>
  <c r="I140" i="95"/>
  <c r="G140" i="95"/>
  <c r="C140" i="95"/>
  <c r="R139" i="95"/>
  <c r="S139" i="95" s="1"/>
  <c r="Q139" i="95"/>
  <c r="O139" i="95"/>
  <c r="M139" i="95"/>
  <c r="K139" i="95"/>
  <c r="I139" i="95"/>
  <c r="G139" i="95"/>
  <c r="C139" i="95"/>
  <c r="R138" i="95"/>
  <c r="S138" i="95" s="1"/>
  <c r="Q138" i="95"/>
  <c r="O138" i="95"/>
  <c r="M138" i="95"/>
  <c r="K138" i="95"/>
  <c r="I138" i="95"/>
  <c r="G138" i="95"/>
  <c r="C138" i="95"/>
  <c r="R137" i="95"/>
  <c r="S137" i="95" s="1"/>
  <c r="Q137" i="95"/>
  <c r="O137" i="95"/>
  <c r="M137" i="95"/>
  <c r="K137" i="95"/>
  <c r="I137" i="95"/>
  <c r="G137" i="95"/>
  <c r="C137" i="95"/>
  <c r="R136" i="95"/>
  <c r="S136" i="95" s="1"/>
  <c r="Q136" i="95"/>
  <c r="O136" i="95"/>
  <c r="M136" i="95"/>
  <c r="K136" i="95"/>
  <c r="I136" i="95"/>
  <c r="G136" i="95"/>
  <c r="C136" i="95"/>
  <c r="R135" i="95"/>
  <c r="S135" i="95" s="1"/>
  <c r="Q135" i="95"/>
  <c r="O135" i="95"/>
  <c r="M135" i="95"/>
  <c r="K135" i="95"/>
  <c r="I135" i="95"/>
  <c r="G135" i="95"/>
  <c r="C135" i="95"/>
  <c r="R134" i="95"/>
  <c r="S134" i="95" s="1"/>
  <c r="Q134" i="95"/>
  <c r="O134" i="95"/>
  <c r="M134" i="95"/>
  <c r="K134" i="95"/>
  <c r="I134" i="95"/>
  <c r="G134" i="95"/>
  <c r="C134" i="95"/>
  <c r="R133" i="95"/>
  <c r="S133" i="95" s="1"/>
  <c r="Q133" i="95"/>
  <c r="O133" i="95"/>
  <c r="M133" i="95"/>
  <c r="K133" i="95"/>
  <c r="I133" i="95"/>
  <c r="G133" i="95"/>
  <c r="C133" i="95"/>
  <c r="R132" i="95"/>
  <c r="S132" i="95" s="1"/>
  <c r="Q132" i="95"/>
  <c r="O132" i="95"/>
  <c r="M132" i="95"/>
  <c r="K132" i="95"/>
  <c r="I132" i="95"/>
  <c r="G132" i="95"/>
  <c r="C132" i="95"/>
  <c r="R131" i="95"/>
  <c r="S131" i="95" s="1"/>
  <c r="Q131" i="95"/>
  <c r="O131" i="95"/>
  <c r="M131" i="95"/>
  <c r="K131" i="95"/>
  <c r="I131" i="95"/>
  <c r="G131" i="95"/>
  <c r="C131" i="95"/>
  <c r="R130" i="95"/>
  <c r="S130" i="95" s="1"/>
  <c r="Q130" i="95"/>
  <c r="O130" i="95"/>
  <c r="M130" i="95"/>
  <c r="K130" i="95"/>
  <c r="I130" i="95"/>
  <c r="G130" i="95"/>
  <c r="C130" i="95"/>
  <c r="R129" i="95"/>
  <c r="S129" i="95" s="1"/>
  <c r="Q129" i="95"/>
  <c r="O129" i="95"/>
  <c r="M129" i="95"/>
  <c r="K129" i="95"/>
  <c r="I129" i="95"/>
  <c r="G129" i="95"/>
  <c r="C129" i="95"/>
  <c r="R128" i="95"/>
  <c r="S128" i="95" s="1"/>
  <c r="Q128" i="95"/>
  <c r="O128" i="95"/>
  <c r="M128" i="95"/>
  <c r="K128" i="95"/>
  <c r="I128" i="95"/>
  <c r="G128" i="95"/>
  <c r="C128" i="95"/>
  <c r="R127" i="95"/>
  <c r="S127" i="95" s="1"/>
  <c r="Q127" i="95"/>
  <c r="O127" i="95"/>
  <c r="M127" i="95"/>
  <c r="K127" i="95"/>
  <c r="I127" i="95"/>
  <c r="G127" i="95"/>
  <c r="C127" i="95"/>
  <c r="R126" i="95"/>
  <c r="S126" i="95" s="1"/>
  <c r="Q126" i="95"/>
  <c r="O126" i="95"/>
  <c r="M126" i="95"/>
  <c r="K126" i="95"/>
  <c r="I126" i="95"/>
  <c r="G126" i="95"/>
  <c r="C126" i="95"/>
  <c r="R125" i="95"/>
  <c r="S125" i="95" s="1"/>
  <c r="Q125" i="95"/>
  <c r="O125" i="95"/>
  <c r="M125" i="95"/>
  <c r="K125" i="95"/>
  <c r="I125" i="95"/>
  <c r="G125" i="95"/>
  <c r="C125" i="95"/>
  <c r="R124" i="95"/>
  <c r="S124" i="95" s="1"/>
  <c r="Q124" i="95"/>
  <c r="O124" i="95"/>
  <c r="M124" i="95"/>
  <c r="K124" i="95"/>
  <c r="I124" i="95"/>
  <c r="G124" i="95"/>
  <c r="C124" i="95"/>
  <c r="R123" i="95"/>
  <c r="S123" i="95" s="1"/>
  <c r="Q123" i="95"/>
  <c r="O123" i="95"/>
  <c r="M123" i="95"/>
  <c r="K123" i="95"/>
  <c r="I123" i="95"/>
  <c r="G123" i="95"/>
  <c r="C123" i="95"/>
  <c r="R122" i="95"/>
  <c r="S122" i="95" s="1"/>
  <c r="Q122" i="95"/>
  <c r="O122" i="95"/>
  <c r="M122" i="95"/>
  <c r="K122" i="95"/>
  <c r="I122" i="95"/>
  <c r="G122" i="95"/>
  <c r="C122" i="95"/>
  <c r="R121" i="95"/>
  <c r="S121" i="95" s="1"/>
  <c r="Q121" i="95"/>
  <c r="O121" i="95"/>
  <c r="M121" i="95"/>
  <c r="K121" i="95"/>
  <c r="I121" i="95"/>
  <c r="G121" i="95"/>
  <c r="C121" i="95"/>
  <c r="R120" i="95"/>
  <c r="S120" i="95" s="1"/>
  <c r="Q120" i="95"/>
  <c r="O120" i="95"/>
  <c r="M120" i="95"/>
  <c r="K120" i="95"/>
  <c r="I120" i="95"/>
  <c r="G120" i="95"/>
  <c r="C120" i="95"/>
  <c r="R119" i="95"/>
  <c r="S119" i="95" s="1"/>
  <c r="Q119" i="95"/>
  <c r="O119" i="95"/>
  <c r="M119" i="95"/>
  <c r="K119" i="95"/>
  <c r="I119" i="95"/>
  <c r="G119" i="95"/>
  <c r="C119" i="95"/>
  <c r="R118" i="95"/>
  <c r="S118" i="95" s="1"/>
  <c r="Q118" i="95"/>
  <c r="O118" i="95"/>
  <c r="M118" i="95"/>
  <c r="K118" i="95"/>
  <c r="I118" i="95"/>
  <c r="G118" i="95"/>
  <c r="C118" i="95"/>
  <c r="R117" i="95"/>
  <c r="S117" i="95" s="1"/>
  <c r="Q117" i="95"/>
  <c r="O117" i="95"/>
  <c r="M117" i="95"/>
  <c r="K117" i="95"/>
  <c r="I117" i="95"/>
  <c r="G117" i="95"/>
  <c r="C117" i="95"/>
  <c r="R116" i="95"/>
  <c r="S116" i="95" s="1"/>
  <c r="Q116" i="95"/>
  <c r="O116" i="95"/>
  <c r="M116" i="95"/>
  <c r="K116" i="95"/>
  <c r="I116" i="95"/>
  <c r="G116" i="95"/>
  <c r="C116" i="95"/>
  <c r="R115" i="95"/>
  <c r="S115" i="95" s="1"/>
  <c r="Q115" i="95"/>
  <c r="O115" i="95"/>
  <c r="M115" i="95"/>
  <c r="K115" i="95"/>
  <c r="I115" i="95"/>
  <c r="G115" i="95"/>
  <c r="C115" i="95"/>
  <c r="R114" i="95"/>
  <c r="S114" i="95" s="1"/>
  <c r="Q114" i="95"/>
  <c r="O114" i="95"/>
  <c r="M114" i="95"/>
  <c r="K114" i="95"/>
  <c r="I114" i="95"/>
  <c r="G114" i="95"/>
  <c r="C114" i="95"/>
  <c r="R113" i="95"/>
  <c r="S113" i="95" s="1"/>
  <c r="Q113" i="95"/>
  <c r="O113" i="95"/>
  <c r="M113" i="95"/>
  <c r="K113" i="95"/>
  <c r="I113" i="95"/>
  <c r="G113" i="95"/>
  <c r="C113" i="95"/>
  <c r="R112" i="95"/>
  <c r="S112" i="95" s="1"/>
  <c r="Q112" i="95"/>
  <c r="O112" i="95"/>
  <c r="M112" i="95"/>
  <c r="K112" i="95"/>
  <c r="I112" i="95"/>
  <c r="G112" i="95"/>
  <c r="C112" i="95"/>
  <c r="R111" i="95"/>
  <c r="S111" i="95" s="1"/>
  <c r="Q111" i="95"/>
  <c r="O111" i="95"/>
  <c r="M111" i="95"/>
  <c r="K111" i="95"/>
  <c r="I111" i="95"/>
  <c r="G111" i="95"/>
  <c r="C111" i="95"/>
  <c r="R110" i="95"/>
  <c r="S110" i="95" s="1"/>
  <c r="Q110" i="95"/>
  <c r="O110" i="95"/>
  <c r="M110" i="95"/>
  <c r="K110" i="95"/>
  <c r="I110" i="95"/>
  <c r="G110" i="95"/>
  <c r="C110" i="95"/>
  <c r="R109" i="95"/>
  <c r="S109" i="95" s="1"/>
  <c r="Q109" i="95"/>
  <c r="O109" i="95"/>
  <c r="M109" i="95"/>
  <c r="K109" i="95"/>
  <c r="I109" i="95"/>
  <c r="G109" i="95"/>
  <c r="C109" i="95"/>
  <c r="R108" i="95"/>
  <c r="S108" i="95" s="1"/>
  <c r="Q108" i="95"/>
  <c r="O108" i="95"/>
  <c r="M108" i="95"/>
  <c r="K108" i="95"/>
  <c r="I108" i="95"/>
  <c r="G108" i="95"/>
  <c r="C108" i="95"/>
  <c r="R107" i="95"/>
  <c r="S107" i="95" s="1"/>
  <c r="Q107" i="95"/>
  <c r="O107" i="95"/>
  <c r="M107" i="95"/>
  <c r="K107" i="95"/>
  <c r="I107" i="95"/>
  <c r="G107" i="95"/>
  <c r="C107" i="95"/>
  <c r="R106" i="95"/>
  <c r="S106" i="95" s="1"/>
  <c r="Q106" i="95"/>
  <c r="O106" i="95"/>
  <c r="M106" i="95"/>
  <c r="K106" i="95"/>
  <c r="I106" i="95"/>
  <c r="G106" i="95"/>
  <c r="C106" i="95"/>
  <c r="R105" i="95"/>
  <c r="S105" i="95" s="1"/>
  <c r="Q105" i="95"/>
  <c r="O105" i="95"/>
  <c r="M105" i="95"/>
  <c r="K105" i="95"/>
  <c r="I105" i="95"/>
  <c r="G105" i="95"/>
  <c r="C105" i="95"/>
  <c r="R104" i="95"/>
  <c r="S104" i="95" s="1"/>
  <c r="Q104" i="95"/>
  <c r="O104" i="95"/>
  <c r="M104" i="95"/>
  <c r="K104" i="95"/>
  <c r="I104" i="95"/>
  <c r="G104" i="95"/>
  <c r="C104" i="95"/>
  <c r="R103" i="95"/>
  <c r="S103" i="95" s="1"/>
  <c r="Q103" i="95"/>
  <c r="O103" i="95"/>
  <c r="M103" i="95"/>
  <c r="K103" i="95"/>
  <c r="I103" i="95"/>
  <c r="G103" i="95"/>
  <c r="C103" i="95"/>
  <c r="R102" i="95"/>
  <c r="S102" i="95" s="1"/>
  <c r="Q102" i="95"/>
  <c r="O102" i="95"/>
  <c r="M102" i="95"/>
  <c r="K102" i="95"/>
  <c r="I102" i="95"/>
  <c r="G102" i="95"/>
  <c r="C102" i="95"/>
  <c r="R101" i="95"/>
  <c r="S101" i="95" s="1"/>
  <c r="Q101" i="95"/>
  <c r="O101" i="95"/>
  <c r="M101" i="95"/>
  <c r="K101" i="95"/>
  <c r="I101" i="95"/>
  <c r="G101" i="95"/>
  <c r="C101" i="95"/>
  <c r="R100" i="95"/>
  <c r="S100" i="95" s="1"/>
  <c r="Q100" i="95"/>
  <c r="O100" i="95"/>
  <c r="M100" i="95"/>
  <c r="K100" i="95"/>
  <c r="I100" i="95"/>
  <c r="G100" i="95"/>
  <c r="C100" i="95"/>
  <c r="R99" i="95"/>
  <c r="S99" i="95" s="1"/>
  <c r="Q99" i="95"/>
  <c r="O99" i="95"/>
  <c r="M99" i="95"/>
  <c r="K99" i="95"/>
  <c r="I99" i="95"/>
  <c r="G99" i="95"/>
  <c r="C99" i="95"/>
  <c r="R98" i="95"/>
  <c r="S98" i="95" s="1"/>
  <c r="Q98" i="95"/>
  <c r="O98" i="95"/>
  <c r="M98" i="95"/>
  <c r="K98" i="95"/>
  <c r="I98" i="95"/>
  <c r="G98" i="95"/>
  <c r="C98" i="95"/>
  <c r="R97" i="95"/>
  <c r="S97" i="95" s="1"/>
  <c r="Q97" i="95"/>
  <c r="O97" i="95"/>
  <c r="M97" i="95"/>
  <c r="K97" i="95"/>
  <c r="I97" i="95"/>
  <c r="G97" i="95"/>
  <c r="C97" i="95"/>
  <c r="R96" i="95"/>
  <c r="S96" i="95" s="1"/>
  <c r="Q96" i="95"/>
  <c r="O96" i="95"/>
  <c r="M96" i="95"/>
  <c r="K96" i="95"/>
  <c r="I96" i="95"/>
  <c r="G96" i="95"/>
  <c r="C96" i="95"/>
  <c r="R95" i="95"/>
  <c r="S95" i="95" s="1"/>
  <c r="Q95" i="95"/>
  <c r="O95" i="95"/>
  <c r="M95" i="95"/>
  <c r="K95" i="95"/>
  <c r="I95" i="95"/>
  <c r="G95" i="95"/>
  <c r="C95" i="95"/>
  <c r="R94" i="95"/>
  <c r="S94" i="95" s="1"/>
  <c r="Q94" i="95"/>
  <c r="O94" i="95"/>
  <c r="M94" i="95"/>
  <c r="K94" i="95"/>
  <c r="I94" i="95"/>
  <c r="G94" i="95"/>
  <c r="C94" i="95"/>
  <c r="R93" i="95"/>
  <c r="S93" i="95" s="1"/>
  <c r="Q93" i="95"/>
  <c r="O93" i="95"/>
  <c r="M93" i="95"/>
  <c r="K93" i="95"/>
  <c r="I93" i="95"/>
  <c r="G93" i="95"/>
  <c r="C93" i="95"/>
  <c r="R92" i="95"/>
  <c r="S92" i="95" s="1"/>
  <c r="Q92" i="95"/>
  <c r="O92" i="95"/>
  <c r="M92" i="95"/>
  <c r="K92" i="95"/>
  <c r="I92" i="95"/>
  <c r="G92" i="95"/>
  <c r="C92" i="95"/>
  <c r="R91" i="95"/>
  <c r="S91" i="95" s="1"/>
  <c r="Q91" i="95"/>
  <c r="O91" i="95"/>
  <c r="M91" i="95"/>
  <c r="K91" i="95"/>
  <c r="I91" i="95"/>
  <c r="G91" i="95"/>
  <c r="C91" i="95"/>
  <c r="R90" i="95"/>
  <c r="S90" i="95" s="1"/>
  <c r="Q90" i="95"/>
  <c r="O90" i="95"/>
  <c r="M90" i="95"/>
  <c r="K90" i="95"/>
  <c r="I90" i="95"/>
  <c r="G90" i="95"/>
  <c r="C90" i="95"/>
  <c r="R89" i="95"/>
  <c r="S89" i="95" s="1"/>
  <c r="Q89" i="95"/>
  <c r="O89" i="95"/>
  <c r="M89" i="95"/>
  <c r="K89" i="95"/>
  <c r="I89" i="95"/>
  <c r="G89" i="95"/>
  <c r="C89" i="95"/>
  <c r="R88" i="95"/>
  <c r="S88" i="95" s="1"/>
  <c r="Q88" i="95"/>
  <c r="O88" i="95"/>
  <c r="M88" i="95"/>
  <c r="K88" i="95"/>
  <c r="I88" i="95"/>
  <c r="G88" i="95"/>
  <c r="C88" i="95"/>
  <c r="R87" i="95"/>
  <c r="S87" i="95" s="1"/>
  <c r="Q87" i="95"/>
  <c r="O87" i="95"/>
  <c r="M87" i="95"/>
  <c r="K87" i="95"/>
  <c r="I87" i="95"/>
  <c r="G87" i="95"/>
  <c r="C87" i="95"/>
  <c r="R86" i="95"/>
  <c r="S86" i="95" s="1"/>
  <c r="Q86" i="95"/>
  <c r="O86" i="95"/>
  <c r="M86" i="95"/>
  <c r="K86" i="95"/>
  <c r="I86" i="95"/>
  <c r="G86" i="95"/>
  <c r="C86" i="95"/>
  <c r="R85" i="95"/>
  <c r="S85" i="95" s="1"/>
  <c r="Q85" i="95"/>
  <c r="O85" i="95"/>
  <c r="M85" i="95"/>
  <c r="K85" i="95"/>
  <c r="I85" i="95"/>
  <c r="G85" i="95"/>
  <c r="C85" i="95"/>
  <c r="R84" i="95"/>
  <c r="S84" i="95" s="1"/>
  <c r="Q84" i="95"/>
  <c r="O84" i="95"/>
  <c r="M84" i="95"/>
  <c r="K84" i="95"/>
  <c r="I84" i="95"/>
  <c r="G84" i="95"/>
  <c r="C84" i="95"/>
  <c r="R83" i="95"/>
  <c r="S83" i="95" s="1"/>
  <c r="Q83" i="95"/>
  <c r="O83" i="95"/>
  <c r="M83" i="95"/>
  <c r="K83" i="95"/>
  <c r="I83" i="95"/>
  <c r="G83" i="95"/>
  <c r="C83" i="95"/>
  <c r="R82" i="95"/>
  <c r="S82" i="95" s="1"/>
  <c r="Q82" i="95"/>
  <c r="O82" i="95"/>
  <c r="M82" i="95"/>
  <c r="K82" i="95"/>
  <c r="I82" i="95"/>
  <c r="G82" i="95"/>
  <c r="C82" i="95"/>
  <c r="R81" i="95"/>
  <c r="S81" i="95" s="1"/>
  <c r="Q81" i="95"/>
  <c r="O81" i="95"/>
  <c r="M81" i="95"/>
  <c r="K81" i="95"/>
  <c r="I81" i="95"/>
  <c r="G81" i="95"/>
  <c r="C81" i="95"/>
  <c r="R80" i="95"/>
  <c r="S80" i="95" s="1"/>
  <c r="Q80" i="95"/>
  <c r="O80" i="95"/>
  <c r="M80" i="95"/>
  <c r="K80" i="95"/>
  <c r="I80" i="95"/>
  <c r="G80" i="95"/>
  <c r="C80" i="95"/>
  <c r="R79" i="95"/>
  <c r="S79" i="95" s="1"/>
  <c r="Q79" i="95"/>
  <c r="O79" i="95"/>
  <c r="M79" i="95"/>
  <c r="K79" i="95"/>
  <c r="I79" i="95"/>
  <c r="G79" i="95"/>
  <c r="C79" i="95"/>
  <c r="R78" i="95"/>
  <c r="S78" i="95" s="1"/>
  <c r="Q78" i="95"/>
  <c r="O78" i="95"/>
  <c r="M78" i="95"/>
  <c r="K78" i="95"/>
  <c r="I78" i="95"/>
  <c r="G78" i="95"/>
  <c r="C78" i="95"/>
  <c r="R77" i="95"/>
  <c r="S77" i="95" s="1"/>
  <c r="Q77" i="95"/>
  <c r="O77" i="95"/>
  <c r="M77" i="95"/>
  <c r="K77" i="95"/>
  <c r="I77" i="95"/>
  <c r="G77" i="95"/>
  <c r="C77" i="95"/>
  <c r="R76" i="95"/>
  <c r="S76" i="95" s="1"/>
  <c r="Q76" i="95"/>
  <c r="O76" i="95"/>
  <c r="M76" i="95"/>
  <c r="K76" i="95"/>
  <c r="I76" i="95"/>
  <c r="G76" i="95"/>
  <c r="C76" i="95"/>
  <c r="R75" i="95"/>
  <c r="S75" i="95" s="1"/>
  <c r="Q75" i="95"/>
  <c r="O75" i="95"/>
  <c r="M75" i="95"/>
  <c r="K75" i="95"/>
  <c r="I75" i="95"/>
  <c r="G75" i="95"/>
  <c r="C75" i="95"/>
  <c r="R74" i="95"/>
  <c r="S74" i="95" s="1"/>
  <c r="Q74" i="95"/>
  <c r="O74" i="95"/>
  <c r="M74" i="95"/>
  <c r="K74" i="95"/>
  <c r="I74" i="95"/>
  <c r="G74" i="95"/>
  <c r="C74" i="95"/>
  <c r="R73" i="95"/>
  <c r="S73" i="95" s="1"/>
  <c r="Q73" i="95"/>
  <c r="O73" i="95"/>
  <c r="M73" i="95"/>
  <c r="K73" i="95"/>
  <c r="I73" i="95"/>
  <c r="G73" i="95"/>
  <c r="C73" i="95"/>
  <c r="R72" i="95"/>
  <c r="S72" i="95" s="1"/>
  <c r="Q72" i="95"/>
  <c r="O72" i="95"/>
  <c r="M72" i="95"/>
  <c r="K72" i="95"/>
  <c r="I72" i="95"/>
  <c r="G72" i="95"/>
  <c r="C72" i="95"/>
  <c r="R71" i="95"/>
  <c r="S71" i="95" s="1"/>
  <c r="Q71" i="95"/>
  <c r="O71" i="95"/>
  <c r="M71" i="95"/>
  <c r="K71" i="95"/>
  <c r="I71" i="95"/>
  <c r="G71" i="95"/>
  <c r="C71" i="95"/>
  <c r="R70" i="95"/>
  <c r="S70" i="95" s="1"/>
  <c r="Q70" i="95"/>
  <c r="O70" i="95"/>
  <c r="M70" i="95"/>
  <c r="K70" i="95"/>
  <c r="I70" i="95"/>
  <c r="G70" i="95"/>
  <c r="C70" i="95"/>
  <c r="R69" i="95"/>
  <c r="S69" i="95" s="1"/>
  <c r="Q69" i="95"/>
  <c r="O69" i="95"/>
  <c r="M69" i="95"/>
  <c r="K69" i="95"/>
  <c r="I69" i="95"/>
  <c r="G69" i="95"/>
  <c r="C69" i="95"/>
  <c r="R68" i="95"/>
  <c r="S68" i="95" s="1"/>
  <c r="Q68" i="95"/>
  <c r="O68" i="95"/>
  <c r="M68" i="95"/>
  <c r="K68" i="95"/>
  <c r="I68" i="95"/>
  <c r="G68" i="95"/>
  <c r="C68" i="95"/>
  <c r="R67" i="95"/>
  <c r="S67" i="95" s="1"/>
  <c r="Q67" i="95"/>
  <c r="O67" i="95"/>
  <c r="M67" i="95"/>
  <c r="K67" i="95"/>
  <c r="I67" i="95"/>
  <c r="G67" i="95"/>
  <c r="C67" i="95"/>
  <c r="R66" i="95"/>
  <c r="S66" i="95" s="1"/>
  <c r="Q66" i="95"/>
  <c r="O66" i="95"/>
  <c r="M66" i="95"/>
  <c r="K66" i="95"/>
  <c r="I66" i="95"/>
  <c r="G66" i="95"/>
  <c r="C66" i="95"/>
  <c r="R65" i="95"/>
  <c r="S65" i="95" s="1"/>
  <c r="Q65" i="95"/>
  <c r="O65" i="95"/>
  <c r="M65" i="95"/>
  <c r="K65" i="95"/>
  <c r="I65" i="95"/>
  <c r="G65" i="95"/>
  <c r="C65" i="95"/>
  <c r="R64" i="95"/>
  <c r="S64" i="95" s="1"/>
  <c r="Q64" i="95"/>
  <c r="O64" i="95"/>
  <c r="M64" i="95"/>
  <c r="K64" i="95"/>
  <c r="I64" i="95"/>
  <c r="G64" i="95"/>
  <c r="C64" i="95"/>
  <c r="R63" i="95"/>
  <c r="S63" i="95" s="1"/>
  <c r="Q63" i="95"/>
  <c r="O63" i="95"/>
  <c r="M63" i="95"/>
  <c r="K63" i="95"/>
  <c r="I63" i="95"/>
  <c r="G63" i="95"/>
  <c r="C63" i="95"/>
  <c r="R62" i="95"/>
  <c r="S62" i="95" s="1"/>
  <c r="Q62" i="95"/>
  <c r="O62" i="95"/>
  <c r="M62" i="95"/>
  <c r="K62" i="95"/>
  <c r="I62" i="95"/>
  <c r="G62" i="95"/>
  <c r="C62" i="95"/>
  <c r="R61" i="95"/>
  <c r="S61" i="95" s="1"/>
  <c r="Q61" i="95"/>
  <c r="O61" i="95"/>
  <c r="M61" i="95"/>
  <c r="K61" i="95"/>
  <c r="I61" i="95"/>
  <c r="G61" i="95"/>
  <c r="C61" i="95"/>
  <c r="R60" i="95"/>
  <c r="S60" i="95" s="1"/>
  <c r="Q60" i="95"/>
  <c r="O60" i="95"/>
  <c r="M60" i="95"/>
  <c r="K60" i="95"/>
  <c r="I60" i="95"/>
  <c r="G60" i="95"/>
  <c r="C60" i="95"/>
  <c r="R59" i="95"/>
  <c r="S59" i="95" s="1"/>
  <c r="Q59" i="95"/>
  <c r="O59" i="95"/>
  <c r="M59" i="95"/>
  <c r="K59" i="95"/>
  <c r="I59" i="95"/>
  <c r="G59" i="95"/>
  <c r="C59" i="95"/>
  <c r="R58" i="95"/>
  <c r="S58" i="95" s="1"/>
  <c r="Q58" i="95"/>
  <c r="O58" i="95"/>
  <c r="M58" i="95"/>
  <c r="K58" i="95"/>
  <c r="I58" i="95"/>
  <c r="G58" i="95"/>
  <c r="C58" i="95"/>
  <c r="R57" i="95"/>
  <c r="S57" i="95" s="1"/>
  <c r="Q57" i="95"/>
  <c r="O57" i="95"/>
  <c r="M57" i="95"/>
  <c r="K57" i="95"/>
  <c r="I57" i="95"/>
  <c r="G57" i="95"/>
  <c r="C57" i="95"/>
  <c r="R56" i="95"/>
  <c r="S56" i="95" s="1"/>
  <c r="Q56" i="95"/>
  <c r="O56" i="95"/>
  <c r="M56" i="95"/>
  <c r="K56" i="95"/>
  <c r="I56" i="95"/>
  <c r="G56" i="95"/>
  <c r="C56" i="95"/>
  <c r="R55" i="95"/>
  <c r="S55" i="95" s="1"/>
  <c r="Q55" i="95"/>
  <c r="O55" i="95"/>
  <c r="M55" i="95"/>
  <c r="K55" i="95"/>
  <c r="I55" i="95"/>
  <c r="G55" i="95"/>
  <c r="C55" i="95"/>
  <c r="R54" i="95"/>
  <c r="S54" i="95" s="1"/>
  <c r="Q54" i="95"/>
  <c r="O54" i="95"/>
  <c r="M54" i="95"/>
  <c r="K54" i="95"/>
  <c r="I54" i="95"/>
  <c r="G54" i="95"/>
  <c r="C54" i="95"/>
  <c r="R53" i="95"/>
  <c r="S53" i="95" s="1"/>
  <c r="Q53" i="95"/>
  <c r="O53" i="95"/>
  <c r="M53" i="95"/>
  <c r="K53" i="95"/>
  <c r="I53" i="95"/>
  <c r="G53" i="95"/>
  <c r="C53" i="95"/>
  <c r="R52" i="95"/>
  <c r="S52" i="95" s="1"/>
  <c r="Q52" i="95"/>
  <c r="O52" i="95"/>
  <c r="M52" i="95"/>
  <c r="K52" i="95"/>
  <c r="I52" i="95"/>
  <c r="G52" i="95"/>
  <c r="C52" i="95"/>
  <c r="R51" i="95"/>
  <c r="S51" i="95" s="1"/>
  <c r="Q51" i="95"/>
  <c r="O51" i="95"/>
  <c r="M51" i="95"/>
  <c r="K51" i="95"/>
  <c r="I51" i="95"/>
  <c r="G51" i="95"/>
  <c r="C51" i="95"/>
  <c r="R50" i="95"/>
  <c r="S50" i="95" s="1"/>
  <c r="Q50" i="95"/>
  <c r="O50" i="95"/>
  <c r="M50" i="95"/>
  <c r="K50" i="95"/>
  <c r="I50" i="95"/>
  <c r="G50" i="95"/>
  <c r="C50" i="95"/>
  <c r="R49" i="95"/>
  <c r="S49" i="95" s="1"/>
  <c r="Q49" i="95"/>
  <c r="O49" i="95"/>
  <c r="M49" i="95"/>
  <c r="K49" i="95"/>
  <c r="I49" i="95"/>
  <c r="G49" i="95"/>
  <c r="C49" i="95"/>
  <c r="R48" i="95"/>
  <c r="S48" i="95" s="1"/>
  <c r="Q48" i="95"/>
  <c r="O48" i="95"/>
  <c r="M48" i="95"/>
  <c r="K48" i="95"/>
  <c r="I48" i="95"/>
  <c r="G48" i="95"/>
  <c r="C48" i="95"/>
  <c r="R47" i="95"/>
  <c r="S47" i="95" s="1"/>
  <c r="Q47" i="95"/>
  <c r="O47" i="95"/>
  <c r="M47" i="95"/>
  <c r="K47" i="95"/>
  <c r="I47" i="95"/>
  <c r="G47" i="95"/>
  <c r="C47" i="95"/>
  <c r="R46" i="95"/>
  <c r="S46" i="95" s="1"/>
  <c r="Q46" i="95"/>
  <c r="O46" i="95"/>
  <c r="M46" i="95"/>
  <c r="K46" i="95"/>
  <c r="I46" i="95"/>
  <c r="G46" i="95"/>
  <c r="C46" i="95"/>
  <c r="R45" i="95"/>
  <c r="S45" i="95" s="1"/>
  <c r="Q45" i="95"/>
  <c r="O45" i="95"/>
  <c r="M45" i="95"/>
  <c r="K45" i="95"/>
  <c r="I45" i="95"/>
  <c r="G45" i="95"/>
  <c r="C45" i="95"/>
  <c r="R44" i="95"/>
  <c r="S44" i="95" s="1"/>
  <c r="Q44" i="95"/>
  <c r="O44" i="95"/>
  <c r="M44" i="95"/>
  <c r="K44" i="95"/>
  <c r="I44" i="95"/>
  <c r="G44" i="95"/>
  <c r="C44" i="95"/>
  <c r="R43" i="95"/>
  <c r="S43" i="95" s="1"/>
  <c r="Q43" i="95"/>
  <c r="O43" i="95"/>
  <c r="M43" i="95"/>
  <c r="K43" i="95"/>
  <c r="I43" i="95"/>
  <c r="G43" i="95"/>
  <c r="C43" i="95"/>
  <c r="R42" i="95"/>
  <c r="S42" i="95" s="1"/>
  <c r="Q42" i="95"/>
  <c r="O42" i="95"/>
  <c r="M42" i="95"/>
  <c r="K42" i="95"/>
  <c r="I42" i="95"/>
  <c r="G42" i="95"/>
  <c r="C42" i="95"/>
  <c r="R41" i="95"/>
  <c r="S41" i="95" s="1"/>
  <c r="Q41" i="95"/>
  <c r="O41" i="95"/>
  <c r="M41" i="95"/>
  <c r="K41" i="95"/>
  <c r="I41" i="95"/>
  <c r="G41" i="95"/>
  <c r="C41" i="95"/>
  <c r="R40" i="95"/>
  <c r="S40" i="95" s="1"/>
  <c r="Q40" i="95"/>
  <c r="O40" i="95"/>
  <c r="M40" i="95"/>
  <c r="K40" i="95"/>
  <c r="I40" i="95"/>
  <c r="G40" i="95"/>
  <c r="C40" i="95"/>
  <c r="R39" i="95"/>
  <c r="S39" i="95" s="1"/>
  <c r="Q39" i="95"/>
  <c r="O39" i="95"/>
  <c r="M39" i="95"/>
  <c r="K39" i="95"/>
  <c r="I39" i="95"/>
  <c r="G39" i="95"/>
  <c r="C39" i="95"/>
  <c r="R38" i="95"/>
  <c r="S38" i="95" s="1"/>
  <c r="Q38" i="95"/>
  <c r="O38" i="95"/>
  <c r="M38" i="95"/>
  <c r="K38" i="95"/>
  <c r="I38" i="95"/>
  <c r="G38" i="95"/>
  <c r="C38" i="95"/>
  <c r="R37" i="95"/>
  <c r="S37" i="95" s="1"/>
  <c r="Q37" i="95"/>
  <c r="O37" i="95"/>
  <c r="M37" i="95"/>
  <c r="K37" i="95"/>
  <c r="I37" i="95"/>
  <c r="G37" i="95"/>
  <c r="C37" i="95"/>
  <c r="R36" i="95"/>
  <c r="S36" i="95" s="1"/>
  <c r="Q36" i="95"/>
  <c r="O36" i="95"/>
  <c r="M36" i="95"/>
  <c r="K36" i="95"/>
  <c r="I36" i="95"/>
  <c r="G36" i="95"/>
  <c r="C36" i="95"/>
  <c r="R35" i="95"/>
  <c r="S35" i="95" s="1"/>
  <c r="Q35" i="95"/>
  <c r="O35" i="95"/>
  <c r="M35" i="95"/>
  <c r="K35" i="95"/>
  <c r="I35" i="95"/>
  <c r="G35" i="95"/>
  <c r="C35" i="95"/>
  <c r="R34" i="95"/>
  <c r="S34" i="95" s="1"/>
  <c r="Q34" i="95"/>
  <c r="O34" i="95"/>
  <c r="M34" i="95"/>
  <c r="K34" i="95"/>
  <c r="I34" i="95"/>
  <c r="G34" i="95"/>
  <c r="C34" i="95"/>
  <c r="R33" i="95"/>
  <c r="S33" i="95" s="1"/>
  <c r="Q33" i="95"/>
  <c r="O33" i="95"/>
  <c r="M33" i="95"/>
  <c r="K33" i="95"/>
  <c r="I33" i="95"/>
  <c r="G33" i="95"/>
  <c r="C33" i="95"/>
  <c r="R32" i="95"/>
  <c r="S32" i="95" s="1"/>
  <c r="Q32" i="95"/>
  <c r="O32" i="95"/>
  <c r="M32" i="95"/>
  <c r="K32" i="95"/>
  <c r="I32" i="95"/>
  <c r="G32" i="95"/>
  <c r="C32" i="95"/>
  <c r="R31" i="95"/>
  <c r="S31" i="95" s="1"/>
  <c r="Q31" i="95"/>
  <c r="O31" i="95"/>
  <c r="M31" i="95"/>
  <c r="K31" i="95"/>
  <c r="I31" i="95"/>
  <c r="G31" i="95"/>
  <c r="C31" i="95"/>
  <c r="Q30" i="95"/>
  <c r="O30" i="95"/>
  <c r="M30" i="95"/>
  <c r="K30" i="95"/>
  <c r="I30" i="95"/>
  <c r="G30" i="95"/>
  <c r="A30" i="95"/>
  <c r="Q29" i="95"/>
  <c r="O29" i="95"/>
  <c r="M29" i="95"/>
  <c r="K29" i="95"/>
  <c r="I29" i="95"/>
  <c r="G29" i="95"/>
  <c r="A29" i="95"/>
  <c r="R28" i="95"/>
  <c r="S28" i="95" s="1"/>
  <c r="Q28" i="95"/>
  <c r="O28" i="95"/>
  <c r="M28" i="95"/>
  <c r="K28" i="95"/>
  <c r="I28" i="95"/>
  <c r="G28" i="95"/>
  <c r="C28" i="95"/>
  <c r="Q27" i="95"/>
  <c r="O27" i="95"/>
  <c r="M27" i="95"/>
  <c r="K27" i="95"/>
  <c r="I27" i="95"/>
  <c r="G27" i="95"/>
  <c r="Q26" i="95"/>
  <c r="O26" i="95"/>
  <c r="M26" i="95"/>
  <c r="K26" i="95"/>
  <c r="I26" i="95"/>
  <c r="G26" i="95"/>
  <c r="A26" i="95"/>
  <c r="Q25" i="95"/>
  <c r="O25" i="95"/>
  <c r="M25" i="95"/>
  <c r="K25" i="95"/>
  <c r="I25" i="95"/>
  <c r="G25" i="95"/>
  <c r="A25" i="95"/>
  <c r="A24" i="95"/>
  <c r="P23" i="95"/>
  <c r="N23" i="95"/>
  <c r="L23" i="95"/>
  <c r="J23" i="95"/>
  <c r="H23" i="95"/>
  <c r="F23" i="95"/>
  <c r="D23" i="95"/>
  <c r="D12" i="95"/>
  <c r="E12" i="95" s="1"/>
  <c r="F12" i="95" s="1"/>
  <c r="G12" i="95" s="1"/>
  <c r="H12" i="95" s="1"/>
  <c r="I12" i="95" s="1"/>
  <c r="J12" i="95" s="1"/>
  <c r="K12" i="95" s="1"/>
  <c r="L12" i="95" s="1"/>
  <c r="M12" i="95" s="1"/>
  <c r="N12" i="95" s="1"/>
  <c r="O12" i="95" s="1"/>
  <c r="P12" i="95" s="1"/>
  <c r="Q12" i="95" s="1"/>
  <c r="R12" i="95" s="1"/>
  <c r="S12" i="95" s="1"/>
  <c r="D10" i="95"/>
  <c r="E10" i="95" s="1"/>
  <c r="F10" i="95" s="1"/>
  <c r="G10" i="95" s="1"/>
  <c r="H10" i="95" s="1"/>
  <c r="I10" i="95" s="1"/>
  <c r="J10" i="95" s="1"/>
  <c r="K10" i="95" s="1"/>
  <c r="L10" i="95" s="1"/>
  <c r="M10" i="95" s="1"/>
  <c r="N10" i="95" s="1"/>
  <c r="O10" i="95" s="1"/>
  <c r="P10" i="95" s="1"/>
  <c r="Q10" i="95" s="1"/>
  <c r="R10" i="95" s="1"/>
  <c r="S10" i="95" s="1"/>
  <c r="D8" i="95"/>
  <c r="E8" i="95" s="1"/>
  <c r="F8" i="95" s="1"/>
  <c r="G8" i="95" s="1"/>
  <c r="H8" i="95" s="1"/>
  <c r="I8" i="95" s="1"/>
  <c r="J8" i="95" s="1"/>
  <c r="K8" i="95" s="1"/>
  <c r="L8" i="95" s="1"/>
  <c r="M8" i="95" s="1"/>
  <c r="N8" i="95" s="1"/>
  <c r="O8" i="95" s="1"/>
  <c r="P8" i="95" s="1"/>
  <c r="Q8" i="95" s="1"/>
  <c r="R8" i="95" s="1"/>
  <c r="S8" i="95" s="1"/>
  <c r="D6" i="95"/>
  <c r="E199" i="95" s="1"/>
  <c r="S2" i="95"/>
  <c r="R2" i="95"/>
  <c r="Q2" i="95"/>
  <c r="P2" i="95"/>
  <c r="O2" i="95"/>
  <c r="N2" i="95"/>
  <c r="M2" i="95"/>
  <c r="L2" i="95"/>
  <c r="K2" i="95"/>
  <c r="J2" i="95"/>
  <c r="I2" i="95"/>
  <c r="H2" i="95"/>
  <c r="G2" i="95"/>
  <c r="F2" i="95"/>
  <c r="E2" i="95"/>
  <c r="D2" i="95"/>
  <c r="C2" i="95"/>
  <c r="I8" i="82"/>
  <c r="C21" i="79" s="1"/>
  <c r="E21" i="79" s="1"/>
  <c r="T29" i="95" s="1"/>
  <c r="I7" i="82"/>
  <c r="K7" i="82" s="1"/>
  <c r="I6" i="82"/>
  <c r="K6" i="82" s="1"/>
  <c r="I5" i="82"/>
  <c r="C19" i="79" s="1"/>
  <c r="I4" i="82"/>
  <c r="C18" i="79" s="1"/>
  <c r="I3" i="82"/>
  <c r="K3" i="82" s="1"/>
  <c r="I2" i="82"/>
  <c r="C16" i="79" s="1"/>
  <c r="F20" i="95"/>
  <c r="E19" i="79" l="1"/>
  <c r="T27" i="95" s="1"/>
  <c r="I9" i="82"/>
  <c r="K9" i="82" s="1"/>
  <c r="K8" i="82"/>
  <c r="K4" i="82"/>
  <c r="D16" i="79"/>
  <c r="E16" i="79" s="1"/>
  <c r="T24" i="95" s="1"/>
  <c r="C20" i="79"/>
  <c r="E20" i="79" s="1"/>
  <c r="T28" i="95" s="1"/>
  <c r="C17" i="79"/>
  <c r="C22" i="79" s="1"/>
  <c r="E22" i="79" s="1"/>
  <c r="T30" i="95" s="1"/>
  <c r="K2" i="82"/>
  <c r="K5" i="82"/>
  <c r="E18" i="79"/>
  <c r="T26" i="95" s="1"/>
  <c r="E28" i="95"/>
  <c r="E38" i="95"/>
  <c r="E25" i="95"/>
  <c r="E26" i="95"/>
  <c r="E29" i="95"/>
  <c r="E30" i="95"/>
  <c r="E31" i="95"/>
  <c r="E33" i="95"/>
  <c r="E35" i="95"/>
  <c r="E37" i="95"/>
  <c r="E39" i="95"/>
  <c r="E41" i="95"/>
  <c r="E43" i="95"/>
  <c r="E45" i="95"/>
  <c r="E47" i="95"/>
  <c r="E49" i="95"/>
  <c r="E51" i="95"/>
  <c r="E53" i="95"/>
  <c r="E55" i="95"/>
  <c r="E57" i="95"/>
  <c r="E59" i="95"/>
  <c r="E61" i="95"/>
  <c r="E63" i="95"/>
  <c r="E65" i="95"/>
  <c r="E67" i="95"/>
  <c r="E69" i="95"/>
  <c r="E71" i="95"/>
  <c r="E73" i="95"/>
  <c r="E75" i="95"/>
  <c r="E77" i="95"/>
  <c r="E79" i="95"/>
  <c r="E81" i="95"/>
  <c r="E83" i="95"/>
  <c r="E85" i="95"/>
  <c r="E87" i="95"/>
  <c r="E89" i="95"/>
  <c r="E91" i="95"/>
  <c r="E93" i="95"/>
  <c r="E95" i="95"/>
  <c r="E97" i="95"/>
  <c r="E99" i="95"/>
  <c r="E101" i="95"/>
  <c r="E103" i="95"/>
  <c r="E105" i="95"/>
  <c r="E107" i="95"/>
  <c r="E109" i="95"/>
  <c r="E111" i="95"/>
  <c r="E113" i="95"/>
  <c r="E115" i="95"/>
  <c r="E117" i="95"/>
  <c r="E119" i="95"/>
  <c r="E121" i="95"/>
  <c r="E123" i="95"/>
  <c r="E125" i="95"/>
  <c r="E127" i="95"/>
  <c r="E129" i="95"/>
  <c r="E131" i="95"/>
  <c r="E133" i="95"/>
  <c r="E135" i="95"/>
  <c r="E137" i="95"/>
  <c r="E139" i="95"/>
  <c r="E141" i="95"/>
  <c r="E143" i="95"/>
  <c r="E145" i="95"/>
  <c r="E147" i="95"/>
  <c r="E149" i="95"/>
  <c r="E151" i="95"/>
  <c r="E153" i="95"/>
  <c r="E155" i="95"/>
  <c r="E157" i="95"/>
  <c r="E159" i="95"/>
  <c r="E161" i="95"/>
  <c r="E163" i="95"/>
  <c r="E165" i="95"/>
  <c r="E167" i="95"/>
  <c r="E169" i="95"/>
  <c r="E171" i="95"/>
  <c r="E173" i="95"/>
  <c r="E175" i="95"/>
  <c r="E177" i="95"/>
  <c r="E179" i="95"/>
  <c r="E181" i="95"/>
  <c r="E183" i="95"/>
  <c r="E185" i="95"/>
  <c r="E187" i="95"/>
  <c r="E189" i="95"/>
  <c r="E191" i="95"/>
  <c r="E193" i="95"/>
  <c r="E195" i="95"/>
  <c r="E6" i="95"/>
  <c r="F6" i="95" s="1"/>
  <c r="G6" i="95" s="1"/>
  <c r="H6" i="95" s="1"/>
  <c r="I6" i="95" s="1"/>
  <c r="J6" i="95" s="1"/>
  <c r="K6" i="95" s="1"/>
  <c r="L6" i="95" s="1"/>
  <c r="M6" i="95" s="1"/>
  <c r="N6" i="95" s="1"/>
  <c r="O6" i="95" s="1"/>
  <c r="P6" i="95" s="1"/>
  <c r="Q6" i="95" s="1"/>
  <c r="R6" i="95" s="1"/>
  <c r="S6" i="95" s="1"/>
  <c r="E524" i="95"/>
  <c r="E522" i="95"/>
  <c r="E520" i="95"/>
  <c r="E518" i="95"/>
  <c r="E516" i="95"/>
  <c r="E514" i="95"/>
  <c r="E512" i="95"/>
  <c r="E510" i="95"/>
  <c r="E508" i="95"/>
  <c r="E506" i="95"/>
  <c r="E504" i="95"/>
  <c r="E502" i="95"/>
  <c r="E500" i="95"/>
  <c r="E498" i="95"/>
  <c r="E496" i="95"/>
  <c r="E494" i="95"/>
  <c r="E492" i="95"/>
  <c r="E490" i="95"/>
  <c r="E488" i="95"/>
  <c r="E486" i="95"/>
  <c r="E484" i="95"/>
  <c r="E482" i="95"/>
  <c r="E480" i="95"/>
  <c r="E478" i="95"/>
  <c r="E476" i="95"/>
  <c r="E474" i="95"/>
  <c r="E472" i="95"/>
  <c r="E470" i="95"/>
  <c r="E468" i="95"/>
  <c r="E466" i="95"/>
  <c r="E464" i="95"/>
  <c r="E462" i="95"/>
  <c r="E460" i="95"/>
  <c r="E458" i="95"/>
  <c r="E456" i="95"/>
  <c r="E454" i="95"/>
  <c r="E452" i="95"/>
  <c r="E450" i="95"/>
  <c r="E448" i="95"/>
  <c r="E446" i="95"/>
  <c r="E444" i="95"/>
  <c r="E442" i="95"/>
  <c r="E440" i="95"/>
  <c r="E438" i="95"/>
  <c r="E436" i="95"/>
  <c r="E434" i="95"/>
  <c r="E432" i="95"/>
  <c r="E430" i="95"/>
  <c r="E428" i="95"/>
  <c r="E426" i="95"/>
  <c r="E424" i="95"/>
  <c r="E422" i="95"/>
  <c r="E420" i="95"/>
  <c r="E418" i="95"/>
  <c r="E416" i="95"/>
  <c r="E414" i="95"/>
  <c r="E412" i="95"/>
  <c r="E410" i="95"/>
  <c r="E408" i="95"/>
  <c r="E406" i="95"/>
  <c r="E404" i="95"/>
  <c r="E402" i="95"/>
  <c r="E400" i="95"/>
  <c r="E398" i="95"/>
  <c r="E396" i="95"/>
  <c r="E394" i="95"/>
  <c r="E392" i="95"/>
  <c r="E390" i="95"/>
  <c r="E523" i="95"/>
  <c r="E521" i="95"/>
  <c r="E519" i="95"/>
  <c r="E517" i="95"/>
  <c r="E515" i="95"/>
  <c r="E513" i="95"/>
  <c r="E511" i="95"/>
  <c r="E509" i="95"/>
  <c r="E507" i="95"/>
  <c r="E505" i="95"/>
  <c r="E503" i="95"/>
  <c r="E501" i="95"/>
  <c r="E499" i="95"/>
  <c r="E497" i="95"/>
  <c r="E495" i="95"/>
  <c r="E493" i="95"/>
  <c r="E491" i="95"/>
  <c r="E489" i="95"/>
  <c r="E487" i="95"/>
  <c r="E485" i="95"/>
  <c r="E483" i="95"/>
  <c r="E481" i="95"/>
  <c r="E479" i="95"/>
  <c r="E477" i="95"/>
  <c r="E475" i="95"/>
  <c r="E473" i="95"/>
  <c r="E471" i="95"/>
  <c r="E469" i="95"/>
  <c r="E467" i="95"/>
  <c r="E465" i="95"/>
  <c r="E463" i="95"/>
  <c r="E461" i="95"/>
  <c r="E459" i="95"/>
  <c r="E457" i="95"/>
  <c r="E455" i="95"/>
  <c r="E453" i="95"/>
  <c r="E451" i="95"/>
  <c r="E449" i="95"/>
  <c r="E447" i="95"/>
  <c r="E445" i="95"/>
  <c r="E443" i="95"/>
  <c r="E441" i="95"/>
  <c r="E439" i="95"/>
  <c r="E437" i="95"/>
  <c r="E435" i="95"/>
  <c r="E433" i="95"/>
  <c r="E431" i="95"/>
  <c r="E429" i="95"/>
  <c r="E427" i="95"/>
  <c r="E425" i="95"/>
  <c r="E423" i="95"/>
  <c r="E421" i="95"/>
  <c r="E419" i="95"/>
  <c r="E417" i="95"/>
  <c r="E415" i="95"/>
  <c r="E413" i="95"/>
  <c r="E411" i="95"/>
  <c r="E409" i="95"/>
  <c r="E407" i="95"/>
  <c r="E405" i="95"/>
  <c r="E403" i="95"/>
  <c r="E401" i="95"/>
  <c r="E399" i="95"/>
  <c r="E397" i="95"/>
  <c r="E395" i="95"/>
  <c r="E393" i="95"/>
  <c r="E391" i="95"/>
  <c r="E389" i="95"/>
  <c r="E387" i="95"/>
  <c r="E385" i="95"/>
  <c r="E383" i="95"/>
  <c r="E381" i="95"/>
  <c r="E379" i="95"/>
  <c r="E377" i="95"/>
  <c r="E375" i="95"/>
  <c r="E373" i="95"/>
  <c r="E371" i="95"/>
  <c r="E369" i="95"/>
  <c r="E367" i="95"/>
  <c r="E365" i="95"/>
  <c r="E363" i="95"/>
  <c r="E361" i="95"/>
  <c r="E359" i="95"/>
  <c r="E357" i="95"/>
  <c r="E355" i="95"/>
  <c r="E388" i="95"/>
  <c r="E384" i="95"/>
  <c r="E380" i="95"/>
  <c r="E376" i="95"/>
  <c r="E372" i="95"/>
  <c r="E368" i="95"/>
  <c r="E364" i="95"/>
  <c r="E360" i="95"/>
  <c r="E356" i="95"/>
  <c r="E353" i="95"/>
  <c r="E351" i="95"/>
  <c r="E349" i="95"/>
  <c r="E347" i="95"/>
  <c r="E345" i="95"/>
  <c r="E343" i="95"/>
  <c r="E341" i="95"/>
  <c r="E339" i="95"/>
  <c r="E337" i="95"/>
  <c r="E335" i="95"/>
  <c r="E333" i="95"/>
  <c r="E331" i="95"/>
  <c r="E329" i="95"/>
  <c r="E327" i="95"/>
  <c r="E325" i="95"/>
  <c r="E323" i="95"/>
  <c r="E321" i="95"/>
  <c r="E319" i="95"/>
  <c r="E317" i="95"/>
  <c r="E315" i="95"/>
  <c r="E313" i="95"/>
  <c r="E311" i="95"/>
  <c r="E309" i="95"/>
  <c r="E307" i="95"/>
  <c r="E305" i="95"/>
  <c r="E303" i="95"/>
  <c r="E301" i="95"/>
  <c r="E299" i="95"/>
  <c r="E297" i="95"/>
  <c r="E295" i="95"/>
  <c r="E293" i="95"/>
  <c r="E291" i="95"/>
  <c r="E289" i="95"/>
  <c r="E287" i="95"/>
  <c r="E285" i="95"/>
  <c r="E283" i="95"/>
  <c r="E281" i="95"/>
  <c r="E279" i="95"/>
  <c r="E277" i="95"/>
  <c r="E275" i="95"/>
  <c r="E273" i="95"/>
  <c r="E271" i="95"/>
  <c r="E269" i="95"/>
  <c r="E267" i="95"/>
  <c r="E265" i="95"/>
  <c r="E263" i="95"/>
  <c r="E261" i="95"/>
  <c r="E259" i="95"/>
  <c r="E257" i="95"/>
  <c r="E255" i="95"/>
  <c r="E253" i="95"/>
  <c r="E251" i="95"/>
  <c r="E249" i="95"/>
  <c r="E247" i="95"/>
  <c r="E245" i="95"/>
  <c r="E243" i="95"/>
  <c r="E241" i="95"/>
  <c r="E239" i="95"/>
  <c r="E237" i="95"/>
  <c r="E235" i="95"/>
  <c r="E233" i="95"/>
  <c r="E231" i="95"/>
  <c r="E229" i="95"/>
  <c r="E227" i="95"/>
  <c r="E225" i="95"/>
  <c r="E223" i="95"/>
  <c r="E221" i="95"/>
  <c r="E219" i="95"/>
  <c r="E217" i="95"/>
  <c r="E215" i="95"/>
  <c r="E213" i="95"/>
  <c r="E211" i="95"/>
  <c r="E209" i="95"/>
  <c r="E207" i="95"/>
  <c r="E205" i="95"/>
  <c r="E203" i="95"/>
  <c r="E386" i="95"/>
  <c r="E382" i="95"/>
  <c r="E378" i="95"/>
  <c r="E374" i="95"/>
  <c r="E370" i="95"/>
  <c r="E366" i="95"/>
  <c r="E362" i="95"/>
  <c r="E358" i="95"/>
  <c r="E354" i="95"/>
  <c r="E352" i="95"/>
  <c r="E350" i="95"/>
  <c r="E348" i="95"/>
  <c r="E346" i="95"/>
  <c r="E344" i="95"/>
  <c r="E342" i="95"/>
  <c r="E340" i="95"/>
  <c r="E338" i="95"/>
  <c r="E336" i="95"/>
  <c r="E334" i="95"/>
  <c r="E332" i="95"/>
  <c r="E330" i="95"/>
  <c r="E328" i="95"/>
  <c r="E326" i="95"/>
  <c r="E324" i="95"/>
  <c r="E322" i="95"/>
  <c r="E320" i="95"/>
  <c r="E318" i="95"/>
  <c r="E316" i="95"/>
  <c r="E314" i="95"/>
  <c r="E312" i="95"/>
  <c r="E310" i="95"/>
  <c r="E308" i="95"/>
  <c r="E306" i="95"/>
  <c r="E304" i="95"/>
  <c r="E302" i="95"/>
  <c r="E300" i="95"/>
  <c r="E298" i="95"/>
  <c r="E296" i="95"/>
  <c r="E294" i="95"/>
  <c r="E292" i="95"/>
  <c r="E290" i="95"/>
  <c r="E288" i="95"/>
  <c r="E286" i="95"/>
  <c r="E284" i="95"/>
  <c r="E282" i="95"/>
  <c r="E280" i="95"/>
  <c r="E278" i="95"/>
  <c r="E276" i="95"/>
  <c r="E274" i="95"/>
  <c r="E272" i="95"/>
  <c r="E270" i="95"/>
  <c r="E268" i="95"/>
  <c r="E266" i="95"/>
  <c r="E264" i="95"/>
  <c r="E262" i="95"/>
  <c r="E260" i="95"/>
  <c r="E258" i="95"/>
  <c r="E256" i="95"/>
  <c r="E254" i="95"/>
  <c r="E252" i="95"/>
  <c r="E250" i="95"/>
  <c r="E248" i="95"/>
  <c r="E246" i="95"/>
  <c r="E244" i="95"/>
  <c r="E242" i="95"/>
  <c r="E240" i="95"/>
  <c r="E238" i="95"/>
  <c r="E236" i="95"/>
  <c r="E234" i="95"/>
  <c r="E232" i="95"/>
  <c r="E230" i="95"/>
  <c r="E228" i="95"/>
  <c r="E226" i="95"/>
  <c r="E224" i="95"/>
  <c r="E222" i="95"/>
  <c r="E220" i="95"/>
  <c r="E218" i="95"/>
  <c r="E216" i="95"/>
  <c r="E214" i="95"/>
  <c r="E212" i="95"/>
  <c r="E210" i="95"/>
  <c r="E208" i="95"/>
  <c r="E206" i="95"/>
  <c r="E204" i="95"/>
  <c r="E202" i="95"/>
  <c r="E200" i="95"/>
  <c r="E198" i="95"/>
  <c r="E196" i="95"/>
  <c r="E27" i="95"/>
  <c r="E32" i="95"/>
  <c r="E34" i="95"/>
  <c r="E36" i="95"/>
  <c r="E40" i="95"/>
  <c r="E42" i="95"/>
  <c r="E44" i="95"/>
  <c r="E46" i="95"/>
  <c r="E48" i="95"/>
  <c r="E50" i="95"/>
  <c r="E52" i="95"/>
  <c r="E54" i="95"/>
  <c r="E56" i="95"/>
  <c r="E58" i="95"/>
  <c r="E60" i="95"/>
  <c r="E62" i="95"/>
  <c r="E64" i="95"/>
  <c r="E66" i="95"/>
  <c r="E68" i="95"/>
  <c r="E70" i="95"/>
  <c r="E72" i="95"/>
  <c r="E74" i="95"/>
  <c r="E76" i="95"/>
  <c r="E78" i="95"/>
  <c r="E80" i="95"/>
  <c r="E82" i="95"/>
  <c r="E84" i="95"/>
  <c r="E86" i="95"/>
  <c r="E88" i="95"/>
  <c r="E90" i="95"/>
  <c r="E92" i="95"/>
  <c r="E94" i="95"/>
  <c r="E96" i="95"/>
  <c r="E98" i="95"/>
  <c r="E100" i="95"/>
  <c r="E102" i="95"/>
  <c r="E104" i="95"/>
  <c r="E106" i="95"/>
  <c r="E108" i="95"/>
  <c r="E110" i="95"/>
  <c r="E112" i="95"/>
  <c r="E114" i="95"/>
  <c r="E116" i="95"/>
  <c r="E118" i="95"/>
  <c r="E120" i="95"/>
  <c r="E122" i="95"/>
  <c r="E124" i="95"/>
  <c r="E126" i="95"/>
  <c r="E128" i="95"/>
  <c r="E130" i="95"/>
  <c r="E132" i="95"/>
  <c r="E134" i="95"/>
  <c r="E136" i="95"/>
  <c r="E138" i="95"/>
  <c r="E140" i="95"/>
  <c r="E142" i="95"/>
  <c r="E144" i="95"/>
  <c r="E146" i="95"/>
  <c r="E148" i="95"/>
  <c r="E150" i="95"/>
  <c r="E152" i="95"/>
  <c r="E154" i="95"/>
  <c r="E156" i="95"/>
  <c r="E158" i="95"/>
  <c r="E160" i="95"/>
  <c r="E162" i="95"/>
  <c r="E164" i="95"/>
  <c r="E166" i="95"/>
  <c r="E168" i="95"/>
  <c r="E170" i="95"/>
  <c r="E172" i="95"/>
  <c r="E174" i="95"/>
  <c r="E176" i="95"/>
  <c r="E178" i="95"/>
  <c r="E180" i="95"/>
  <c r="E182" i="95"/>
  <c r="E184" i="95"/>
  <c r="E186" i="95"/>
  <c r="E188" i="95"/>
  <c r="E190" i="95"/>
  <c r="E192" i="95"/>
  <c r="E194" i="95"/>
  <c r="E197" i="95"/>
  <c r="E201" i="95"/>
  <c r="D22" i="79"/>
  <c r="P5" i="79"/>
  <c r="P6" i="79"/>
  <c r="P8" i="79"/>
  <c r="P2" i="79"/>
  <c r="Q72" i="94"/>
  <c r="Q59" i="94"/>
  <c r="K59" i="94"/>
  <c r="P74" i="94" s="1"/>
  <c r="F59" i="94"/>
  <c r="Q58" i="94"/>
  <c r="Q51" i="94"/>
  <c r="J50" i="94"/>
  <c r="M47" i="94"/>
  <c r="D46" i="94"/>
  <c r="F33" i="94"/>
  <c r="F61" i="94" s="1"/>
  <c r="F31" i="94"/>
  <c r="F23" i="94"/>
  <c r="F21" i="94"/>
  <c r="F20" i="94"/>
  <c r="M19" i="94"/>
  <c r="F18" i="94"/>
  <c r="M17" i="94"/>
  <c r="F17" i="94"/>
  <c r="F15" i="94"/>
  <c r="Q72" i="93"/>
  <c r="Q59" i="93"/>
  <c r="K59" i="93"/>
  <c r="P74" i="93" s="1"/>
  <c r="F59" i="93"/>
  <c r="Q58" i="93"/>
  <c r="Q51" i="93"/>
  <c r="J50" i="93"/>
  <c r="M47" i="93"/>
  <c r="D46" i="93"/>
  <c r="F33" i="93"/>
  <c r="F61" i="93" s="1"/>
  <c r="F31" i="93"/>
  <c r="F23" i="93"/>
  <c r="F21" i="93"/>
  <c r="F20" i="93"/>
  <c r="M19" i="93"/>
  <c r="F18" i="93"/>
  <c r="M17" i="93"/>
  <c r="F17" i="93"/>
  <c r="F15" i="93"/>
  <c r="Q72" i="92"/>
  <c r="Q59" i="92"/>
  <c r="K59" i="92"/>
  <c r="P74" i="92" s="1"/>
  <c r="F59" i="92"/>
  <c r="Q58" i="92"/>
  <c r="Q51" i="92"/>
  <c r="J50" i="92"/>
  <c r="M47" i="92"/>
  <c r="D46" i="92"/>
  <c r="F33" i="92"/>
  <c r="F61" i="92" s="1"/>
  <c r="F31" i="92"/>
  <c r="F23" i="92"/>
  <c r="F21" i="92"/>
  <c r="F20" i="92"/>
  <c r="M19" i="92"/>
  <c r="F18" i="92"/>
  <c r="M17" i="92"/>
  <c r="F17" i="92"/>
  <c r="F15" i="92"/>
  <c r="Q72" i="91"/>
  <c r="Q59" i="91"/>
  <c r="K59" i="91"/>
  <c r="P74" i="91" s="1"/>
  <c r="F59" i="91"/>
  <c r="Q58" i="91"/>
  <c r="Q51" i="91"/>
  <c r="J50" i="91"/>
  <c r="M47" i="91"/>
  <c r="D46" i="91"/>
  <c r="F33" i="91"/>
  <c r="F61" i="91" s="1"/>
  <c r="F31" i="91"/>
  <c r="F23" i="91"/>
  <c r="F21" i="91"/>
  <c r="F20" i="91"/>
  <c r="M19" i="91"/>
  <c r="F18" i="91"/>
  <c r="M17" i="91"/>
  <c r="F17" i="91"/>
  <c r="F15" i="91"/>
  <c r="Q72" i="90"/>
  <c r="Q59" i="90"/>
  <c r="K59" i="90"/>
  <c r="P74" i="90" s="1"/>
  <c r="F59" i="90"/>
  <c r="Q58" i="90"/>
  <c r="Q51" i="90"/>
  <c r="J50" i="90"/>
  <c r="M47" i="90"/>
  <c r="D46" i="90"/>
  <c r="F33" i="90"/>
  <c r="F61" i="90" s="1"/>
  <c r="F31" i="90"/>
  <c r="F23" i="90"/>
  <c r="F21" i="90"/>
  <c r="F20" i="90"/>
  <c r="M19" i="90"/>
  <c r="F18" i="90"/>
  <c r="M17" i="90"/>
  <c r="F17" i="90"/>
  <c r="F15" i="90"/>
  <c r="C11" i="79"/>
  <c r="E11" i="79"/>
  <c r="G11" i="79"/>
  <c r="I11" i="79"/>
  <c r="K11" i="79"/>
  <c r="M11" i="79"/>
  <c r="O11" i="79"/>
  <c r="A25" i="31"/>
  <c r="A26" i="31"/>
  <c r="A29" i="31"/>
  <c r="A30" i="31"/>
  <c r="A24" i="31"/>
  <c r="E17" i="79" l="1"/>
  <c r="T25" i="95" s="1"/>
  <c r="D23" i="94"/>
  <c r="D22" i="94"/>
  <c r="D24" i="94"/>
  <c r="P61" i="94"/>
  <c r="D23" i="93"/>
  <c r="D22" i="93"/>
  <c r="D24" i="93"/>
  <c r="P61" i="93"/>
  <c r="D23" i="92"/>
  <c r="D22" i="92"/>
  <c r="D24" i="92"/>
  <c r="P61" i="92"/>
  <c r="D23" i="91"/>
  <c r="D22" i="91"/>
  <c r="D24" i="91"/>
  <c r="P61" i="91"/>
  <c r="D23" i="90"/>
  <c r="D22" i="90"/>
  <c r="D24" i="90"/>
  <c r="P61" i="90"/>
  <c r="C25" i="6"/>
  <c r="C24" i="6"/>
  <c r="C21" i="6"/>
  <c r="C20" i="6"/>
  <c r="C19" i="6"/>
  <c r="E667" i="82"/>
  <c r="H9" i="79" l="1"/>
  <c r="L9" i="79"/>
  <c r="N7" i="79"/>
  <c r="J3" i="79"/>
  <c r="Q3" i="79" s="1"/>
  <c r="D4" i="79"/>
  <c r="Q4" i="79" s="1"/>
  <c r="E293" i="78"/>
  <c r="E378" i="77"/>
  <c r="P7" i="79" l="1"/>
  <c r="Q7" i="79"/>
  <c r="R2" i="79"/>
  <c r="Q10" i="79"/>
  <c r="D9" i="79"/>
  <c r="P4" i="79"/>
  <c r="J9" i="79"/>
  <c r="P3" i="79"/>
  <c r="L11" i="79"/>
  <c r="K18" i="3"/>
  <c r="G24" i="6" s="1"/>
  <c r="H11" i="79"/>
  <c r="I16" i="3"/>
  <c r="N9" i="79"/>
  <c r="F9" i="79"/>
  <c r="B9" i="79"/>
  <c r="E379" i="77"/>
  <c r="B11" i="79" l="1"/>
  <c r="P9" i="79"/>
  <c r="Q9" i="79" s="1"/>
  <c r="I13" i="3"/>
  <c r="F19" i="6" s="1"/>
  <c r="B29" i="31"/>
  <c r="B29" i="95"/>
  <c r="N11" i="79"/>
  <c r="K19" i="3"/>
  <c r="G25" i="6" s="1"/>
  <c r="F11" i="79"/>
  <c r="I15" i="3"/>
  <c r="F21" i="6" s="1"/>
  <c r="I17" i="3"/>
  <c r="B27" i="31" s="1"/>
  <c r="J11" i="79"/>
  <c r="I14" i="3"/>
  <c r="F20" i="6" s="1"/>
  <c r="D11" i="79"/>
  <c r="B27" i="95" l="1"/>
  <c r="B30" i="31"/>
  <c r="B30" i="95"/>
  <c r="B25" i="31"/>
  <c r="B25" i="95"/>
  <c r="C25" i="95" s="1"/>
  <c r="B26" i="31"/>
  <c r="B26" i="95"/>
  <c r="F22" i="6"/>
  <c r="B24" i="31"/>
  <c r="B24" i="95"/>
  <c r="C26" i="95" l="1"/>
  <c r="C30" i="95"/>
  <c r="C27" i="95"/>
  <c r="B22" i="95"/>
  <c r="C29" i="95"/>
  <c r="I5" i="71"/>
  <c r="I4" i="71" s="1"/>
  <c r="N4" i="71" s="1"/>
  <c r="L5" i="71"/>
  <c r="K5" i="71"/>
  <c r="J5" i="71"/>
  <c r="N5" i="71"/>
  <c r="O5" i="71" l="1"/>
  <c r="J4" i="71"/>
  <c r="O4" i="71" s="1"/>
  <c r="P5" i="71"/>
  <c r="K4" i="71"/>
  <c r="P4" i="71" s="1"/>
  <c r="Q5" i="71"/>
  <c r="L4" i="71"/>
  <c r="Q4" i="71" s="1"/>
  <c r="A2" i="53"/>
  <c r="K59" i="67" l="1"/>
  <c r="P61" i="67" s="1"/>
  <c r="K59" i="15"/>
  <c r="P74" i="15" s="1"/>
  <c r="P61" i="15" l="1"/>
  <c r="P74" i="67"/>
  <c r="D116" i="39"/>
  <c r="E116" i="39"/>
  <c r="F116" i="39"/>
  <c r="G116" i="39"/>
  <c r="H116" i="39"/>
  <c r="I116" i="39"/>
  <c r="J116" i="39"/>
  <c r="K116" i="39"/>
  <c r="L116" i="39"/>
  <c r="M116" i="39"/>
  <c r="C116" i="39"/>
  <c r="A21" i="62" l="1"/>
  <c r="A20" i="62"/>
  <c r="A22" i="51"/>
  <c r="A21" i="51"/>
  <c r="A20" i="51"/>
  <c r="A15" i="62" l="1"/>
  <c r="A14" i="62"/>
  <c r="A13" i="62"/>
  <c r="A19" i="62" l="1"/>
  <c r="A12" i="62"/>
  <c r="A120" i="9"/>
  <c r="H2" i="52"/>
  <c r="A1" i="52"/>
  <c r="A3" i="53"/>
  <c r="Q6" i="71" l="1"/>
  <c r="P6" i="71"/>
  <c r="O6" i="71"/>
  <c r="N6" i="71"/>
  <c r="D5" i="43" l="1"/>
  <c r="A15" i="51" l="1"/>
  <c r="B12" i="76"/>
  <c r="B11" i="76"/>
  <c r="B10" i="76"/>
  <c r="B9" i="76"/>
  <c r="E7" i="76"/>
  <c r="B7" i="76"/>
  <c r="B13" i="76"/>
  <c r="E11" i="76"/>
  <c r="E10" i="76"/>
  <c r="E9" i="76"/>
  <c r="E12" i="76"/>
  <c r="E8" i="76"/>
  <c r="E13" i="76"/>
  <c r="B8" i="76"/>
  <c r="C76" i="9" l="1"/>
  <c r="I107" i="40"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M19" i="43" l="1"/>
  <c r="O7" i="71" l="1"/>
  <c r="P7" i="71"/>
  <c r="Q7" i="71"/>
  <c r="N7" i="71"/>
  <c r="AD3" i="71" l="1"/>
  <c r="AE3" i="71"/>
  <c r="AF3" i="71" s="1"/>
  <c r="AG3" i="71"/>
  <c r="AH3" i="71"/>
  <c r="AD5" i="71"/>
  <c r="AE5" i="71"/>
  <c r="AF5" i="71" s="1"/>
  <c r="AG5" i="71"/>
  <c r="AH5" i="71"/>
  <c r="AD6" i="71"/>
  <c r="AE6" i="71"/>
  <c r="AF6" i="71" s="1"/>
  <c r="AG6" i="71"/>
  <c r="AH6"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s="1"/>
  <c r="AG12" i="71"/>
  <c r="AH12" i="71"/>
  <c r="AD13" i="71"/>
  <c r="AE13" i="71"/>
  <c r="AF13" i="71" s="1"/>
  <c r="AG13" i="71"/>
  <c r="AH13" i="71"/>
  <c r="AD14" i="71"/>
  <c r="AE14" i="71"/>
  <c r="AF14" i="71" s="1"/>
  <c r="AG14" i="71"/>
  <c r="AH14" i="71"/>
  <c r="AD15" i="71"/>
  <c r="AE15" i="71"/>
  <c r="AF15" i="71" s="1"/>
  <c r="AG15" i="71"/>
  <c r="AH15" i="71"/>
  <c r="AD16" i="71"/>
  <c r="AE16" i="71"/>
  <c r="AF16" i="71" s="1"/>
  <c r="AG16" i="71"/>
  <c r="AH16" i="71"/>
  <c r="AD17" i="71"/>
  <c r="AE17" i="71"/>
  <c r="AF17" i="71" s="1"/>
  <c r="AG17" i="71"/>
  <c r="AH17" i="71"/>
  <c r="AD18" i="71"/>
  <c r="AE18" i="71"/>
  <c r="AF18" i="71" s="1"/>
  <c r="AG18" i="71"/>
  <c r="AH18" i="71"/>
  <c r="AH19" i="71"/>
  <c r="AG19" i="71"/>
  <c r="AE19" i="71"/>
  <c r="AF19" i="71" s="1"/>
  <c r="AD19" i="71"/>
  <c r="AD20" i="71"/>
  <c r="AE20" i="71"/>
  <c r="AF20" i="71"/>
  <c r="AG20" i="71"/>
  <c r="AH20" i="71"/>
  <c r="S2" i="31" l="1"/>
  <c r="M2" i="31"/>
  <c r="N2" i="31"/>
  <c r="O2" i="31"/>
  <c r="P2" i="31"/>
  <c r="Q2" i="31"/>
  <c r="R2" i="31"/>
  <c r="C1" i="73" l="1"/>
  <c r="L1" i="73" s="1"/>
  <c r="F7" i="73"/>
  <c r="J1" i="73" l="1"/>
  <c r="B74" i="72"/>
  <c r="F6" i="73"/>
  <c r="F3" i="73"/>
  <c r="F4" i="73"/>
  <c r="F5" i="73"/>
  <c r="D5" i="73"/>
  <c r="I1" i="73" l="1"/>
  <c r="B39" i="1" s="1"/>
  <c r="D4" i="73"/>
  <c r="D6" i="73"/>
  <c r="D7" i="73"/>
  <c r="D3" i="73"/>
  <c r="F11" i="94" l="1"/>
  <c r="M11" i="94"/>
  <c r="F11" i="93"/>
  <c r="M11" i="93"/>
  <c r="F11" i="92"/>
  <c r="M11" i="92"/>
  <c r="F11" i="91"/>
  <c r="M11" i="91"/>
  <c r="F11" i="90"/>
  <c r="M11" i="90"/>
  <c r="E20" i="43"/>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C53" i="94" l="1"/>
  <c r="C53" i="93"/>
  <c r="C53" i="92"/>
  <c r="C53" i="91"/>
  <c r="C53" i="90"/>
  <c r="AA10" i="43"/>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C8" i="68" l="1"/>
  <c r="B49" i="48" l="1"/>
  <c r="B5" i="72" s="1"/>
  <c r="I19" i="43" l="1"/>
  <c r="D69" i="71" l="1"/>
  <c r="F68" i="71"/>
  <c r="E68" i="71"/>
  <c r="E67" i="71" s="1"/>
  <c r="E66" i="71" s="1"/>
  <c r="C68" i="71"/>
  <c r="D68" i="71" s="1"/>
  <c r="B68" i="71"/>
  <c r="F67" i="71"/>
  <c r="F66" i="71" s="1"/>
  <c r="B67" i="71"/>
  <c r="B66" i="71" s="1"/>
  <c r="D65" i="71"/>
  <c r="F64" i="71"/>
  <c r="E64" i="71"/>
  <c r="E63" i="71" s="1"/>
  <c r="E62" i="71" s="1"/>
  <c r="C64" i="71"/>
  <c r="D64" i="71" s="1"/>
  <c r="B64" i="71"/>
  <c r="F63" i="71"/>
  <c r="F62" i="71" s="1"/>
  <c r="B63" i="71"/>
  <c r="B62" i="71" s="1"/>
  <c r="D61" i="71"/>
  <c r="Q60" i="71"/>
  <c r="P60" i="71"/>
  <c r="O60" i="71"/>
  <c r="N60" i="71"/>
  <c r="F60" i="71"/>
  <c r="V60" i="71" s="1"/>
  <c r="E60" i="71"/>
  <c r="U60" i="71" s="1"/>
  <c r="C60" i="71"/>
  <c r="T60" i="71" s="1"/>
  <c r="B60" i="71"/>
  <c r="S60" i="71" s="1"/>
  <c r="Q59" i="71"/>
  <c r="P59" i="71"/>
  <c r="O59" i="71"/>
  <c r="N59" i="71"/>
  <c r="F59" i="71"/>
  <c r="F58" i="71" s="1"/>
  <c r="B59" i="71"/>
  <c r="B58" i="71" s="1"/>
  <c r="Q58" i="71"/>
  <c r="P58" i="71"/>
  <c r="O58" i="71"/>
  <c r="N58" i="71"/>
  <c r="Q57" i="71"/>
  <c r="P57" i="71"/>
  <c r="O57" i="71"/>
  <c r="N57" i="71"/>
  <c r="D57" i="71"/>
  <c r="Q56" i="71"/>
  <c r="P56" i="71"/>
  <c r="O56" i="71"/>
  <c r="N56" i="71"/>
  <c r="F56" i="71"/>
  <c r="V56" i="71" s="1"/>
  <c r="E56" i="71"/>
  <c r="U56" i="71" s="1"/>
  <c r="C56" i="71"/>
  <c r="T56" i="71" s="1"/>
  <c r="B56" i="71"/>
  <c r="S56" i="71" s="1"/>
  <c r="Q55" i="71"/>
  <c r="P55" i="71"/>
  <c r="O55" i="71"/>
  <c r="N55" i="71"/>
  <c r="F55" i="71"/>
  <c r="F54" i="71" s="1"/>
  <c r="B55" i="71"/>
  <c r="B54" i="71" s="1"/>
  <c r="Q54" i="71"/>
  <c r="P54" i="71"/>
  <c r="O54" i="71"/>
  <c r="N54" i="71"/>
  <c r="Q53" i="71"/>
  <c r="P53" i="71"/>
  <c r="O53" i="71"/>
  <c r="N53" i="71"/>
  <c r="D53" i="71"/>
  <c r="Q52" i="71"/>
  <c r="P52" i="71"/>
  <c r="O52" i="71"/>
  <c r="N52" i="71"/>
  <c r="F52" i="71"/>
  <c r="V52" i="71" s="1"/>
  <c r="E52" i="71"/>
  <c r="U52" i="71" s="1"/>
  <c r="C52" i="71"/>
  <c r="T52" i="71" s="1"/>
  <c r="B52" i="71"/>
  <c r="S52" i="71" s="1"/>
  <c r="Q51" i="71"/>
  <c r="P51" i="71"/>
  <c r="O51" i="71"/>
  <c r="N51" i="71"/>
  <c r="F51" i="71"/>
  <c r="F50" i="71" s="1"/>
  <c r="B51" i="71"/>
  <c r="B50" i="71" s="1"/>
  <c r="Q50" i="71"/>
  <c r="P50" i="71"/>
  <c r="O50" i="71"/>
  <c r="N50" i="71"/>
  <c r="Q49" i="71"/>
  <c r="P49" i="71"/>
  <c r="O49" i="71"/>
  <c r="N49" i="71"/>
  <c r="D49" i="71"/>
  <c r="F48" i="71"/>
  <c r="V48" i="71" s="1"/>
  <c r="E48" i="71"/>
  <c r="P48" i="71" s="1"/>
  <c r="C48" i="71"/>
  <c r="B48" i="71"/>
  <c r="S48" i="71" s="1"/>
  <c r="F47" i="71"/>
  <c r="F46" i="71" s="1"/>
  <c r="Q46" i="71" s="1"/>
  <c r="B47" i="71"/>
  <c r="D45" i="71"/>
  <c r="Q44" i="71"/>
  <c r="P44" i="71"/>
  <c r="O44" i="71"/>
  <c r="N44" i="71"/>
  <c r="Q43" i="71"/>
  <c r="P43" i="71"/>
  <c r="O43" i="71"/>
  <c r="N43" i="71"/>
  <c r="Q42" i="71"/>
  <c r="P42" i="71"/>
  <c r="O42" i="71"/>
  <c r="N42" i="71"/>
  <c r="Q41" i="71"/>
  <c r="F42" i="71" s="1"/>
  <c r="F43" i="71" s="1"/>
  <c r="F44" i="71" s="1"/>
  <c r="V44" i="71" s="1"/>
  <c r="P41" i="71"/>
  <c r="E42" i="71" s="1"/>
  <c r="O41" i="71"/>
  <c r="C42" i="71" s="1"/>
  <c r="N41" i="71"/>
  <c r="B42" i="71" s="1"/>
  <c r="B43" i="71" s="1"/>
  <c r="B44" i="71" s="1"/>
  <c r="S44" i="71" s="1"/>
  <c r="D41" i="71"/>
  <c r="Q40" i="71"/>
  <c r="P40" i="71"/>
  <c r="O40" i="71"/>
  <c r="N40" i="71"/>
  <c r="Q39" i="71"/>
  <c r="P39" i="71"/>
  <c r="O39" i="71"/>
  <c r="N39" i="71"/>
  <c r="Q38" i="71"/>
  <c r="P38" i="71"/>
  <c r="O38" i="71"/>
  <c r="N38" i="71"/>
  <c r="Q37" i="71"/>
  <c r="F38" i="71" s="1"/>
  <c r="F39" i="71" s="1"/>
  <c r="F40" i="71" s="1"/>
  <c r="V40" i="71" s="1"/>
  <c r="P37" i="71"/>
  <c r="E38" i="71" s="1"/>
  <c r="O37" i="71"/>
  <c r="C38" i="71" s="1"/>
  <c r="N37" i="71"/>
  <c r="B38" i="71" s="1"/>
  <c r="B39" i="71" s="1"/>
  <c r="B40" i="71" s="1"/>
  <c r="S40" i="71" s="1"/>
  <c r="D37" i="71"/>
  <c r="Q36" i="71"/>
  <c r="P36" i="71"/>
  <c r="O36" i="71"/>
  <c r="N36" i="71"/>
  <c r="Q35" i="71"/>
  <c r="P35" i="71"/>
  <c r="O35" i="71"/>
  <c r="N35" i="71"/>
  <c r="Q34" i="71"/>
  <c r="P34" i="71"/>
  <c r="O34" i="71"/>
  <c r="N34" i="71"/>
  <c r="Q33" i="71"/>
  <c r="F34" i="71" s="1"/>
  <c r="F35" i="71" s="1"/>
  <c r="F36" i="71" s="1"/>
  <c r="V36" i="71" s="1"/>
  <c r="P33" i="71"/>
  <c r="E34" i="71" s="1"/>
  <c r="O33" i="71"/>
  <c r="C34" i="71" s="1"/>
  <c r="N33" i="71"/>
  <c r="B34" i="71" s="1"/>
  <c r="D33" i="71"/>
  <c r="Q32" i="71"/>
  <c r="P32" i="71"/>
  <c r="O32" i="71"/>
  <c r="N32" i="71"/>
  <c r="Q31" i="71"/>
  <c r="P31" i="71"/>
  <c r="O31" i="71"/>
  <c r="N31" i="71"/>
  <c r="Q30" i="71"/>
  <c r="P30" i="71"/>
  <c r="O30" i="71"/>
  <c r="N30" i="71"/>
  <c r="Q29" i="71"/>
  <c r="F30" i="71" s="1"/>
  <c r="P29" i="71"/>
  <c r="E30" i="71" s="1"/>
  <c r="E31" i="71" s="1"/>
  <c r="E32" i="71" s="1"/>
  <c r="U32" i="71" s="1"/>
  <c r="O29" i="71"/>
  <c r="C30" i="71" s="1"/>
  <c r="N29" i="71"/>
  <c r="B30" i="71" s="1"/>
  <c r="B31" i="71" s="1"/>
  <c r="B32" i="71" s="1"/>
  <c r="S32" i="71" s="1"/>
  <c r="D29" i="71"/>
  <c r="T28" i="71"/>
  <c r="Q28" i="71"/>
  <c r="P28" i="71"/>
  <c r="O28" i="71"/>
  <c r="N28" i="71"/>
  <c r="D28" i="71"/>
  <c r="Q27" i="71"/>
  <c r="P27" i="71"/>
  <c r="O27" i="71"/>
  <c r="N27" i="71"/>
  <c r="Q26" i="71"/>
  <c r="P26" i="71"/>
  <c r="O26" i="71"/>
  <c r="N26" i="71"/>
  <c r="F26" i="71"/>
  <c r="F27" i="71" s="1"/>
  <c r="F28" i="71" s="1"/>
  <c r="V28" i="71" s="1"/>
  <c r="Q25" i="71"/>
  <c r="P25" i="71"/>
  <c r="E26" i="71" s="1"/>
  <c r="E27" i="71" s="1"/>
  <c r="E28" i="71" s="1"/>
  <c r="U28" i="71" s="1"/>
  <c r="O25" i="71"/>
  <c r="C26" i="71" s="1"/>
  <c r="N25" i="71"/>
  <c r="B26" i="71" s="1"/>
  <c r="B27" i="71" s="1"/>
  <c r="B28" i="71" s="1"/>
  <c r="S28" i="71" s="1"/>
  <c r="D25" i="71"/>
  <c r="Q24" i="71"/>
  <c r="P24" i="71"/>
  <c r="O24" i="71"/>
  <c r="N24" i="71"/>
  <c r="Q23" i="71"/>
  <c r="P23" i="71"/>
  <c r="O23" i="71"/>
  <c r="N23" i="71"/>
  <c r="Q22" i="71"/>
  <c r="P22" i="71"/>
  <c r="O22" i="71"/>
  <c r="N22" i="71"/>
  <c r="F22" i="71"/>
  <c r="F23" i="71" s="1"/>
  <c r="F24" i="71" s="1"/>
  <c r="V24" i="71" s="1"/>
  <c r="Q21" i="71"/>
  <c r="P21" i="71"/>
  <c r="E22" i="71" s="1"/>
  <c r="E23" i="71" s="1"/>
  <c r="E24" i="71" s="1"/>
  <c r="U24" i="71" s="1"/>
  <c r="O21" i="71"/>
  <c r="C22" i="71" s="1"/>
  <c r="N21" i="71"/>
  <c r="B22" i="71" s="1"/>
  <c r="B23" i="71" s="1"/>
  <c r="B24" i="71" s="1"/>
  <c r="S24" i="71" s="1"/>
  <c r="D21" i="71"/>
  <c r="Q20" i="71"/>
  <c r="P20" i="71"/>
  <c r="O20" i="71"/>
  <c r="N20" i="71"/>
  <c r="AB19" i="71"/>
  <c r="Q19" i="71"/>
  <c r="P19" i="71"/>
  <c r="AA19" i="71" s="1"/>
  <c r="O19" i="71"/>
  <c r="Y19" i="71" s="1"/>
  <c r="Z19" i="71" s="1"/>
  <c r="N19" i="71"/>
  <c r="X19" i="71" s="1"/>
  <c r="Q18" i="71"/>
  <c r="AB18" i="71" s="1"/>
  <c r="P18" i="71"/>
  <c r="O18" i="71"/>
  <c r="Y18" i="71" s="1"/>
  <c r="Z18" i="71" s="1"/>
  <c r="N18" i="71"/>
  <c r="Q17" i="71"/>
  <c r="F18" i="71" s="1"/>
  <c r="F19" i="71" s="1"/>
  <c r="F20" i="71" s="1"/>
  <c r="V20" i="71" s="1"/>
  <c r="P17" i="71"/>
  <c r="O17" i="71"/>
  <c r="N17" i="71"/>
  <c r="D17" i="71"/>
  <c r="Q16" i="71"/>
  <c r="P16" i="71"/>
  <c r="O16" i="71"/>
  <c r="N16" i="71"/>
  <c r="Q15" i="71"/>
  <c r="P15" i="71"/>
  <c r="O15" i="71"/>
  <c r="N15" i="71"/>
  <c r="Q14" i="71"/>
  <c r="AB14" i="71" s="1"/>
  <c r="P14" i="71"/>
  <c r="O14" i="71"/>
  <c r="Y14" i="71" s="1"/>
  <c r="Z14" i="71" s="1"/>
  <c r="N14" i="71"/>
  <c r="F14" i="71"/>
  <c r="F15" i="71" s="1"/>
  <c r="F16" i="71" s="1"/>
  <c r="V16" i="71" s="1"/>
  <c r="Q13" i="71"/>
  <c r="P13" i="71"/>
  <c r="O13" i="71"/>
  <c r="N13" i="71"/>
  <c r="D13" i="71"/>
  <c r="Q12" i="71"/>
  <c r="AB12" i="71" s="1"/>
  <c r="P12" i="71"/>
  <c r="O12" i="71"/>
  <c r="Y12" i="71" s="1"/>
  <c r="Z12" i="71" s="1"/>
  <c r="N12" i="71"/>
  <c r="Q11" i="71"/>
  <c r="AB11" i="71" s="1"/>
  <c r="P11" i="71"/>
  <c r="O11" i="71"/>
  <c r="Y11" i="71" s="1"/>
  <c r="Z11" i="71" s="1"/>
  <c r="N11" i="71"/>
  <c r="Q10" i="71"/>
  <c r="AB10" i="71" s="1"/>
  <c r="P10" i="71"/>
  <c r="O10" i="71"/>
  <c r="Y10" i="71" s="1"/>
  <c r="Z10" i="71" s="1"/>
  <c r="N10" i="71"/>
  <c r="F10" i="71"/>
  <c r="F11" i="71" s="1"/>
  <c r="F12" i="71" s="1"/>
  <c r="V12" i="71" s="1"/>
  <c r="Q9" i="71"/>
  <c r="P9" i="71"/>
  <c r="O9" i="71"/>
  <c r="N9" i="71"/>
  <c r="D9" i="71"/>
  <c r="O8" i="71"/>
  <c r="N8" i="71"/>
  <c r="Y15" i="71" l="1"/>
  <c r="Z15" i="71" s="1"/>
  <c r="AB15" i="71"/>
  <c r="Y16" i="71"/>
  <c r="Z16" i="71" s="1"/>
  <c r="AB16" i="71"/>
  <c r="B35" i="71"/>
  <c r="B36" i="71" s="1"/>
  <c r="S36" i="71" s="1"/>
  <c r="B10" i="71"/>
  <c r="B11" i="71" s="1"/>
  <c r="B12" i="71" s="1"/>
  <c r="S12" i="71" s="1"/>
  <c r="X9" i="71"/>
  <c r="E10" i="71"/>
  <c r="E11" i="71" s="1"/>
  <c r="E12" i="71" s="1"/>
  <c r="U12" i="71" s="1"/>
  <c r="AA9" i="71"/>
  <c r="B14" i="71"/>
  <c r="B15" i="71" s="1"/>
  <c r="B16" i="71" s="1"/>
  <c r="S16" i="71" s="1"/>
  <c r="X13" i="71"/>
  <c r="B18" i="71"/>
  <c r="B19" i="71" s="1"/>
  <c r="B20" i="71" s="1"/>
  <c r="S20" i="71" s="1"/>
  <c r="X17" i="71"/>
  <c r="E18" i="71"/>
  <c r="E19" i="71" s="1"/>
  <c r="E20" i="71" s="1"/>
  <c r="U20" i="71" s="1"/>
  <c r="AA17" i="71"/>
  <c r="N48" i="71"/>
  <c r="E14" i="71"/>
  <c r="E15" i="71" s="1"/>
  <c r="E16" i="71" s="1"/>
  <c r="U16" i="71" s="1"/>
  <c r="AA13" i="71"/>
  <c r="C10" i="71"/>
  <c r="Y9" i="71"/>
  <c r="Z9" i="71" s="1"/>
  <c r="AB9" i="71"/>
  <c r="X10" i="71"/>
  <c r="AA10" i="71"/>
  <c r="X11" i="71"/>
  <c r="AA11" i="71"/>
  <c r="X12" i="71"/>
  <c r="AA12" i="71"/>
  <c r="C14" i="71"/>
  <c r="C15" i="71" s="1"/>
  <c r="Y13" i="71"/>
  <c r="Z13" i="71" s="1"/>
  <c r="AB13" i="71"/>
  <c r="X14" i="71"/>
  <c r="AA14" i="71"/>
  <c r="X15" i="71"/>
  <c r="AA15" i="71"/>
  <c r="X16" i="71"/>
  <c r="AA16" i="71"/>
  <c r="C18" i="71"/>
  <c r="Y17" i="71"/>
  <c r="Z17" i="71" s="1"/>
  <c r="AB17" i="71"/>
  <c r="X18" i="71"/>
  <c r="AA18" i="71"/>
  <c r="F31" i="71"/>
  <c r="F32" i="71" s="1"/>
  <c r="V32" i="71" s="1"/>
  <c r="C8" i="71"/>
  <c r="Y3" i="71"/>
  <c r="Z3" i="71" s="1"/>
  <c r="Y5" i="71"/>
  <c r="Z5" i="71" s="1"/>
  <c r="Y6" i="71"/>
  <c r="Z6" i="71" s="1"/>
  <c r="Y7" i="71"/>
  <c r="Z7" i="71" s="1"/>
  <c r="Y8" i="71"/>
  <c r="Z8" i="71" s="1"/>
  <c r="B8" i="71"/>
  <c r="B7" i="71" s="1"/>
  <c r="B6" i="71" s="1"/>
  <c r="B5" i="71" s="1"/>
  <c r="B4" i="71" s="1"/>
  <c r="X5" i="71"/>
  <c r="X6" i="71"/>
  <c r="X7" i="71"/>
  <c r="X3" i="71"/>
  <c r="X8" i="71"/>
  <c r="C11" i="71"/>
  <c r="D10" i="71"/>
  <c r="D14" i="71"/>
  <c r="C19" i="71"/>
  <c r="D18" i="71"/>
  <c r="C23" i="71"/>
  <c r="D22" i="71"/>
  <c r="C27" i="71"/>
  <c r="D27" i="71" s="1"/>
  <c r="D26" i="71"/>
  <c r="C31" i="71"/>
  <c r="D30" i="71"/>
  <c r="P8" i="71"/>
  <c r="E35" i="71"/>
  <c r="E36" i="71" s="1"/>
  <c r="U36" i="71" s="1"/>
  <c r="E39" i="71"/>
  <c r="E40" i="71" s="1"/>
  <c r="U40" i="71" s="1"/>
  <c r="E43" i="71"/>
  <c r="E44" i="71" s="1"/>
  <c r="U44" i="71" s="1"/>
  <c r="Q45" i="71"/>
  <c r="U48" i="71"/>
  <c r="E47" i="71"/>
  <c r="Q8" i="71"/>
  <c r="C35" i="71"/>
  <c r="D34" i="71"/>
  <c r="C39" i="71"/>
  <c r="D38" i="71"/>
  <c r="C43" i="71"/>
  <c r="D42" i="71"/>
  <c r="N47" i="71"/>
  <c r="B46" i="71"/>
  <c r="Q47" i="71"/>
  <c r="T48" i="71"/>
  <c r="O48" i="71"/>
  <c r="D48" i="71"/>
  <c r="C47" i="71"/>
  <c r="Q48" i="71"/>
  <c r="C51" i="71"/>
  <c r="E51" i="71"/>
  <c r="E50" i="71" s="1"/>
  <c r="D52" i="71"/>
  <c r="C55" i="71"/>
  <c r="E55" i="71"/>
  <c r="E54" i="71" s="1"/>
  <c r="D56" i="71"/>
  <c r="C59" i="71"/>
  <c r="E59" i="71"/>
  <c r="E58" i="71" s="1"/>
  <c r="D60" i="71"/>
  <c r="C63" i="71"/>
  <c r="C67" i="71"/>
  <c r="T8" i="71" l="1"/>
  <c r="C7" i="71"/>
  <c r="S8" i="71"/>
  <c r="F8" i="71"/>
  <c r="F7" i="71" s="1"/>
  <c r="F6" i="71" s="1"/>
  <c r="F5" i="71" s="1"/>
  <c r="F4" i="71" s="1"/>
  <c r="AB3" i="71"/>
  <c r="AB5" i="71"/>
  <c r="AB6" i="71"/>
  <c r="AB7" i="71"/>
  <c r="AB8" i="71"/>
  <c r="E8" i="71"/>
  <c r="E7" i="71" s="1"/>
  <c r="E6" i="71" s="1"/>
  <c r="E5" i="71" s="1"/>
  <c r="E4" i="71" s="1"/>
  <c r="AA3" i="71"/>
  <c r="AA5" i="71"/>
  <c r="AA6" i="71"/>
  <c r="AA7" i="71"/>
  <c r="AA8" i="71"/>
  <c r="D8" i="71"/>
  <c r="U8" i="71" s="1"/>
  <c r="C46" i="71"/>
  <c r="O47" i="71"/>
  <c r="D47" i="71"/>
  <c r="C44" i="71"/>
  <c r="D43" i="71"/>
  <c r="D63" i="71"/>
  <c r="C62" i="71"/>
  <c r="D62" i="71" s="1"/>
  <c r="D55" i="71"/>
  <c r="C54" i="71"/>
  <c r="D54" i="71" s="1"/>
  <c r="N45" i="71"/>
  <c r="N46" i="71"/>
  <c r="D67" i="71"/>
  <c r="C66" i="71"/>
  <c r="D66" i="71" s="1"/>
  <c r="D59" i="71"/>
  <c r="C58" i="71"/>
  <c r="D58" i="71" s="1"/>
  <c r="D51" i="71"/>
  <c r="C50" i="71"/>
  <c r="D50" i="71" s="1"/>
  <c r="C40" i="71"/>
  <c r="D39" i="71"/>
  <c r="C36" i="71"/>
  <c r="D35" i="71"/>
  <c r="P47" i="71"/>
  <c r="E46" i="71"/>
  <c r="C32" i="71"/>
  <c r="D31" i="71"/>
  <c r="C24" i="71"/>
  <c r="D23" i="71"/>
  <c r="C20" i="71"/>
  <c r="D19" i="71"/>
  <c r="C16" i="71"/>
  <c r="D15" i="71"/>
  <c r="C12" i="71"/>
  <c r="D11" i="71"/>
  <c r="C6" i="71" l="1"/>
  <c r="D7" i="71"/>
  <c r="V8" i="71"/>
  <c r="P45" i="71"/>
  <c r="P46" i="71"/>
  <c r="O46" i="71"/>
  <c r="D46" i="71"/>
  <c r="O45" i="71"/>
  <c r="T12" i="71"/>
  <c r="D12" i="71"/>
  <c r="T16" i="71"/>
  <c r="D16" i="71"/>
  <c r="T20" i="71"/>
  <c r="D20" i="71"/>
  <c r="T24" i="71"/>
  <c r="D24" i="71"/>
  <c r="T32" i="71"/>
  <c r="D32" i="71"/>
  <c r="T36" i="71"/>
  <c r="D36" i="71"/>
  <c r="T40" i="71"/>
  <c r="D40" i="71"/>
  <c r="T44" i="71"/>
  <c r="D44" i="71"/>
  <c r="D6" i="71" l="1"/>
  <c r="C5" i="71"/>
  <c r="O27" i="6"/>
  <c r="N27" i="6"/>
  <c r="P20" i="6"/>
  <c r="P21" i="6"/>
  <c r="P22" i="6"/>
  <c r="P23" i="6"/>
  <c r="P24" i="6"/>
  <c r="P25" i="6"/>
  <c r="P26" i="6"/>
  <c r="P19" i="6"/>
  <c r="AP8" i="1"/>
  <c r="AP9" i="1"/>
  <c r="AP10" i="1"/>
  <c r="AP11" i="1"/>
  <c r="AP12" i="1"/>
  <c r="AP13" i="1"/>
  <c r="L21" i="6"/>
  <c r="L22" i="6"/>
  <c r="L23" i="6"/>
  <c r="L24" i="6"/>
  <c r="L25" i="6"/>
  <c r="L26" i="6"/>
  <c r="D5" i="71" l="1"/>
  <c r="C4" i="71"/>
  <c r="D4" i="71" s="1"/>
  <c r="P27" i="6"/>
  <c r="A7" i="70"/>
  <c r="A8" i="70"/>
  <c r="A9" i="70"/>
  <c r="A10" i="70"/>
  <c r="E10" i="70" s="1"/>
  <c r="A11" i="70"/>
  <c r="A12" i="70"/>
  <c r="A13" i="70"/>
  <c r="E13" i="70" s="1"/>
  <c r="A6" i="70"/>
  <c r="Q25" i="40" l="1"/>
  <c r="Z25" i="40" s="1"/>
  <c r="D94" i="40"/>
  <c r="E94" i="40" s="1"/>
  <c r="F25" i="40"/>
  <c r="AA25" i="40" s="1"/>
  <c r="Q29" i="39"/>
  <c r="Z29" i="39" s="1"/>
  <c r="D103" i="39"/>
  <c r="E103" i="39" s="1"/>
  <c r="F29" i="39"/>
  <c r="AA29" i="39" s="1"/>
  <c r="Q18" i="36"/>
  <c r="Z18" i="36" s="1"/>
  <c r="D66" i="36"/>
  <c r="E66" i="36" s="1"/>
  <c r="F66" i="36" s="1"/>
  <c r="H18" i="36"/>
  <c r="AB18" i="36" s="1"/>
  <c r="F18" i="36"/>
  <c r="AA18" i="36" s="1"/>
  <c r="C18" i="36"/>
  <c r="Z18" i="35"/>
  <c r="Q18" i="35"/>
  <c r="D68" i="35"/>
  <c r="E68" i="35" s="1"/>
  <c r="F18" i="35"/>
  <c r="AA18" i="35" s="1"/>
  <c r="C18" i="35"/>
  <c r="Q21" i="37"/>
  <c r="Z21" i="37" s="1"/>
  <c r="D77" i="37"/>
  <c r="E77" i="37" s="1"/>
  <c r="C21" i="37"/>
  <c r="Q21" i="34"/>
  <c r="Z21" i="34" s="1"/>
  <c r="D84" i="34"/>
  <c r="E84" i="34" s="1"/>
  <c r="F21" i="34"/>
  <c r="AA21" i="34" s="1"/>
  <c r="C21" i="34"/>
  <c r="Z21" i="33"/>
  <c r="Q21" i="33"/>
  <c r="D83" i="33"/>
  <c r="E83" i="33" s="1"/>
  <c r="C21" i="33"/>
  <c r="C21" i="21"/>
  <c r="Q21" i="21"/>
  <c r="Z21" i="21" s="1"/>
  <c r="H19" i="21"/>
  <c r="D83" i="21"/>
  <c r="F21" i="21" s="1"/>
  <c r="AA21" i="21" s="1"/>
  <c r="D81" i="21"/>
  <c r="G20" i="20"/>
  <c r="B86" i="43" s="1"/>
  <c r="C22" i="20"/>
  <c r="AO13" i="1"/>
  <c r="AO10" i="1"/>
  <c r="B13" i="70" l="1"/>
  <c r="B10"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C7" i="68" s="1"/>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1" i="66"/>
  <c r="C27" i="66"/>
  <c r="C32" i="66" s="1"/>
  <c r="I23" i="66"/>
  <c r="D20" i="66"/>
  <c r="I19" i="66"/>
  <c r="I18" i="66"/>
  <c r="I17" i="66"/>
  <c r="E15" i="66"/>
  <c r="I14" i="66"/>
  <c r="I13" i="66"/>
  <c r="I12" i="66"/>
  <c r="I15" i="66"/>
  <c r="I9" i="66"/>
  <c r="I8" i="66"/>
  <c r="I7" i="66"/>
  <c r="I6" i="66"/>
  <c r="I5" i="66"/>
  <c r="I4" i="66"/>
  <c r="I3" i="66"/>
  <c r="I10" i="66"/>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10" i="1"/>
  <c r="F13" i="1"/>
  <c r="D6" i="1"/>
  <c r="D9" i="1"/>
  <c r="D10" i="1"/>
  <c r="D11" i="1"/>
  <c r="D12" i="1"/>
  <c r="D13" i="1"/>
  <c r="D7" i="1"/>
  <c r="D8" i="1"/>
  <c r="A7" i="1"/>
  <c r="A8" i="1"/>
  <c r="B8" i="1" s="1"/>
  <c r="E8" i="1" s="1"/>
  <c r="A9" i="1"/>
  <c r="A10" i="1"/>
  <c r="A11" i="1"/>
  <c r="A12" i="1"/>
  <c r="A13" i="1"/>
  <c r="A6" i="1"/>
  <c r="B11" i="1"/>
  <c r="E11" i="1" s="1"/>
  <c r="B7" i="1"/>
  <c r="E7" i="1"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Z100" i="3" s="1"/>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s="1"/>
  <c r="AZ95" i="3" s="1"/>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BA91" i="3"/>
  <c r="AX91" i="3"/>
  <c r="AW91" i="3"/>
  <c r="AV91" i="3"/>
  <c r="AC91" i="3"/>
  <c r="H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H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s="1"/>
  <c r="BT86" i="3"/>
  <c r="BS86" i="3"/>
  <c r="BR86" i="3"/>
  <c r="BQ86" i="3"/>
  <c r="BP86" i="3"/>
  <c r="BO86" i="3"/>
  <c r="BN86" i="3"/>
  <c r="BM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K84" i="3"/>
  <c r="BJ84" i="3"/>
  <c r="BI84" i="3"/>
  <c r="BH84" i="3"/>
  <c r="BG84" i="3"/>
  <c r="BF84" i="3"/>
  <c r="BE84" i="3"/>
  <c r="BD84" i="3"/>
  <c r="BC84" i="3"/>
  <c r="BB84" i="3"/>
  <c r="BA84" i="3"/>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s="1"/>
  <c r="BT80" i="3"/>
  <c r="BS80" i="3"/>
  <c r="BR80" i="3"/>
  <c r="BQ80" i="3"/>
  <c r="BP80" i="3"/>
  <c r="BO80" i="3"/>
  <c r="BN80" i="3"/>
  <c r="BM80" i="3"/>
  <c r="BK80" i="3"/>
  <c r="BJ80" i="3"/>
  <c r="BI80" i="3"/>
  <c r="BH80" i="3"/>
  <c r="BG80" i="3"/>
  <c r="BF80" i="3"/>
  <c r="BE80" i="3"/>
  <c r="BD80" i="3"/>
  <c r="BC80" i="3"/>
  <c r="BB80" i="3"/>
  <c r="BA80" i="3"/>
  <c r="AX80" i="3"/>
  <c r="AW80" i="3"/>
  <c r="AV80" i="3"/>
  <c r="AC80" i="3"/>
  <c r="H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Z76" i="3" s="1"/>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s="1"/>
  <c r="AZ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s="1"/>
  <c r="AZ62" i="3" s="1"/>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BA61" i="3" s="1"/>
  <c r="AX61" i="3"/>
  <c r="AW61" i="3"/>
  <c r="AV61" i="3"/>
  <c r="AC61" i="3"/>
  <c r="H61" i="3"/>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s="1"/>
  <c r="AZ57" i="3" s="1"/>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Z54" i="3" s="1"/>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K46" i="3"/>
  <c r="BJ46" i="3"/>
  <c r="BI46" i="3"/>
  <c r="BH46" i="3"/>
  <c r="BG46" i="3"/>
  <c r="BF46" i="3"/>
  <c r="BE46" i="3"/>
  <c r="BD46" i="3"/>
  <c r="BC46" i="3"/>
  <c r="BB46" i="3"/>
  <c r="BA46" i="3"/>
  <c r="AX46" i="3"/>
  <c r="AW46" i="3"/>
  <c r="AV46" i="3"/>
  <c r="AC46" i="3"/>
  <c r="H46" i="3"/>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s="1"/>
  <c r="AZ23" i="3" s="1"/>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s="1"/>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s="1"/>
  <c r="AZ122" i="3" s="1"/>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s="1"/>
  <c r="AZ300" i="3" s="1"/>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s="1"/>
  <c r="AZ293" i="3" s="1"/>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s="1"/>
  <c r="AZ290" i="3" s="1"/>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s="1"/>
  <c r="AZ270" i="3" s="1"/>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BA266" i="3"/>
  <c r="AX266" i="3"/>
  <c r="AW266" i="3"/>
  <c r="AV266" i="3"/>
  <c r="AC266" i="3"/>
  <c r="H266" i="3"/>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H258" i="3"/>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s="1"/>
  <c r="AZ486" i="3" s="1"/>
  <c r="AX486" i="3"/>
  <c r="AW486" i="3"/>
  <c r="AV486" i="3"/>
  <c r="AC486" i="3"/>
  <c r="H486" i="3"/>
  <c r="G486" i="3" s="1"/>
  <c r="BT485" i="3"/>
  <c r="BS485" i="3"/>
  <c r="BR485" i="3"/>
  <c r="BQ485" i="3"/>
  <c r="BP485" i="3"/>
  <c r="BO485" i="3"/>
  <c r="BN485" i="3"/>
  <c r="BM485" i="3"/>
  <c r="BL485" i="3" s="1"/>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s="1"/>
  <c r="AZ468" i="3" s="1"/>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BA461" i="3"/>
  <c r="AX461" i="3"/>
  <c r="AW461" i="3"/>
  <c r="AV461" i="3"/>
  <c r="AC461" i="3"/>
  <c r="H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s="1"/>
  <c r="AZ453" i="3" s="1"/>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c r="AX449" i="3"/>
  <c r="AW449" i="3"/>
  <c r="AV449" i="3"/>
  <c r="AC449" i="3"/>
  <c r="H449" i="3"/>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c r="AX445" i="3"/>
  <c r="AW445" i="3"/>
  <c r="AV445" i="3"/>
  <c r="AC445" i="3"/>
  <c r="H445" i="3"/>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Z431" i="3" s="1"/>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s="1"/>
  <c r="AZ425" i="3" s="1"/>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s="1"/>
  <c r="AZ421" i="3" s="1"/>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s="1"/>
  <c r="AZ415" i="3" s="1"/>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BA412" i="3"/>
  <c r="AX412" i="3"/>
  <c r="AW412" i="3"/>
  <c r="AV412" i="3"/>
  <c r="AC412" i="3"/>
  <c r="H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s="1"/>
  <c r="AZ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H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s="1"/>
  <c r="AZ399" i="3" s="1"/>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31" i="31"/>
  <c r="S31" i="31" s="1"/>
  <c r="R32" i="31"/>
  <c r="S32" i="31" s="1"/>
  <c r="R33" i="31"/>
  <c r="S33" i="31" s="1"/>
  <c r="R34" i="31"/>
  <c r="S34" i="31" s="1"/>
  <c r="R35" i="31"/>
  <c r="S35" i="31" s="1"/>
  <c r="R36" i="31"/>
  <c r="S36" i="31" s="1"/>
  <c r="R37" i="31"/>
  <c r="S37" i="31" s="1"/>
  <c r="R38" i="31"/>
  <c r="S38" i="31" s="1"/>
  <c r="R39" i="31"/>
  <c r="S39" i="31" s="1"/>
  <c r="R40" i="31"/>
  <c r="S40" i="31" s="1"/>
  <c r="R41" i="31"/>
  <c r="S41" i="31" s="1"/>
  <c r="R42" i="31"/>
  <c r="S42" i="31" s="1"/>
  <c r="R43" i="31"/>
  <c r="S43" i="31" s="1"/>
  <c r="R44" i="31"/>
  <c r="S44" i="31" s="1"/>
  <c r="R45" i="31"/>
  <c r="S45" i="31" s="1"/>
  <c r="R46" i="31"/>
  <c r="S46" i="31" s="1"/>
  <c r="R47" i="31"/>
  <c r="S47" i="31" s="1"/>
  <c r="R48" i="31"/>
  <c r="S48" i="31" s="1"/>
  <c r="R49" i="31"/>
  <c r="S49" i="31" s="1"/>
  <c r="R50" i="31"/>
  <c r="S50" i="31" s="1"/>
  <c r="R51" i="31"/>
  <c r="S51" i="31" s="1"/>
  <c r="R52" i="31"/>
  <c r="S52" i="31" s="1"/>
  <c r="R53" i="31"/>
  <c r="S53" i="31" s="1"/>
  <c r="R54" i="31"/>
  <c r="S54" i="31" s="1"/>
  <c r="R55" i="31"/>
  <c r="S55" i="31" s="1"/>
  <c r="R56" i="31"/>
  <c r="S56" i="31" s="1"/>
  <c r="R57" i="31"/>
  <c r="S57" i="31" s="1"/>
  <c r="R58" i="31"/>
  <c r="S58" i="31" s="1"/>
  <c r="R59" i="31"/>
  <c r="S59" i="31" s="1"/>
  <c r="R60" i="31"/>
  <c r="S60" i="31" s="1"/>
  <c r="R61" i="31"/>
  <c r="S61" i="31" s="1"/>
  <c r="R62" i="31"/>
  <c r="S62" i="31" s="1"/>
  <c r="R63" i="31"/>
  <c r="S63" i="31" s="1"/>
  <c r="R64" i="31"/>
  <c r="S64" i="31" s="1"/>
  <c r="R65" i="31"/>
  <c r="S65" i="31" s="1"/>
  <c r="R66" i="31"/>
  <c r="S66" i="31" s="1"/>
  <c r="R67" i="31"/>
  <c r="S67" i="31" s="1"/>
  <c r="R68" i="31"/>
  <c r="S68" i="31" s="1"/>
  <c r="R69" i="31"/>
  <c r="S69" i="31" s="1"/>
  <c r="R70" i="31"/>
  <c r="S70" i="31" s="1"/>
  <c r="R71" i="31"/>
  <c r="S71" i="31" s="1"/>
  <c r="R72" i="31"/>
  <c r="S72" i="31" s="1"/>
  <c r="R73" i="31"/>
  <c r="S73" i="31" s="1"/>
  <c r="R74" i="31"/>
  <c r="S74" i="31" s="1"/>
  <c r="R75" i="31"/>
  <c r="S75" i="31" s="1"/>
  <c r="R76" i="31"/>
  <c r="S76" i="31" s="1"/>
  <c r="R77" i="31"/>
  <c r="S77" i="31" s="1"/>
  <c r="R78" i="31"/>
  <c r="S78" i="31" s="1"/>
  <c r="R79" i="31"/>
  <c r="S79" i="31" s="1"/>
  <c r="R80" i="31"/>
  <c r="S80" i="31" s="1"/>
  <c r="R81" i="31"/>
  <c r="S81" i="31" s="1"/>
  <c r="R82" i="31"/>
  <c r="S82" i="31" s="1"/>
  <c r="R83" i="31"/>
  <c r="S83" i="31" s="1"/>
  <c r="R84" i="31"/>
  <c r="S84" i="31" s="1"/>
  <c r="R85" i="31"/>
  <c r="S85" i="31" s="1"/>
  <c r="R86" i="31"/>
  <c r="S86" i="31" s="1"/>
  <c r="R87" i="31"/>
  <c r="S87" i="31" s="1"/>
  <c r="R88" i="31"/>
  <c r="S88" i="31" s="1"/>
  <c r="R89" i="31"/>
  <c r="S89" i="31" s="1"/>
  <c r="R90" i="31"/>
  <c r="S90" i="31" s="1"/>
  <c r="R91" i="31"/>
  <c r="S91" i="31" s="1"/>
  <c r="R92" i="31"/>
  <c r="S92" i="31" s="1"/>
  <c r="R93" i="31"/>
  <c r="S93" i="31" s="1"/>
  <c r="R94" i="31"/>
  <c r="S94" i="31" s="1"/>
  <c r="R95" i="31"/>
  <c r="S95" i="31" s="1"/>
  <c r="R96" i="31"/>
  <c r="S96" i="31" s="1"/>
  <c r="R97" i="31"/>
  <c r="S97" i="31" s="1"/>
  <c r="R98" i="31"/>
  <c r="S98" i="31" s="1"/>
  <c r="R99" i="31"/>
  <c r="S99" i="31" s="1"/>
  <c r="R100" i="31"/>
  <c r="S100" i="31" s="1"/>
  <c r="R101" i="31"/>
  <c r="S101" i="31" s="1"/>
  <c r="R102" i="31"/>
  <c r="S102" i="31" s="1"/>
  <c r="R103" i="31"/>
  <c r="S103" i="31" s="1"/>
  <c r="R104" i="31"/>
  <c r="S104" i="31" s="1"/>
  <c r="R105" i="31"/>
  <c r="S105" i="31" s="1"/>
  <c r="R106" i="31"/>
  <c r="S106" i="31" s="1"/>
  <c r="R107" i="31"/>
  <c r="S107" i="31" s="1"/>
  <c r="R108" i="31"/>
  <c r="S108" i="31" s="1"/>
  <c r="R109" i="31"/>
  <c r="S109" i="31" s="1"/>
  <c r="R110" i="31"/>
  <c r="S110" i="31" s="1"/>
  <c r="R111" i="31"/>
  <c r="S111" i="31" s="1"/>
  <c r="R112" i="31"/>
  <c r="S112" i="31" s="1"/>
  <c r="R113" i="31"/>
  <c r="S113" i="31" s="1"/>
  <c r="R114" i="31"/>
  <c r="S114" i="31" s="1"/>
  <c r="R115" i="31"/>
  <c r="S115" i="31" s="1"/>
  <c r="R116" i="31"/>
  <c r="S116" i="31" s="1"/>
  <c r="R117" i="31"/>
  <c r="S117" i="31" s="1"/>
  <c r="R118" i="31"/>
  <c r="S118" i="31" s="1"/>
  <c r="R119" i="31"/>
  <c r="S119" i="31" s="1"/>
  <c r="R120" i="31"/>
  <c r="S120" i="31" s="1"/>
  <c r="R121" i="31"/>
  <c r="S121" i="31" s="1"/>
  <c r="R122" i="31"/>
  <c r="S122" i="31" s="1"/>
  <c r="R123" i="31"/>
  <c r="S123" i="31" s="1"/>
  <c r="R124" i="31"/>
  <c r="S124" i="31" s="1"/>
  <c r="R125" i="31"/>
  <c r="S125" i="31" s="1"/>
  <c r="R126" i="31"/>
  <c r="S126" i="31" s="1"/>
  <c r="R127" i="31"/>
  <c r="S127" i="31" s="1"/>
  <c r="R128" i="31"/>
  <c r="S128" i="31" s="1"/>
  <c r="R129" i="31"/>
  <c r="S129" i="31" s="1"/>
  <c r="R130" i="31"/>
  <c r="S130" i="31" s="1"/>
  <c r="R131" i="31"/>
  <c r="S131" i="31" s="1"/>
  <c r="R132" i="31"/>
  <c r="S132" i="31" s="1"/>
  <c r="R133" i="31"/>
  <c r="S133" i="31" s="1"/>
  <c r="R134" i="31"/>
  <c r="S134" i="31" s="1"/>
  <c r="R135" i="31"/>
  <c r="S135" i="31" s="1"/>
  <c r="R136" i="31"/>
  <c r="S136" i="31" s="1"/>
  <c r="R137" i="31"/>
  <c r="S137" i="31" s="1"/>
  <c r="R138" i="31"/>
  <c r="S138" i="31" s="1"/>
  <c r="R139" i="31"/>
  <c r="S139" i="31" s="1"/>
  <c r="R140" i="31"/>
  <c r="S140" i="31" s="1"/>
  <c r="R141" i="31"/>
  <c r="S141" i="31" s="1"/>
  <c r="R142" i="31"/>
  <c r="S142" i="31" s="1"/>
  <c r="R143" i="31"/>
  <c r="S143" i="31" s="1"/>
  <c r="R144" i="31"/>
  <c r="S144" i="31" s="1"/>
  <c r="R145" i="31"/>
  <c r="S145" i="31" s="1"/>
  <c r="R146" i="31"/>
  <c r="S146" i="31" s="1"/>
  <c r="R147" i="31"/>
  <c r="S147" i="31" s="1"/>
  <c r="R148" i="31"/>
  <c r="S148" i="31" s="1"/>
  <c r="R149" i="31"/>
  <c r="S149" i="31" s="1"/>
  <c r="R150" i="31"/>
  <c r="S150" i="31" s="1"/>
  <c r="R151" i="31"/>
  <c r="S151" i="31" s="1"/>
  <c r="R152" i="31"/>
  <c r="S152" i="31" s="1"/>
  <c r="R153" i="31"/>
  <c r="S153" i="31" s="1"/>
  <c r="R154" i="31"/>
  <c r="S154" i="31" s="1"/>
  <c r="R155" i="31"/>
  <c r="S155" i="31" s="1"/>
  <c r="R156" i="31"/>
  <c r="S156" i="31" s="1"/>
  <c r="R157" i="31"/>
  <c r="S157" i="31" s="1"/>
  <c r="R158" i="31"/>
  <c r="S158" i="31" s="1"/>
  <c r="R159" i="31"/>
  <c r="S159" i="31" s="1"/>
  <c r="R160" i="31"/>
  <c r="S160" i="31" s="1"/>
  <c r="R161" i="31"/>
  <c r="S161" i="31" s="1"/>
  <c r="R162" i="31"/>
  <c r="S162" i="31" s="1"/>
  <c r="R163" i="31"/>
  <c r="S163" i="31" s="1"/>
  <c r="R164" i="31"/>
  <c r="S164" i="31" s="1"/>
  <c r="R165" i="31"/>
  <c r="S165" i="31" s="1"/>
  <c r="R166" i="31"/>
  <c r="S166" i="31" s="1"/>
  <c r="R167" i="31"/>
  <c r="S167" i="31" s="1"/>
  <c r="R168" i="31"/>
  <c r="S168" i="31" s="1"/>
  <c r="R169" i="31"/>
  <c r="S169" i="31" s="1"/>
  <c r="R170" i="31"/>
  <c r="S170" i="31" s="1"/>
  <c r="R171" i="31"/>
  <c r="S171" i="31" s="1"/>
  <c r="R172" i="31"/>
  <c r="S172" i="31" s="1"/>
  <c r="R173" i="31"/>
  <c r="S173" i="31" s="1"/>
  <c r="R174" i="31"/>
  <c r="S174" i="31" s="1"/>
  <c r="R175" i="31"/>
  <c r="S175" i="31" s="1"/>
  <c r="R176" i="31"/>
  <c r="S176" i="31" s="1"/>
  <c r="R177" i="31"/>
  <c r="S177" i="31" s="1"/>
  <c r="R178" i="31"/>
  <c r="S178" i="31" s="1"/>
  <c r="R179" i="31"/>
  <c r="S179" i="31" s="1"/>
  <c r="R180" i="31"/>
  <c r="S180" i="31" s="1"/>
  <c r="R181" i="31"/>
  <c r="S181" i="31" s="1"/>
  <c r="R182" i="31"/>
  <c r="S182" i="31" s="1"/>
  <c r="R183" i="31"/>
  <c r="S183" i="31" s="1"/>
  <c r="R184" i="31"/>
  <c r="S184" i="31" s="1"/>
  <c r="R185" i="31"/>
  <c r="S185" i="31" s="1"/>
  <c r="R186" i="31"/>
  <c r="S186" i="31" s="1"/>
  <c r="R187" i="31"/>
  <c r="S187" i="31" s="1"/>
  <c r="R188" i="31"/>
  <c r="S188" i="31" s="1"/>
  <c r="R189" i="31"/>
  <c r="S189" i="31" s="1"/>
  <c r="R190" i="31"/>
  <c r="S190" i="31" s="1"/>
  <c r="R191" i="31"/>
  <c r="S191" i="31" s="1"/>
  <c r="R192" i="31"/>
  <c r="S192" i="31" s="1"/>
  <c r="R193" i="31"/>
  <c r="S193" i="31" s="1"/>
  <c r="R194" i="31"/>
  <c r="S194" i="31" s="1"/>
  <c r="R195" i="31"/>
  <c r="S195" i="31" s="1"/>
  <c r="R196" i="31"/>
  <c r="S196" i="31" s="1"/>
  <c r="R197" i="31"/>
  <c r="S197" i="31" s="1"/>
  <c r="R198" i="31"/>
  <c r="S198" i="31" s="1"/>
  <c r="R199" i="31"/>
  <c r="S199" i="31" s="1"/>
  <c r="R200" i="31"/>
  <c r="S200" i="31" s="1"/>
  <c r="R201" i="31"/>
  <c r="S201" i="31" s="1"/>
  <c r="R202" i="31"/>
  <c r="S202" i="31" s="1"/>
  <c r="R203" i="31"/>
  <c r="S203" i="31" s="1"/>
  <c r="R204" i="31"/>
  <c r="S204" i="31" s="1"/>
  <c r="R205" i="31"/>
  <c r="S205" i="31" s="1"/>
  <c r="R206" i="31"/>
  <c r="S206" i="31" s="1"/>
  <c r="R207" i="31"/>
  <c r="S207" i="31" s="1"/>
  <c r="R208" i="31"/>
  <c r="S208" i="31" s="1"/>
  <c r="R209" i="31"/>
  <c r="S209" i="31" s="1"/>
  <c r="R210" i="31"/>
  <c r="S210" i="31" s="1"/>
  <c r="R211" i="31"/>
  <c r="S211" i="31" s="1"/>
  <c r="R212" i="31"/>
  <c r="S212" i="31" s="1"/>
  <c r="R213" i="31"/>
  <c r="S213" i="31" s="1"/>
  <c r="R214" i="31"/>
  <c r="S214" i="31" s="1"/>
  <c r="R215" i="31"/>
  <c r="S215" i="31" s="1"/>
  <c r="R216" i="31"/>
  <c r="S216" i="31" s="1"/>
  <c r="R217" i="31"/>
  <c r="S217" i="31" s="1"/>
  <c r="R218" i="31"/>
  <c r="S218" i="31" s="1"/>
  <c r="R219" i="31"/>
  <c r="S219" i="31" s="1"/>
  <c r="R220" i="31"/>
  <c r="S220" i="31" s="1"/>
  <c r="R221" i="31"/>
  <c r="S221" i="31" s="1"/>
  <c r="R222" i="31"/>
  <c r="S222" i="31" s="1"/>
  <c r="R223" i="31"/>
  <c r="S223" i="31" s="1"/>
  <c r="R224" i="31"/>
  <c r="S224" i="31" s="1"/>
  <c r="R225" i="31"/>
  <c r="S225" i="31" s="1"/>
  <c r="R226" i="31"/>
  <c r="S226" i="31" s="1"/>
  <c r="R227" i="31"/>
  <c r="S227" i="31" s="1"/>
  <c r="R228" i="31"/>
  <c r="S228" i="31" s="1"/>
  <c r="R229" i="31"/>
  <c r="S229" i="31" s="1"/>
  <c r="R230" i="31"/>
  <c r="S230" i="31" s="1"/>
  <c r="R231" i="31"/>
  <c r="S231" i="31" s="1"/>
  <c r="R232" i="31"/>
  <c r="S232" i="31" s="1"/>
  <c r="R233" i="31"/>
  <c r="S233" i="31" s="1"/>
  <c r="R234" i="31"/>
  <c r="S234" i="31" s="1"/>
  <c r="R235" i="31"/>
  <c r="S235" i="31" s="1"/>
  <c r="R236" i="31"/>
  <c r="S236" i="31" s="1"/>
  <c r="R237" i="31"/>
  <c r="S237" i="31" s="1"/>
  <c r="R238" i="31"/>
  <c r="S238" i="31" s="1"/>
  <c r="R239" i="31"/>
  <c r="S239" i="31" s="1"/>
  <c r="R240" i="31"/>
  <c r="S240" i="31" s="1"/>
  <c r="R241" i="31"/>
  <c r="S241" i="31" s="1"/>
  <c r="R242" i="31"/>
  <c r="S242" i="31" s="1"/>
  <c r="R243" i="31"/>
  <c r="S243" i="31" s="1"/>
  <c r="R244" i="31"/>
  <c r="S244" i="31" s="1"/>
  <c r="R245" i="31"/>
  <c r="S245" i="31" s="1"/>
  <c r="R246" i="31"/>
  <c r="S246" i="31" s="1"/>
  <c r="R247" i="31"/>
  <c r="S247" i="31" s="1"/>
  <c r="R248" i="31"/>
  <c r="S248" i="31" s="1"/>
  <c r="R249" i="31"/>
  <c r="S249" i="31" s="1"/>
  <c r="R250" i="31"/>
  <c r="S250" i="31" s="1"/>
  <c r="R251" i="31"/>
  <c r="S251" i="31" s="1"/>
  <c r="R252" i="31"/>
  <c r="S252" i="31" s="1"/>
  <c r="R253" i="31"/>
  <c r="S253" i="31" s="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S425" i="31" s="1"/>
  <c r="R426" i="31"/>
  <c r="S426" i="31" s="1"/>
  <c r="R427" i="31"/>
  <c r="S427" i="31" s="1"/>
  <c r="R428" i="31"/>
  <c r="S428" i="31" s="1"/>
  <c r="R429" i="31"/>
  <c r="S429" i="31" s="1"/>
  <c r="R430" i="31"/>
  <c r="S430" i="31" s="1"/>
  <c r="R431" i="31"/>
  <c r="S431" i="31" s="1"/>
  <c r="R432" i="31"/>
  <c r="S432" i="31" s="1"/>
  <c r="R433" i="31"/>
  <c r="S433" i="31" s="1"/>
  <c r="R434" i="31"/>
  <c r="S434" i="31" s="1"/>
  <c r="R435" i="31"/>
  <c r="S435" i="31" s="1"/>
  <c r="R436" i="31"/>
  <c r="S436" i="31" s="1"/>
  <c r="R437" i="31"/>
  <c r="S437" i="31" s="1"/>
  <c r="R438" i="31"/>
  <c r="S438" i="31" s="1"/>
  <c r="R439" i="31"/>
  <c r="S439" i="31" s="1"/>
  <c r="R440" i="31"/>
  <c r="S440" i="31" s="1"/>
  <c r="R441" i="31"/>
  <c r="S441" i="31" s="1"/>
  <c r="R442" i="31"/>
  <c r="S442" i="31" s="1"/>
  <c r="R443" i="31"/>
  <c r="S443" i="31" s="1"/>
  <c r="R444" i="31"/>
  <c r="S444" i="31" s="1"/>
  <c r="R445" i="31"/>
  <c r="S445" i="31" s="1"/>
  <c r="R446" i="31"/>
  <c r="S446" i="31" s="1"/>
  <c r="R447" i="31"/>
  <c r="S447" i="31" s="1"/>
  <c r="R448" i="31"/>
  <c r="S448" i="31" s="1"/>
  <c r="R449" i="31"/>
  <c r="S449" i="31" s="1"/>
  <c r="R450" i="31"/>
  <c r="S450" i="31" s="1"/>
  <c r="R451" i="31"/>
  <c r="S451" i="31" s="1"/>
  <c r="R452" i="31"/>
  <c r="S452" i="31" s="1"/>
  <c r="R453" i="31"/>
  <c r="S453" i="31" s="1"/>
  <c r="R454" i="31"/>
  <c r="S454" i="31" s="1"/>
  <c r="R455" i="31"/>
  <c r="S455" i="31" s="1"/>
  <c r="R456" i="31"/>
  <c r="S456" i="31" s="1"/>
  <c r="R457" i="31"/>
  <c r="S457" i="31" s="1"/>
  <c r="R458" i="31"/>
  <c r="S458" i="31" s="1"/>
  <c r="R459" i="31"/>
  <c r="S459" i="31" s="1"/>
  <c r="R460" i="31"/>
  <c r="S460" i="31" s="1"/>
  <c r="R461" i="31"/>
  <c r="S461" i="31" s="1"/>
  <c r="R462" i="31"/>
  <c r="S462" i="31" s="1"/>
  <c r="R463" i="31"/>
  <c r="S463" i="31" s="1"/>
  <c r="R464" i="31"/>
  <c r="S464" i="31" s="1"/>
  <c r="R465" i="31"/>
  <c r="S465" i="31" s="1"/>
  <c r="R466" i="31"/>
  <c r="S466" i="31" s="1"/>
  <c r="R467" i="31"/>
  <c r="S467" i="31" s="1"/>
  <c r="R468" i="31"/>
  <c r="S468" i="31" s="1"/>
  <c r="R469" i="31"/>
  <c r="S469" i="31" s="1"/>
  <c r="R470" i="31"/>
  <c r="S470" i="31" s="1"/>
  <c r="R471" i="31"/>
  <c r="S471" i="31" s="1"/>
  <c r="R472" i="31"/>
  <c r="S472" i="31" s="1"/>
  <c r="R473" i="31"/>
  <c r="S473" i="31" s="1"/>
  <c r="R474" i="31"/>
  <c r="S474" i="31" s="1"/>
  <c r="R475" i="31"/>
  <c r="S475" i="31" s="1"/>
  <c r="R476" i="31"/>
  <c r="S476" i="31" s="1"/>
  <c r="R477" i="31"/>
  <c r="S477" i="31" s="1"/>
  <c r="R478" i="31"/>
  <c r="S478" i="31" s="1"/>
  <c r="R479" i="31"/>
  <c r="S479" i="31" s="1"/>
  <c r="R480" i="31"/>
  <c r="S480" i="31" s="1"/>
  <c r="R481" i="31"/>
  <c r="S481" i="31" s="1"/>
  <c r="R482" i="31"/>
  <c r="S482" i="31" s="1"/>
  <c r="R483" i="31"/>
  <c r="S483" i="31" s="1"/>
  <c r="R484" i="31"/>
  <c r="S484" i="31" s="1"/>
  <c r="R485" i="31"/>
  <c r="S485" i="31" s="1"/>
  <c r="R486" i="31"/>
  <c r="S486" i="31" s="1"/>
  <c r="R487" i="31"/>
  <c r="S487" i="31" s="1"/>
  <c r="R488" i="31"/>
  <c r="S488" i="31" s="1"/>
  <c r="R489" i="31"/>
  <c r="S489" i="31" s="1"/>
  <c r="R490" i="31"/>
  <c r="S490" i="31" s="1"/>
  <c r="R491" i="31"/>
  <c r="S491" i="31" s="1"/>
  <c r="R492" i="31"/>
  <c r="S492" i="31" s="1"/>
  <c r="R493" i="31"/>
  <c r="S493" i="31" s="1"/>
  <c r="R494" i="31"/>
  <c r="S494" i="31" s="1"/>
  <c r="R495" i="31"/>
  <c r="S495" i="31" s="1"/>
  <c r="R496" i="31"/>
  <c r="S496" i="31" s="1"/>
  <c r="R497" i="31"/>
  <c r="S497" i="31" s="1"/>
  <c r="R498" i="31"/>
  <c r="S498" i="31" s="1"/>
  <c r="R499" i="31"/>
  <c r="S499" i="31" s="1"/>
  <c r="R500" i="31"/>
  <c r="S500" i="31" s="1"/>
  <c r="R501" i="31"/>
  <c r="S501" i="31" s="1"/>
  <c r="R502" i="31"/>
  <c r="S502" i="31" s="1"/>
  <c r="R503" i="31"/>
  <c r="S503" i="31" s="1"/>
  <c r="R504" i="31"/>
  <c r="S504" i="31" s="1"/>
  <c r="R505" i="31"/>
  <c r="S505" i="31" s="1"/>
  <c r="R506" i="31"/>
  <c r="S506" i="31" s="1"/>
  <c r="R507" i="31"/>
  <c r="S507" i="31" s="1"/>
  <c r="R508" i="31"/>
  <c r="S508" i="31" s="1"/>
  <c r="R509" i="31"/>
  <c r="S509" i="31" s="1"/>
  <c r="R510" i="31"/>
  <c r="S510" i="31" s="1"/>
  <c r="R511" i="31"/>
  <c r="S511" i="31" s="1"/>
  <c r="R512" i="31"/>
  <c r="S512" i="31" s="1"/>
  <c r="R513" i="31"/>
  <c r="S513" i="31" s="1"/>
  <c r="R514" i="31"/>
  <c r="S514" i="31" s="1"/>
  <c r="R515" i="31"/>
  <c r="S515" i="31" s="1"/>
  <c r="R516" i="31"/>
  <c r="S516" i="31" s="1"/>
  <c r="R517" i="31"/>
  <c r="S517" i="31" s="1"/>
  <c r="R518" i="31"/>
  <c r="S518" i="31" s="1"/>
  <c r="R519" i="31"/>
  <c r="S519" i="31" s="1"/>
  <c r="R520" i="31"/>
  <c r="S520" i="31" s="1"/>
  <c r="R521" i="31"/>
  <c r="S521" i="31" s="1"/>
  <c r="R522" i="31"/>
  <c r="S522" i="31" s="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s="1"/>
  <c r="L20" i="4"/>
  <c r="A5" i="62"/>
  <c r="B72" i="72" s="1"/>
  <c r="A4" i="62"/>
  <c r="B70" i="72" s="1"/>
  <c r="F33" i="9"/>
  <c r="B37" i="48"/>
  <c r="B2" i="72" s="1"/>
  <c r="B13" i="53"/>
  <c r="B29" i="72" s="1"/>
  <c r="R35" i="4"/>
  <c r="Q35" i="4"/>
  <c r="P35" i="4"/>
  <c r="O35" i="4"/>
  <c r="N35" i="4"/>
  <c r="M35" i="4"/>
  <c r="L35" i="4"/>
  <c r="K34" i="4"/>
  <c r="T34" i="4" s="1"/>
  <c r="G13" i="1"/>
  <c r="I15" i="4"/>
  <c r="H15" i="4"/>
  <c r="G15" i="4"/>
  <c r="E15" i="4"/>
  <c r="F6" i="1" s="1"/>
  <c r="D15" i="4"/>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L16" i="3" s="1"/>
  <c r="BO17" i="3"/>
  <c r="BN13" i="3"/>
  <c r="BN14" i="3"/>
  <c r="BN15" i="3"/>
  <c r="BN16" i="3"/>
  <c r="BN17" i="3"/>
  <c r="BP13" i="3"/>
  <c r="BP14" i="3"/>
  <c r="BP15" i="3"/>
  <c r="BP16" i="3"/>
  <c r="BP17" i="3"/>
  <c r="E19" i="6"/>
  <c r="E20" i="6"/>
  <c r="E21" i="6"/>
  <c r="K8" i="1" s="1"/>
  <c r="F23" i="15"/>
  <c r="D24" i="15" s="1"/>
  <c r="O8" i="1"/>
  <c r="P8" i="1" s="1"/>
  <c r="E22" i="6"/>
  <c r="K9" i="1" s="1"/>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G17" i="3" s="1"/>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J55" i="9"/>
  <c r="B31" i="1"/>
  <c r="B52" i="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D30" i="9" s="1"/>
  <c r="B30" i="9"/>
  <c r="C25" i="9" s="1"/>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D113" i="33"/>
  <c r="D111" i="33"/>
  <c r="E111" i="33" s="1"/>
  <c r="F111" i="33" s="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J40" i="40" s="1"/>
  <c r="B118" i="40"/>
  <c r="J39" i="40" s="1"/>
  <c r="B116" i="40"/>
  <c r="F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B101" i="40"/>
  <c r="J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H40" i="40"/>
  <c r="AB40" i="40" s="1"/>
  <c r="Q39" i="40"/>
  <c r="Z39" i="40" s="1"/>
  <c r="H39" i="40"/>
  <c r="U39" i="40" s="1"/>
  <c r="Q38" i="40"/>
  <c r="Z38" i="40" s="1"/>
  <c r="J38" i="40"/>
  <c r="AC38" i="40" s="1"/>
  <c r="Q37" i="40"/>
  <c r="Z37" i="40" s="1"/>
  <c r="Q36" i="40"/>
  <c r="Z36" i="40" s="1"/>
  <c r="Q35" i="40"/>
  <c r="Z35" i="40" s="1"/>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c r="Q44" i="39"/>
  <c r="Z44" i="39"/>
  <c r="Q45" i="39"/>
  <c r="Z45" i="39"/>
  <c r="Q38" i="39"/>
  <c r="Z38" i="39"/>
  <c r="Q36" i="39"/>
  <c r="Z36" i="39" s="1"/>
  <c r="Q37" i="39"/>
  <c r="Z37" i="39" s="1"/>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c r="Q19" i="39"/>
  <c r="Z19" i="39"/>
  <c r="Q17" i="39"/>
  <c r="Z17" i="39"/>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s="1"/>
  <c r="AC39" i="37" s="1"/>
  <c r="B108" i="37"/>
  <c r="C23" i="37"/>
  <c r="C19" i="37"/>
  <c r="C17" i="37"/>
  <c r="C15" i="37"/>
  <c r="B112" i="37"/>
  <c r="D107" i="37"/>
  <c r="E107" i="37" s="1"/>
  <c r="F107" i="37" s="1"/>
  <c r="D105" i="37"/>
  <c r="E105" i="37" s="1"/>
  <c r="F105" i="37" s="1"/>
  <c r="G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H26" i="37" s="1"/>
  <c r="AB26" i="37" s="1"/>
  <c r="D79" i="37"/>
  <c r="E79" i="37" s="1"/>
  <c r="D75" i="37"/>
  <c r="E75" i="37" s="1"/>
  <c r="D73" i="37"/>
  <c r="E73" i="37" s="1"/>
  <c r="F73" i="37" s="1"/>
  <c r="D71" i="37"/>
  <c r="H15" i="37"/>
  <c r="AB15" i="37" s="1"/>
  <c r="B68" i="37"/>
  <c r="H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F26" i="37"/>
  <c r="AA26" i="37" s="1"/>
  <c r="Q25" i="37"/>
  <c r="Z25" i="37"/>
  <c r="F25" i="37"/>
  <c r="AA25" i="37" s="1"/>
  <c r="Q23" i="37"/>
  <c r="Z23" i="37"/>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H23" i="36" s="1"/>
  <c r="AB23" i="36" s="1"/>
  <c r="D70" i="36"/>
  <c r="H22" i="36"/>
  <c r="AB22" i="36" s="1"/>
  <c r="D68" i="36"/>
  <c r="E68" i="36" s="1"/>
  <c r="F68" i="36" s="1"/>
  <c r="G68" i="36" s="1"/>
  <c r="D64" i="36"/>
  <c r="E64" i="36" s="1"/>
  <c r="F64" i="36" s="1"/>
  <c r="G64" i="36" s="1"/>
  <c r="J16" i="36"/>
  <c r="W16" i="36" s="1"/>
  <c r="D62" i="36"/>
  <c r="E62" i="36" s="1"/>
  <c r="F62" i="36" s="1"/>
  <c r="G62" i="36" s="1"/>
  <c r="B59" i="36"/>
  <c r="B57" i="36"/>
  <c r="J12" i="36" s="1"/>
  <c r="B55" i="36"/>
  <c r="F54" i="36"/>
  <c r="G54" i="36" s="1"/>
  <c r="H54" i="36" s="1"/>
  <c r="I54" i="36" s="1"/>
  <c r="C51" i="36"/>
  <c r="H9" i="36" s="1"/>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s="1"/>
  <c r="Q26" i="36"/>
  <c r="Z26" i="36" s="1"/>
  <c r="H26" i="36"/>
  <c r="AB26" i="36" s="1"/>
  <c r="Q25" i="36"/>
  <c r="Z25" i="36" s="1"/>
  <c r="Q24" i="36"/>
  <c r="Z24" i="36" s="1"/>
  <c r="Q23" i="36"/>
  <c r="Z23" i="36" s="1"/>
  <c r="J23" i="36"/>
  <c r="AC23" i="36" s="1"/>
  <c r="F23" i="36"/>
  <c r="AA23" i="36" s="1"/>
  <c r="Q22" i="36"/>
  <c r="Z22" i="36" s="1"/>
  <c r="J22" i="36"/>
  <c r="AC22" i="36" s="1"/>
  <c r="Q20" i="36"/>
  <c r="Z20" i="36"/>
  <c r="Q16" i="36"/>
  <c r="Z16" i="36" s="1"/>
  <c r="Q14" i="36"/>
  <c r="Z14" i="36" s="1"/>
  <c r="Q13" i="36"/>
  <c r="Z13" i="36" s="1"/>
  <c r="Q12" i="36"/>
  <c r="Z12" i="36" s="1"/>
  <c r="Q11" i="36"/>
  <c r="Z11" i="36" s="1"/>
  <c r="Q10" i="36"/>
  <c r="Z10" i="36" s="1"/>
  <c r="F10" i="36"/>
  <c r="AA10" i="36" s="1"/>
  <c r="Q9" i="36"/>
  <c r="Z9" i="36" s="1"/>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H34" i="35" s="1"/>
  <c r="B77" i="35"/>
  <c r="B75" i="35"/>
  <c r="J24" i="35" s="1"/>
  <c r="AC24" i="35" s="1"/>
  <c r="B73" i="35"/>
  <c r="H23" i="35" s="1"/>
  <c r="U23" i="35" s="1"/>
  <c r="B57" i="35"/>
  <c r="B61" i="35"/>
  <c r="B59" i="35"/>
  <c r="H12" i="35" s="1"/>
  <c r="B131" i="34"/>
  <c r="B129" i="34"/>
  <c r="B127" i="34"/>
  <c r="B99" i="34"/>
  <c r="B97" i="34"/>
  <c r="B95" i="34"/>
  <c r="B93" i="34"/>
  <c r="B75" i="34"/>
  <c r="B73" i="34"/>
  <c r="B71" i="34"/>
  <c r="J12" i="34" s="1"/>
  <c r="B130" i="33"/>
  <c r="F46" i="33" s="1"/>
  <c r="AA46" i="33" s="1"/>
  <c r="B128" i="33"/>
  <c r="B126" i="33"/>
  <c r="H44" i="33" s="1"/>
  <c r="B98" i="33"/>
  <c r="B96" i="33"/>
  <c r="B94" i="33"/>
  <c r="B74" i="33"/>
  <c r="B72" i="33"/>
  <c r="H13" i="33" s="1"/>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Q35" i="35"/>
  <c r="Z35" i="35" s="1"/>
  <c r="Q34" i="35"/>
  <c r="Z34" i="35" s="1"/>
  <c r="J34" i="35"/>
  <c r="AC34" i="35" s="1"/>
  <c r="F34" i="35"/>
  <c r="AA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Q22" i="35"/>
  <c r="Z22" i="35" s="1"/>
  <c r="Q20" i="35"/>
  <c r="Z20" i="35" s="1"/>
  <c r="Q16" i="35"/>
  <c r="Z16" i="35" s="1"/>
  <c r="Q14" i="35"/>
  <c r="Z14" i="35" s="1"/>
  <c r="Q13" i="35"/>
  <c r="Z13" i="35" s="1"/>
  <c r="Q12" i="35"/>
  <c r="Z12" i="35" s="1"/>
  <c r="J12" i="35"/>
  <c r="W12" i="35" s="1"/>
  <c r="F12" i="35"/>
  <c r="S12" i="35" s="1"/>
  <c r="Q11" i="35"/>
  <c r="Z11" i="35" s="1"/>
  <c r="Q10" i="35"/>
  <c r="Z10" i="35" s="1"/>
  <c r="Q9" i="35"/>
  <c r="Z9" i="35" s="1"/>
  <c r="J8" i="35"/>
  <c r="W8" i="35" s="1"/>
  <c r="H8" i="35"/>
  <c r="AB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H12" i="34"/>
  <c r="Q11" i="34"/>
  <c r="Z11" i="34" s="1"/>
  <c r="Q10" i="34"/>
  <c r="Z10" i="34" s="1"/>
  <c r="F10" i="34"/>
  <c r="AA10" i="34" s="1"/>
  <c r="Q9" i="34"/>
  <c r="Z9" i="34" s="1"/>
  <c r="J9" i="34"/>
  <c r="AC9" i="34" s="1"/>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9" i="33" s="1"/>
  <c r="AB9" i="33" s="1"/>
  <c r="F54" i="33"/>
  <c r="P49" i="33"/>
  <c r="P48" i="33"/>
  <c r="V47" i="33"/>
  <c r="T47" i="33"/>
  <c r="R47" i="33"/>
  <c r="P47" i="33"/>
  <c r="Q46" i="33"/>
  <c r="Z46" i="33" s="1"/>
  <c r="Q45" i="33"/>
  <c r="Z45" i="33" s="1"/>
  <c r="Q44" i="33"/>
  <c r="Z44" i="33" s="1"/>
  <c r="Q43" i="33"/>
  <c r="Z43" i="33" s="1"/>
  <c r="Q42" i="33"/>
  <c r="Z42" i="33" s="1"/>
  <c r="Q41" i="33"/>
  <c r="Z41" i="33"/>
  <c r="Q40" i="33"/>
  <c r="Z40" i="33"/>
  <c r="J40" i="33"/>
  <c r="AC40" i="33" s="1"/>
  <c r="H40" i="33"/>
  <c r="AB40" i="33" s="1"/>
  <c r="AA40" i="33"/>
  <c r="Q39" i="33"/>
  <c r="Z39" i="33" s="1"/>
  <c r="Q38" i="33"/>
  <c r="Z38" i="33" s="1"/>
  <c r="H38" i="33"/>
  <c r="AB38" i="33" s="1"/>
  <c r="Q37" i="33"/>
  <c r="Z37" i="33" s="1"/>
  <c r="Q36" i="33"/>
  <c r="Z36" i="33"/>
  <c r="Q35" i="33"/>
  <c r="Z35" i="33"/>
  <c r="H35" i="33"/>
  <c r="AB35" i="33" s="1"/>
  <c r="Q34" i="33"/>
  <c r="Z34" i="33" s="1"/>
  <c r="Q33" i="33"/>
  <c r="Z33" i="33" s="1"/>
  <c r="J33" i="33"/>
  <c r="AC33" i="33" s="1"/>
  <c r="H33" i="33"/>
  <c r="AB33" i="33" s="1"/>
  <c r="F33" i="33"/>
  <c r="AA33" i="33" s="1"/>
  <c r="Q32" i="33"/>
  <c r="Z32" i="33"/>
  <c r="Q31" i="33"/>
  <c r="Z31" i="33" s="1"/>
  <c r="Q30" i="33"/>
  <c r="Z30" i="33" s="1"/>
  <c r="Q29" i="33"/>
  <c r="Z29" i="33" s="1"/>
  <c r="Q28" i="33"/>
  <c r="Z28" i="33" s="1"/>
  <c r="Q27" i="33"/>
  <c r="Z27" i="33" s="1"/>
  <c r="Q26" i="33"/>
  <c r="Z26" i="33" s="1"/>
  <c r="Q25" i="33"/>
  <c r="Z25" i="33" s="1"/>
  <c r="Q23" i="33"/>
  <c r="Z23" i="33"/>
  <c r="Q19" i="33"/>
  <c r="Z19" i="33" s="1"/>
  <c r="Q17" i="33"/>
  <c r="Z17" i="33" s="1"/>
  <c r="Q15" i="33"/>
  <c r="Z15" i="33" s="1"/>
  <c r="Q14" i="33"/>
  <c r="Z14" i="33" s="1"/>
  <c r="Q13" i="33"/>
  <c r="Z13" i="33" s="1"/>
  <c r="Q12" i="33"/>
  <c r="Z12" i="33" s="1"/>
  <c r="H12" i="33"/>
  <c r="U12" i="33" s="1"/>
  <c r="Q11" i="33"/>
  <c r="Z11" i="33" s="1"/>
  <c r="Q10" i="33"/>
  <c r="Z10" i="33" s="1"/>
  <c r="Q9" i="33"/>
  <c r="Z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F12" i="21" s="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s="1"/>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U30" i="37"/>
  <c r="W31" i="37"/>
  <c r="E103" i="37"/>
  <c r="F103" i="37" s="1"/>
  <c r="G103" i="37" s="1"/>
  <c r="H103" i="37" s="1"/>
  <c r="I103" i="37" s="1"/>
  <c r="J103" i="37" s="1"/>
  <c r="K103" i="37" s="1"/>
  <c r="L103" i="37" s="1"/>
  <c r="M103" i="37" s="1"/>
  <c r="F39" i="37"/>
  <c r="S39" i="37" s="1"/>
  <c r="F29" i="36"/>
  <c r="AA29" i="36" s="1"/>
  <c r="W8" i="36"/>
  <c r="F16" i="36"/>
  <c r="AA16" i="36" s="1"/>
  <c r="W28" i="36"/>
  <c r="S30" i="36"/>
  <c r="AA31" i="36"/>
  <c r="AC31" i="36"/>
  <c r="W31" i="36"/>
  <c r="J33" i="36"/>
  <c r="W33" i="36" s="1"/>
  <c r="H22" i="35"/>
  <c r="AB22" i="35" s="1"/>
  <c r="AC27" i="35"/>
  <c r="U31" i="35"/>
  <c r="W34" i="35"/>
  <c r="W22" i="35"/>
  <c r="S31" i="35"/>
  <c r="F36" i="34"/>
  <c r="J35" i="34"/>
  <c r="S34" i="34"/>
  <c r="U34" i="34"/>
  <c r="H39" i="33"/>
  <c r="AB39" i="33" s="1"/>
  <c r="S9" i="33"/>
  <c r="U33" i="33"/>
  <c r="U35" i="33"/>
  <c r="S40" i="33"/>
  <c r="H39" i="37"/>
  <c r="AB39" i="37" s="1"/>
  <c r="F11" i="40"/>
  <c r="AA11" i="40" s="1"/>
  <c r="H11" i="40"/>
  <c r="AB11" i="40" s="1"/>
  <c r="W8" i="40"/>
  <c r="AB39" i="40"/>
  <c r="AA9" i="40"/>
  <c r="AC9" i="40"/>
  <c r="U9" i="40"/>
  <c r="S34" i="40"/>
  <c r="U34" i="40"/>
  <c r="U40" i="40"/>
  <c r="F42" i="39"/>
  <c r="AA42" i="39" s="1"/>
  <c r="F41" i="39"/>
  <c r="S41" i="39" s="1"/>
  <c r="H40" i="39"/>
  <c r="AB40" i="39" s="1"/>
  <c r="H39" i="39"/>
  <c r="U39" i="39" s="1"/>
  <c r="S38" i="39"/>
  <c r="S34" i="39"/>
  <c r="H34" i="39"/>
  <c r="U34" i="39" s="1"/>
  <c r="E109" i="39"/>
  <c r="H31" i="39"/>
  <c r="AB31" i="39" s="1"/>
  <c r="F31" i="39"/>
  <c r="AA31" i="39" s="1"/>
  <c r="E101" i="39"/>
  <c r="H19" i="39"/>
  <c r="AB19" i="39" s="1"/>
  <c r="F19" i="39"/>
  <c r="AA19" i="39" s="1"/>
  <c r="H17" i="39"/>
  <c r="AB17" i="39" s="1"/>
  <c r="F17" i="39"/>
  <c r="AA17" i="39" s="1"/>
  <c r="J23" i="40"/>
  <c r="AC23" i="40" s="1"/>
  <c r="F21" i="40"/>
  <c r="AA21" i="40" s="1"/>
  <c r="J21" i="40"/>
  <c r="W21" i="40" s="1"/>
  <c r="H42" i="39"/>
  <c r="AB42" i="39" s="1"/>
  <c r="J34" i="39"/>
  <c r="AC34" i="39" s="1"/>
  <c r="F109" i="39"/>
  <c r="G109" i="39" s="1"/>
  <c r="H109" i="39" s="1"/>
  <c r="I109" i="39" s="1"/>
  <c r="J109" i="39" s="1"/>
  <c r="K109" i="39" s="1"/>
  <c r="L109" i="39" s="1"/>
  <c r="M109" i="39" s="1"/>
  <c r="J31" i="39"/>
  <c r="F101" i="39"/>
  <c r="H27" i="39"/>
  <c r="U27" i="39" s="1"/>
  <c r="J19" i="39"/>
  <c r="AC19" i="39" s="1"/>
  <c r="J17" i="39"/>
  <c r="J27" i="39"/>
  <c r="AC27" i="39" s="1"/>
  <c r="F27" i="39"/>
  <c r="F11" i="21"/>
  <c r="S11" i="21" s="1"/>
  <c r="S40" i="21"/>
  <c r="U34" i="21"/>
  <c r="S34" i="21"/>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S44" i="39"/>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B34" i="37"/>
  <c r="J33" i="37"/>
  <c r="AC33" i="37" s="1"/>
  <c r="U42" i="34"/>
  <c r="H40" i="34"/>
  <c r="U40" i="34" s="1"/>
  <c r="E114" i="34"/>
  <c r="H36" i="34"/>
  <c r="U36" i="34" s="1"/>
  <c r="F37" i="34"/>
  <c r="AA37" i="34" s="1"/>
  <c r="S35" i="34"/>
  <c r="F28" i="34"/>
  <c r="F27" i="34"/>
  <c r="AA27" i="34" s="1"/>
  <c r="F25" i="34"/>
  <c r="S25" i="34" s="1"/>
  <c r="H23" i="34"/>
  <c r="U23" i="34" s="1"/>
  <c r="J23" i="34"/>
  <c r="F19" i="34"/>
  <c r="H17" i="34"/>
  <c r="F15" i="34"/>
  <c r="J15" i="34"/>
  <c r="H15" i="34"/>
  <c r="AB15" i="34" s="1"/>
  <c r="S9" i="34"/>
  <c r="W8" i="34"/>
  <c r="J28" i="34"/>
  <c r="W28" i="34" s="1"/>
  <c r="F41" i="33"/>
  <c r="AA41" i="33" s="1"/>
  <c r="E113" i="33"/>
  <c r="F113" i="33" s="1"/>
  <c r="G113" i="33" s="1"/>
  <c r="H113" i="33" s="1"/>
  <c r="I113" i="33" s="1"/>
  <c r="J113" i="33" s="1"/>
  <c r="K113" i="33" s="1"/>
  <c r="L113" i="33" s="1"/>
  <c r="M113" i="33" s="1"/>
  <c r="F32" i="33"/>
  <c r="AA32" i="33" s="1"/>
  <c r="J19" i="33"/>
  <c r="AC19" i="33" s="1"/>
  <c r="J15" i="33"/>
  <c r="AC15" i="33" s="1"/>
  <c r="F11" i="33"/>
  <c r="AA11" i="33" s="1"/>
  <c r="U40" i="33"/>
  <c r="W40" i="33"/>
  <c r="U8" i="33"/>
  <c r="F37" i="40"/>
  <c r="AA37" i="40" s="1"/>
  <c r="F36" i="40"/>
  <c r="AA36" i="40" s="1"/>
  <c r="H28" i="40"/>
  <c r="U28" i="40" s="1"/>
  <c r="F23" i="40"/>
  <c r="AA23" i="40" s="1"/>
  <c r="F17" i="40"/>
  <c r="AA17" i="40" s="1"/>
  <c r="J17" i="40"/>
  <c r="W17" i="40" s="1"/>
  <c r="F15" i="40"/>
  <c r="S15" i="40" s="1"/>
  <c r="H15" i="40"/>
  <c r="AB15" i="40" s="1"/>
  <c r="AC11" i="40"/>
  <c r="S12" i="36"/>
  <c r="AA12" i="36"/>
  <c r="AB30" i="36"/>
  <c r="AC34" i="36"/>
  <c r="U33" i="35"/>
  <c r="F29" i="35"/>
  <c r="S29" i="35" s="1"/>
  <c r="H29" i="35"/>
  <c r="AB29" i="35" s="1"/>
  <c r="H33" i="37"/>
  <c r="AB33" i="37" s="1"/>
  <c r="F33" i="37"/>
  <c r="AA33" i="37" s="1"/>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AA15" i="34"/>
  <c r="S15" i="34"/>
  <c r="S41" i="33"/>
  <c r="H37" i="33"/>
  <c r="AB37" i="33" s="1"/>
  <c r="H15" i="33"/>
  <c r="AB15" i="33" s="1"/>
  <c r="H11" i="33"/>
  <c r="AB11" i="33" s="1"/>
  <c r="F28" i="40"/>
  <c r="AA28" i="40" s="1"/>
  <c r="AA29" i="35"/>
  <c r="AA42" i="34"/>
  <c r="S42" i="34"/>
  <c r="AC38" i="34"/>
  <c r="AA38" i="34"/>
  <c r="J37" i="34"/>
  <c r="AC37" i="34" s="1"/>
  <c r="J11" i="33"/>
  <c r="W11" i="33" s="1"/>
  <c r="U23" i="40"/>
  <c r="G123" i="21"/>
  <c r="H123" i="21" s="1"/>
  <c r="I123" i="21" s="1"/>
  <c r="J123" i="21" s="1"/>
  <c r="K123" i="21" s="1"/>
  <c r="L123" i="21" s="1"/>
  <c r="M123" i="21" s="1"/>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F13" i="33"/>
  <c r="S13" i="33" s="1"/>
  <c r="J29" i="33"/>
  <c r="AC29" i="33" s="1"/>
  <c r="H29" i="33"/>
  <c r="U29" i="33" s="1"/>
  <c r="F29" i="33"/>
  <c r="S29" i="33" s="1"/>
  <c r="J31" i="33"/>
  <c r="W31" i="33" s="1"/>
  <c r="H31" i="33"/>
  <c r="F31" i="33"/>
  <c r="H45" i="33"/>
  <c r="U45" i="33" s="1"/>
  <c r="J45" i="33"/>
  <c r="W45" i="33" s="1"/>
  <c r="F45" i="33"/>
  <c r="AA45" i="33" s="1"/>
  <c r="J14" i="34"/>
  <c r="W14" i="34" s="1"/>
  <c r="F14" i="34"/>
  <c r="H14" i="34"/>
  <c r="H30" i="34"/>
  <c r="F30" i="34"/>
  <c r="S30" i="34" s="1"/>
  <c r="J30" i="34"/>
  <c r="W30" i="34" s="1"/>
  <c r="H32" i="34"/>
  <c r="F32" i="34"/>
  <c r="J32" i="34"/>
  <c r="W32" i="34" s="1"/>
  <c r="H46" i="34"/>
  <c r="F46" i="34"/>
  <c r="J46" i="34"/>
  <c r="H11" i="35"/>
  <c r="U11" i="35" s="1"/>
  <c r="J11" i="35"/>
  <c r="AC11" i="35" s="1"/>
  <c r="F11" i="35"/>
  <c r="S11" i="35" s="1"/>
  <c r="J26" i="36"/>
  <c r="W26" i="36" s="1"/>
  <c r="H28" i="36"/>
  <c r="U28" i="36" s="1"/>
  <c r="H32" i="36"/>
  <c r="AB32" i="36" s="1"/>
  <c r="J32" i="36"/>
  <c r="W32" i="36"/>
  <c r="J11" i="36"/>
  <c r="AC11" i="36" s="1"/>
  <c r="H11" i="36"/>
  <c r="U11" i="36" s="1"/>
  <c r="F11" i="36"/>
  <c r="AA11" i="36" s="1"/>
  <c r="H13" i="36"/>
  <c r="AB13" i="36" s="1"/>
  <c r="J13" i="36"/>
  <c r="F13" i="36"/>
  <c r="S13" i="36" s="1"/>
  <c r="E89" i="37"/>
  <c r="F89" i="37"/>
  <c r="G89" i="37" s="1"/>
  <c r="H89" i="37" s="1"/>
  <c r="I89" i="37" s="1"/>
  <c r="J89" i="37" s="1"/>
  <c r="K89" i="37" s="1"/>
  <c r="L89" i="37" s="1"/>
  <c r="M89" i="37" s="1"/>
  <c r="J29" i="37"/>
  <c r="W29" i="37" s="1"/>
  <c r="F29" i="37"/>
  <c r="S29" i="37" s="1"/>
  <c r="H36" i="37"/>
  <c r="AB36" i="37" s="1"/>
  <c r="J37" i="37"/>
  <c r="AC37" i="37" s="1"/>
  <c r="H37" i="37"/>
  <c r="U37" i="37" s="1"/>
  <c r="H40" i="37"/>
  <c r="U40" i="37" s="1"/>
  <c r="J40" i="37"/>
  <c r="AC40" i="37" s="1"/>
  <c r="F40" i="37"/>
  <c r="AA40" i="37" s="1"/>
  <c r="AC12" i="40"/>
  <c r="W12" i="40"/>
  <c r="H14" i="33"/>
  <c r="U14" i="33" s="1"/>
  <c r="F14" i="33"/>
  <c r="J14" i="33"/>
  <c r="H30" i="33"/>
  <c r="AB30" i="33" s="1"/>
  <c r="F30" i="33"/>
  <c r="J30" i="33"/>
  <c r="J44" i="33"/>
  <c r="AC44" i="33" s="1"/>
  <c r="J46" i="33"/>
  <c r="AC46" i="33" s="1"/>
  <c r="H46" i="33"/>
  <c r="AB46" i="33" s="1"/>
  <c r="H13" i="34"/>
  <c r="U13" i="34" s="1"/>
  <c r="J13" i="34"/>
  <c r="W13" i="34" s="1"/>
  <c r="F13" i="34"/>
  <c r="AA13" i="34" s="1"/>
  <c r="J29" i="34"/>
  <c r="F29" i="34"/>
  <c r="S29" i="34" s="1"/>
  <c r="H29" i="34"/>
  <c r="AB29" i="34" s="1"/>
  <c r="J31" i="34"/>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13" i="35"/>
  <c r="U31" i="34"/>
  <c r="J36" i="37"/>
  <c r="AC36" i="37" s="1"/>
  <c r="AB11" i="36"/>
  <c r="AB11" i="35"/>
  <c r="J10" i="36"/>
  <c r="AC10" i="36" s="1"/>
  <c r="AA14" i="37"/>
  <c r="AC13" i="36"/>
  <c r="W13" i="36"/>
  <c r="S11" i="36"/>
  <c r="W11" i="36"/>
  <c r="W11" i="35"/>
  <c r="S45" i="33"/>
  <c r="AC28" i="21"/>
  <c r="S44" i="34"/>
  <c r="BA586" i="3"/>
  <c r="BA585" i="3"/>
  <c r="F17" i="21"/>
  <c r="AA17" i="21" s="1"/>
  <c r="H17" i="21"/>
  <c r="AB17" i="21" s="1"/>
  <c r="F15" i="21"/>
  <c r="S15" i="21" s="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BA580" i="3"/>
  <c r="AZ580" i="3" s="1"/>
  <c r="BA578" i="3"/>
  <c r="AZ578" i="3" s="1"/>
  <c r="BA576" i="3"/>
  <c r="AZ576" i="3" s="1"/>
  <c r="BA574" i="3"/>
  <c r="AZ574" i="3" s="1"/>
  <c r="BA572" i="3"/>
  <c r="AZ572" i="3"/>
  <c r="BA570" i="3"/>
  <c r="AZ570" i="3"/>
  <c r="BA568" i="3"/>
  <c r="AZ568" i="3"/>
  <c r="BA566" i="3"/>
  <c r="AZ566" i="3"/>
  <c r="BA564" i="3"/>
  <c r="AZ564" i="3"/>
  <c r="BA562" i="3"/>
  <c r="AZ562" i="3"/>
  <c r="BA560" i="3"/>
  <c r="BA558" i="3"/>
  <c r="AZ558" i="3" s="1"/>
  <c r="BA556" i="3"/>
  <c r="AZ556" i="3" s="1"/>
  <c r="BA554" i="3"/>
  <c r="AZ554" i="3" s="1"/>
  <c r="BA552" i="3"/>
  <c r="AZ552" i="3" s="1"/>
  <c r="BA548" i="3"/>
  <c r="BA546" i="3"/>
  <c r="BA544" i="3"/>
  <c r="AZ544" i="3" s="1"/>
  <c r="BA542" i="3"/>
  <c r="AZ542" i="3" s="1"/>
  <c r="BA540" i="3"/>
  <c r="AZ540" i="3" s="1"/>
  <c r="BA538" i="3"/>
  <c r="AZ538" i="3" s="1"/>
  <c r="BA536" i="3"/>
  <c r="AZ536" i="3" s="1"/>
  <c r="BA534" i="3"/>
  <c r="AZ534" i="3" s="1"/>
  <c r="BA532" i="3"/>
  <c r="AZ532" i="3" s="1"/>
  <c r="BA530" i="3"/>
  <c r="BA528" i="3"/>
  <c r="AZ528" i="3" s="1"/>
  <c r="BA526" i="3"/>
  <c r="AZ526" i="3" s="1"/>
  <c r="BA524" i="3"/>
  <c r="AZ524" i="3" s="1"/>
  <c r="BA522" i="3"/>
  <c r="BA520" i="3"/>
  <c r="BA518" i="3"/>
  <c r="AZ518" i="3" s="1"/>
  <c r="BA516" i="3"/>
  <c r="AZ516" i="3" s="1"/>
  <c r="BA514" i="3"/>
  <c r="BA512" i="3"/>
  <c r="AZ512" i="3" s="1"/>
  <c r="BA510" i="3"/>
  <c r="AZ510" i="3" s="1"/>
  <c r="BA508" i="3"/>
  <c r="AZ508" i="3" s="1"/>
  <c r="BA506" i="3"/>
  <c r="BA504" i="3"/>
  <c r="AZ504" i="3" s="1"/>
  <c r="BA502" i="3"/>
  <c r="BA500" i="3"/>
  <c r="BA498" i="3"/>
  <c r="AZ498" i="3" s="1"/>
  <c r="BA496" i="3"/>
  <c r="BA494" i="3"/>
  <c r="BA587" i="3"/>
  <c r="AZ587" i="3" s="1"/>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c r="BQ557" i="3"/>
  <c r="BL557" i="3"/>
  <c r="BQ583" i="3"/>
  <c r="BL583" i="3" s="1"/>
  <c r="BQ581" i="3"/>
  <c r="BL581" i="3" s="1"/>
  <c r="BQ579" i="3"/>
  <c r="BL579" i="3" s="1"/>
  <c r="AZ579" i="3" s="1"/>
  <c r="BQ577" i="3"/>
  <c r="BL577" i="3" s="1"/>
  <c r="AZ577" i="3" s="1"/>
  <c r="BQ575" i="3"/>
  <c r="BL575" i="3"/>
  <c r="AZ575" i="3" s="1"/>
  <c r="BQ573" i="3"/>
  <c r="BL573" i="3" s="1"/>
  <c r="AZ573" i="3" s="1"/>
  <c r="BQ571" i="3"/>
  <c r="BL571" i="3" s="1"/>
  <c r="AZ571" i="3" s="1"/>
  <c r="BQ569" i="3"/>
  <c r="BL569" i="3" s="1"/>
  <c r="AZ569" i="3" s="1"/>
  <c r="BQ567" i="3"/>
  <c r="BL567" i="3"/>
  <c r="AZ567" i="3" s="1"/>
  <c r="BQ565" i="3"/>
  <c r="BL565" i="3" s="1"/>
  <c r="AZ565" i="3" s="1"/>
  <c r="BQ563" i="3"/>
  <c r="BL563" i="3" s="1"/>
  <c r="AZ563" i="3" s="1"/>
  <c r="BQ561" i="3"/>
  <c r="BL561" i="3" s="1"/>
  <c r="AZ561" i="3" s="1"/>
  <c r="BQ559" i="3"/>
  <c r="BL559" i="3" s="1"/>
  <c r="AZ559" i="3" s="1"/>
  <c r="G559" i="3"/>
  <c r="G555" i="3"/>
  <c r="G553" i="3"/>
  <c r="G549" i="3"/>
  <c r="G547" i="3"/>
  <c r="G545" i="3"/>
  <c r="G543" i="3"/>
  <c r="G541" i="3"/>
  <c r="G539" i="3"/>
  <c r="G537" i="3"/>
  <c r="BQ555" i="3"/>
  <c r="BL555" i="3"/>
  <c r="AZ555" i="3" s="1"/>
  <c r="BQ553" i="3"/>
  <c r="BL553" i="3" s="1"/>
  <c r="BQ551" i="3"/>
  <c r="BL551" i="3" s="1"/>
  <c r="BQ549" i="3"/>
  <c r="BQ547" i="3"/>
  <c r="BL547" i="3" s="1"/>
  <c r="AZ547" i="3" s="1"/>
  <c r="BQ545" i="3"/>
  <c r="BL545" i="3" s="1"/>
  <c r="AZ545" i="3" s="1"/>
  <c r="BQ543" i="3"/>
  <c r="BL543" i="3" s="1"/>
  <c r="AZ543" i="3" s="1"/>
  <c r="BQ541" i="3"/>
  <c r="BL541" i="3" s="1"/>
  <c r="AZ541" i="3" s="1"/>
  <c r="BQ539" i="3"/>
  <c r="BL539" i="3" s="1"/>
  <c r="AZ539" i="3" s="1"/>
  <c r="BQ537" i="3"/>
  <c r="BL537" i="3" s="1"/>
  <c r="AZ537" i="3" s="1"/>
  <c r="BQ535" i="3"/>
  <c r="BL535" i="3" s="1"/>
  <c r="AZ535" i="3" s="1"/>
  <c r="BQ533" i="3"/>
  <c r="BL533" i="3" s="1"/>
  <c r="AZ533" i="3" s="1"/>
  <c r="BQ531" i="3"/>
  <c r="BL531" i="3" s="1"/>
  <c r="AZ531" i="3" s="1"/>
  <c r="BQ529" i="3"/>
  <c r="BL529" i="3" s="1"/>
  <c r="AZ529" i="3" s="1"/>
  <c r="BQ527" i="3"/>
  <c r="BL527" i="3" s="1"/>
  <c r="AZ527" i="3" s="1"/>
  <c r="BQ525" i="3"/>
  <c r="BL525" i="3" s="1"/>
  <c r="AZ525" i="3" s="1"/>
  <c r="BQ523" i="3"/>
  <c r="BL523" i="3" s="1"/>
  <c r="AZ523" i="3" s="1"/>
  <c r="BA521" i="3"/>
  <c r="AC521" i="3"/>
  <c r="G521" i="3" s="1"/>
  <c r="BQ521" i="3"/>
  <c r="BL521" i="3" s="1"/>
  <c r="BL520" i="3"/>
  <c r="AZ520" i="3" s="1"/>
  <c r="G519" i="3"/>
  <c r="G517" i="3"/>
  <c r="G515" i="3"/>
  <c r="G513" i="3"/>
  <c r="G511" i="3"/>
  <c r="BQ519" i="3"/>
  <c r="BL519" i="3" s="1"/>
  <c r="AZ519" i="3" s="1"/>
  <c r="BQ517" i="3"/>
  <c r="BL517" i="3" s="1"/>
  <c r="AZ517" i="3" s="1"/>
  <c r="BQ515" i="3"/>
  <c r="BL515" i="3"/>
  <c r="AZ515" i="3" s="1"/>
  <c r="BQ513" i="3"/>
  <c r="BL513" i="3" s="1"/>
  <c r="BQ511" i="3"/>
  <c r="BL511" i="3" s="1"/>
  <c r="AZ511" i="3" s="1"/>
  <c r="BA509" i="3"/>
  <c r="AC509" i="3"/>
  <c r="BQ509" i="3"/>
  <c r="BL509" i="3" s="1"/>
  <c r="AZ509" i="3" s="1"/>
  <c r="BL508" i="3"/>
  <c r="G507" i="3"/>
  <c r="G505" i="3"/>
  <c r="G503" i="3"/>
  <c r="G501" i="3"/>
  <c r="G499" i="3"/>
  <c r="G497" i="3"/>
  <c r="G495" i="3"/>
  <c r="BQ507" i="3"/>
  <c r="BL507" i="3" s="1"/>
  <c r="BQ505" i="3"/>
  <c r="BL505" i="3" s="1"/>
  <c r="AZ505" i="3" s="1"/>
  <c r="BQ503" i="3"/>
  <c r="BL503" i="3" s="1"/>
  <c r="AZ503" i="3" s="1"/>
  <c r="BQ501" i="3"/>
  <c r="BL501" i="3"/>
  <c r="BQ499" i="3"/>
  <c r="BL499" i="3"/>
  <c r="BQ497" i="3"/>
  <c r="BL497" i="3"/>
  <c r="BQ495" i="3"/>
  <c r="BL495" i="3"/>
  <c r="AZ495" i="3" s="1"/>
  <c r="BQ493" i="3"/>
  <c r="AZ584" i="3"/>
  <c r="O27" i="31"/>
  <c r="O28" i="31"/>
  <c r="O26" i="31"/>
  <c r="M27" i="31"/>
  <c r="M28" i="31"/>
  <c r="M26" i="31"/>
  <c r="I26" i="31"/>
  <c r="I25" i="31"/>
  <c r="Q26" i="31"/>
  <c r="K26" i="31"/>
  <c r="I27" i="31"/>
  <c r="Q27" i="31"/>
  <c r="K27" i="31"/>
  <c r="I28" i="31"/>
  <c r="Q28" i="31"/>
  <c r="K28" i="31"/>
  <c r="AC28" i="34"/>
  <c r="S21" i="40"/>
  <c r="AA12" i="21"/>
  <c r="H25" i="21"/>
  <c r="U25" i="21" s="1"/>
  <c r="F25" i="21"/>
  <c r="S25" i="21" s="1"/>
  <c r="J25" i="21"/>
  <c r="AC25" i="21" s="1"/>
  <c r="E125" i="33"/>
  <c r="F125" i="33"/>
  <c r="G125" i="33" s="1"/>
  <c r="H43" i="33"/>
  <c r="AB43" i="33" s="1"/>
  <c r="H17" i="37"/>
  <c r="U17" i="37" s="1"/>
  <c r="AB27" i="37"/>
  <c r="U32" i="33"/>
  <c r="AA36" i="39"/>
  <c r="F39" i="33"/>
  <c r="AA39" i="33" s="1"/>
  <c r="E123" i="33"/>
  <c r="F123"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J43" i="33"/>
  <c r="AC43" i="33" s="1"/>
  <c r="U14" i="40"/>
  <c r="AC32" i="36"/>
  <c r="AC33" i="36"/>
  <c r="U35" i="35"/>
  <c r="AA12" i="35"/>
  <c r="W14" i="37"/>
  <c r="AB28" i="37"/>
  <c r="U33" i="37"/>
  <c r="U39" i="37"/>
  <c r="W26" i="37"/>
  <c r="AC8" i="37"/>
  <c r="U26" i="37"/>
  <c r="W47" i="34"/>
  <c r="AB13" i="34"/>
  <c r="W37" i="34"/>
  <c r="AB37" i="34"/>
  <c r="AC36" i="34"/>
  <c r="AC31" i="33"/>
  <c r="AC45" i="33"/>
  <c r="W44" i="33"/>
  <c r="U19" i="21"/>
  <c r="W44" i="21"/>
  <c r="U26" i="21"/>
  <c r="AC46" i="21"/>
  <c r="U12" i="21"/>
  <c r="AB38" i="21"/>
  <c r="F43" i="33"/>
  <c r="AA43" i="33" s="1"/>
  <c r="W15" i="34"/>
  <c r="AC15" i="34"/>
  <c r="W16" i="35"/>
  <c r="W40" i="37"/>
  <c r="G107" i="37"/>
  <c r="H107" i="37" s="1"/>
  <c r="I107" i="37" s="1"/>
  <c r="J107" i="37" s="1"/>
  <c r="K107" i="37" s="1"/>
  <c r="L107" i="37" s="1"/>
  <c r="M107" i="37" s="1"/>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U12" i="37"/>
  <c r="AT6" i="3"/>
  <c r="AA25" i="21"/>
  <c r="C12" i="43"/>
  <c r="H19" i="40"/>
  <c r="U19" i="40" s="1"/>
  <c r="F88" i="40"/>
  <c r="G88" i="40" s="1"/>
  <c r="F19" i="40"/>
  <c r="S19" i="40" s="1"/>
  <c r="S14" i="40"/>
  <c r="AC13" i="40"/>
  <c r="AB33" i="40"/>
  <c r="W23" i="39"/>
  <c r="AC43" i="39"/>
  <c r="W43" i="39"/>
  <c r="U45" i="39"/>
  <c r="AB45" i="39"/>
  <c r="AB44" i="39"/>
  <c r="U44" i="39"/>
  <c r="G101" i="39"/>
  <c r="H37" i="39"/>
  <c r="AB37" i="39" s="1"/>
  <c r="AC37" i="39"/>
  <c r="W37" i="39"/>
  <c r="H25" i="39"/>
  <c r="AB25" i="39" s="1"/>
  <c r="J25" i="39"/>
  <c r="F25" i="39"/>
  <c r="AA25" i="39" s="1"/>
  <c r="F15" i="39"/>
  <c r="AA15" i="39" s="1"/>
  <c r="H15" i="39"/>
  <c r="U15" i="39" s="1"/>
  <c r="J15" i="39"/>
  <c r="W15" i="39" s="1"/>
  <c r="H41" i="39"/>
  <c r="W27" i="39"/>
  <c r="AB34" i="39"/>
  <c r="U40" i="39"/>
  <c r="S42" i="39"/>
  <c r="W14" i="39"/>
  <c r="AA41" i="39"/>
  <c r="W9" i="39"/>
  <c r="W8" i="39"/>
  <c r="J19" i="40"/>
  <c r="AC19" i="40" s="1"/>
  <c r="J50" i="40"/>
  <c r="B54" i="72"/>
  <c r="H103" i="9"/>
  <c r="D8" i="53" s="1"/>
  <c r="B16" i="53"/>
  <c r="B33" i="72" s="1"/>
  <c r="C7" i="37"/>
  <c r="C7" i="36"/>
  <c r="W35" i="40"/>
  <c r="A118" i="9"/>
  <c r="A4" i="52"/>
  <c r="B41" i="72" s="1"/>
  <c r="J11" i="39"/>
  <c r="W11" i="39" s="1"/>
  <c r="F11" i="39"/>
  <c r="AA11" i="39" s="1"/>
  <c r="A12" i="52"/>
  <c r="B56" i="72" s="1"/>
  <c r="S11" i="39"/>
  <c r="G4" i="4"/>
  <c r="I4" i="4"/>
  <c r="K5" i="4"/>
  <c r="B47" i="48" s="1"/>
  <c r="A2" i="9"/>
  <c r="N2" i="43"/>
  <c r="F59" i="43" s="1"/>
  <c r="AZ28" i="3"/>
  <c r="AZ497" i="3"/>
  <c r="BL549" i="3"/>
  <c r="AZ549" i="3" s="1"/>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BL360" i="3"/>
  <c r="AZ360" i="3" s="1"/>
  <c r="G361" i="3"/>
  <c r="BA362" i="3"/>
  <c r="G370" i="3"/>
  <c r="BL371" i="3"/>
  <c r="G372" i="3"/>
  <c r="BL373" i="3"/>
  <c r="BA375" i="3"/>
  <c r="AZ375" i="3" s="1"/>
  <c r="BA376" i="3"/>
  <c r="AZ376" i="3" s="1"/>
  <c r="BL376" i="3"/>
  <c r="G377" i="3"/>
  <c r="BA378" i="3"/>
  <c r="AZ378" i="3"/>
  <c r="BL378" i="3"/>
  <c r="G379" i="3"/>
  <c r="BA380" i="3"/>
  <c r="G388" i="3"/>
  <c r="BL389" i="3"/>
  <c r="G390" i="3"/>
  <c r="BL391" i="3"/>
  <c r="BA393" i="3"/>
  <c r="AZ393" i="3" s="1"/>
  <c r="BA394" i="3"/>
  <c r="BL394" i="3"/>
  <c r="AZ394" i="3" s="1"/>
  <c r="G113" i="3"/>
  <c r="BA115" i="3"/>
  <c r="AZ115" i="3" s="1"/>
  <c r="BL116" i="3"/>
  <c r="AZ116" i="3" s="1"/>
  <c r="G117" i="3"/>
  <c r="BA119" i="3"/>
  <c r="BL120" i="3"/>
  <c r="AZ120" i="3" s="1"/>
  <c r="G121" i="3"/>
  <c r="BA123" i="3"/>
  <c r="AZ123" i="3" s="1"/>
  <c r="BL124" i="3"/>
  <c r="AZ124" i="3" s="1"/>
  <c r="G125" i="3"/>
  <c r="BA127" i="3"/>
  <c r="AZ127" i="3"/>
  <c r="BL128" i="3"/>
  <c r="G129" i="3"/>
  <c r="BA131" i="3"/>
  <c r="AZ131" i="3"/>
  <c r="BL132" i="3"/>
  <c r="AZ132" i="3"/>
  <c r="G133" i="3"/>
  <c r="BA135" i="3"/>
  <c r="BL136" i="3"/>
  <c r="G137" i="3"/>
  <c r="BA139" i="3"/>
  <c r="BL140" i="3"/>
  <c r="AZ140" i="3" s="1"/>
  <c r="G141" i="3"/>
  <c r="BA143" i="3"/>
  <c r="BL144" i="3"/>
  <c r="G145" i="3"/>
  <c r="BA147" i="3"/>
  <c r="AZ147" i="3" s="1"/>
  <c r="BL148" i="3"/>
  <c r="G149" i="3"/>
  <c r="BA151" i="3"/>
  <c r="AZ151" i="3" s="1"/>
  <c r="BL152" i="3"/>
  <c r="AZ152" i="3" s="1"/>
  <c r="G153" i="3"/>
  <c r="BA155" i="3"/>
  <c r="AZ155" i="3" s="1"/>
  <c r="BL156" i="3"/>
  <c r="G157" i="3"/>
  <c r="BA159" i="3"/>
  <c r="AZ159" i="3"/>
  <c r="BL160" i="3"/>
  <c r="G161" i="3"/>
  <c r="BA163" i="3"/>
  <c r="AZ163" i="3"/>
  <c r="BL164" i="3"/>
  <c r="G165" i="3"/>
  <c r="BA167" i="3"/>
  <c r="AZ167" i="3" s="1"/>
  <c r="BL168" i="3"/>
  <c r="G169" i="3"/>
  <c r="BA171" i="3"/>
  <c r="AZ171" i="3" s="1"/>
  <c r="BL172" i="3"/>
  <c r="G173" i="3"/>
  <c r="BA175" i="3"/>
  <c r="AZ175" i="3" s="1"/>
  <c r="BL176" i="3"/>
  <c r="G177" i="3"/>
  <c r="BA179" i="3"/>
  <c r="AZ179" i="3" s="1"/>
  <c r="BL180" i="3"/>
  <c r="G181" i="3"/>
  <c r="BA183" i="3"/>
  <c r="AZ183" i="3" s="1"/>
  <c r="BL184" i="3"/>
  <c r="AZ184" i="3" s="1"/>
  <c r="G185" i="3"/>
  <c r="BA187" i="3"/>
  <c r="AZ187" i="3" s="1"/>
  <c r="BL188" i="3"/>
  <c r="G189" i="3"/>
  <c r="BA191" i="3"/>
  <c r="AZ191" i="3"/>
  <c r="BL192" i="3"/>
  <c r="G193" i="3"/>
  <c r="BA195" i="3"/>
  <c r="AZ195" i="3"/>
  <c r="BL196" i="3"/>
  <c r="AZ196" i="3"/>
  <c r="G197" i="3"/>
  <c r="BA199" i="3"/>
  <c r="AZ199" i="3" s="1"/>
  <c r="BL200" i="3"/>
  <c r="G201" i="3"/>
  <c r="BA203" i="3"/>
  <c r="AZ203" i="3" s="1"/>
  <c r="BL204" i="3"/>
  <c r="AZ204" i="3" s="1"/>
  <c r="AZ43" i="3"/>
  <c r="AZ47" i="3"/>
  <c r="AZ59" i="3"/>
  <c r="AZ67" i="3"/>
  <c r="AZ71" i="3"/>
  <c r="AZ79" i="3"/>
  <c r="AZ83" i="3"/>
  <c r="AZ136" i="3"/>
  <c r="AZ144" i="3"/>
  <c r="AZ160" i="3"/>
  <c r="AZ168" i="3"/>
  <c r="AZ176" i="3"/>
  <c r="AZ192" i="3"/>
  <c r="AZ85" i="3"/>
  <c r="AZ89" i="3"/>
  <c r="AZ97" i="3"/>
  <c r="AZ105" i="3"/>
  <c r="AZ128" i="3"/>
  <c r="G534" i="3"/>
  <c r="G530" i="3"/>
  <c r="G522" i="3"/>
  <c r="G516" i="3"/>
  <c r="G512" i="3"/>
  <c r="G506" i="3"/>
  <c r="G498" i="3"/>
  <c r="G494" i="3"/>
  <c r="G16" i="3"/>
  <c r="G15" i="3"/>
  <c r="BA304" i="3"/>
  <c r="BA305" i="3"/>
  <c r="AZ305" i="3" s="1"/>
  <c r="BL305" i="3"/>
  <c r="G306" i="3"/>
  <c r="G309" i="3"/>
  <c r="BL310" i="3"/>
  <c r="BA312" i="3"/>
  <c r="AZ312" i="3"/>
  <c r="BA313" i="3"/>
  <c r="BL313" i="3"/>
  <c r="AZ313" i="3" s="1"/>
  <c r="G314" i="3"/>
  <c r="G317" i="3"/>
  <c r="BL318" i="3"/>
  <c r="BA320" i="3"/>
  <c r="AZ320" i="3" s="1"/>
  <c r="BA321" i="3"/>
  <c r="BL321" i="3"/>
  <c r="G322" i="3"/>
  <c r="G325" i="3"/>
  <c r="BL326" i="3"/>
  <c r="BA328" i="3"/>
  <c r="AZ328" i="3" s="1"/>
  <c r="BA329" i="3"/>
  <c r="BL329" i="3"/>
  <c r="G330" i="3"/>
  <c r="G333" i="3"/>
  <c r="BL334" i="3"/>
  <c r="BA336" i="3"/>
  <c r="BA337" i="3"/>
  <c r="AZ337" i="3" s="1"/>
  <c r="BL337" i="3"/>
  <c r="G338" i="3"/>
  <c r="G341" i="3"/>
  <c r="BA342" i="3"/>
  <c r="BL342" i="3"/>
  <c r="AZ342" i="3"/>
  <c r="BA344" i="3"/>
  <c r="BL344" i="3"/>
  <c r="AZ344" i="3" s="1"/>
  <c r="BA346" i="3"/>
  <c r="BA347" i="3"/>
  <c r="AZ347" i="3" s="1"/>
  <c r="BL347" i="3"/>
  <c r="G350" i="3"/>
  <c r="BA351" i="3"/>
  <c r="AZ351" i="3"/>
  <c r="BL351" i="3"/>
  <c r="G352" i="3"/>
  <c r="G354" i="3"/>
  <c r="BA355" i="3"/>
  <c r="AZ355" i="3" s="1"/>
  <c r="BA356" i="3"/>
  <c r="BL356" i="3"/>
  <c r="G357" i="3"/>
  <c r="G360" i="3"/>
  <c r="BL361" i="3"/>
  <c r="BA363" i="3"/>
  <c r="AZ363" i="3" s="1"/>
  <c r="BA364" i="3"/>
  <c r="BL364" i="3"/>
  <c r="G365" i="3"/>
  <c r="G368" i="3"/>
  <c r="BL369" i="3"/>
  <c r="BA371" i="3"/>
  <c r="BA372" i="3"/>
  <c r="AZ372" i="3" s="1"/>
  <c r="BL372" i="3"/>
  <c r="G373" i="3"/>
  <c r="G376" i="3"/>
  <c r="BL377" i="3"/>
  <c r="BL379" i="3"/>
  <c r="BA381" i="3"/>
  <c r="AZ381" i="3" s="1"/>
  <c r="BA382" i="3"/>
  <c r="AZ382" i="3" s="1"/>
  <c r="BL382" i="3"/>
  <c r="G383" i="3"/>
  <c r="G386" i="3"/>
  <c r="BL387" i="3"/>
  <c r="BA389" i="3"/>
  <c r="AZ389" i="3" s="1"/>
  <c r="BA390" i="3"/>
  <c r="BL390" i="3"/>
  <c r="G391" i="3"/>
  <c r="G394" i="3"/>
  <c r="AZ150" i="3"/>
  <c r="AZ158" i="3"/>
  <c r="AZ166" i="3"/>
  <c r="AZ174" i="3"/>
  <c r="AZ182" i="3"/>
  <c r="AZ190" i="3"/>
  <c r="AZ194" i="3"/>
  <c r="AZ202" i="3"/>
  <c r="AZ206" i="3"/>
  <c r="AZ500" i="3"/>
  <c r="BA16" i="3"/>
  <c r="AZ16" i="3" s="1"/>
  <c r="BL303" i="3"/>
  <c r="AZ303" i="3" s="1"/>
  <c r="G304" i="3"/>
  <c r="BA306" i="3"/>
  <c r="AZ306" i="3" s="1"/>
  <c r="BL307" i="3"/>
  <c r="AZ307" i="3" s="1"/>
  <c r="G308" i="3"/>
  <c r="BA310" i="3"/>
  <c r="BL311" i="3"/>
  <c r="AZ311" i="3" s="1"/>
  <c r="G312" i="3"/>
  <c r="BA314" i="3"/>
  <c r="AZ314" i="3" s="1"/>
  <c r="BL315" i="3"/>
  <c r="G316" i="3"/>
  <c r="BA318" i="3"/>
  <c r="AZ318" i="3"/>
  <c r="BL319" i="3"/>
  <c r="G320" i="3"/>
  <c r="BA322" i="3"/>
  <c r="AZ322" i="3"/>
  <c r="BL323" i="3"/>
  <c r="AZ323" i="3"/>
  <c r="G324" i="3"/>
  <c r="BA326" i="3"/>
  <c r="AZ326" i="3" s="1"/>
  <c r="BL327" i="3"/>
  <c r="G328" i="3"/>
  <c r="BA330" i="3"/>
  <c r="AZ330" i="3" s="1"/>
  <c r="BL331" i="3"/>
  <c r="G332" i="3"/>
  <c r="BA334" i="3"/>
  <c r="AZ334" i="3" s="1"/>
  <c r="BL335" i="3"/>
  <c r="AZ335" i="3" s="1"/>
  <c r="G336" i="3"/>
  <c r="BA338" i="3"/>
  <c r="AZ338" i="3" s="1"/>
  <c r="BL339" i="3"/>
  <c r="AZ339" i="3" s="1"/>
  <c r="G340" i="3"/>
  <c r="BL343" i="3"/>
  <c r="G344" i="3"/>
  <c r="G348" i="3"/>
  <c r="G355" i="3"/>
  <c r="AZ209" i="3"/>
  <c r="AZ218" i="3"/>
  <c r="AZ319" i="3"/>
  <c r="G342" i="3"/>
  <c r="BL345" i="3"/>
  <c r="AZ345" i="3" s="1"/>
  <c r="G346" i="3"/>
  <c r="AZ348" i="3"/>
  <c r="BL349" i="3"/>
  <c r="AZ349" i="3" s="1"/>
  <c r="BL352" i="3"/>
  <c r="AZ352" i="3" s="1"/>
  <c r="G353" i="3"/>
  <c r="BA357" i="3"/>
  <c r="AZ357" i="3" s="1"/>
  <c r="BL358" i="3"/>
  <c r="AZ358" i="3" s="1"/>
  <c r="G359" i="3"/>
  <c r="BA361" i="3"/>
  <c r="AZ361" i="3" s="1"/>
  <c r="BL362" i="3"/>
  <c r="G363" i="3"/>
  <c r="BA365" i="3"/>
  <c r="AZ365" i="3" s="1"/>
  <c r="BL366" i="3"/>
  <c r="AZ366" i="3" s="1"/>
  <c r="G367" i="3"/>
  <c r="BA369" i="3"/>
  <c r="AZ369" i="3"/>
  <c r="BL370" i="3"/>
  <c r="G371" i="3"/>
  <c r="BA373" i="3"/>
  <c r="AZ373" i="3"/>
  <c r="BL374" i="3"/>
  <c r="AZ374" i="3"/>
  <c r="G375" i="3"/>
  <c r="BA377" i="3"/>
  <c r="AZ377" i="3" s="1"/>
  <c r="AZ229" i="3"/>
  <c r="AZ241" i="3"/>
  <c r="AZ245" i="3"/>
  <c r="AZ257" i="3"/>
  <c r="AZ261" i="3"/>
  <c r="AZ265" i="3"/>
  <c r="AZ370" i="3"/>
  <c r="BA379" i="3"/>
  <c r="AZ379" i="3" s="1"/>
  <c r="BL380" i="3"/>
  <c r="G381" i="3"/>
  <c r="BA383" i="3"/>
  <c r="BL384" i="3"/>
  <c r="AZ384" i="3" s="1"/>
  <c r="G385" i="3"/>
  <c r="BA387" i="3"/>
  <c r="AZ387" i="3" s="1"/>
  <c r="BL388" i="3"/>
  <c r="G389" i="3"/>
  <c r="BA391" i="3"/>
  <c r="AZ391" i="3" s="1"/>
  <c r="BL392" i="3"/>
  <c r="G393" i="3"/>
  <c r="AZ263" i="3"/>
  <c r="AZ279" i="3"/>
  <c r="AZ287" i="3"/>
  <c r="AZ295" i="3"/>
  <c r="BO5" i="3"/>
  <c r="BM5" i="3"/>
  <c r="BH5" i="3"/>
  <c r="BD5" i="3"/>
  <c r="AZ309" i="3"/>
  <c r="AZ317" i="3"/>
  <c r="AZ325" i="3"/>
  <c r="AZ333" i="3"/>
  <c r="AZ341" i="3"/>
  <c r="BQ5" i="3"/>
  <c r="AC5" i="3"/>
  <c r="AZ506" i="3"/>
  <c r="AZ496" i="3"/>
  <c r="G548" i="3"/>
  <c r="G538" i="3"/>
  <c r="G520" i="3"/>
  <c r="G502" i="3"/>
  <c r="BS5" i="3"/>
  <c r="BP5" i="3"/>
  <c r="AZ343" i="3"/>
  <c r="BK5" i="3"/>
  <c r="BI5" i="3"/>
  <c r="BG5" i="3"/>
  <c r="BE5" i="3"/>
  <c r="BT5" i="3"/>
  <c r="AZ356" i="3"/>
  <c r="AZ364" i="3"/>
  <c r="BA15" i="3"/>
  <c r="BR5" i="3"/>
  <c r="AZ380" i="3"/>
  <c r="AZ396" i="3"/>
  <c r="AZ499" i="3"/>
  <c r="G509" i="3"/>
  <c r="BL493" i="3"/>
  <c r="AZ390" i="3"/>
  <c r="AZ493" i="3"/>
  <c r="U36" i="40"/>
  <c r="N4" i="43"/>
  <c r="F36" i="43"/>
  <c r="F81" i="43"/>
  <c r="H83" i="43" s="1"/>
  <c r="H113" i="43"/>
  <c r="F48" i="43"/>
  <c r="H52" i="43" s="1"/>
  <c r="N7" i="43"/>
  <c r="F70" i="43"/>
  <c r="H73" i="43" s="1"/>
  <c r="M6" i="43"/>
  <c r="M11" i="43"/>
  <c r="E17" i="43"/>
  <c r="F39" i="43"/>
  <c r="I17" i="43"/>
  <c r="F35" i="43"/>
  <c r="J17" i="43"/>
  <c r="U17" i="39"/>
  <c r="S14" i="35"/>
  <c r="U43" i="21"/>
  <c r="U35" i="21"/>
  <c r="AC35" i="21"/>
  <c r="U10" i="21"/>
  <c r="G10" i="1"/>
  <c r="F48" i="9"/>
  <c r="O52" i="9" s="1"/>
  <c r="AC11" i="39"/>
  <c r="AZ501" i="3"/>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AZ354" i="3"/>
  <c r="AZ386" i="3"/>
  <c r="C40" i="11"/>
  <c r="AZ215" i="3"/>
  <c r="AZ227" i="3"/>
  <c r="AZ240" i="3"/>
  <c r="AZ243" i="3"/>
  <c r="AZ256" i="3"/>
  <c r="AZ259" i="3"/>
  <c r="AZ280" i="3"/>
  <c r="AZ296" i="3"/>
  <c r="AZ114" i="3"/>
  <c r="AZ130" i="3"/>
  <c r="AZ29" i="3"/>
  <c r="AZ31" i="3"/>
  <c r="AZ33" i="3"/>
  <c r="AZ45" i="3"/>
  <c r="AZ50" i="3"/>
  <c r="AZ61" i="3"/>
  <c r="AZ69" i="3"/>
  <c r="AZ82" i="3"/>
  <c r="AZ102" i="3"/>
  <c r="H75" i="43"/>
  <c r="H74" i="43"/>
  <c r="H50" i="43"/>
  <c r="H49" i="43"/>
  <c r="H48" i="43"/>
  <c r="I20" i="43"/>
  <c r="F23" i="39"/>
  <c r="AA23" i="39" s="1"/>
  <c r="H27" i="36"/>
  <c r="U27" i="36" s="1"/>
  <c r="F27" i="36"/>
  <c r="AA27" i="36" s="1"/>
  <c r="H33" i="34"/>
  <c r="U33" i="34" s="1"/>
  <c r="F32" i="37"/>
  <c r="AA32" i="37" s="1"/>
  <c r="G96" i="37"/>
  <c r="H96" i="37"/>
  <c r="I96" i="37" s="1"/>
  <c r="J96" i="37" s="1"/>
  <c r="K96" i="37" s="1"/>
  <c r="L96" i="37" s="1"/>
  <c r="M96" i="37" s="1"/>
  <c r="F20" i="36"/>
  <c r="AA20" i="36" s="1"/>
  <c r="J33" i="34"/>
  <c r="AC33" i="34" s="1"/>
  <c r="H23" i="39"/>
  <c r="U23" i="39" s="1"/>
  <c r="D48" i="9"/>
  <c r="M52" i="9" s="1"/>
  <c r="H86" i="43"/>
  <c r="H82" i="43"/>
  <c r="H87" i="43"/>
  <c r="AE10" i="1"/>
  <c r="AZ143" i="3" l="1"/>
  <c r="AZ362" i="3"/>
  <c r="AZ557" i="3"/>
  <c r="AC31" i="34"/>
  <c r="W31" i="34"/>
  <c r="S14" i="33"/>
  <c r="AA14" i="33"/>
  <c r="U46" i="34"/>
  <c r="AB46" i="34"/>
  <c r="S14" i="34"/>
  <c r="AA14" i="34"/>
  <c r="AB31" i="33"/>
  <c r="U31" i="33"/>
  <c r="U30" i="21"/>
  <c r="AB30" i="21"/>
  <c r="U17" i="34"/>
  <c r="AB17" i="34"/>
  <c r="AA28" i="34"/>
  <c r="S28" i="34"/>
  <c r="AB9" i="36"/>
  <c r="U9" i="36"/>
  <c r="AB14" i="37"/>
  <c r="U14" i="37"/>
  <c r="AC32" i="40"/>
  <c r="W32" i="40"/>
  <c r="AZ327" i="3"/>
  <c r="AZ310" i="3"/>
  <c r="AZ371" i="3"/>
  <c r="AZ346" i="3"/>
  <c r="AZ336" i="3"/>
  <c r="AZ329" i="3"/>
  <c r="AZ321" i="3"/>
  <c r="AZ304" i="3"/>
  <c r="AZ119" i="3"/>
  <c r="AA41" i="34"/>
  <c r="AZ507" i="3"/>
  <c r="AZ513" i="3"/>
  <c r="AZ521" i="3"/>
  <c r="AZ553" i="3"/>
  <c r="AZ583" i="3"/>
  <c r="AZ581" i="3"/>
  <c r="W29" i="33"/>
  <c r="AC30" i="34"/>
  <c r="W12" i="34"/>
  <c r="AC12" i="34"/>
  <c r="U12" i="35"/>
  <c r="AB12" i="35"/>
  <c r="AB34" i="35"/>
  <c r="U34" i="35"/>
  <c r="AC31" i="40"/>
  <c r="W31" i="40"/>
  <c r="AA38" i="40"/>
  <c r="S38" i="40"/>
  <c r="W40" i="40"/>
  <c r="AC40" i="40"/>
  <c r="BL586" i="3"/>
  <c r="AZ585" i="3"/>
  <c r="J25" i="37"/>
  <c r="H38" i="40"/>
  <c r="F40" i="40"/>
  <c r="G574" i="3"/>
  <c r="G558" i="3"/>
  <c r="C30" i="9"/>
  <c r="AZ402" i="3"/>
  <c r="AZ418" i="3"/>
  <c r="AZ434" i="3"/>
  <c r="AZ443" i="3"/>
  <c r="AZ446" i="3"/>
  <c r="AZ449" i="3"/>
  <c r="AZ450" i="3"/>
  <c r="AZ459" i="3"/>
  <c r="AZ462" i="3"/>
  <c r="AZ477" i="3"/>
  <c r="AZ481" i="3"/>
  <c r="AZ332" i="3"/>
  <c r="AZ226" i="3"/>
  <c r="AZ258" i="3"/>
  <c r="AZ582" i="3"/>
  <c r="U30" i="35"/>
  <c r="AA39" i="37"/>
  <c r="C25" i="39"/>
  <c r="S27" i="35"/>
  <c r="F26" i="33"/>
  <c r="AA26" i="33" s="1"/>
  <c r="W9" i="34"/>
  <c r="S34" i="35"/>
  <c r="W28" i="35"/>
  <c r="U31" i="36"/>
  <c r="J12" i="21"/>
  <c r="AC12" i="21" s="1"/>
  <c r="J9" i="33"/>
  <c r="AC9" i="33" s="1"/>
  <c r="F38" i="33"/>
  <c r="AA38" i="33" s="1"/>
  <c r="J38" i="33"/>
  <c r="AC38" i="33" s="1"/>
  <c r="J39" i="33"/>
  <c r="AC39" i="33" s="1"/>
  <c r="F12" i="34"/>
  <c r="J23" i="35"/>
  <c r="J36" i="35"/>
  <c r="H12" i="36"/>
  <c r="H24" i="36"/>
  <c r="AB24" i="36" s="1"/>
  <c r="J41" i="33"/>
  <c r="AC41" i="33" s="1"/>
  <c r="BA551" i="3"/>
  <c r="AZ551" i="3" s="1"/>
  <c r="BL550" i="3"/>
  <c r="BA550" i="3"/>
  <c r="BL548" i="3"/>
  <c r="AZ548" i="3" s="1"/>
  <c r="BA398" i="3"/>
  <c r="AZ398" i="3" s="1"/>
  <c r="G401" i="3"/>
  <c r="BL401" i="3"/>
  <c r="BL403" i="3"/>
  <c r="AZ403" i="3" s="1"/>
  <c r="BA404" i="3"/>
  <c r="AZ404" i="3" s="1"/>
  <c r="BL406" i="3"/>
  <c r="AZ406" i="3" s="1"/>
  <c r="BA407" i="3"/>
  <c r="AZ407" i="3" s="1"/>
  <c r="G410" i="3"/>
  <c r="G411" i="3"/>
  <c r="G412" i="3"/>
  <c r="BL412" i="3"/>
  <c r="AZ412" i="3" s="1"/>
  <c r="BA413" i="3"/>
  <c r="AZ413" i="3" s="1"/>
  <c r="BA414" i="3"/>
  <c r="AZ414" i="3" s="1"/>
  <c r="G417" i="3"/>
  <c r="BL417" i="3"/>
  <c r="BL419" i="3"/>
  <c r="AZ419" i="3" s="1"/>
  <c r="BA420" i="3"/>
  <c r="AZ420" i="3" s="1"/>
  <c r="BL422" i="3"/>
  <c r="AZ422" i="3" s="1"/>
  <c r="BA423" i="3"/>
  <c r="AZ423" i="3" s="1"/>
  <c r="BA424" i="3"/>
  <c r="AZ424" i="3" s="1"/>
  <c r="G427" i="3"/>
  <c r="G428" i="3"/>
  <c r="BL428" i="3"/>
  <c r="AZ428" i="3" s="1"/>
  <c r="BA429" i="3"/>
  <c r="AZ429" i="3" s="1"/>
  <c r="BA430" i="3"/>
  <c r="AZ430" i="3" s="1"/>
  <c r="G433" i="3"/>
  <c r="BL433" i="3"/>
  <c r="BL435" i="3"/>
  <c r="AZ435" i="3" s="1"/>
  <c r="BA436" i="3"/>
  <c r="AZ436" i="3" s="1"/>
  <c r="BL438" i="3"/>
  <c r="AZ438" i="3" s="1"/>
  <c r="BA439" i="3"/>
  <c r="AZ439" i="3" s="1"/>
  <c r="BA440" i="3"/>
  <c r="AZ440" i="3" s="1"/>
  <c r="BL442" i="3"/>
  <c r="AZ442" i="3" s="1"/>
  <c r="G445" i="3"/>
  <c r="BL445" i="3"/>
  <c r="AZ445" i="3" s="1"/>
  <c r="G448" i="3"/>
  <c r="G449" i="3"/>
  <c r="BL449" i="3"/>
  <c r="BL451" i="3"/>
  <c r="AZ451" i="3" s="1"/>
  <c r="BA452" i="3"/>
  <c r="AZ452" i="3" s="1"/>
  <c r="BL454" i="3"/>
  <c r="AZ454" i="3" s="1"/>
  <c r="BA455" i="3"/>
  <c r="AZ455" i="3" s="1"/>
  <c r="BA456" i="3"/>
  <c r="AZ456" i="3" s="1"/>
  <c r="BL458" i="3"/>
  <c r="AZ458" i="3" s="1"/>
  <c r="G461" i="3"/>
  <c r="BL461" i="3"/>
  <c r="AZ461" i="3" s="1"/>
  <c r="G464" i="3"/>
  <c r="G465" i="3"/>
  <c r="BL465" i="3"/>
  <c r="AZ465" i="3" s="1"/>
  <c r="BA466" i="3"/>
  <c r="AZ466" i="3" s="1"/>
  <c r="BA467" i="3"/>
  <c r="AZ467" i="3" s="1"/>
  <c r="BL469" i="3"/>
  <c r="AZ469" i="3" s="1"/>
  <c r="BA470" i="3"/>
  <c r="AZ470" i="3" s="1"/>
  <c r="BA471" i="3"/>
  <c r="AZ471" i="3" s="1"/>
  <c r="BA472" i="3"/>
  <c r="AZ472" i="3" s="1"/>
  <c r="G475" i="3"/>
  <c r="G476" i="3"/>
  <c r="BL476" i="3"/>
  <c r="AZ476" i="3" s="1"/>
  <c r="G479" i="3"/>
  <c r="G480" i="3"/>
  <c r="BL480" i="3"/>
  <c r="AZ480" i="3" s="1"/>
  <c r="G483" i="3"/>
  <c r="BA484" i="3"/>
  <c r="AZ484" i="3" s="1"/>
  <c r="BA485" i="3"/>
  <c r="AZ485" i="3" s="1"/>
  <c r="BL487" i="3"/>
  <c r="AZ487" i="3" s="1"/>
  <c r="BA488" i="3"/>
  <c r="AZ488" i="3" s="1"/>
  <c r="BA489" i="3"/>
  <c r="AZ489" i="3" s="1"/>
  <c r="BL491" i="3"/>
  <c r="AZ491" i="3" s="1"/>
  <c r="BA492" i="3"/>
  <c r="AZ492" i="3" s="1"/>
  <c r="G313" i="3"/>
  <c r="BA315" i="3"/>
  <c r="AZ315" i="3" s="1"/>
  <c r="BL316" i="3"/>
  <c r="AZ316" i="3" s="1"/>
  <c r="G318" i="3"/>
  <c r="G329" i="3"/>
  <c r="BA331" i="3"/>
  <c r="AZ331" i="3" s="1"/>
  <c r="BL332" i="3"/>
  <c r="G334" i="3"/>
  <c r="BL346" i="3"/>
  <c r="G349" i="3"/>
  <c r="BA350" i="3"/>
  <c r="AZ350" i="3" s="1"/>
  <c r="BL353" i="3"/>
  <c r="AZ353" i="3" s="1"/>
  <c r="G362" i="3"/>
  <c r="G366" i="3"/>
  <c r="BA368" i="3"/>
  <c r="AZ368" i="3" s="1"/>
  <c r="G378" i="3"/>
  <c r="BL383" i="3"/>
  <c r="AZ383" i="3" s="1"/>
  <c r="BA385" i="3"/>
  <c r="AZ385" i="3" s="1"/>
  <c r="BA388" i="3"/>
  <c r="AZ388" i="3" s="1"/>
  <c r="BA392" i="3"/>
  <c r="AZ392" i="3" s="1"/>
  <c r="G395" i="3"/>
  <c r="BL395" i="3"/>
  <c r="AZ395" i="3" s="1"/>
  <c r="G208" i="3"/>
  <c r="BL208" i="3"/>
  <c r="AZ208" i="3" s="1"/>
  <c r="G211" i="3"/>
  <c r="BL211" i="3"/>
  <c r="AZ211" i="3" s="1"/>
  <c r="BA212" i="3"/>
  <c r="AZ212" i="3" s="1"/>
  <c r="BL214" i="3"/>
  <c r="AZ214" i="3" s="1"/>
  <c r="G217" i="3"/>
  <c r="BL217" i="3"/>
  <c r="AZ217" i="3" s="1"/>
  <c r="G220" i="3"/>
  <c r="BL220" i="3"/>
  <c r="AZ220" i="3" s="1"/>
  <c r="BA221" i="3"/>
  <c r="AZ221" i="3" s="1"/>
  <c r="BA222" i="3"/>
  <c r="AZ222" i="3" s="1"/>
  <c r="BA223" i="3"/>
  <c r="AZ223" i="3" s="1"/>
  <c r="G226" i="3"/>
  <c r="BL226" i="3"/>
  <c r="G229" i="3"/>
  <c r="G230" i="3"/>
  <c r="BL230" i="3"/>
  <c r="AZ230" i="3" s="1"/>
  <c r="BA231" i="3"/>
  <c r="AZ231" i="3" s="1"/>
  <c r="BA232" i="3"/>
  <c r="AZ232" i="3" s="1"/>
  <c r="BA233" i="3"/>
  <c r="AZ233" i="3" s="1"/>
  <c r="BL235" i="3"/>
  <c r="AZ235" i="3" s="1"/>
  <c r="BA236" i="3"/>
  <c r="AZ236" i="3" s="1"/>
  <c r="BA237" i="3"/>
  <c r="AZ237" i="3" s="1"/>
  <c r="G240" i="3"/>
  <c r="G241" i="3"/>
  <c r="G242" i="3"/>
  <c r="BL242" i="3"/>
  <c r="AZ242" i="3" s="1"/>
  <c r="G245" i="3"/>
  <c r="G246" i="3"/>
  <c r="BL246" i="3"/>
  <c r="AZ246" i="3" s="1"/>
  <c r="BA247" i="3"/>
  <c r="AZ247" i="3" s="1"/>
  <c r="BA248" i="3"/>
  <c r="AZ248" i="3" s="1"/>
  <c r="BA249" i="3"/>
  <c r="AZ249" i="3" s="1"/>
  <c r="AZ30" i="3"/>
  <c r="BL251" i="3"/>
  <c r="AZ251" i="3" s="1"/>
  <c r="BA252" i="3"/>
  <c r="AZ252" i="3" s="1"/>
  <c r="BA253" i="3"/>
  <c r="AZ253" i="3" s="1"/>
  <c r="G256" i="3"/>
  <c r="G257" i="3"/>
  <c r="G258" i="3"/>
  <c r="BL258" i="3"/>
  <c r="G261" i="3"/>
  <c r="G262" i="3"/>
  <c r="BL262" i="3"/>
  <c r="AZ262" i="3" s="1"/>
  <c r="G265" i="3"/>
  <c r="G266" i="3"/>
  <c r="BL266" i="3"/>
  <c r="BA267" i="3"/>
  <c r="AZ267" i="3" s="1"/>
  <c r="BA268" i="3"/>
  <c r="AZ268" i="3" s="1"/>
  <c r="BA269" i="3"/>
  <c r="AZ269" i="3" s="1"/>
  <c r="BL271" i="3"/>
  <c r="AZ271" i="3" s="1"/>
  <c r="BA272" i="3"/>
  <c r="AZ272" i="3" s="1"/>
  <c r="BA273" i="3"/>
  <c r="AZ273" i="3" s="1"/>
  <c r="BL275" i="3"/>
  <c r="AZ275" i="3" s="1"/>
  <c r="BA276" i="3"/>
  <c r="AZ276" i="3" s="1"/>
  <c r="G279" i="3"/>
  <c r="G280" i="3"/>
  <c r="G281" i="3"/>
  <c r="BL281" i="3"/>
  <c r="BA282" i="3"/>
  <c r="AZ282" i="3" s="1"/>
  <c r="BA283" i="3"/>
  <c r="AZ283" i="3" s="1"/>
  <c r="G286" i="3"/>
  <c r="BL286" i="3"/>
  <c r="BL288" i="3"/>
  <c r="AZ288" i="3" s="1"/>
  <c r="BA289" i="3"/>
  <c r="AZ289" i="3" s="1"/>
  <c r="BL291" i="3"/>
  <c r="AZ291" i="3" s="1"/>
  <c r="BA292" i="3"/>
  <c r="AZ292" i="3" s="1"/>
  <c r="G295" i="3"/>
  <c r="G296" i="3"/>
  <c r="G297" i="3"/>
  <c r="BL297" i="3"/>
  <c r="BA298" i="3"/>
  <c r="AZ298" i="3" s="1"/>
  <c r="BA299" i="3"/>
  <c r="AZ299" i="3" s="1"/>
  <c r="G302" i="3"/>
  <c r="G114" i="3"/>
  <c r="G115" i="3"/>
  <c r="BL117" i="3"/>
  <c r="AZ117" i="3" s="1"/>
  <c r="BA118" i="3"/>
  <c r="AZ118" i="3" s="1"/>
  <c r="BL119" i="3"/>
  <c r="BA121" i="3"/>
  <c r="AZ121" i="3" s="1"/>
  <c r="G124" i="3"/>
  <c r="G127" i="3"/>
  <c r="G130" i="3"/>
  <c r="G131" i="3"/>
  <c r="BL133" i="3"/>
  <c r="AZ133" i="3" s="1"/>
  <c r="BA134" i="3"/>
  <c r="AZ134" i="3" s="1"/>
  <c r="BL135" i="3"/>
  <c r="AZ135" i="3" s="1"/>
  <c r="BA137" i="3"/>
  <c r="AZ137" i="3" s="1"/>
  <c r="BA138" i="3"/>
  <c r="AZ138" i="3" s="1"/>
  <c r="BL139" i="3"/>
  <c r="AZ139" i="3" s="1"/>
  <c r="BA141" i="3"/>
  <c r="AZ141" i="3" s="1"/>
  <c r="BA142" i="3"/>
  <c r="AZ142" i="3" s="1"/>
  <c r="BL143" i="3"/>
  <c r="BA145" i="3"/>
  <c r="AZ145" i="3" s="1"/>
  <c r="BA146" i="3"/>
  <c r="AZ146" i="3" s="1"/>
  <c r="BA148" i="3"/>
  <c r="AZ148" i="3" s="1"/>
  <c r="BL149" i="3"/>
  <c r="G152" i="3"/>
  <c r="BL154" i="3"/>
  <c r="AZ154" i="3" s="1"/>
  <c r="BA156" i="3"/>
  <c r="AZ156" i="3" s="1"/>
  <c r="BL157" i="3"/>
  <c r="G160" i="3"/>
  <c r="BL162" i="3"/>
  <c r="AZ162" i="3" s="1"/>
  <c r="BA164" i="3"/>
  <c r="AZ164" i="3" s="1"/>
  <c r="BL165" i="3"/>
  <c r="G168" i="3"/>
  <c r="BL170" i="3"/>
  <c r="AZ170" i="3" s="1"/>
  <c r="BA172" i="3"/>
  <c r="AZ172" i="3" s="1"/>
  <c r="BL173" i="3"/>
  <c r="G176" i="3"/>
  <c r="BL178" i="3"/>
  <c r="AZ178" i="3" s="1"/>
  <c r="BA180" i="3"/>
  <c r="AZ180" i="3" s="1"/>
  <c r="BL181" i="3"/>
  <c r="G184" i="3"/>
  <c r="BL186" i="3"/>
  <c r="AZ186" i="3" s="1"/>
  <c r="BA188" i="3"/>
  <c r="AZ188" i="3" s="1"/>
  <c r="BL189" i="3"/>
  <c r="G192" i="3"/>
  <c r="AZ49" i="3"/>
  <c r="AZ98" i="3"/>
  <c r="F3" i="35"/>
  <c r="G1" i="92"/>
  <c r="G1" i="91"/>
  <c r="G1" i="90"/>
  <c r="G196" i="3"/>
  <c r="BL198" i="3"/>
  <c r="AZ198" i="3" s="1"/>
  <c r="BA200" i="3"/>
  <c r="AZ200" i="3" s="1"/>
  <c r="BL201" i="3"/>
  <c r="AZ201" i="3" s="1"/>
  <c r="G204" i="3"/>
  <c r="G206" i="3"/>
  <c r="G207" i="3"/>
  <c r="BL207" i="3"/>
  <c r="AZ207" i="3" s="1"/>
  <c r="G18" i="3"/>
  <c r="BA19" i="3"/>
  <c r="AZ19" i="3" s="1"/>
  <c r="BL19" i="3"/>
  <c r="BL21" i="3"/>
  <c r="AZ21" i="3" s="1"/>
  <c r="BA22" i="3"/>
  <c r="AZ22" i="3" s="1"/>
  <c r="BL24" i="3"/>
  <c r="AZ24" i="3" s="1"/>
  <c r="BA25" i="3"/>
  <c r="AZ25" i="3" s="1"/>
  <c r="G28" i="3"/>
  <c r="G29" i="3"/>
  <c r="G30" i="3"/>
  <c r="BL30" i="3"/>
  <c r="BL32" i="3"/>
  <c r="AZ32" i="3" s="1"/>
  <c r="BA34" i="3"/>
  <c r="AZ34" i="3" s="1"/>
  <c r="BA36" i="3"/>
  <c r="AZ36" i="3" s="1"/>
  <c r="BA37" i="3"/>
  <c r="AZ37" i="3" s="1"/>
  <c r="BL39" i="3"/>
  <c r="AZ39" i="3" s="1"/>
  <c r="BA40" i="3"/>
  <c r="AZ40" i="3" s="1"/>
  <c r="BL42" i="3"/>
  <c r="AZ42" i="3" s="1"/>
  <c r="G45" i="3"/>
  <c r="G46" i="3"/>
  <c r="BL46" i="3"/>
  <c r="AZ46" i="3" s="1"/>
  <c r="G49" i="3"/>
  <c r="BL49" i="3"/>
  <c r="BL51" i="3"/>
  <c r="AZ51" i="3" s="1"/>
  <c r="BA52" i="3"/>
  <c r="AZ52" i="3" s="1"/>
  <c r="BA53" i="3"/>
  <c r="AZ53" i="3" s="1"/>
  <c r="BL55" i="3"/>
  <c r="AZ55" i="3" s="1"/>
  <c r="BA56" i="3"/>
  <c r="AZ56" i="3" s="1"/>
  <c r="BL58" i="3"/>
  <c r="AZ58" i="3" s="1"/>
  <c r="G61" i="3"/>
  <c r="AZ104" i="3"/>
  <c r="BL63" i="3"/>
  <c r="AZ63" i="3" s="1"/>
  <c r="BA64" i="3"/>
  <c r="AZ64" i="3" s="1"/>
  <c r="BL66" i="3"/>
  <c r="AZ66" i="3" s="1"/>
  <c r="G69" i="3"/>
  <c r="G70" i="3"/>
  <c r="BL70" i="3"/>
  <c r="AZ70" i="3" s="1"/>
  <c r="BL72" i="3"/>
  <c r="AZ72" i="3" s="1"/>
  <c r="BA73" i="3"/>
  <c r="AZ73" i="3" s="1"/>
  <c r="BA74" i="3"/>
  <c r="AZ74" i="3" s="1"/>
  <c r="BA75" i="3"/>
  <c r="AZ75" i="3" s="1"/>
  <c r="BL77" i="3"/>
  <c r="AZ77" i="3" s="1"/>
  <c r="G79" i="3"/>
  <c r="G80" i="3"/>
  <c r="BL80" i="3"/>
  <c r="G82" i="3"/>
  <c r="G83" i="3"/>
  <c r="G84" i="3"/>
  <c r="BL84" i="3"/>
  <c r="AZ84" i="3" s="1"/>
  <c r="BL86" i="3"/>
  <c r="AZ86" i="3" s="1"/>
  <c r="G88" i="3"/>
  <c r="BL88" i="3"/>
  <c r="G91" i="3"/>
  <c r="BL91" i="3"/>
  <c r="AZ91" i="3" s="1"/>
  <c r="BA92" i="3"/>
  <c r="AZ92" i="3" s="1"/>
  <c r="BA93" i="3"/>
  <c r="AZ93" i="3" s="1"/>
  <c r="BA94" i="3"/>
  <c r="AZ94" i="3" s="1"/>
  <c r="G97" i="3"/>
  <c r="G98" i="3"/>
  <c r="BL98" i="3"/>
  <c r="BA99" i="3"/>
  <c r="AZ99" i="3" s="1"/>
  <c r="BL101" i="3"/>
  <c r="AZ101" i="3" s="1"/>
  <c r="G104" i="3"/>
  <c r="BL104" i="3"/>
  <c r="BA106" i="3"/>
  <c r="AZ106" i="3" s="1"/>
  <c r="BA108" i="3"/>
  <c r="AZ108" i="3" s="1"/>
  <c r="BA109" i="3"/>
  <c r="AZ109" i="3" s="1"/>
  <c r="BA110" i="3"/>
  <c r="AZ110" i="3" s="1"/>
  <c r="BA112" i="3"/>
  <c r="AZ112" i="3" s="1"/>
  <c r="M100" i="43"/>
  <c r="I100" i="43"/>
  <c r="E100" i="43"/>
  <c r="I20" i="66"/>
  <c r="D1" i="66" s="1"/>
  <c r="E10" i="66" s="1"/>
  <c r="F7" i="1"/>
  <c r="F12" i="1"/>
  <c r="G12" i="1" s="1"/>
  <c r="F8" i="1"/>
  <c r="AB45" i="33"/>
  <c r="F44" i="33"/>
  <c r="U46" i="33"/>
  <c r="AB13" i="33"/>
  <c r="U13" i="33"/>
  <c r="AA13" i="33"/>
  <c r="BA17" i="3"/>
  <c r="BC5" i="3"/>
  <c r="G1" i="94"/>
  <c r="G1" i="93"/>
  <c r="F29" i="6"/>
  <c r="M8" i="1"/>
  <c r="M9" i="1"/>
  <c r="M20" i="15"/>
  <c r="M20" i="94"/>
  <c r="M20" i="93"/>
  <c r="M20" i="92"/>
  <c r="M20" i="91"/>
  <c r="M20" i="90"/>
  <c r="F34" i="94"/>
  <c r="F62" i="94" s="1"/>
  <c r="F34" i="93"/>
  <c r="F62" i="93" s="1"/>
  <c r="F34" i="92"/>
  <c r="F62" i="92" s="1"/>
  <c r="F34" i="91"/>
  <c r="F62" i="91" s="1"/>
  <c r="F34" i="90"/>
  <c r="F62" i="90" s="1"/>
  <c r="G123" i="33"/>
  <c r="H123" i="33" s="1"/>
  <c r="I123" i="33" s="1"/>
  <c r="J123" i="33" s="1"/>
  <c r="K123" i="33" s="1"/>
  <c r="L123" i="33" s="1"/>
  <c r="M123" i="33" s="1"/>
  <c r="F42" i="33"/>
  <c r="AA42" i="33" s="1"/>
  <c r="J42" i="33"/>
  <c r="AC42" i="33" s="1"/>
  <c r="H42" i="33"/>
  <c r="AB42" i="33" s="1"/>
  <c r="F37" i="33"/>
  <c r="AA37" i="33" s="1"/>
  <c r="S38" i="33"/>
  <c r="U11" i="33"/>
  <c r="G7" i="1"/>
  <c r="J51" i="91"/>
  <c r="J51" i="93"/>
  <c r="J51" i="90"/>
  <c r="J51" i="92"/>
  <c r="J51" i="94"/>
  <c r="G8" i="1"/>
  <c r="C7" i="34"/>
  <c r="F11" i="1"/>
  <c r="F9" i="1"/>
  <c r="J51" i="15"/>
  <c r="O9" i="1"/>
  <c r="P9" i="1" s="1"/>
  <c r="H5" i="3"/>
  <c r="F15" i="33"/>
  <c r="AA15" i="33" s="1"/>
  <c r="U43" i="33"/>
  <c r="AB12" i="33"/>
  <c r="W33" i="33"/>
  <c r="S26" i="33"/>
  <c r="S8" i="33"/>
  <c r="BB5" i="3"/>
  <c r="E8" i="6" s="1"/>
  <c r="F27" i="6" s="1"/>
  <c r="G14" i="3"/>
  <c r="W41" i="33"/>
  <c r="W39" i="33"/>
  <c r="AB26" i="33"/>
  <c r="BJ5" i="3"/>
  <c r="BF5" i="3"/>
  <c r="BN5" i="3"/>
  <c r="BL15" i="3"/>
  <c r="AZ15" i="3" s="1"/>
  <c r="BA18" i="3"/>
  <c r="AZ18" i="3" s="1"/>
  <c r="BL20" i="3"/>
  <c r="AZ20" i="3" s="1"/>
  <c r="G28" i="6"/>
  <c r="K10" i="1"/>
  <c r="M10" i="1" s="1"/>
  <c r="O10" i="1" s="1"/>
  <c r="G11" i="1"/>
  <c r="I4" i="6"/>
  <c r="G3" i="43" s="1"/>
  <c r="B113" i="43" s="1"/>
  <c r="D93" i="9"/>
  <c r="K6" i="1"/>
  <c r="G29" i="6"/>
  <c r="E29" i="6" s="1"/>
  <c r="AC26" i="33"/>
  <c r="W26" i="33"/>
  <c r="W27" i="34"/>
  <c r="AC27" i="34"/>
  <c r="AB34" i="36"/>
  <c r="U34" i="36"/>
  <c r="AB33" i="36"/>
  <c r="U33" i="36"/>
  <c r="AC12" i="39"/>
  <c r="W12" i="39"/>
  <c r="AC39" i="40"/>
  <c r="W39" i="40"/>
  <c r="AZ401" i="3"/>
  <c r="AZ417" i="3"/>
  <c r="AZ433" i="3"/>
  <c r="AZ586" i="3"/>
  <c r="W12" i="33"/>
  <c r="AC12" i="33"/>
  <c r="AA32" i="36"/>
  <c r="S32" i="36"/>
  <c r="AZ550" i="3"/>
  <c r="AZ408" i="3"/>
  <c r="AZ437" i="3"/>
  <c r="AZ441" i="3"/>
  <c r="AZ457" i="3"/>
  <c r="AZ473" i="3"/>
  <c r="AZ490" i="3"/>
  <c r="AA39" i="34"/>
  <c r="F28" i="6"/>
  <c r="E28" i="6" s="1"/>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26" i="3"/>
  <c r="AZ35" i="3"/>
  <c r="AZ41" i="3"/>
  <c r="B12" i="1"/>
  <c r="E12" i="1" s="1"/>
  <c r="B10" i="1"/>
  <c r="E10" i="1" s="1"/>
  <c r="AZ80" i="3"/>
  <c r="AZ88" i="3"/>
  <c r="AZ107" i="3"/>
  <c r="AZ111" i="3"/>
  <c r="K12" i="1"/>
  <c r="S13" i="1"/>
  <c r="AR13" i="1" s="1"/>
  <c r="J51" i="67"/>
  <c r="C42" i="1"/>
  <c r="H100" i="43"/>
  <c r="C30" i="66"/>
  <c r="E26" i="66" s="1"/>
  <c r="AC34" i="33"/>
  <c r="AA34" i="33"/>
  <c r="B41" i="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AA35" i="33"/>
  <c r="S27" i="33"/>
  <c r="S32" i="33"/>
  <c r="AA29" i="33"/>
  <c r="AB29"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BA13" i="3"/>
  <c r="BL17" i="3"/>
  <c r="BL13" i="3"/>
  <c r="G30" i="6"/>
  <c r="G31" i="6" s="1"/>
  <c r="J56" i="9"/>
  <c r="J57" i="9" s="1"/>
  <c r="A24" i="51"/>
  <c r="B18" i="72" s="1"/>
  <c r="U29" i="34"/>
  <c r="E5" i="6"/>
  <c r="D9" i="11" s="1"/>
  <c r="C9" i="11" s="1"/>
  <c r="P10" i="1"/>
  <c r="E32" i="6"/>
  <c r="L19" i="6" s="1"/>
  <c r="G1" i="68"/>
  <c r="K1" i="12"/>
  <c r="E19" i="69"/>
  <c r="E19" i="68"/>
  <c r="E19" i="11"/>
  <c r="E1" i="73"/>
  <c r="K1" i="73" s="1"/>
  <c r="G41" i="69"/>
  <c r="G22" i="69"/>
  <c r="G41" i="68"/>
  <c r="G22" i="68"/>
  <c r="G27" i="12"/>
  <c r="G26" i="12"/>
  <c r="G41" i="11"/>
  <c r="G22" i="11"/>
  <c r="G25" i="12"/>
  <c r="C100" i="43"/>
  <c r="E11" i="43"/>
  <c r="E10" i="43"/>
  <c r="E9" i="43"/>
  <c r="E8" i="43"/>
  <c r="E81" i="43"/>
  <c r="B79" i="43" s="1"/>
  <c r="E48" i="43"/>
  <c r="B46" i="43" s="1"/>
  <c r="E70" i="43"/>
  <c r="B68" i="43" s="1"/>
  <c r="C20" i="43"/>
  <c r="F100" i="43"/>
  <c r="H17" i="43"/>
  <c r="D9" i="53"/>
  <c r="B25" i="72" s="1"/>
  <c r="B24" i="72"/>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0" i="39" s="1"/>
  <c r="C7" i="35"/>
  <c r="C48" i="35" s="1"/>
  <c r="D48" i="35" s="1"/>
  <c r="C7" i="33"/>
  <c r="C58" i="33" s="1"/>
  <c r="D58" i="33" s="1"/>
  <c r="E58" i="33" s="1"/>
  <c r="F58" i="33" s="1"/>
  <c r="G58" i="33" s="1"/>
  <c r="H58" i="33" s="1"/>
  <c r="I58" i="33" s="1"/>
  <c r="J58" i="33" s="1"/>
  <c r="K58" i="33" s="1"/>
  <c r="L58" i="33" s="1"/>
  <c r="M58" i="33" s="1"/>
  <c r="N58" i="33" s="1"/>
  <c r="O58" i="33" s="1"/>
  <c r="C7" i="21"/>
  <c r="C7" i="40"/>
  <c r="C63" i="40" s="1"/>
  <c r="M47" i="9"/>
  <c r="G19" i="43"/>
  <c r="P23" i="43" s="1"/>
  <c r="B71" i="39" s="1"/>
  <c r="T35" i="4"/>
  <c r="A19" i="51" s="1"/>
  <c r="B14" i="72" s="1"/>
  <c r="C46" i="36"/>
  <c r="D46" i="36" s="1"/>
  <c r="E46" i="36" s="1"/>
  <c r="C59" i="34"/>
  <c r="D59" i="34" s="1"/>
  <c r="C52" i="37"/>
  <c r="D52" i="37" s="1"/>
  <c r="A4" i="51"/>
  <c r="B6" i="72" s="1"/>
  <c r="C58" i="21"/>
  <c r="D58" i="21" s="1"/>
  <c r="C94" i="9"/>
  <c r="C4" i="12"/>
  <c r="C92" i="9"/>
  <c r="H62" i="43"/>
  <c r="H66" i="43"/>
  <c r="H61" i="43"/>
  <c r="H65" i="43"/>
  <c r="H60" i="43"/>
  <c r="H64" i="43"/>
  <c r="H59" i="43"/>
  <c r="H63" i="43"/>
  <c r="H67" i="43"/>
  <c r="H55" i="43"/>
  <c r="H51" i="43"/>
  <c r="H56" i="43"/>
  <c r="H76" i="43"/>
  <c r="H72" i="43"/>
  <c r="H77" i="43"/>
  <c r="L20" i="6"/>
  <c r="B6" i="1"/>
  <c r="E6" i="1" s="1"/>
  <c r="K11" i="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E4" i="4" s="1"/>
  <c r="B9" i="49"/>
  <c r="B13" i="49"/>
  <c r="E16" i="49"/>
  <c r="B11" i="49"/>
  <c r="E8" i="49"/>
  <c r="E21" i="49"/>
  <c r="E10" i="49"/>
  <c r="E9" i="49"/>
  <c r="E5" i="49"/>
  <c r="B6" i="49"/>
  <c r="B4" i="49"/>
  <c r="B8" i="49"/>
  <c r="E4" i="49"/>
  <c r="E11" i="49"/>
  <c r="F8" i="93"/>
  <c r="F7" i="67"/>
  <c r="F16" i="94"/>
  <c r="M28" i="15"/>
  <c r="F43" i="90"/>
  <c r="M28" i="94"/>
  <c r="F7" i="94"/>
  <c r="M9" i="15"/>
  <c r="F43" i="67"/>
  <c r="M27" i="93"/>
  <c r="L48" i="93"/>
  <c r="L48" i="67"/>
  <c r="F6" i="15"/>
  <c r="M28" i="67"/>
  <c r="F26" i="15"/>
  <c r="M26" i="94"/>
  <c r="F16" i="93"/>
  <c r="F43" i="93"/>
  <c r="M22" i="15"/>
  <c r="M29" i="90"/>
  <c r="M29" i="67"/>
  <c r="F38" i="94"/>
  <c r="C76" i="67"/>
  <c r="M22" i="67"/>
  <c r="M23" i="94"/>
  <c r="G1" i="73"/>
  <c r="J15" i="94"/>
  <c r="M6" i="94"/>
  <c r="F36" i="94"/>
  <c r="L48" i="90"/>
  <c r="F40" i="93"/>
  <c r="F6" i="93"/>
  <c r="F7" i="90"/>
  <c r="F7" i="15"/>
  <c r="F36" i="93"/>
  <c r="F9" i="67"/>
  <c r="M9" i="94"/>
  <c r="F42" i="15"/>
  <c r="F37" i="93"/>
  <c r="M24" i="94"/>
  <c r="F26" i="94"/>
  <c r="F42" i="94"/>
  <c r="F38" i="15"/>
  <c r="M29" i="93"/>
  <c r="F13" i="67"/>
  <c r="F36" i="15"/>
  <c r="M9" i="67"/>
  <c r="M8" i="94"/>
  <c r="M9" i="93"/>
  <c r="L48" i="15"/>
  <c r="F16" i="67"/>
  <c r="M24" i="67"/>
  <c r="L48" i="94"/>
  <c r="F13" i="93"/>
  <c r="M22" i="93"/>
  <c r="M8" i="93"/>
  <c r="J15" i="93"/>
  <c r="F26" i="93"/>
  <c r="L47" i="94"/>
  <c r="F13" i="94"/>
  <c r="F36" i="67"/>
  <c r="M24" i="15"/>
  <c r="M22" i="94"/>
  <c r="F37" i="94"/>
  <c r="M24" i="93"/>
  <c r="F9" i="93"/>
  <c r="L47" i="93"/>
  <c r="F38" i="93"/>
  <c r="M23" i="15"/>
  <c r="J15" i="15"/>
  <c r="L48" i="91"/>
  <c r="F43" i="15"/>
  <c r="C76" i="15"/>
  <c r="M28" i="93"/>
  <c r="C76" i="93"/>
  <c r="C76" i="94"/>
  <c r="L47" i="67"/>
  <c r="F9" i="94"/>
  <c r="F40" i="15"/>
  <c r="F37" i="15"/>
  <c r="M26" i="15"/>
  <c r="M23" i="67"/>
  <c r="F6" i="67"/>
  <c r="F38" i="67"/>
  <c r="L48" i="92"/>
  <c r="F8" i="15"/>
  <c r="F40" i="94"/>
  <c r="M29" i="94"/>
  <c r="M8" i="15"/>
  <c r="F26" i="67"/>
  <c r="M26" i="67"/>
  <c r="F42" i="67"/>
  <c r="F37" i="67"/>
  <c r="F8" i="94"/>
  <c r="F6" i="94"/>
  <c r="M8" i="67"/>
  <c r="F16" i="15"/>
  <c r="F13" i="15"/>
  <c r="F40" i="67"/>
  <c r="M26" i="93"/>
  <c r="M23" i="93"/>
  <c r="M29" i="15"/>
  <c r="M6" i="67"/>
  <c r="J15" i="67"/>
  <c r="F7" i="93"/>
  <c r="F9" i="15"/>
  <c r="F42" i="93"/>
  <c r="L47" i="15"/>
  <c r="F8" i="67"/>
  <c r="M6" i="93"/>
  <c r="F43" i="94"/>
  <c r="M6" i="15"/>
  <c r="M27" i="94"/>
  <c r="AC36" i="35" l="1"/>
  <c r="W36" i="35"/>
  <c r="S12" i="34"/>
  <c r="AA12" i="34"/>
  <c r="AA40" i="40"/>
  <c r="S40" i="40"/>
  <c r="AC25" i="37"/>
  <c r="W25" i="37"/>
  <c r="AC15" i="21"/>
  <c r="AA11" i="37"/>
  <c r="C7" i="43"/>
  <c r="AZ17" i="3"/>
  <c r="W38" i="33"/>
  <c r="W42" i="33"/>
  <c r="U24" i="36"/>
  <c r="F53" i="9"/>
  <c r="M18" i="94"/>
  <c r="F32" i="93"/>
  <c r="F60" i="93" s="1"/>
  <c r="F28" i="93"/>
  <c r="M18" i="92"/>
  <c r="M18" i="91"/>
  <c r="M18" i="90"/>
  <c r="F32" i="92"/>
  <c r="F60" i="92" s="1"/>
  <c r="F28" i="92"/>
  <c r="F32" i="91"/>
  <c r="F60" i="91" s="1"/>
  <c r="F32" i="94"/>
  <c r="F60" i="94" s="1"/>
  <c r="F28" i="94"/>
  <c r="M18" i="93"/>
  <c r="F28" i="91"/>
  <c r="F32" i="90"/>
  <c r="F60" i="90" s="1"/>
  <c r="F28" i="90"/>
  <c r="U12" i="36"/>
  <c r="AB12" i="36"/>
  <c r="AC23" i="35"/>
  <c r="W23" i="35"/>
  <c r="AB38" i="40"/>
  <c r="U38" i="40"/>
  <c r="E14" i="6"/>
  <c r="E64" i="39" s="1"/>
  <c r="S44" i="33"/>
  <c r="AA44" i="33"/>
  <c r="F68" i="93"/>
  <c r="Q71" i="93"/>
  <c r="F51" i="93"/>
  <c r="F64" i="93"/>
  <c r="F66" i="93"/>
  <c r="C27" i="93"/>
  <c r="F65" i="93"/>
  <c r="M59" i="93"/>
  <c r="Q71" i="94"/>
  <c r="F64" i="94"/>
  <c r="L58" i="94"/>
  <c r="Q60" i="94" s="1"/>
  <c r="F51" i="94"/>
  <c r="F66" i="94"/>
  <c r="F65" i="94"/>
  <c r="C27" i="94"/>
  <c r="F68" i="94"/>
  <c r="F50" i="90"/>
  <c r="M7" i="90"/>
  <c r="F71" i="90"/>
  <c r="F71" i="94"/>
  <c r="F50" i="94"/>
  <c r="C6" i="94"/>
  <c r="M7" i="94"/>
  <c r="C10" i="94"/>
  <c r="F30" i="6"/>
  <c r="F31" i="6" s="1"/>
  <c r="M12" i="1"/>
  <c r="M7" i="93"/>
  <c r="F50" i="93"/>
  <c r="C6" i="93"/>
  <c r="C10" i="93"/>
  <c r="F71" i="93"/>
  <c r="M11" i="1"/>
  <c r="C4" i="4"/>
  <c r="K4" i="4" s="1"/>
  <c r="B46" i="48" s="1"/>
  <c r="S15" i="33"/>
  <c r="L57" i="92"/>
  <c r="L60" i="92"/>
  <c r="L56" i="92"/>
  <c r="L56" i="93"/>
  <c r="L58" i="93"/>
  <c r="L57" i="93"/>
  <c r="L60" i="93"/>
  <c r="C28" i="90"/>
  <c r="C28" i="92"/>
  <c r="C28" i="94"/>
  <c r="C28" i="91"/>
  <c r="C28" i="93"/>
  <c r="J53" i="94"/>
  <c r="J57" i="94"/>
  <c r="J55" i="94" s="1"/>
  <c r="J58" i="94" s="1"/>
  <c r="Q50" i="94" s="1"/>
  <c r="N59" i="94"/>
  <c r="I54" i="94"/>
  <c r="L59" i="94"/>
  <c r="J53" i="90"/>
  <c r="J57" i="90"/>
  <c r="J55" i="90" s="1"/>
  <c r="J58" i="90" s="1"/>
  <c r="Q50" i="90" s="1"/>
  <c r="I54" i="90"/>
  <c r="J57" i="91"/>
  <c r="J55" i="91" s="1"/>
  <c r="J58" i="91" s="1"/>
  <c r="Q50" i="91" s="1"/>
  <c r="J53" i="91"/>
  <c r="I54" i="91"/>
  <c r="L60" i="91"/>
  <c r="L60" i="94"/>
  <c r="L56" i="90"/>
  <c r="L60" i="90"/>
  <c r="G9" i="1"/>
  <c r="M59" i="94"/>
  <c r="J53" i="92"/>
  <c r="I54" i="92"/>
  <c r="J57" i="92"/>
  <c r="J55" i="92" s="1"/>
  <c r="J58" i="92" s="1"/>
  <c r="Q50" i="92" s="1"/>
  <c r="L59" i="93"/>
  <c r="J57" i="93"/>
  <c r="J55" i="93" s="1"/>
  <c r="J58" i="93" s="1"/>
  <c r="Q50" i="93" s="1"/>
  <c r="J53" i="93"/>
  <c r="N59" i="93"/>
  <c r="I54" i="93"/>
  <c r="L57" i="91"/>
  <c r="L56" i="91"/>
  <c r="L57" i="94"/>
  <c r="L56" i="94"/>
  <c r="L57" i="90"/>
  <c r="O11" i="1"/>
  <c r="P11" i="1" s="1"/>
  <c r="O12" i="1"/>
  <c r="P12" i="1" s="1"/>
  <c r="E56" i="39"/>
  <c r="E10" i="6"/>
  <c r="E13" i="6"/>
  <c r="E58" i="40" s="1"/>
  <c r="E15" i="6"/>
  <c r="E51" i="40"/>
  <c r="E11" i="6"/>
  <c r="E12" i="6"/>
  <c r="G5" i="3"/>
  <c r="B3" i="3" s="1"/>
  <c r="E322" i="3" s="1"/>
  <c r="AI11" i="43"/>
  <c r="AI13" i="43" s="1"/>
  <c r="F22" i="43"/>
  <c r="AJ11" i="43"/>
  <c r="AJ13" i="43" s="1"/>
  <c r="G22" i="43"/>
  <c r="AA11" i="43"/>
  <c r="AA13" i="43" s="1"/>
  <c r="AB11" i="43"/>
  <c r="AB13" i="43" s="1"/>
  <c r="D101" i="43"/>
  <c r="D109" i="43" s="1"/>
  <c r="AE11" i="43"/>
  <c r="AE13" i="43" s="1"/>
  <c r="Z7" i="43"/>
  <c r="AF11" i="43"/>
  <c r="AF13" i="43" s="1"/>
  <c r="I101" i="43"/>
  <c r="I109" i="43" s="1"/>
  <c r="L101" i="43"/>
  <c r="L109" i="43" s="1"/>
  <c r="Y11" i="43"/>
  <c r="Y13" i="43" s="1"/>
  <c r="AC11" i="43"/>
  <c r="AC13" i="43" s="1"/>
  <c r="AG11" i="43"/>
  <c r="AG13" i="43" s="1"/>
  <c r="Z11" i="43"/>
  <c r="Z13" i="43" s="1"/>
  <c r="AD11" i="43"/>
  <c r="AD13" i="43" s="1"/>
  <c r="AH11" i="43"/>
  <c r="AH13" i="43" s="1"/>
  <c r="E101" i="43"/>
  <c r="M101" i="43"/>
  <c r="M109" i="43" s="1"/>
  <c r="H101" i="43"/>
  <c r="H102" i="43" s="1"/>
  <c r="H22" i="43"/>
  <c r="BA5" i="3"/>
  <c r="E27" i="6" s="1"/>
  <c r="K20" i="6" s="1"/>
  <c r="S7" i="1" s="1"/>
  <c r="J101" i="43"/>
  <c r="J104" i="43" s="1"/>
  <c r="N104" i="46"/>
  <c r="G101" i="43"/>
  <c r="G107" i="43" s="1"/>
  <c r="C101" i="43"/>
  <c r="C105" i="43" s="1"/>
  <c r="N101" i="43"/>
  <c r="N109" i="43" s="1"/>
  <c r="E22" i="43"/>
  <c r="K101" i="43"/>
  <c r="K109" i="43" s="1"/>
  <c r="B115" i="43"/>
  <c r="C115" i="43" s="1"/>
  <c r="I118" i="43"/>
  <c r="J118" i="43" s="1"/>
  <c r="K118" i="43" s="1"/>
  <c r="L118" i="43" s="1"/>
  <c r="M118" i="43" s="1"/>
  <c r="B116" i="43"/>
  <c r="C116" i="43" s="1"/>
  <c r="D115" i="43"/>
  <c r="E115" i="43" s="1"/>
  <c r="F115" i="43" s="1"/>
  <c r="G115" i="43" s="1"/>
  <c r="H115" i="43" s="1"/>
  <c r="D117" i="43"/>
  <c r="E117" i="43" s="1"/>
  <c r="F117" i="43" s="1"/>
  <c r="G117" i="43" s="1"/>
  <c r="H117" i="43" s="1"/>
  <c r="I115" i="43"/>
  <c r="J115" i="43" s="1"/>
  <c r="K115" i="43" s="1"/>
  <c r="L115" i="43" s="1"/>
  <c r="M115" i="43" s="1"/>
  <c r="D118" i="43"/>
  <c r="E118" i="43" s="1"/>
  <c r="F118" i="43" s="1"/>
  <c r="I117" i="43"/>
  <c r="J117" i="43" s="1"/>
  <c r="K117" i="43" s="1"/>
  <c r="L117" i="43" s="1"/>
  <c r="M117" i="43" s="1"/>
  <c r="B117" i="43"/>
  <c r="C117" i="43" s="1"/>
  <c r="F101" i="43"/>
  <c r="F106" i="43" s="1"/>
  <c r="C102" i="43"/>
  <c r="I116" i="43"/>
  <c r="J116" i="43" s="1"/>
  <c r="K116" i="43" s="1"/>
  <c r="L116" i="43" s="1"/>
  <c r="M116" i="43" s="1"/>
  <c r="B118" i="43"/>
  <c r="C118" i="43" s="1"/>
  <c r="G118" i="43"/>
  <c r="H118" i="43" s="1"/>
  <c r="D116" i="43"/>
  <c r="E116" i="43" s="1"/>
  <c r="F116" i="43" s="1"/>
  <c r="G116" i="43" s="1"/>
  <c r="H116" i="43" s="1"/>
  <c r="L58" i="67"/>
  <c r="L58" i="15"/>
  <c r="Q73" i="15" s="1"/>
  <c r="N59" i="67"/>
  <c r="L59" i="67" s="1"/>
  <c r="M59" i="67"/>
  <c r="M59" i="15"/>
  <c r="J53" i="67"/>
  <c r="I54" i="67"/>
  <c r="N59" i="15"/>
  <c r="I54" i="15"/>
  <c r="J53" i="15"/>
  <c r="L56" i="15" s="1"/>
  <c r="AQ13" i="1"/>
  <c r="AZ13" i="3"/>
  <c r="AZ5" i="3" s="1"/>
  <c r="M6" i="1"/>
  <c r="O6" i="1" s="1"/>
  <c r="P6" i="1" s="1"/>
  <c r="F30" i="68"/>
  <c r="C30" i="68" s="1"/>
  <c r="F30" i="11"/>
  <c r="C48" i="11" s="1"/>
  <c r="F28" i="67"/>
  <c r="C28" i="67" s="1"/>
  <c r="F31" i="12"/>
  <c r="F52" i="9"/>
  <c r="C31" i="12"/>
  <c r="M18" i="67"/>
  <c r="F32" i="67"/>
  <c r="F60" i="67" s="1"/>
  <c r="F30" i="69"/>
  <c r="C48" i="69" s="1"/>
  <c r="F32" i="15"/>
  <c r="F60" i="15" s="1"/>
  <c r="M18" i="15"/>
  <c r="F28" i="15"/>
  <c r="D9" i="69"/>
  <c r="C9" i="69" s="1"/>
  <c r="D19" i="12"/>
  <c r="C19" i="12" s="1"/>
  <c r="D68" i="39"/>
  <c r="D70" i="39" s="1"/>
  <c r="P24" i="43"/>
  <c r="B66" i="40" s="1"/>
  <c r="C28" i="15"/>
  <c r="E30" i="6"/>
  <c r="K15" i="1"/>
  <c r="T13" i="1"/>
  <c r="C77" i="9"/>
  <c r="C74" i="9" s="1"/>
  <c r="D9" i="68"/>
  <c r="C9" i="68" s="1"/>
  <c r="C24" i="12"/>
  <c r="AA39" i="40"/>
  <c r="S39" i="40"/>
  <c r="S12" i="33"/>
  <c r="AA12" i="33"/>
  <c r="C16" i="4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K14" i="1"/>
  <c r="M14" i="1" s="1"/>
  <c r="O14" i="1" s="1"/>
  <c r="P14" i="1" s="1"/>
  <c r="BL5" i="3"/>
  <c r="P21" i="43"/>
  <c r="M20" i="43"/>
  <c r="C19" i="43" s="1"/>
  <c r="J59" i="9"/>
  <c r="J61" i="9" s="1"/>
  <c r="M104" i="43"/>
  <c r="D106" i="43"/>
  <c r="B40" i="1"/>
  <c r="F24" i="94" s="1"/>
  <c r="O19" i="43"/>
  <c r="P22" i="43"/>
  <c r="P25"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B5" i="62"/>
  <c r="C10" i="15"/>
  <c r="L27" i="6"/>
  <c r="G16" i="1"/>
  <c r="H10" i="40" s="1"/>
  <c r="U10" i="40" s="1"/>
  <c r="C27" i="67"/>
  <c r="L56" i="67"/>
  <c r="J57" i="67"/>
  <c r="J55" i="67" s="1"/>
  <c r="J58" i="67" s="1"/>
  <c r="Q50" i="67" s="1"/>
  <c r="F70" i="67"/>
  <c r="F51" i="67"/>
  <c r="F68" i="67"/>
  <c r="F71" i="67"/>
  <c r="F66" i="67"/>
  <c r="F50" i="67"/>
  <c r="M7" i="67"/>
  <c r="Q71" i="67"/>
  <c r="F64" i="67"/>
  <c r="C6" i="67"/>
  <c r="F65" i="67"/>
  <c r="F71" i="15"/>
  <c r="C27" i="15"/>
  <c r="Q71" i="15"/>
  <c r="F64" i="15"/>
  <c r="F51" i="15"/>
  <c r="F65" i="15"/>
  <c r="J57" i="15"/>
  <c r="J55" i="15" s="1"/>
  <c r="J58" i="15" s="1"/>
  <c r="Q50" i="15" s="1"/>
  <c r="F68" i="15"/>
  <c r="M7" i="15"/>
  <c r="F50" i="15"/>
  <c r="F66" i="15"/>
  <c r="C6" i="15"/>
  <c r="C10" i="67"/>
  <c r="AP7" i="1"/>
  <c r="C36" i="69" s="1"/>
  <c r="M7" i="1"/>
  <c r="Q16" i="1"/>
  <c r="F27" i="69" s="1"/>
  <c r="H16" i="1"/>
  <c r="AB45" i="21"/>
  <c r="AC33" i="21"/>
  <c r="W33" i="21"/>
  <c r="S33" i="21"/>
  <c r="AA33" i="21"/>
  <c r="W32" i="21"/>
  <c r="AC32" i="21"/>
  <c r="AB9" i="21"/>
  <c r="U9" i="21"/>
  <c r="AA32" i="21"/>
  <c r="S32" i="21"/>
  <c r="W9" i="21"/>
  <c r="AC9" i="21"/>
  <c r="AB32" i="21"/>
  <c r="U32" i="21"/>
  <c r="AA10" i="21"/>
  <c r="S10" i="21"/>
  <c r="F59" i="67"/>
  <c r="F31" i="67"/>
  <c r="M17" i="15"/>
  <c r="M17" i="67"/>
  <c r="F31" i="15"/>
  <c r="F59" i="15"/>
  <c r="F40" i="90"/>
  <c r="C76" i="90"/>
  <c r="F36" i="90"/>
  <c r="F6" i="90"/>
  <c r="J15" i="90"/>
  <c r="M6" i="90"/>
  <c r="F26" i="90"/>
  <c r="M22" i="90"/>
  <c r="L47" i="90"/>
  <c r="M27" i="90"/>
  <c r="F37" i="90"/>
  <c r="M8" i="90"/>
  <c r="F16" i="92"/>
  <c r="M24" i="92"/>
  <c r="F37" i="92"/>
  <c r="J15" i="92"/>
  <c r="M22" i="92"/>
  <c r="M6" i="92"/>
  <c r="F42" i="92"/>
  <c r="F9" i="92"/>
  <c r="M8" i="92"/>
  <c r="F13" i="92"/>
  <c r="M29" i="92"/>
  <c r="F7" i="92"/>
  <c r="F43" i="92"/>
  <c r="F6" i="91"/>
  <c r="M23" i="91"/>
  <c r="F26" i="91"/>
  <c r="J15" i="91"/>
  <c r="F13" i="91"/>
  <c r="F36" i="91"/>
  <c r="M24" i="91"/>
  <c r="M6" i="91"/>
  <c r="M22" i="91"/>
  <c r="M26" i="91"/>
  <c r="M8" i="91"/>
  <c r="L47" i="91"/>
  <c r="M29" i="91"/>
  <c r="C16" i="67"/>
  <c r="C16" i="93"/>
  <c r="C17" i="90"/>
  <c r="C16" i="94"/>
  <c r="C16" i="15"/>
  <c r="M24" i="90"/>
  <c r="M9" i="90"/>
  <c r="F8" i="90"/>
  <c r="F16" i="90"/>
  <c r="F13" i="90"/>
  <c r="M26" i="90"/>
  <c r="M23" i="90"/>
  <c r="F42" i="90"/>
  <c r="F38" i="90"/>
  <c r="F9" i="90"/>
  <c r="M28" i="90"/>
  <c r="F6" i="92"/>
  <c r="M9" i="92"/>
  <c r="F26" i="92"/>
  <c r="M26" i="92"/>
  <c r="F8" i="92"/>
  <c r="M23" i="92"/>
  <c r="F38" i="92"/>
  <c r="M28" i="92"/>
  <c r="F36" i="92"/>
  <c r="F40" i="92"/>
  <c r="C76" i="92"/>
  <c r="L47" i="92"/>
  <c r="M27" i="92"/>
  <c r="M9" i="91"/>
  <c r="F16" i="91"/>
  <c r="M27" i="91"/>
  <c r="F37" i="91"/>
  <c r="F38" i="91"/>
  <c r="C76" i="91"/>
  <c r="F40" i="91"/>
  <c r="F8" i="91"/>
  <c r="F9" i="91"/>
  <c r="F42" i="91"/>
  <c r="M28" i="91"/>
  <c r="F43" i="91"/>
  <c r="F7" i="91"/>
  <c r="F50" i="91" l="1"/>
  <c r="C49" i="91" s="1"/>
  <c r="C48" i="91" s="1"/>
  <c r="M7" i="91"/>
  <c r="F71" i="91"/>
  <c r="F51" i="91"/>
  <c r="F68" i="91"/>
  <c r="Q71" i="91"/>
  <c r="F66" i="91"/>
  <c r="F65" i="91"/>
  <c r="M59" i="92"/>
  <c r="L58" i="92"/>
  <c r="L59" i="92"/>
  <c r="N59" i="92"/>
  <c r="Q71" i="92"/>
  <c r="F68" i="92"/>
  <c r="F64" i="92"/>
  <c r="F66" i="92"/>
  <c r="F51" i="92"/>
  <c r="C27" i="92"/>
  <c r="C6" i="92"/>
  <c r="C10" i="92"/>
  <c r="F66" i="90"/>
  <c r="F51" i="90"/>
  <c r="L59" i="91"/>
  <c r="L58" i="91"/>
  <c r="Q60" i="91" s="1"/>
  <c r="N59" i="91"/>
  <c r="M59" i="91"/>
  <c r="J10" i="91"/>
  <c r="J6" i="91"/>
  <c r="F64" i="91"/>
  <c r="C27" i="91"/>
  <c r="C6" i="91"/>
  <c r="C5" i="91" s="1"/>
  <c r="C38" i="91" s="1"/>
  <c r="C10" i="91"/>
  <c r="F71" i="92"/>
  <c r="F50" i="92"/>
  <c r="C49" i="92" s="1"/>
  <c r="C48" i="92" s="1"/>
  <c r="M7" i="92"/>
  <c r="J10" i="92" s="1"/>
  <c r="J5" i="92" s="1"/>
  <c r="J6" i="92"/>
  <c r="F65" i="92"/>
  <c r="F65" i="90"/>
  <c r="M59" i="90"/>
  <c r="L58" i="90"/>
  <c r="Q60" i="90" s="1"/>
  <c r="L59" i="90"/>
  <c r="N59" i="90"/>
  <c r="C27" i="90"/>
  <c r="C10" i="90"/>
  <c r="C6" i="90"/>
  <c r="C5" i="90" s="1"/>
  <c r="C38" i="90" s="1"/>
  <c r="F64" i="90"/>
  <c r="Q71" i="90"/>
  <c r="F68" i="90"/>
  <c r="C49" i="90"/>
  <c r="C48" i="90" s="1"/>
  <c r="C66" i="90" s="1"/>
  <c r="E310" i="3"/>
  <c r="E29" i="3"/>
  <c r="E541" i="3"/>
  <c r="E425" i="3"/>
  <c r="E222" i="3"/>
  <c r="E132" i="3"/>
  <c r="E431" i="3"/>
  <c r="E59" i="40"/>
  <c r="E373" i="3"/>
  <c r="E67" i="3"/>
  <c r="E291" i="3"/>
  <c r="I3" i="6"/>
  <c r="AY6" i="3"/>
  <c r="AY98" i="3" s="1"/>
  <c r="E233" i="3"/>
  <c r="E103" i="3"/>
  <c r="E317" i="3"/>
  <c r="E435" i="3"/>
  <c r="E199" i="3"/>
  <c r="E16" i="3"/>
  <c r="E63" i="3"/>
  <c r="E267" i="3"/>
  <c r="AM6" i="3"/>
  <c r="E56" i="3"/>
  <c r="R6" i="3"/>
  <c r="E91" i="3"/>
  <c r="C32" i="91"/>
  <c r="C5" i="94"/>
  <c r="C38" i="94" s="1"/>
  <c r="Q73" i="91"/>
  <c r="Q73" i="90"/>
  <c r="Q73" i="94"/>
  <c r="J27" i="33"/>
  <c r="W27" i="33" s="1"/>
  <c r="B4" i="62"/>
  <c r="B71" i="72" s="1"/>
  <c r="C5" i="93"/>
  <c r="C38" i="93" s="1"/>
  <c r="C49" i="93"/>
  <c r="C48" i="93" s="1"/>
  <c r="C66" i="93" s="1"/>
  <c r="J5" i="91"/>
  <c r="J18" i="91" s="1"/>
  <c r="C60" i="90"/>
  <c r="C49" i="94"/>
  <c r="C48" i="94" s="1"/>
  <c r="E7" i="70"/>
  <c r="J6" i="94"/>
  <c r="J10" i="94"/>
  <c r="J6" i="90"/>
  <c r="J10" i="90"/>
  <c r="J6" i="93"/>
  <c r="J10" i="93"/>
  <c r="B4" i="72"/>
  <c r="B73" i="72"/>
  <c r="Q74" i="92"/>
  <c r="Q61" i="92"/>
  <c r="Q52" i="92"/>
  <c r="F1" i="92"/>
  <c r="Q66" i="91"/>
  <c r="Q57" i="91"/>
  <c r="F1" i="90"/>
  <c r="Q52" i="90"/>
  <c r="Q57" i="93"/>
  <c r="Q66" i="93"/>
  <c r="Q73" i="93"/>
  <c r="Q60" i="93"/>
  <c r="Q73" i="92"/>
  <c r="Q60" i="92"/>
  <c r="Q57" i="92"/>
  <c r="Q66" i="92"/>
  <c r="F1" i="93"/>
  <c r="Q52" i="93"/>
  <c r="Q74" i="93"/>
  <c r="Q61" i="93"/>
  <c r="Q66" i="90"/>
  <c r="Q57" i="90"/>
  <c r="Q66" i="94"/>
  <c r="Q57" i="94"/>
  <c r="F1" i="91"/>
  <c r="Q52" i="91"/>
  <c r="Q61" i="91"/>
  <c r="Q74" i="91"/>
  <c r="Q61" i="90"/>
  <c r="Q74" i="90"/>
  <c r="Q61" i="94"/>
  <c r="Q74" i="94"/>
  <c r="F1" i="94"/>
  <c r="Q52" i="94"/>
  <c r="O7" i="1"/>
  <c r="O16" i="1" s="1"/>
  <c r="C24" i="94"/>
  <c r="F24" i="92"/>
  <c r="C24" i="92" s="1"/>
  <c r="F24" i="93"/>
  <c r="F24" i="90"/>
  <c r="C24" i="90" s="1"/>
  <c r="F24" i="91"/>
  <c r="C30" i="69"/>
  <c r="C48" i="68"/>
  <c r="E82" i="3"/>
  <c r="E323" i="3"/>
  <c r="E118" i="3"/>
  <c r="E381" i="3"/>
  <c r="E144" i="3"/>
  <c r="E23" i="3"/>
  <c r="E300" i="3"/>
  <c r="E142" i="3"/>
  <c r="E64" i="3"/>
  <c r="E441" i="3"/>
  <c r="E44" i="3"/>
  <c r="E384" i="3"/>
  <c r="E331" i="3"/>
  <c r="E258" i="3"/>
  <c r="E95" i="3"/>
  <c r="E417" i="3"/>
  <c r="E554" i="3"/>
  <c r="E449" i="3"/>
  <c r="E442" i="3"/>
  <c r="E575" i="3"/>
  <c r="E77" i="3"/>
  <c r="E296" i="3"/>
  <c r="E217" i="3"/>
  <c r="E268" i="3"/>
  <c r="AJ6" i="3"/>
  <c r="E579" i="3"/>
  <c r="E247" i="3"/>
  <c r="E511" i="3"/>
  <c r="AK6" i="3"/>
  <c r="E306" i="3"/>
  <c r="E262" i="3"/>
  <c r="E236" i="3"/>
  <c r="E221" i="3"/>
  <c r="E149" i="3"/>
  <c r="E212" i="3"/>
  <c r="E167" i="3"/>
  <c r="E141" i="3"/>
  <c r="E312" i="3"/>
  <c r="AD6" i="3"/>
  <c r="E542" i="3"/>
  <c r="E552" i="3"/>
  <c r="E421" i="3"/>
  <c r="E464" i="3"/>
  <c r="E487" i="3"/>
  <c r="E398" i="3"/>
  <c r="E416" i="3"/>
  <c r="E459" i="3"/>
  <c r="E374" i="3"/>
  <c r="E566" i="3"/>
  <c r="E500" i="3"/>
  <c r="E582" i="3"/>
  <c r="E413" i="3"/>
  <c r="E460" i="3"/>
  <c r="E520" i="3"/>
  <c r="E436" i="3"/>
  <c r="E39" i="3"/>
  <c r="E90" i="3"/>
  <c r="E57" i="3"/>
  <c r="E131" i="3"/>
  <c r="E187" i="3"/>
  <c r="E155" i="3"/>
  <c r="E240" i="3"/>
  <c r="E297" i="3"/>
  <c r="E259" i="3"/>
  <c r="E292" i="3"/>
  <c r="E348" i="3"/>
  <c r="E363" i="3"/>
  <c r="E378" i="3"/>
  <c r="E349" i="3"/>
  <c r="E375" i="3"/>
  <c r="E389" i="3"/>
  <c r="E504" i="3"/>
  <c r="E544" i="3"/>
  <c r="E58" i="3"/>
  <c r="E76" i="3"/>
  <c r="E110" i="3"/>
  <c r="E59" i="3"/>
  <c r="E540" i="3"/>
  <c r="E462" i="3"/>
  <c r="E521" i="3"/>
  <c r="E446" i="3"/>
  <c r="E47" i="3"/>
  <c r="E98" i="3"/>
  <c r="E65" i="3"/>
  <c r="E138" i="3"/>
  <c r="E195" i="3"/>
  <c r="E163" i="3"/>
  <c r="E248" i="3"/>
  <c r="E209" i="3"/>
  <c r="E266" i="3"/>
  <c r="E307" i="3"/>
  <c r="E386" i="3"/>
  <c r="E354" i="3"/>
  <c r="E584" i="3"/>
  <c r="E66" i="3"/>
  <c r="E24" i="3"/>
  <c r="E48" i="3"/>
  <c r="E87" i="3"/>
  <c r="E127" i="3"/>
  <c r="E250" i="3"/>
  <c r="E284" i="3"/>
  <c r="E341" i="3"/>
  <c r="Y6" i="3"/>
  <c r="E51" i="3"/>
  <c r="E19" i="3"/>
  <c r="E154" i="3"/>
  <c r="E179" i="3"/>
  <c r="E21" i="3"/>
  <c r="E513" i="3"/>
  <c r="E309" i="3"/>
  <c r="E283" i="3"/>
  <c r="E264" i="3"/>
  <c r="E81" i="3"/>
  <c r="E68" i="3"/>
  <c r="E355" i="3"/>
  <c r="E184" i="3"/>
  <c r="E33" i="3"/>
  <c r="E84" i="3"/>
  <c r="E492" i="3"/>
  <c r="E371" i="3"/>
  <c r="E249" i="3"/>
  <c r="E200" i="3"/>
  <c r="E160" i="3"/>
  <c r="E46" i="3"/>
  <c r="E467" i="3"/>
  <c r="E484" i="3"/>
  <c r="E480" i="3"/>
  <c r="E109" i="3"/>
  <c r="E30" i="3"/>
  <c r="E572" i="3"/>
  <c r="E334" i="3"/>
  <c r="E377" i="3"/>
  <c r="E316" i="3"/>
  <c r="E241" i="3"/>
  <c r="E192" i="3"/>
  <c r="E152" i="3"/>
  <c r="E37" i="3"/>
  <c r="E479" i="3"/>
  <c r="E491" i="3"/>
  <c r="E517" i="3"/>
  <c r="AP6" i="3"/>
  <c r="E255" i="3"/>
  <c r="E430" i="3"/>
  <c r="E466" i="3"/>
  <c r="E502" i="3"/>
  <c r="E499" i="3"/>
  <c r="E286" i="3"/>
  <c r="E253" i="3"/>
  <c r="E180" i="3"/>
  <c r="E136" i="3"/>
  <c r="E434" i="3"/>
  <c r="E314" i="3"/>
  <c r="E201" i="3"/>
  <c r="E509" i="3"/>
  <c r="E526" i="3"/>
  <c r="E16" i="6"/>
  <c r="I105" i="43"/>
  <c r="E63" i="39"/>
  <c r="J103" i="43"/>
  <c r="F109" i="43"/>
  <c r="E102" i="43"/>
  <c r="E109" i="43"/>
  <c r="E69" i="3"/>
  <c r="E237" i="3"/>
  <c r="E114" i="3"/>
  <c r="E261" i="3"/>
  <c r="E278" i="3"/>
  <c r="E304" i="3"/>
  <c r="E415" i="3"/>
  <c r="E528" i="3"/>
  <c r="E563" i="3"/>
  <c r="E565" i="3"/>
  <c r="E395" i="3"/>
  <c r="E183" i="3"/>
  <c r="E172" i="3"/>
  <c r="E213" i="3"/>
  <c r="E260" i="3"/>
  <c r="E361" i="3"/>
  <c r="E445" i="3"/>
  <c r="E17" i="3"/>
  <c r="E550" i="3"/>
  <c r="E503" i="3"/>
  <c r="E535" i="3"/>
  <c r="E302"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53" i="3"/>
  <c r="E175" i="3"/>
  <c r="E319" i="3"/>
  <c r="E530" i="3"/>
  <c r="E501" i="3"/>
  <c r="E343" i="3"/>
  <c r="E153" i="3"/>
  <c r="E305" i="3"/>
  <c r="E426" i="3"/>
  <c r="E508" i="3"/>
  <c r="E328" i="3"/>
  <c r="E388" i="3"/>
  <c r="O6" i="3"/>
  <c r="E555" i="3"/>
  <c r="E574" i="3"/>
  <c r="E410" i="3"/>
  <c r="E359" i="3"/>
  <c r="E337" i="3"/>
  <c r="E285" i="3"/>
  <c r="E143" i="3"/>
  <c r="E97" i="3"/>
  <c r="E353" i="3"/>
  <c r="E385" i="3"/>
  <c r="E495" i="3"/>
  <c r="E518" i="3"/>
  <c r="AN6" i="3"/>
  <c r="AI6" i="3"/>
  <c r="E586" i="3"/>
  <c r="E578" i="3"/>
  <c r="E402" i="3"/>
  <c r="E423" i="3"/>
  <c r="E350" i="3"/>
  <c r="E382" i="3"/>
  <c r="E303" i="3"/>
  <c r="E263" i="3"/>
  <c r="E301" i="3"/>
  <c r="E245" i="3"/>
  <c r="E159" i="3"/>
  <c r="E191" i="3"/>
  <c r="E99" i="3"/>
  <c r="E188" i="3"/>
  <c r="E148" i="3"/>
  <c r="E228" i="3"/>
  <c r="E269" i="3"/>
  <c r="E181" i="3"/>
  <c r="E122" i="3"/>
  <c r="E157" i="3"/>
  <c r="E89" i="3"/>
  <c r="E140" i="3"/>
  <c r="E12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61" i="39"/>
  <c r="E56" i="40"/>
  <c r="E60" i="40"/>
  <c r="E65" i="39"/>
  <c r="E83" i="3"/>
  <c r="E101" i="3"/>
  <c r="E22" i="3"/>
  <c r="E524" i="3"/>
  <c r="E326" i="3"/>
  <c r="E365" i="3"/>
  <c r="E308" i="3"/>
  <c r="E265" i="3"/>
  <c r="E287" i="3"/>
  <c r="E218" i="3"/>
  <c r="E158" i="3"/>
  <c r="E176" i="3"/>
  <c r="E113" i="3"/>
  <c r="E62" i="3"/>
  <c r="E80" i="3"/>
  <c r="E20" i="3"/>
  <c r="E102" i="3"/>
  <c r="E50" i="3"/>
  <c r="AF6" i="3"/>
  <c r="E364" i="3"/>
  <c r="E370" i="3"/>
  <c r="E340" i="3"/>
  <c r="E251" i="3"/>
  <c r="E289" i="3"/>
  <c r="E232" i="3"/>
  <c r="E147" i="3"/>
  <c r="E206" i="3"/>
  <c r="E123" i="3"/>
  <c r="E49" i="3"/>
  <c r="E112" i="3"/>
  <c r="E34" i="3"/>
  <c r="E36" i="3"/>
  <c r="E86" i="3"/>
  <c r="E52" i="3"/>
  <c r="E35" i="3"/>
  <c r="AQ6" i="3"/>
  <c r="E522" i="3"/>
  <c r="E392" i="3"/>
  <c r="E342" i="3"/>
  <c r="E325" i="3"/>
  <c r="E383" i="3"/>
  <c r="E339" i="3"/>
  <c r="E324" i="3"/>
  <c r="E299" i="3"/>
  <c r="E235" i="3"/>
  <c r="E219" i="3"/>
  <c r="E275" i="3"/>
  <c r="E234" i="3"/>
  <c r="E220" i="3"/>
  <c r="E194" i="3"/>
  <c r="E174" i="3"/>
  <c r="E137" i="3"/>
  <c r="E190" i="3"/>
  <c r="E170" i="3"/>
  <c r="E129" i="3"/>
  <c r="E100" i="3"/>
  <c r="E78" i="3"/>
  <c r="E38" i="3"/>
  <c r="E96" i="3"/>
  <c r="E79" i="3"/>
  <c r="E18" i="3"/>
  <c r="E455" i="3"/>
  <c r="E412" i="3"/>
  <c r="E15" i="3"/>
  <c r="E482" i="3"/>
  <c r="E473" i="3"/>
  <c r="E428" i="3"/>
  <c r="E409" i="3"/>
  <c r="E488" i="3"/>
  <c r="E75" i="3"/>
  <c r="E43" i="3"/>
  <c r="E32" i="3"/>
  <c r="E94" i="3"/>
  <c r="E93" i="3"/>
  <c r="E60" i="3"/>
  <c r="E74" i="3"/>
  <c r="E42" i="3"/>
  <c r="E31" i="3"/>
  <c r="L6" i="3"/>
  <c r="E580" i="3"/>
  <c r="AL6" i="3"/>
  <c r="E14" i="3"/>
  <c r="E372" i="3"/>
  <c r="E362" i="3"/>
  <c r="E356" i="3"/>
  <c r="E318" i="3"/>
  <c r="E333" i="3"/>
  <c r="E394" i="3"/>
  <c r="E391" i="3"/>
  <c r="E357" i="3"/>
  <c r="E346" i="3"/>
  <c r="E315" i="3"/>
  <c r="E332" i="3"/>
  <c r="E351" i="3"/>
  <c r="E276" i="3"/>
  <c r="E274" i="3"/>
  <c r="E273" i="3"/>
  <c r="E210" i="3"/>
  <c r="E295" i="3"/>
  <c r="E272" i="3"/>
  <c r="E211" i="3"/>
  <c r="E186" i="3"/>
  <c r="E166" i="3"/>
  <c r="E126" i="3"/>
  <c r="E182" i="3"/>
  <c r="E162" i="3"/>
  <c r="E121" i="3"/>
  <c r="E92" i="3"/>
  <c r="E70" i="3"/>
  <c r="E27" i="3"/>
  <c r="E88" i="3"/>
  <c r="E71" i="3"/>
  <c r="E28" i="3"/>
  <c r="E447" i="3"/>
  <c r="E404" i="3"/>
  <c r="E546" i="3"/>
  <c r="E489" i="3"/>
  <c r="E476" i="3"/>
  <c r="E444" i="3"/>
  <c r="E403" i="3"/>
  <c r="E531" i="3"/>
  <c r="AS6" i="3"/>
  <c r="E581" i="3"/>
  <c r="E547" i="3"/>
  <c r="E557" i="3"/>
  <c r="E505" i="3"/>
  <c r="E558" i="3"/>
  <c r="E367" i="3"/>
  <c r="E345" i="3"/>
  <c r="E477" i="3"/>
  <c r="E443" i="3"/>
  <c r="E432" i="3"/>
  <c r="E400" i="3"/>
  <c r="E414" i="3"/>
  <c r="P6" i="3"/>
  <c r="E548" i="3"/>
  <c r="E485" i="3"/>
  <c r="E478" i="3"/>
  <c r="E448" i="3"/>
  <c r="E411" i="3"/>
  <c r="AO6" i="3"/>
  <c r="E515" i="3"/>
  <c r="AG6" i="3"/>
  <c r="U6" i="3"/>
  <c r="Z6" i="3"/>
  <c r="E585" i="3"/>
  <c r="E576" i="3"/>
  <c r="E379" i="3"/>
  <c r="E327" i="3"/>
  <c r="E107" i="3"/>
  <c r="E164" i="3"/>
  <c r="E145" i="3"/>
  <c r="E204" i="3"/>
  <c r="E271" i="3"/>
  <c r="E252" i="3"/>
  <c r="E207" i="3"/>
  <c r="L102" i="43"/>
  <c r="E117" i="3"/>
  <c r="E161" i="3"/>
  <c r="E290" i="3"/>
  <c r="E135" i="3"/>
  <c r="E156" i="3"/>
  <c r="E196" i="3"/>
  <c r="E244" i="3"/>
  <c r="E368" i="3"/>
  <c r="E453" i="3"/>
  <c r="E549" i="3"/>
  <c r="E536" i="3"/>
  <c r="I6" i="3"/>
  <c r="E568" i="3"/>
  <c r="E397" i="3"/>
  <c r="E151" i="3"/>
  <c r="E229" i="3"/>
  <c r="E396" i="3"/>
  <c r="E569" i="3"/>
  <c r="E516" i="3"/>
  <c r="E239" i="3"/>
  <c r="N6" i="3"/>
  <c r="E282" i="3"/>
  <c r="E553" i="3"/>
  <c r="E366" i="3"/>
  <c r="E125" i="3"/>
  <c r="E62" i="39"/>
  <c r="E57" i="40"/>
  <c r="D102" i="43"/>
  <c r="D105" i="43"/>
  <c r="I104" i="43"/>
  <c r="M105" i="43"/>
  <c r="D107" i="43"/>
  <c r="D104" i="43"/>
  <c r="D103" i="43"/>
  <c r="I107" i="43"/>
  <c r="M107" i="43"/>
  <c r="L104" i="43"/>
  <c r="L105" i="43"/>
  <c r="H106" i="43"/>
  <c r="E107" i="43"/>
  <c r="D22" i="43"/>
  <c r="L103" i="43"/>
  <c r="L107" i="43"/>
  <c r="L106" i="43"/>
  <c r="H105" i="43"/>
  <c r="H107" i="43"/>
  <c r="E105" i="43"/>
  <c r="E104" i="43"/>
  <c r="I103" i="43"/>
  <c r="I106" i="43"/>
  <c r="I102" i="43"/>
  <c r="M103" i="43"/>
  <c r="M106" i="43"/>
  <c r="M102" i="43"/>
  <c r="H109" i="43"/>
  <c r="K19" i="6"/>
  <c r="S6" i="1" s="1"/>
  <c r="AQ6" i="1" s="1"/>
  <c r="H104" i="43"/>
  <c r="H103" i="43"/>
  <c r="E103" i="43"/>
  <c r="E106" i="43"/>
  <c r="K23" i="6"/>
  <c r="K26" i="6"/>
  <c r="M26" i="6" s="1"/>
  <c r="I26" i="6" s="1"/>
  <c r="S26" i="6" s="1"/>
  <c r="E31" i="6"/>
  <c r="K25" i="6"/>
  <c r="K22" i="6"/>
  <c r="K21" i="6"/>
  <c r="K24" i="6"/>
  <c r="J109" i="43"/>
  <c r="J105" i="43"/>
  <c r="J102" i="43"/>
  <c r="J106" i="43"/>
  <c r="D113" i="43"/>
  <c r="J22" i="43" s="1"/>
  <c r="G103" i="43"/>
  <c r="J107" i="43"/>
  <c r="G105" i="43"/>
  <c r="G104" i="43"/>
  <c r="G106" i="43"/>
  <c r="G102" i="43"/>
  <c r="G109" i="43"/>
  <c r="N103" i="43"/>
  <c r="K104" i="43"/>
  <c r="K106" i="43"/>
  <c r="N102" i="43"/>
  <c r="N105" i="43"/>
  <c r="N107" i="43"/>
  <c r="N106" i="43"/>
  <c r="K107" i="43"/>
  <c r="N104" i="43"/>
  <c r="C104" i="43"/>
  <c r="C106" i="43"/>
  <c r="C107" i="43"/>
  <c r="C103" i="43"/>
  <c r="C109" i="43"/>
  <c r="K103" i="43"/>
  <c r="K102" i="43"/>
  <c r="K105" i="43"/>
  <c r="F104" i="43"/>
  <c r="F102" i="43"/>
  <c r="F103" i="43"/>
  <c r="F107" i="43"/>
  <c r="F105" i="43"/>
  <c r="M20" i="6"/>
  <c r="I20" i="6" s="1"/>
  <c r="S20" i="6" s="1"/>
  <c r="AQ7" i="1"/>
  <c r="E3" i="6"/>
  <c r="D3" i="34" s="1"/>
  <c r="K16" i="1"/>
  <c r="T7" i="1"/>
  <c r="AR7" i="1"/>
  <c r="L59" i="15"/>
  <c r="Q74" i="15" s="1"/>
  <c r="C30" i="11"/>
  <c r="A18" i="62"/>
  <c r="B64" i="72" s="1"/>
  <c r="C33" i="43"/>
  <c r="G33" i="43" s="1"/>
  <c r="I33" i="43" s="1"/>
  <c r="C36" i="43"/>
  <c r="E36" i="43" s="1"/>
  <c r="C34" i="43"/>
  <c r="C35"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5" i="33"/>
  <c r="AC25" i="33"/>
  <c r="AA23" i="33"/>
  <c r="S23" i="33"/>
  <c r="AB19" i="33"/>
  <c r="U19" i="33"/>
  <c r="AA17" i="33"/>
  <c r="S17" i="33"/>
  <c r="U17" i="33"/>
  <c r="AB17" i="33"/>
  <c r="U23" i="21"/>
  <c r="AB23" i="21"/>
  <c r="AC23" i="21"/>
  <c r="W23" i="21"/>
  <c r="J6" i="67"/>
  <c r="J6" i="15"/>
  <c r="F7" i="36"/>
  <c r="S7" i="36" s="1"/>
  <c r="H7" i="37"/>
  <c r="U7" i="37" s="1"/>
  <c r="J10" i="15"/>
  <c r="C5" i="15"/>
  <c r="C32" i="15" s="1"/>
  <c r="C47" i="69"/>
  <c r="D45" i="69" s="1"/>
  <c r="C29" i="69"/>
  <c r="D27" i="69" s="1"/>
  <c r="F27" i="68"/>
  <c r="C29" i="68" s="1"/>
  <c r="D27" i="68" s="1"/>
  <c r="F28" i="12"/>
  <c r="C29" i="12" s="1"/>
  <c r="D28" i="12" s="1"/>
  <c r="P7" i="1"/>
  <c r="C38" i="43"/>
  <c r="G38" i="43" s="1"/>
  <c r="I38" i="43" s="1"/>
  <c r="F24" i="15"/>
  <c r="C24" i="15" s="1"/>
  <c r="F22" i="11"/>
  <c r="F25" i="12"/>
  <c r="F22" i="69"/>
  <c r="F24" i="67"/>
  <c r="C24" i="67" s="1"/>
  <c r="F22" i="68"/>
  <c r="T11" i="43"/>
  <c r="V11" i="43" s="1"/>
  <c r="T16" i="43"/>
  <c r="V16" i="43" s="1"/>
  <c r="T14" i="43"/>
  <c r="V14" i="43" s="1"/>
  <c r="T12" i="43"/>
  <c r="V12" i="43" s="1"/>
  <c r="T9" i="43"/>
  <c r="V9" i="43" s="1"/>
  <c r="T8" i="43"/>
  <c r="V8" i="43" s="1"/>
  <c r="T15" i="43"/>
  <c r="V15" i="43" s="1"/>
  <c r="T13" i="43"/>
  <c r="V13" i="43" s="1"/>
  <c r="T10" i="43"/>
  <c r="V10" i="43" s="1"/>
  <c r="F1" i="15"/>
  <c r="Q52" i="15"/>
  <c r="C39" i="43"/>
  <c r="E39" i="43" s="1"/>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 i="68"/>
  <c r="C53" i="15"/>
  <c r="J10" i="67"/>
  <c r="C53" i="67"/>
  <c r="C5" i="67"/>
  <c r="C32" i="67" s="1"/>
  <c r="F10" i="40"/>
  <c r="AA10" i="40" s="1"/>
  <c r="H10" i="39"/>
  <c r="J10" i="39"/>
  <c r="C49" i="15"/>
  <c r="Q60" i="15"/>
  <c r="M16" i="1"/>
  <c r="N16" i="1" s="1"/>
  <c r="Q60" i="67"/>
  <c r="Q73" i="67"/>
  <c r="F27" i="11"/>
  <c r="Q61" i="67"/>
  <c r="Q74" i="67"/>
  <c r="C49" i="67"/>
  <c r="F1" i="67"/>
  <c r="Q52" i="67"/>
  <c r="AE12" i="1"/>
  <c r="AE11" i="1"/>
  <c r="AE9" i="1"/>
  <c r="C16" i="91"/>
  <c r="C16" i="90"/>
  <c r="C16" i="92"/>
  <c r="C14" i="90"/>
  <c r="C66" i="92" l="1"/>
  <c r="C60" i="92"/>
  <c r="C5" i="92"/>
  <c r="C66" i="91"/>
  <c r="C60" i="91"/>
  <c r="C32" i="93"/>
  <c r="AY290" i="3"/>
  <c r="AY405" i="3"/>
  <c r="BK6" i="3"/>
  <c r="AY369" i="3"/>
  <c r="AY459" i="3"/>
  <c r="BF6" i="3"/>
  <c r="AY335" i="3"/>
  <c r="AY531" i="3"/>
  <c r="AY294" i="3"/>
  <c r="AY159" i="3"/>
  <c r="AY410" i="3"/>
  <c r="AY488" i="3"/>
  <c r="AY28" i="3"/>
  <c r="AY188" i="3"/>
  <c r="AY280" i="3"/>
  <c r="AY80" i="3"/>
  <c r="AY554" i="3"/>
  <c r="AY228" i="3"/>
  <c r="AY504" i="3"/>
  <c r="AY86" i="3"/>
  <c r="AY35" i="3"/>
  <c r="AY487" i="3"/>
  <c r="AY584" i="3"/>
  <c r="AY349" i="3"/>
  <c r="AY214" i="3"/>
  <c r="AY108" i="3"/>
  <c r="AY409" i="3"/>
  <c r="AY176" i="3"/>
  <c r="AY213" i="3"/>
  <c r="AY331" i="3"/>
  <c r="D3" i="6"/>
  <c r="M19" i="9" s="1"/>
  <c r="C118" i="9" s="1"/>
  <c r="C14" i="74" s="1"/>
  <c r="B2" i="74" s="1"/>
  <c r="AY129" i="3"/>
  <c r="AY427" i="3"/>
  <c r="AY24" i="3"/>
  <c r="AY138" i="3"/>
  <c r="AY465" i="3"/>
  <c r="AY297" i="3"/>
  <c r="AY277" i="3"/>
  <c r="AY560" i="3"/>
  <c r="AY232" i="3"/>
  <c r="AY156" i="3"/>
  <c r="AY565" i="3"/>
  <c r="AY407" i="3"/>
  <c r="AY329" i="3"/>
  <c r="AY194" i="3"/>
  <c r="AY495" i="3"/>
  <c r="AY462" i="3"/>
  <c r="AY242" i="3"/>
  <c r="AY109" i="3"/>
  <c r="AY247" i="3"/>
  <c r="AY190" i="3"/>
  <c r="AY420" i="3"/>
  <c r="AY26" i="3"/>
  <c r="AY236" i="3"/>
  <c r="AY124" i="3"/>
  <c r="AY429" i="3"/>
  <c r="AY354" i="3"/>
  <c r="AY38" i="3"/>
  <c r="AY469" i="3"/>
  <c r="AY99" i="3"/>
  <c r="AY468" i="3"/>
  <c r="AY251" i="3"/>
  <c r="AY582" i="3"/>
  <c r="BQ6" i="3"/>
  <c r="AY348" i="3"/>
  <c r="AY166" i="3"/>
  <c r="AY397" i="3"/>
  <c r="AY133" i="3"/>
  <c r="AY61" i="3"/>
  <c r="AY533" i="3"/>
  <c r="AY372" i="3"/>
  <c r="AY473" i="3"/>
  <c r="AY281" i="3"/>
  <c r="AY51" i="3"/>
  <c r="AY550" i="3"/>
  <c r="AY323" i="3"/>
  <c r="AY273" i="3"/>
  <c r="AY27" i="3"/>
  <c r="AY512" i="3"/>
  <c r="AY466" i="3"/>
  <c r="AY221" i="3"/>
  <c r="AY167" i="3"/>
  <c r="AY94" i="3"/>
  <c r="AY509" i="3"/>
  <c r="AY579" i="3"/>
  <c r="AY453" i="3"/>
  <c r="AY313" i="3"/>
  <c r="AY266" i="3"/>
  <c r="AY189" i="3"/>
  <c r="AY519" i="3"/>
  <c r="AY510" i="3"/>
  <c r="BM6" i="3"/>
  <c r="AY446" i="3"/>
  <c r="AY332" i="3"/>
  <c r="AY210" i="3"/>
  <c r="AY177" i="3"/>
  <c r="AY104" i="3"/>
  <c r="AY381" i="3"/>
  <c r="AY231" i="3"/>
  <c r="AY118" i="3"/>
  <c r="AY201" i="3"/>
  <c r="AY45" i="3"/>
  <c r="AY541" i="3"/>
  <c r="AY433" i="3"/>
  <c r="AY358" i="3"/>
  <c r="AY180" i="3"/>
  <c r="AY470" i="3"/>
  <c r="AY225" i="3"/>
  <c r="AY276" i="3"/>
  <c r="AY115" i="3"/>
  <c r="AY66" i="3"/>
  <c r="AY511" i="3"/>
  <c r="AY490" i="3"/>
  <c r="AY224" i="3"/>
  <c r="AY148" i="3"/>
  <c r="AY91" i="3"/>
  <c r="AY437" i="3"/>
  <c r="AY362" i="3"/>
  <c r="AY285" i="3"/>
  <c r="AY46" i="3"/>
  <c r="AY570" i="3"/>
  <c r="AY14" i="3"/>
  <c r="AY426" i="3"/>
  <c r="AY312" i="3"/>
  <c r="AY380" i="3"/>
  <c r="AY137" i="3"/>
  <c r="AY65" i="3"/>
  <c r="AY501" i="3"/>
  <c r="AY534" i="3"/>
  <c r="AY398" i="3"/>
  <c r="AY475" i="3"/>
  <c r="AY353" i="3"/>
  <c r="AY295" i="3"/>
  <c r="AY56" i="3"/>
  <c r="AY360" i="3"/>
  <c r="AY230" i="3"/>
  <c r="AY283" i="3"/>
  <c r="AY154" i="3"/>
  <c r="AY44" i="3"/>
  <c r="AY97" i="3"/>
  <c r="AY549" i="3"/>
  <c r="AY310" i="3"/>
  <c r="AY260" i="3"/>
  <c r="AY441" i="3"/>
  <c r="AY366" i="3"/>
  <c r="AY168" i="3"/>
  <c r="AY42" i="3"/>
  <c r="AY207" i="3"/>
  <c r="AY586" i="3"/>
  <c r="BD6" i="3"/>
  <c r="AY448" i="3"/>
  <c r="AY338" i="3"/>
  <c r="AY391" i="3"/>
  <c r="AY241" i="3"/>
  <c r="AY128" i="3"/>
  <c r="AY184" i="3"/>
  <c r="AY55" i="3"/>
  <c r="BL6" i="3"/>
  <c r="AY558" i="3"/>
  <c r="AY456" i="3"/>
  <c r="AY346" i="3"/>
  <c r="AY378" i="3"/>
  <c r="AY249" i="3"/>
  <c r="AY135" i="3"/>
  <c r="AY192" i="3"/>
  <c r="AY63" i="3"/>
  <c r="AY578" i="3"/>
  <c r="AY542" i="3"/>
  <c r="AY524" i="3"/>
  <c r="AY506" i="3"/>
  <c r="AY439" i="3"/>
  <c r="AY458" i="3"/>
  <c r="AY471" i="3"/>
  <c r="AY344" i="3"/>
  <c r="AY364" i="3"/>
  <c r="AY234" i="3"/>
  <c r="AY287" i="3"/>
  <c r="AY158" i="3"/>
  <c r="AY48" i="3"/>
  <c r="AY101" i="3"/>
  <c r="AY494" i="3"/>
  <c r="BG6" i="3"/>
  <c r="AY571" i="3"/>
  <c r="AY585" i="3"/>
  <c r="AY411" i="3"/>
  <c r="AY430" i="3"/>
  <c r="AY472" i="3"/>
  <c r="AY316" i="3"/>
  <c r="AY333" i="3"/>
  <c r="AY388" i="3"/>
  <c r="AY259" i="3"/>
  <c r="AY145" i="3"/>
  <c r="AY202" i="3"/>
  <c r="AY73" i="3"/>
  <c r="BH6" i="3"/>
  <c r="AY374" i="3"/>
  <c r="AY219" i="3"/>
  <c r="AY262" i="3"/>
  <c r="AY278" i="3"/>
  <c r="AY125" i="3"/>
  <c r="AY165" i="3"/>
  <c r="AY185" i="3"/>
  <c r="AY33" i="3"/>
  <c r="AY76" i="3"/>
  <c r="AY92" i="3"/>
  <c r="BE6" i="3"/>
  <c r="AY544" i="3"/>
  <c r="AY401" i="3"/>
  <c r="AY463" i="3"/>
  <c r="AY327" i="3"/>
  <c r="AY217" i="3"/>
  <c r="AY300" i="3"/>
  <c r="AY529" i="3"/>
  <c r="AY460" i="3"/>
  <c r="AY303" i="3"/>
  <c r="AY382" i="3"/>
  <c r="AY253" i="3"/>
  <c r="AY111" i="3"/>
  <c r="AY152" i="3"/>
  <c r="AY95" i="3"/>
  <c r="AY144" i="3"/>
  <c r="AY34" i="3"/>
  <c r="AY87" i="3"/>
  <c r="AY498" i="3"/>
  <c r="BC6" i="3"/>
  <c r="AY416" i="3"/>
  <c r="AY306" i="3"/>
  <c r="AY367" i="3"/>
  <c r="AY256" i="3"/>
  <c r="AY119" i="3"/>
  <c r="AY179" i="3"/>
  <c r="AY70" i="3"/>
  <c r="AY587" i="3"/>
  <c r="AY517" i="3"/>
  <c r="AY424" i="3"/>
  <c r="AY314" i="3"/>
  <c r="AY376" i="3"/>
  <c r="AY264" i="3"/>
  <c r="AY127" i="3"/>
  <c r="AY187" i="3"/>
  <c r="AY78" i="3"/>
  <c r="BA6" i="3"/>
  <c r="BR6" i="3"/>
  <c r="AY502" i="3"/>
  <c r="AY499" i="3"/>
  <c r="AY423" i="3"/>
  <c r="AY442" i="3"/>
  <c r="AY484" i="3"/>
  <c r="AY328" i="3"/>
  <c r="AY345" i="3"/>
  <c r="AY223" i="3"/>
  <c r="AY282" i="3"/>
  <c r="AY169" i="3"/>
  <c r="AY37" i="3"/>
  <c r="AY96" i="3"/>
  <c r="AY514" i="3"/>
  <c r="AY16" i="3"/>
  <c r="AY546" i="3"/>
  <c r="AY561" i="3"/>
  <c r="AY581" i="3"/>
  <c r="AY414" i="3"/>
  <c r="AY457" i="3"/>
  <c r="AY491" i="3"/>
  <c r="AY317" i="3"/>
  <c r="AY377" i="3"/>
  <c r="AY274" i="3"/>
  <c r="AY114" i="3"/>
  <c r="AY197" i="3"/>
  <c r="AY41" i="3"/>
  <c r="BJ6" i="3"/>
  <c r="AY357" i="3"/>
  <c r="AY392" i="3"/>
  <c r="AY246" i="3"/>
  <c r="AY263" i="3"/>
  <c r="AY299" i="3"/>
  <c r="AY149" i="3"/>
  <c r="AY170" i="3"/>
  <c r="AY206" i="3"/>
  <c r="AY60" i="3"/>
  <c r="AY77" i="3"/>
  <c r="AY553" i="3"/>
  <c r="AY569" i="3"/>
  <c r="AY513" i="3"/>
  <c r="AY452" i="3"/>
  <c r="AY342" i="3"/>
  <c r="AY395" i="3"/>
  <c r="AY245" i="3"/>
  <c r="AY106" i="3"/>
  <c r="AY428" i="3"/>
  <c r="AY318" i="3"/>
  <c r="AY371" i="3"/>
  <c r="AY268" i="3"/>
  <c r="AY58" i="3"/>
  <c r="AY131" i="3"/>
  <c r="AY59" i="3"/>
  <c r="AY155" i="3"/>
  <c r="AY23" i="3"/>
  <c r="AY83" i="3"/>
  <c r="BT6" i="3"/>
  <c r="AY566" i="3"/>
  <c r="AY521" i="3"/>
  <c r="AY400" i="3"/>
  <c r="AY443" i="3"/>
  <c r="AY477" i="3"/>
  <c r="AY307" i="3"/>
  <c r="AY351" i="3"/>
  <c r="AY386" i="3"/>
  <c r="AY240" i="3"/>
  <c r="AY257" i="3"/>
  <c r="AY293" i="3"/>
  <c r="AY143" i="3"/>
  <c r="AY164" i="3"/>
  <c r="AY200" i="3"/>
  <c r="AY54" i="3"/>
  <c r="AY71" i="3"/>
  <c r="AY107" i="3"/>
  <c r="AY568" i="3"/>
  <c r="AY547" i="3"/>
  <c r="AY500" i="3"/>
  <c r="AY408" i="3"/>
  <c r="AY451" i="3"/>
  <c r="AY485" i="3"/>
  <c r="AY315" i="3"/>
  <c r="AY359" i="3"/>
  <c r="AY394" i="3"/>
  <c r="AY248" i="3"/>
  <c r="AY265" i="3"/>
  <c r="AY301" i="3"/>
  <c r="AY151" i="3"/>
  <c r="AY172" i="3"/>
  <c r="AY19" i="3"/>
  <c r="AY62" i="3"/>
  <c r="AY79" i="3"/>
  <c r="AY493" i="3"/>
  <c r="BP6" i="3"/>
  <c r="AY545" i="3"/>
  <c r="AY551" i="3"/>
  <c r="AY515" i="3"/>
  <c r="AY522" i="3"/>
  <c r="AY538" i="3"/>
  <c r="AY505" i="3"/>
  <c r="AY415" i="3"/>
  <c r="AY402" i="3"/>
  <c r="AY434" i="3"/>
  <c r="AY445" i="3"/>
  <c r="AY476" i="3"/>
  <c r="AY479" i="3"/>
  <c r="AY320" i="3"/>
  <c r="AY305" i="3"/>
  <c r="AY337" i="3"/>
  <c r="AY361" i="3"/>
  <c r="AY396" i="3"/>
  <c r="AY250" i="3"/>
  <c r="AY267" i="3"/>
  <c r="AY113" i="3"/>
  <c r="AY153" i="3"/>
  <c r="AY174" i="3"/>
  <c r="AY21" i="3"/>
  <c r="AY64" i="3"/>
  <c r="AY81" i="3"/>
  <c r="AY523" i="3"/>
  <c r="AY496" i="3"/>
  <c r="AY532" i="3"/>
  <c r="AY543" i="3"/>
  <c r="AY552" i="3"/>
  <c r="AY520" i="3"/>
  <c r="AY536" i="3"/>
  <c r="AY572" i="3"/>
  <c r="AY580" i="3"/>
  <c r="AY503" i="3"/>
  <c r="AY419" i="3"/>
  <c r="AY406" i="3"/>
  <c r="AY438" i="3"/>
  <c r="AY449" i="3"/>
  <c r="AY480" i="3"/>
  <c r="AY483" i="3"/>
  <c r="AY324" i="3"/>
  <c r="AY309" i="3"/>
  <c r="AY341" i="3"/>
  <c r="AY370" i="3"/>
  <c r="AY215" i="3"/>
  <c r="AY258" i="3"/>
  <c r="AY275" i="3"/>
  <c r="AY121" i="3"/>
  <c r="AY161" i="3"/>
  <c r="AY181" i="3"/>
  <c r="AY29" i="3"/>
  <c r="AY72" i="3"/>
  <c r="AY88" i="3"/>
  <c r="BB6" i="3"/>
  <c r="AY507" i="3"/>
  <c r="AY368" i="3"/>
  <c r="AY373" i="3"/>
  <c r="AY384" i="3"/>
  <c r="AY227" i="3"/>
  <c r="AY238" i="3"/>
  <c r="AY270" i="3"/>
  <c r="AY255" i="3"/>
  <c r="AY286" i="3"/>
  <c r="AY291" i="3"/>
  <c r="AY134" i="3"/>
  <c r="AY141" i="3"/>
  <c r="AY173" i="3"/>
  <c r="AY162" i="3"/>
  <c r="AY193" i="3"/>
  <c r="AY198" i="3"/>
  <c r="AY20" i="3"/>
  <c r="AY52" i="3"/>
  <c r="AY84" i="3"/>
  <c r="AY69" i="3"/>
  <c r="AY100" i="3"/>
  <c r="AY105" i="3"/>
  <c r="AY539" i="3"/>
  <c r="AY540" i="3"/>
  <c r="AY573" i="3"/>
  <c r="AY557" i="3"/>
  <c r="AY417" i="3"/>
  <c r="AY436" i="3"/>
  <c r="AY478" i="3"/>
  <c r="AY326" i="3"/>
  <c r="AY343" i="3"/>
  <c r="AY379" i="3"/>
  <c r="AY212" i="3"/>
  <c r="AY229" i="3"/>
  <c r="AY116" i="3"/>
  <c r="AY43" i="3"/>
  <c r="AY497" i="3"/>
  <c r="AY412" i="3"/>
  <c r="AY455" i="3"/>
  <c r="AY489" i="3"/>
  <c r="AY319" i="3"/>
  <c r="AY363" i="3"/>
  <c r="AY209" i="3"/>
  <c r="AY252" i="3"/>
  <c r="AY284" i="3"/>
  <c r="AY204" i="3"/>
  <c r="AY261" i="3"/>
  <c r="AY123" i="3"/>
  <c r="AY183" i="3"/>
  <c r="AY74" i="3"/>
  <c r="AY289" i="3"/>
  <c r="AY139" i="3"/>
  <c r="AY160" i="3"/>
  <c r="AY196" i="3"/>
  <c r="AY50" i="3"/>
  <c r="AY67" i="3"/>
  <c r="AY103" i="3"/>
  <c r="H6" i="3"/>
  <c r="AY567" i="3"/>
  <c r="AY583" i="3"/>
  <c r="AY15" i="3"/>
  <c r="AY413" i="3"/>
  <c r="AY432" i="3"/>
  <c r="AY474" i="3"/>
  <c r="AY322" i="3"/>
  <c r="AY339" i="3"/>
  <c r="AY375" i="3"/>
  <c r="AY208" i="3"/>
  <c r="AY272" i="3"/>
  <c r="AY288" i="3"/>
  <c r="AY136" i="3"/>
  <c r="AY175" i="3"/>
  <c r="AY195" i="3"/>
  <c r="AY22" i="3"/>
  <c r="AY39" i="3"/>
  <c r="AY102" i="3"/>
  <c r="AY576" i="3"/>
  <c r="AY528" i="3"/>
  <c r="AY13" i="3"/>
  <c r="AY421" i="3"/>
  <c r="AY440" i="3"/>
  <c r="AY482" i="3"/>
  <c r="AY330" i="3"/>
  <c r="AY347" i="3"/>
  <c r="AY383" i="3"/>
  <c r="AY216" i="3"/>
  <c r="AY233" i="3"/>
  <c r="AY296" i="3"/>
  <c r="AY120" i="3"/>
  <c r="AY140" i="3"/>
  <c r="AY203" i="3"/>
  <c r="AY30" i="3"/>
  <c r="AY47" i="3"/>
  <c r="AY110" i="3"/>
  <c r="AY563" i="3"/>
  <c r="AY548" i="3"/>
  <c r="AY530" i="3"/>
  <c r="AY537" i="3"/>
  <c r="AY575" i="3"/>
  <c r="AY564" i="3"/>
  <c r="AY17" i="3"/>
  <c r="AY399" i="3"/>
  <c r="AY431" i="3"/>
  <c r="AY418" i="3"/>
  <c r="AY450" i="3"/>
  <c r="AY461" i="3"/>
  <c r="AY492" i="3"/>
  <c r="AY304" i="3"/>
  <c r="AY336" i="3"/>
  <c r="AY321" i="3"/>
  <c r="AY352" i="3"/>
  <c r="AY385" i="3"/>
  <c r="AY218" i="3"/>
  <c r="AY235" i="3"/>
  <c r="AY298" i="3"/>
  <c r="AY122" i="3"/>
  <c r="AY142" i="3"/>
  <c r="AY205" i="3"/>
  <c r="AY32" i="3"/>
  <c r="AY49" i="3"/>
  <c r="AY112" i="3"/>
  <c r="AY577" i="3"/>
  <c r="AY556" i="3"/>
  <c r="AY508" i="3"/>
  <c r="AY559" i="3"/>
  <c r="AY518" i="3"/>
  <c r="AY527" i="3"/>
  <c r="BN6" i="3"/>
  <c r="AY516" i="3"/>
  <c r="AY525" i="3"/>
  <c r="AY403" i="3"/>
  <c r="AY435" i="3"/>
  <c r="AY422" i="3"/>
  <c r="AY454" i="3"/>
  <c r="AY464" i="3"/>
  <c r="AY467" i="3"/>
  <c r="AY308" i="3"/>
  <c r="AY340" i="3"/>
  <c r="AY325" i="3"/>
  <c r="AY356" i="3"/>
  <c r="AY393" i="3"/>
  <c r="AY226" i="3"/>
  <c r="AY243" i="3"/>
  <c r="AY279" i="3"/>
  <c r="AY130" i="3"/>
  <c r="AY150" i="3"/>
  <c r="AY186" i="3"/>
  <c r="AY40" i="3"/>
  <c r="AY57" i="3"/>
  <c r="AY93" i="3"/>
  <c r="BI6" i="3"/>
  <c r="BS6" i="3"/>
  <c r="AY365" i="3"/>
  <c r="AY389" i="3"/>
  <c r="AY211" i="3"/>
  <c r="AY222" i="3"/>
  <c r="AY254" i="3"/>
  <c r="AY239" i="3"/>
  <c r="AY271" i="3"/>
  <c r="AY302" i="3"/>
  <c r="AY117" i="3"/>
  <c r="AY126" i="3"/>
  <c r="AY157" i="3"/>
  <c r="AY146" i="3"/>
  <c r="AY178" i="3"/>
  <c r="AY182" i="3"/>
  <c r="AY25" i="3"/>
  <c r="AY36" i="3"/>
  <c r="AY68" i="3"/>
  <c r="AY53" i="3"/>
  <c r="AY85" i="3"/>
  <c r="AY89" i="3"/>
  <c r="AY555" i="3"/>
  <c r="BO6" i="3"/>
  <c r="AY574" i="3"/>
  <c r="AY562" i="3"/>
  <c r="AY535" i="3"/>
  <c r="AY404" i="3"/>
  <c r="AY447" i="3"/>
  <c r="AY481" i="3"/>
  <c r="AY311" i="3"/>
  <c r="AY355" i="3"/>
  <c r="AY390" i="3"/>
  <c r="AY244" i="3"/>
  <c r="AY269" i="3"/>
  <c r="AY199" i="3"/>
  <c r="AY526" i="3"/>
  <c r="AY425" i="3"/>
  <c r="AY444" i="3"/>
  <c r="AY486" i="3"/>
  <c r="AY334" i="3"/>
  <c r="AY350" i="3"/>
  <c r="AY387" i="3"/>
  <c r="AY220" i="3"/>
  <c r="AY237" i="3"/>
  <c r="AY147" i="3"/>
  <c r="AY75" i="3"/>
  <c r="AY292" i="3"/>
  <c r="AY163" i="3"/>
  <c r="AY31" i="3"/>
  <c r="AY90" i="3"/>
  <c r="AY132" i="3"/>
  <c r="AY171" i="3"/>
  <c r="AY191" i="3"/>
  <c r="AY18" i="3"/>
  <c r="AY82" i="3"/>
  <c r="C32" i="94"/>
  <c r="AC27" i="33"/>
  <c r="E66" i="39"/>
  <c r="J26" i="91"/>
  <c r="J24" i="91"/>
  <c r="C60" i="93"/>
  <c r="C32" i="90"/>
  <c r="C66" i="94"/>
  <c r="C60" i="94"/>
  <c r="J5" i="90"/>
  <c r="J24" i="90" s="1"/>
  <c r="J5" i="94"/>
  <c r="J26" i="94" s="1"/>
  <c r="C18" i="90"/>
  <c r="C15" i="90"/>
  <c r="J5" i="93"/>
  <c r="J26" i="93" s="1"/>
  <c r="J26" i="92"/>
  <c r="J24" i="92"/>
  <c r="J18" i="92"/>
  <c r="S6" i="43"/>
  <c r="T6" i="43" s="1"/>
  <c r="V6" i="43" s="1"/>
  <c r="S4" i="43"/>
  <c r="T4" i="43" s="1"/>
  <c r="V4" i="43" s="1"/>
  <c r="S7" i="43"/>
  <c r="T7" i="43" s="1"/>
  <c r="V7" i="43" s="1"/>
  <c r="S5" i="43"/>
  <c r="T5" i="43" s="1"/>
  <c r="V5" i="43" s="1"/>
  <c r="S3" i="43"/>
  <c r="T3" i="43" s="1"/>
  <c r="V3" i="43" s="1"/>
  <c r="S2" i="43"/>
  <c r="T2" i="43" s="1"/>
  <c r="V2" i="43" s="1"/>
  <c r="C23" i="43"/>
  <c r="C21" i="43" s="1"/>
  <c r="C29" i="43" s="1"/>
  <c r="E29" i="43" s="1"/>
  <c r="C24" i="93"/>
  <c r="C24" i="91"/>
  <c r="AC6" i="3"/>
  <c r="K27" i="6"/>
  <c r="T6" i="1"/>
  <c r="D37" i="11"/>
  <c r="AR6" i="1"/>
  <c r="E6" i="70"/>
  <c r="M19" i="6"/>
  <c r="I19" i="6" s="1"/>
  <c r="M21" i="6"/>
  <c r="I21" i="6" s="1"/>
  <c r="S21" i="6" s="1"/>
  <c r="S8" i="1"/>
  <c r="M25" i="6"/>
  <c r="I25" i="6" s="1"/>
  <c r="S25" i="6" s="1"/>
  <c r="S12" i="1"/>
  <c r="M24" i="6"/>
  <c r="I24" i="6" s="1"/>
  <c r="S24" i="6" s="1"/>
  <c r="S11" i="1"/>
  <c r="M22" i="6"/>
  <c r="I22" i="6" s="1"/>
  <c r="S22" i="6" s="1"/>
  <c r="S9" i="1"/>
  <c r="M23" i="6"/>
  <c r="I23" i="6" s="1"/>
  <c r="S23" i="6" s="1"/>
  <c r="S10" i="1"/>
  <c r="M18" i="9"/>
  <c r="B118" i="9" s="1"/>
  <c r="B14" i="74" s="1"/>
  <c r="B1" i="74" s="1"/>
  <c r="D14" i="12"/>
  <c r="D17" i="12" s="1"/>
  <c r="C17" i="12" s="1"/>
  <c r="D19" i="11"/>
  <c r="C19" i="11" s="1"/>
  <c r="C20" i="11" s="1"/>
  <c r="C25" i="11" s="1"/>
  <c r="D3" i="21"/>
  <c r="D3" i="37"/>
  <c r="L18" i="9"/>
  <c r="C17" i="4"/>
  <c r="B4" i="52" s="1"/>
  <c r="B43" i="72" s="1"/>
  <c r="E6" i="6"/>
  <c r="D10" i="11" s="1"/>
  <c r="C10" i="11" s="1"/>
  <c r="D3" i="33"/>
  <c r="Q61" i="15"/>
  <c r="E37" i="43"/>
  <c r="AA7" i="36"/>
  <c r="R36" i="36" s="1"/>
  <c r="E36" i="36" s="1"/>
  <c r="E40" i="36" s="1"/>
  <c r="F40" i="36" s="1"/>
  <c r="AC11" i="37"/>
  <c r="W11" i="37"/>
  <c r="AB7" i="37"/>
  <c r="T42" i="37" s="1"/>
  <c r="G42" i="37" s="1"/>
  <c r="G46" i="37" s="1"/>
  <c r="H46" i="37" s="1"/>
  <c r="W11" i="34"/>
  <c r="AC11" i="34"/>
  <c r="J5" i="67"/>
  <c r="J5" i="15"/>
  <c r="H20" i="6"/>
  <c r="AB7" i="36"/>
  <c r="T36" i="36" s="1"/>
  <c r="C23" i="68"/>
  <c r="C38" i="15"/>
  <c r="E38" i="43"/>
  <c r="C47" i="68"/>
  <c r="D45" i="68" s="1"/>
  <c r="AA10" i="39"/>
  <c r="C13" i="12"/>
  <c r="P16" i="1"/>
  <c r="C11" i="12" s="1"/>
  <c r="C26" i="12"/>
  <c r="D25" i="12" s="1"/>
  <c r="F34" i="11"/>
  <c r="F11" i="12"/>
  <c r="F34" i="68"/>
  <c r="C36" i="68" s="1"/>
  <c r="AC10" i="40"/>
  <c r="C26" i="68"/>
  <c r="D22" i="68" s="1"/>
  <c r="C44" i="68"/>
  <c r="D41" i="68" s="1"/>
  <c r="C26" i="69"/>
  <c r="D22" i="69" s="1"/>
  <c r="C44" i="69"/>
  <c r="D41" i="69" s="1"/>
  <c r="C26" i="11"/>
  <c r="D22" i="11" s="1"/>
  <c r="C44" i="11"/>
  <c r="D41" i="11" s="1"/>
  <c r="C23" i="11"/>
  <c r="E33" i="43"/>
  <c r="G35" i="43"/>
  <c r="I35" i="43" s="1"/>
  <c r="E35"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E70" i="39"/>
  <c r="F70" i="39"/>
  <c r="S10" i="40"/>
  <c r="C38" i="67"/>
  <c r="W10" i="39"/>
  <c r="AC10" i="39"/>
  <c r="U10" i="39"/>
  <c r="AB10" i="39"/>
  <c r="F50" i="11"/>
  <c r="F50" i="69"/>
  <c r="F50" i="68"/>
  <c r="C47" i="11"/>
  <c r="D45" i="11" s="1"/>
  <c r="C29" i="11"/>
  <c r="D27" i="11" s="1"/>
  <c r="L16" i="1"/>
  <c r="C17" i="91"/>
  <c r="C17" i="15"/>
  <c r="C17" i="92"/>
  <c r="C17" i="94"/>
  <c r="C17" i="93"/>
  <c r="C38" i="92" l="1"/>
  <c r="C32" i="92"/>
  <c r="D5" i="6"/>
  <c r="D29" i="6"/>
  <c r="C18" i="4"/>
  <c r="A10" i="51" s="1"/>
  <c r="B9" i="72" s="1"/>
  <c r="D10" i="6"/>
  <c r="D19" i="6"/>
  <c r="D23" i="6"/>
  <c r="C30" i="43"/>
  <c r="E30" i="43" s="1"/>
  <c r="C27" i="43" s="1"/>
  <c r="H26" i="6"/>
  <c r="L19" i="9"/>
  <c r="D9" i="6"/>
  <c r="D14" i="6"/>
  <c r="D8" i="6"/>
  <c r="D26" i="6"/>
  <c r="H19" i="6"/>
  <c r="E61" i="40"/>
  <c r="D13" i="6"/>
  <c r="D12" i="6"/>
  <c r="D24" i="6"/>
  <c r="D22" i="6"/>
  <c r="D25" i="6"/>
  <c r="D28" i="6"/>
  <c r="D11" i="6"/>
  <c r="D20" i="6"/>
  <c r="R20" i="6" s="1"/>
  <c r="D21" i="6"/>
  <c r="D15" i="6"/>
  <c r="E6" i="3"/>
  <c r="J24" i="94"/>
  <c r="H23" i="6"/>
  <c r="J18" i="94"/>
  <c r="J26" i="90"/>
  <c r="C19" i="90"/>
  <c r="C20" i="90" s="1"/>
  <c r="C26" i="90" s="1"/>
  <c r="J18" i="90"/>
  <c r="J24" i="93"/>
  <c r="J18" i="93"/>
  <c r="D10" i="68"/>
  <c r="C10" i="68" s="1"/>
  <c r="E12" i="70"/>
  <c r="E8" i="70"/>
  <c r="E9" i="70"/>
  <c r="E11" i="70"/>
  <c r="C24" i="11"/>
  <c r="C22" i="11" s="1"/>
  <c r="H25" i="6"/>
  <c r="C37" i="11"/>
  <c r="H24" i="6"/>
  <c r="H21" i="6"/>
  <c r="R21" i="6" s="1"/>
  <c r="H22" i="6"/>
  <c r="M27" i="6"/>
  <c r="S19" i="6"/>
  <c r="S27" i="6" s="1"/>
  <c r="I27" i="6"/>
  <c r="AQ10" i="1"/>
  <c r="T10" i="1"/>
  <c r="AR10" i="1"/>
  <c r="AR9" i="1"/>
  <c r="AQ9" i="1"/>
  <c r="T9" i="1"/>
  <c r="AQ11" i="1"/>
  <c r="T11" i="1"/>
  <c r="AR11" i="1"/>
  <c r="AQ12" i="1"/>
  <c r="T12" i="1"/>
  <c r="AR12" i="1"/>
  <c r="AQ8" i="1"/>
  <c r="AR8" i="1"/>
  <c r="T8" i="1"/>
  <c r="C28" i="11"/>
  <c r="C27" i="11" s="1"/>
  <c r="D20" i="12"/>
  <c r="C20" i="12" s="1"/>
  <c r="C18" i="12" s="1"/>
  <c r="C34" i="11"/>
  <c r="C35" i="11" s="1"/>
  <c r="D6" i="6"/>
  <c r="C36" i="11"/>
  <c r="J24" i="67"/>
  <c r="J18" i="67"/>
  <c r="J24" i="15"/>
  <c r="J18" i="15"/>
  <c r="G36" i="36"/>
  <c r="R37" i="36"/>
  <c r="AB7" i="34"/>
  <c r="T49" i="34" s="1"/>
  <c r="G49" i="34" s="1"/>
  <c r="G53" i="34" s="1"/>
  <c r="H53" i="34" s="1"/>
  <c r="W7" i="21"/>
  <c r="AA7" i="21"/>
  <c r="R48" i="21" s="1"/>
  <c r="E48" i="21" s="1"/>
  <c r="E52" i="21" s="1"/>
  <c r="F52" i="21" s="1"/>
  <c r="C4" i="52"/>
  <c r="B45" i="72" s="1"/>
  <c r="C12" i="12"/>
  <c r="C15" i="12"/>
  <c r="C34" i="68"/>
  <c r="U7" i="21"/>
  <c r="C26"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C14" i="12"/>
  <c r="C23" i="12"/>
  <c r="C14" i="91"/>
  <c r="C14" i="94"/>
  <c r="C14" i="92"/>
  <c r="E6" i="76"/>
  <c r="C14" i="93"/>
  <c r="R22" i="6" l="1"/>
  <c r="A7" i="51"/>
  <c r="B7" i="72" s="1"/>
  <c r="R19" i="6"/>
  <c r="R24" i="6"/>
  <c r="R11" i="1" s="1"/>
  <c r="R23" i="6"/>
  <c r="D30" i="6"/>
  <c r="R26" i="6"/>
  <c r="D27" i="6"/>
  <c r="D16" i="6"/>
  <c r="R25" i="6"/>
  <c r="R12" i="1" s="1"/>
  <c r="C23" i="90"/>
  <c r="C29" i="90" s="1"/>
  <c r="C13" i="90" s="1"/>
  <c r="Q70" i="90" s="1"/>
  <c r="D19" i="68"/>
  <c r="C19" i="68" s="1"/>
  <c r="C18" i="91"/>
  <c r="C15" i="91"/>
  <c r="C15" i="94"/>
  <c r="C18" i="94"/>
  <c r="C18" i="93"/>
  <c r="C15" i="93"/>
  <c r="C15" i="92"/>
  <c r="C18" i="92"/>
  <c r="H27" i="6"/>
  <c r="R8" i="1"/>
  <c r="R10" i="1"/>
  <c r="R13" i="1"/>
  <c r="R9" i="1"/>
  <c r="R7" i="1"/>
  <c r="C31" i="11"/>
  <c r="C38" i="11"/>
  <c r="C33" i="11" s="1"/>
  <c r="C42" i="11" s="1"/>
  <c r="E2" i="76"/>
  <c r="B2" i="43"/>
  <c r="R49" i="21"/>
  <c r="C48" i="21" s="1"/>
  <c r="G54" i="34"/>
  <c r="H54" i="34" s="1"/>
  <c r="I53" i="21"/>
  <c r="J53" i="21" s="1"/>
  <c r="C37" i="36"/>
  <c r="C36" i="36"/>
  <c r="G40" i="36"/>
  <c r="H40" i="36" s="1"/>
  <c r="E41" i="36"/>
  <c r="F41" i="36" s="1"/>
  <c r="G41" i="36"/>
  <c r="H41" i="36" s="1"/>
  <c r="R6" i="1"/>
  <c r="C16" i="12"/>
  <c r="C21" i="12" s="1"/>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F35" i="67"/>
  <c r="M21" i="15"/>
  <c r="M21" i="67"/>
  <c r="B6" i="76"/>
  <c r="M21" i="90"/>
  <c r="F35" i="94"/>
  <c r="M21" i="93"/>
  <c r="M21" i="92"/>
  <c r="F35" i="91"/>
  <c r="F35" i="93"/>
  <c r="M21" i="91"/>
  <c r="F35" i="92"/>
  <c r="F35" i="90"/>
  <c r="F35" i="15"/>
  <c r="M21" i="94"/>
  <c r="D31" i="6" l="1"/>
  <c r="I6" i="6" s="1"/>
  <c r="R27" i="6"/>
  <c r="C33" i="90"/>
  <c r="C56" i="90"/>
  <c r="C65" i="90" s="1"/>
  <c r="C37" i="90"/>
  <c r="C75" i="90"/>
  <c r="Q49" i="90"/>
  <c r="J14" i="90"/>
  <c r="J22" i="90" s="1"/>
  <c r="J59" i="90"/>
  <c r="J60" i="90" s="1"/>
  <c r="L46" i="90" s="1"/>
  <c r="C57" i="90"/>
  <c r="C64" i="90" s="1"/>
  <c r="J19" i="90"/>
  <c r="C36" i="90"/>
  <c r="D37" i="68"/>
  <c r="C37" i="68" s="1"/>
  <c r="C33" i="68" s="1"/>
  <c r="C19" i="91"/>
  <c r="C20" i="91" s="1"/>
  <c r="C26" i="91" s="1"/>
  <c r="C19" i="93"/>
  <c r="C20" i="93" s="1"/>
  <c r="C26" i="93" s="1"/>
  <c r="C19" i="94"/>
  <c r="C20" i="94" s="1"/>
  <c r="C26" i="94" s="1"/>
  <c r="C19" i="92"/>
  <c r="C20" i="92" s="1"/>
  <c r="C26" i="92" s="1"/>
  <c r="J20" i="94"/>
  <c r="F63" i="94"/>
  <c r="C62" i="94" s="1"/>
  <c r="C34" i="94"/>
  <c r="J20" i="93"/>
  <c r="F63" i="93"/>
  <c r="C62" i="93" s="1"/>
  <c r="C34" i="93"/>
  <c r="J20" i="92"/>
  <c r="F63" i="92"/>
  <c r="C62" i="92" s="1"/>
  <c r="C34" i="92"/>
  <c r="J20" i="91"/>
  <c r="F63" i="91"/>
  <c r="C62" i="91" s="1"/>
  <c r="C34" i="91"/>
  <c r="J20" i="90"/>
  <c r="F63" i="90"/>
  <c r="C62" i="90" s="1"/>
  <c r="C34" i="90"/>
  <c r="I5" i="6"/>
  <c r="B2" i="76"/>
  <c r="B3" i="76" s="1"/>
  <c r="B3" i="43"/>
  <c r="C49" i="21"/>
  <c r="F63" i="67"/>
  <c r="C62" i="67" s="1"/>
  <c r="C34" i="67"/>
  <c r="J20" i="67"/>
  <c r="C24" i="68"/>
  <c r="C20" i="68"/>
  <c r="C28" i="68" s="1"/>
  <c r="C27" i="68" s="1"/>
  <c r="J20" i="15"/>
  <c r="F63" i="15"/>
  <c r="C62" i="15" s="1"/>
  <c r="C34" i="15"/>
  <c r="R16" i="1"/>
  <c r="C22" i="12"/>
  <c r="C30" i="12" s="1"/>
  <c r="C28" i="12" s="1"/>
  <c r="I63" i="40"/>
  <c r="H65" i="40"/>
  <c r="C39" i="11"/>
  <c r="C43" i="11" s="1"/>
  <c r="C41" i="11" s="1"/>
  <c r="I70" i="39"/>
  <c r="C31" i="90" l="1"/>
  <c r="C30" i="90" s="1"/>
  <c r="C39" i="90" s="1"/>
  <c r="J17" i="90"/>
  <c r="C61" i="90"/>
  <c r="C59" i="90" s="1"/>
  <c r="C58" i="90" s="1"/>
  <c r="C67" i="90" s="1"/>
  <c r="J13" i="90"/>
  <c r="J23" i="90" s="1"/>
  <c r="Q48" i="90"/>
  <c r="C23" i="94"/>
  <c r="C29" i="94" s="1"/>
  <c r="C57" i="94" s="1"/>
  <c r="C23" i="91"/>
  <c r="C29" i="91" s="1"/>
  <c r="C57" i="91" s="1"/>
  <c r="C23" i="92"/>
  <c r="C29" i="92" s="1"/>
  <c r="C36" i="92" s="1"/>
  <c r="C23" i="93"/>
  <c r="C29" i="93" s="1"/>
  <c r="C25" i="68"/>
  <c r="C22" i="68" s="1"/>
  <c r="C31" i="68" s="1"/>
  <c r="C27" i="12"/>
  <c r="C25" i="12" s="1"/>
  <c r="C32" i="12" s="1"/>
  <c r="B2" i="12" s="1"/>
  <c r="B3" i="12" s="1"/>
  <c r="C39" i="68"/>
  <c r="C43" i="68" s="1"/>
  <c r="C42" i="68"/>
  <c r="J63" i="40"/>
  <c r="I65" i="40"/>
  <c r="C46" i="11"/>
  <c r="C45" i="11" s="1"/>
  <c r="C49" i="11" s="1"/>
  <c r="C51" i="11" s="1"/>
  <c r="C52" i="11" s="1"/>
  <c r="B2" i="11" s="1"/>
  <c r="B3" i="11" s="1"/>
  <c r="J70" i="39"/>
  <c r="C80" i="90" l="1"/>
  <c r="C79" i="90" s="1"/>
  <c r="Q69" i="90"/>
  <c r="Q68" i="90" s="1"/>
  <c r="J16" i="90"/>
  <c r="J25" i="90" s="1"/>
  <c r="C36" i="91"/>
  <c r="C13" i="91"/>
  <c r="Q70" i="91" s="1"/>
  <c r="J59" i="94"/>
  <c r="J60" i="94" s="1"/>
  <c r="L46" i="94" s="1"/>
  <c r="C33" i="91"/>
  <c r="C31" i="91" s="1"/>
  <c r="J59" i="91"/>
  <c r="J60" i="91" s="1"/>
  <c r="L46" i="91" s="1"/>
  <c r="Q49" i="94"/>
  <c r="J14" i="94"/>
  <c r="J22" i="94" s="1"/>
  <c r="J19" i="94"/>
  <c r="J17" i="94" s="1"/>
  <c r="J19" i="91"/>
  <c r="J17" i="91" s="1"/>
  <c r="J14" i="91"/>
  <c r="J13" i="91" s="1"/>
  <c r="J23" i="91" s="1"/>
  <c r="Q49" i="91"/>
  <c r="C33" i="94"/>
  <c r="C31" i="94" s="1"/>
  <c r="C36" i="94"/>
  <c r="C13" i="94"/>
  <c r="C56" i="94" s="1"/>
  <c r="C65" i="94" s="1"/>
  <c r="J14" i="92"/>
  <c r="J22" i="92" s="1"/>
  <c r="C33" i="92"/>
  <c r="C31" i="92" s="1"/>
  <c r="J19" i="92"/>
  <c r="J17" i="92" s="1"/>
  <c r="C57" i="92"/>
  <c r="C64" i="92" s="1"/>
  <c r="J59" i="92"/>
  <c r="J60" i="92" s="1"/>
  <c r="L46" i="92" s="1"/>
  <c r="C13" i="92"/>
  <c r="Q70" i="92" s="1"/>
  <c r="Q49" i="92"/>
  <c r="C75" i="91"/>
  <c r="C61" i="91"/>
  <c r="C59" i="91" s="1"/>
  <c r="C64" i="91"/>
  <c r="C61" i="94"/>
  <c r="C59" i="94" s="1"/>
  <c r="C64" i="94"/>
  <c r="C57" i="93"/>
  <c r="C33" i="93"/>
  <c r="C31" i="93" s="1"/>
  <c r="C13" i="93"/>
  <c r="J59" i="93"/>
  <c r="J60" i="93" s="1"/>
  <c r="J14" i="93"/>
  <c r="C36" i="93"/>
  <c r="Q49" i="93"/>
  <c r="J19" i="93"/>
  <c r="J17" i="93" s="1"/>
  <c r="C41" i="68"/>
  <c r="C46" i="68"/>
  <c r="C45" i="68" s="1"/>
  <c r="K63" i="40"/>
  <c r="J65" i="40"/>
  <c r="K70" i="39"/>
  <c r="C56" i="11"/>
  <c r="C57" i="11" s="1"/>
  <c r="L51" i="90"/>
  <c r="Q67" i="90" l="1"/>
  <c r="C56" i="92"/>
  <c r="C65" i="92" s="1"/>
  <c r="C75" i="94"/>
  <c r="C61" i="92"/>
  <c r="C59" i="92" s="1"/>
  <c r="C56" i="91"/>
  <c r="C65" i="91" s="1"/>
  <c r="Q48" i="94"/>
  <c r="C75" i="92"/>
  <c r="J22" i="91"/>
  <c r="J16" i="91" s="1"/>
  <c r="J25" i="91" s="1"/>
  <c r="Q70" i="94"/>
  <c r="C37" i="91"/>
  <c r="C30" i="91" s="1"/>
  <c r="C39" i="91" s="1"/>
  <c r="Q69" i="91" s="1"/>
  <c r="Q68" i="91" s="1"/>
  <c r="Q48" i="91"/>
  <c r="J13" i="94"/>
  <c r="J23" i="94" s="1"/>
  <c r="J16" i="94" s="1"/>
  <c r="J25" i="94" s="1"/>
  <c r="C37" i="92"/>
  <c r="C30" i="92" s="1"/>
  <c r="C39" i="92" s="1"/>
  <c r="Q69" i="92" s="1"/>
  <c r="Q68" i="92" s="1"/>
  <c r="C37" i="94"/>
  <c r="C30" i="94" s="1"/>
  <c r="C39" i="94" s="1"/>
  <c r="Q69" i="94" s="1"/>
  <c r="Q48" i="92"/>
  <c r="J13" i="92"/>
  <c r="J23" i="92" s="1"/>
  <c r="J16" i="92" s="1"/>
  <c r="J25" i="92" s="1"/>
  <c r="C58" i="91"/>
  <c r="C67" i="91" s="1"/>
  <c r="C58" i="94"/>
  <c r="C67" i="94" s="1"/>
  <c r="L46" i="93"/>
  <c r="Q48" i="93"/>
  <c r="J22" i="93"/>
  <c r="J13" i="93"/>
  <c r="J23" i="93" s="1"/>
  <c r="Q70" i="93"/>
  <c r="C75" i="93"/>
  <c r="C37" i="93"/>
  <c r="C30" i="93" s="1"/>
  <c r="C39" i="93" s="1"/>
  <c r="C56" i="93"/>
  <c r="C65" i="93" s="1"/>
  <c r="C61" i="93"/>
  <c r="C59" i="93" s="1"/>
  <c r="C64" i="93"/>
  <c r="C49" i="68"/>
  <c r="C51" i="68" s="1"/>
  <c r="C52" i="68" s="1"/>
  <c r="C57" i="68" s="1"/>
  <c r="C56" i="68" s="1"/>
  <c r="L63" i="40"/>
  <c r="K65" i="40"/>
  <c r="L70" i="39"/>
  <c r="E2" i="70"/>
  <c r="C34" i="69"/>
  <c r="C17" i="67"/>
  <c r="L51" i="93"/>
  <c r="C58" i="92" l="1"/>
  <c r="C67" i="92" s="1"/>
  <c r="C80" i="92"/>
  <c r="C79" i="92" s="1"/>
  <c r="C80" i="94"/>
  <c r="C79" i="94" s="1"/>
  <c r="C80" i="91"/>
  <c r="C79" i="91" s="1"/>
  <c r="Q68" i="94"/>
  <c r="C58" i="93"/>
  <c r="C67" i="93" s="1"/>
  <c r="J16" i="93"/>
  <c r="J25" i="93" s="1"/>
  <c r="Q67" i="93"/>
  <c r="C80" i="93"/>
  <c r="C79" i="93" s="1"/>
  <c r="Q69" i="93"/>
  <c r="Q68" i="93" s="1"/>
  <c r="M63" i="40"/>
  <c r="L65" i="40"/>
  <c r="M70" i="39"/>
  <c r="C35" i="69"/>
  <c r="C38" i="69"/>
  <c r="D10" i="69"/>
  <c r="L51" i="92"/>
  <c r="L51" i="94"/>
  <c r="L51" i="91"/>
  <c r="Q67" i="92" l="1"/>
  <c r="Q67" i="91"/>
  <c r="Q67" i="94"/>
  <c r="N63" i="40"/>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L51" i="67"/>
  <c r="C14" i="15"/>
  <c r="L57" i="67" l="1"/>
  <c r="L60" i="67" s="1"/>
  <c r="L46"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F41" i="91"/>
  <c r="AE6" i="1"/>
  <c r="F41" i="93"/>
  <c r="F41" i="92"/>
  <c r="F41" i="90"/>
  <c r="F69" i="93" l="1"/>
  <c r="C68" i="93" s="1"/>
  <c r="J29" i="93"/>
  <c r="C40" i="93"/>
  <c r="F69" i="92"/>
  <c r="C68" i="92" s="1"/>
  <c r="J29" i="92"/>
  <c r="C40" i="92"/>
  <c r="F69" i="91"/>
  <c r="C68" i="91" s="1"/>
  <c r="J29" i="91"/>
  <c r="C40" i="91"/>
  <c r="F69" i="90"/>
  <c r="C68" i="90" s="1"/>
  <c r="J29" i="90"/>
  <c r="C40" i="90"/>
  <c r="C66" i="15"/>
  <c r="C60" i="15"/>
  <c r="C59" i="15" s="1"/>
  <c r="AG6" i="1"/>
  <c r="C80" i="15"/>
  <c r="C79" i="15" s="1"/>
  <c r="C65" i="15"/>
  <c r="Q68" i="15"/>
  <c r="L57" i="15"/>
  <c r="L60" i="15" s="1"/>
  <c r="F41" i="67"/>
  <c r="M27" i="15"/>
  <c r="M27" i="67"/>
  <c r="L51" i="15"/>
  <c r="F41" i="94"/>
  <c r="F41" i="15"/>
  <c r="Q67" i="15" l="1"/>
  <c r="J29" i="94"/>
  <c r="F69" i="94"/>
  <c r="C68" i="94" s="1"/>
  <c r="C71" i="94" s="1"/>
  <c r="C40" i="94"/>
  <c r="Q47" i="93"/>
  <c r="Q53" i="93" s="1"/>
  <c r="B2" i="93"/>
  <c r="Q56" i="93"/>
  <c r="Q62" i="93" s="1"/>
  <c r="C43" i="93"/>
  <c r="Q65" i="93"/>
  <c r="Q75" i="93" s="1"/>
  <c r="C83" i="93"/>
  <c r="C82" i="93" s="1"/>
  <c r="C71" i="93"/>
  <c r="C46" i="93"/>
  <c r="Q47" i="92"/>
  <c r="Q53" i="92" s="1"/>
  <c r="B2" i="92"/>
  <c r="Q56" i="92"/>
  <c r="Q62" i="92" s="1"/>
  <c r="C43" i="92"/>
  <c r="Q65" i="92"/>
  <c r="Q75" i="92" s="1"/>
  <c r="C83" i="92"/>
  <c r="C82" i="92" s="1"/>
  <c r="C71" i="92"/>
  <c r="C46" i="92"/>
  <c r="Q47" i="91"/>
  <c r="Q53" i="91" s="1"/>
  <c r="B2" i="91"/>
  <c r="B3" i="91" s="1"/>
  <c r="Q56" i="91"/>
  <c r="Q62" i="91" s="1"/>
  <c r="C43" i="91"/>
  <c r="Q65" i="91"/>
  <c r="Q75" i="91" s="1"/>
  <c r="C83" i="91"/>
  <c r="C82" i="91" s="1"/>
  <c r="C71" i="91"/>
  <c r="C46" i="91"/>
  <c r="Q47" i="90"/>
  <c r="Q53" i="90" s="1"/>
  <c r="B2" i="90"/>
  <c r="B3" i="90" s="1"/>
  <c r="Q56" i="90"/>
  <c r="Q62" i="90" s="1"/>
  <c r="C43" i="90"/>
  <c r="Q65" i="90"/>
  <c r="Q75" i="90" s="1"/>
  <c r="C83" i="90"/>
  <c r="C82" i="90" s="1"/>
  <c r="C71" i="90"/>
  <c r="C46" i="90"/>
  <c r="J26" i="15"/>
  <c r="J29" i="15" s="1"/>
  <c r="J26" i="67"/>
  <c r="J29" i="67" s="1"/>
  <c r="C58" i="15"/>
  <c r="C67" i="15" s="1"/>
  <c r="F69" i="15"/>
  <c r="C40" i="15"/>
  <c r="C43" i="15" s="1"/>
  <c r="L46" i="15"/>
  <c r="Q57" i="15"/>
  <c r="Q66" i="15"/>
  <c r="F69" i="67"/>
  <c r="C68" i="67" s="1"/>
  <c r="C71" i="67" s="1"/>
  <c r="C40" i="67"/>
  <c r="C83" i="67" s="1"/>
  <c r="C82" i="67" s="1"/>
  <c r="AO9" i="1"/>
  <c r="AO11" i="1"/>
  <c r="Q47" i="94" l="1"/>
  <c r="Q53" i="94" s="1"/>
  <c r="C43" i="94"/>
  <c r="C46" i="94"/>
  <c r="C83" i="94"/>
  <c r="C82" i="94" s="1"/>
  <c r="B2" i="94"/>
  <c r="B3" i="94" s="1"/>
  <c r="Q65" i="94"/>
  <c r="Q75" i="94" s="1"/>
  <c r="Q56" i="94"/>
  <c r="Q62" i="94" s="1"/>
  <c r="B11" i="70"/>
  <c r="B3" i="93"/>
  <c r="B9" i="70"/>
  <c r="B3" i="92"/>
  <c r="C68" i="15"/>
  <c r="C71" i="15" s="1"/>
  <c r="C83" i="15"/>
  <c r="C82" i="15" s="1"/>
  <c r="Q65" i="15"/>
  <c r="Q75" i="15" s="1"/>
  <c r="Q47" i="15"/>
  <c r="Q53" i="15" s="1"/>
  <c r="Q56" i="15"/>
  <c r="Q62" i="15" s="1"/>
  <c r="B2" i="15"/>
  <c r="B3" i="15" s="1"/>
  <c r="C43" i="67"/>
  <c r="C45" i="67"/>
  <c r="C46" i="67" s="1"/>
  <c r="Q65" i="67"/>
  <c r="Q75" i="67" s="1"/>
  <c r="Q56" i="67"/>
  <c r="Q62" i="67" s="1"/>
  <c r="Q47" i="67"/>
  <c r="Q53" i="67" s="1"/>
  <c r="D2" i="67"/>
  <c r="B2" i="67" s="1"/>
  <c r="AO12" i="1"/>
  <c r="AO8" i="1"/>
  <c r="AO6" i="1"/>
  <c r="AO7" i="1"/>
  <c r="E2" i="69"/>
  <c r="B12" i="70" l="1"/>
  <c r="B8" i="70"/>
  <c r="B7" i="70"/>
  <c r="B6" i="70"/>
  <c r="C46" i="15"/>
  <c r="B2" i="69"/>
  <c r="B3" i="69" s="1"/>
  <c r="B2" i="68"/>
  <c r="B3" i="67"/>
  <c r="D2" i="37"/>
  <c r="D2" i="21"/>
  <c r="D2" i="36"/>
  <c r="D2" i="33"/>
  <c r="E2" i="68"/>
  <c r="D2" i="34"/>
  <c r="D2" i="35"/>
  <c r="F20" i="31"/>
  <c r="B2" i="36" l="1"/>
  <c r="B3" i="36" s="1"/>
  <c r="B2" i="35"/>
  <c r="B3" i="35" s="1"/>
  <c r="B2" i="37"/>
  <c r="B3" i="37" s="1"/>
  <c r="B2" i="34"/>
  <c r="B3" i="34" s="1"/>
  <c r="B2" i="21"/>
  <c r="B3" i="21" s="1"/>
  <c r="B2" i="70"/>
  <c r="B3" i="70" s="1"/>
  <c r="B3" i="68"/>
  <c r="D19" i="9"/>
  <c r="D20" i="9"/>
  <c r="D102" i="9" l="1"/>
  <c r="D21" i="9"/>
  <c r="D103" i="9"/>
  <c r="D34" i="9"/>
  <c r="H109" i="9" l="1"/>
  <c r="H110" i="9" l="1"/>
  <c r="D18" i="53" s="1"/>
  <c r="B35" i="72" s="1"/>
  <c r="D124" i="9"/>
  <c r="D16" i="53"/>
  <c r="B34" i="72" s="1"/>
  <c r="D10" i="52" l="1"/>
  <c r="H14" i="74"/>
  <c r="D17" i="53"/>
  <c r="B36" i="72" s="1"/>
  <c r="D125" i="9"/>
  <c r="D11" i="52" s="1"/>
  <c r="B7" i="74" l="1"/>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J7" i="39"/>
  <c r="AC7" i="39" s="1"/>
  <c r="V47" i="39" s="1"/>
  <c r="I47" i="39" s="1"/>
  <c r="F7" i="39"/>
  <c r="S7" i="39" s="1"/>
  <c r="H7" i="39"/>
  <c r="AB7" i="39" s="1"/>
  <c r="T47" i="39" s="1"/>
  <c r="G47" i="39" s="1"/>
  <c r="B2" i="33" l="1"/>
  <c r="B3" i="33" s="1"/>
  <c r="R24" i="31"/>
  <c r="G52" i="39"/>
  <c r="H52" i="39" s="1"/>
  <c r="G51" i="39"/>
  <c r="H51" i="39" s="1"/>
  <c r="I51" i="39"/>
  <c r="J51" i="39" s="1"/>
  <c r="W7" i="39"/>
  <c r="U7" i="39"/>
  <c r="AA7" i="39"/>
  <c r="R47" i="39" s="1"/>
  <c r="S24" i="31" l="1"/>
  <c r="R29" i="31"/>
  <c r="S29" i="31" s="1"/>
  <c r="R25" i="31"/>
  <c r="S25" i="31" s="1"/>
  <c r="R28" i="31"/>
  <c r="S28" i="31" s="1"/>
  <c r="R27" i="31"/>
  <c r="S27" i="31" s="1"/>
  <c r="R30" i="31"/>
  <c r="S30" i="31" s="1"/>
  <c r="R26" i="31"/>
  <c r="S26" i="31" s="1"/>
  <c r="R48" i="39"/>
  <c r="E47" i="39"/>
  <c r="S22" i="31" l="1"/>
  <c r="C48" i="39"/>
  <c r="C47" i="39"/>
  <c r="E51" i="39"/>
  <c r="F51" i="39" s="1"/>
  <c r="E52" i="39"/>
  <c r="F52" i="39" s="1"/>
  <c r="I52" i="39"/>
  <c r="J52" i="39" s="1"/>
  <c r="R22" i="31" l="1"/>
  <c r="B21" i="31" s="1"/>
  <c r="B20" i="31"/>
  <c r="B61" i="39"/>
  <c r="F61" i="39" s="1"/>
  <c r="B60" i="39"/>
  <c r="F60" i="39" s="1"/>
  <c r="B56" i="39"/>
  <c r="F56" i="39" s="1"/>
  <c r="B58" i="39"/>
  <c r="F58" i="39" s="1"/>
  <c r="B59" i="39"/>
  <c r="F59" i="39" s="1"/>
  <c r="B64" i="39"/>
  <c r="F64" i="39" s="1"/>
  <c r="B65" i="39"/>
  <c r="F65" i="39" s="1"/>
  <c r="B57" i="39"/>
  <c r="F57" i="39" s="1"/>
  <c r="B63" i="39"/>
  <c r="F63" i="39" s="1"/>
  <c r="B62" i="39"/>
  <c r="F62" i="39" s="1"/>
  <c r="C20" i="9"/>
  <c r="C19" i="9"/>
  <c r="C102" i="9" l="1"/>
  <c r="C21" i="9"/>
  <c r="G19" i="9"/>
  <c r="D22" i="9"/>
  <c r="C103" i="9"/>
  <c r="G20" i="9"/>
  <c r="R24" i="95" s="1"/>
  <c r="F66" i="39"/>
  <c r="B2" i="39" s="1"/>
  <c r="B3" i="39" s="1"/>
  <c r="D35" i="9"/>
  <c r="H7" i="98" l="1"/>
  <c r="I7" i="98" s="1"/>
  <c r="H9" i="98"/>
  <c r="I9" i="98" s="1"/>
  <c r="H11" i="98"/>
  <c r="I11" i="98" s="1"/>
  <c r="H4" i="98"/>
  <c r="I4" i="98" s="1"/>
  <c r="H6" i="98"/>
  <c r="I6" i="98" s="1"/>
  <c r="H8" i="98"/>
  <c r="I8" i="98" s="1"/>
  <c r="H10" i="98"/>
  <c r="I10" i="98" s="1"/>
  <c r="H12" i="98"/>
  <c r="I12" i="98" s="1"/>
  <c r="H5" i="98"/>
  <c r="I5" i="98" s="1"/>
  <c r="H602" i="98"/>
  <c r="I602" i="98" s="1"/>
  <c r="H598" i="98"/>
  <c r="I598" i="98" s="1"/>
  <c r="H594" i="98"/>
  <c r="I594" i="98" s="1"/>
  <c r="H590" i="98"/>
  <c r="I590" i="98" s="1"/>
  <c r="H586" i="98"/>
  <c r="I586" i="98" s="1"/>
  <c r="H582" i="98"/>
  <c r="I582" i="98" s="1"/>
  <c r="H578" i="98"/>
  <c r="I578" i="98" s="1"/>
  <c r="H574" i="98"/>
  <c r="I574" i="98" s="1"/>
  <c r="H570" i="98"/>
  <c r="I570" i="98" s="1"/>
  <c r="H566" i="98"/>
  <c r="I566" i="98" s="1"/>
  <c r="H562" i="98"/>
  <c r="I562" i="98" s="1"/>
  <c r="H558" i="98"/>
  <c r="I558" i="98" s="1"/>
  <c r="H554" i="98"/>
  <c r="I554" i="98" s="1"/>
  <c r="H550" i="98"/>
  <c r="I550" i="98" s="1"/>
  <c r="H546" i="98"/>
  <c r="I546" i="98" s="1"/>
  <c r="H542" i="98"/>
  <c r="I542" i="98" s="1"/>
  <c r="H509" i="98"/>
  <c r="I509" i="98" s="1"/>
  <c r="H505" i="98"/>
  <c r="I505" i="98" s="1"/>
  <c r="H501" i="98"/>
  <c r="I501" i="98" s="1"/>
  <c r="H497" i="98"/>
  <c r="I497" i="98" s="1"/>
  <c r="H493" i="98"/>
  <c r="I493" i="98" s="1"/>
  <c r="H489" i="98"/>
  <c r="I489" i="98" s="1"/>
  <c r="H485" i="98"/>
  <c r="I485" i="98" s="1"/>
  <c r="H481" i="98"/>
  <c r="I481" i="98" s="1"/>
  <c r="H477" i="98"/>
  <c r="I477" i="98" s="1"/>
  <c r="H473" i="98"/>
  <c r="I473" i="98" s="1"/>
  <c r="H469" i="98"/>
  <c r="I469" i="98" s="1"/>
  <c r="H465" i="98"/>
  <c r="I465" i="98" s="1"/>
  <c r="H461" i="98"/>
  <c r="I461" i="98" s="1"/>
  <c r="H457" i="98"/>
  <c r="I457" i="98" s="1"/>
  <c r="H453" i="98"/>
  <c r="I453" i="98" s="1"/>
  <c r="H449" i="98"/>
  <c r="I449" i="98" s="1"/>
  <c r="H445" i="98"/>
  <c r="I445" i="98" s="1"/>
  <c r="H441" i="98"/>
  <c r="I441" i="98" s="1"/>
  <c r="H437" i="98"/>
  <c r="I437" i="98" s="1"/>
  <c r="H433" i="98"/>
  <c r="I433" i="98" s="1"/>
  <c r="H429" i="98"/>
  <c r="I429" i="98" s="1"/>
  <c r="H425" i="98"/>
  <c r="I425" i="98" s="1"/>
  <c r="H421" i="98"/>
  <c r="I421" i="98" s="1"/>
  <c r="H417" i="98"/>
  <c r="I417" i="98" s="1"/>
  <c r="H413" i="98"/>
  <c r="I413" i="98" s="1"/>
  <c r="H409" i="98"/>
  <c r="I409" i="98" s="1"/>
  <c r="H405" i="98"/>
  <c r="I405" i="98" s="1"/>
  <c r="H401" i="98"/>
  <c r="I401" i="98" s="1"/>
  <c r="H397" i="98"/>
  <c r="I397" i="98" s="1"/>
  <c r="H393" i="98"/>
  <c r="I393" i="98" s="1"/>
  <c r="H389" i="98"/>
  <c r="I389" i="98" s="1"/>
  <c r="H345" i="98"/>
  <c r="I345" i="98" s="1"/>
  <c r="H588" i="98"/>
  <c r="I588" i="98" s="1"/>
  <c r="H572" i="98"/>
  <c r="I572" i="98" s="1"/>
  <c r="H564" i="98"/>
  <c r="I564" i="98" s="1"/>
  <c r="H556" i="98"/>
  <c r="I556" i="98" s="1"/>
  <c r="H548" i="98"/>
  <c r="I548" i="98" s="1"/>
  <c r="H511" i="98"/>
  <c r="I511" i="98" s="1"/>
  <c r="H503" i="98"/>
  <c r="I503" i="98" s="1"/>
  <c r="H495" i="98"/>
  <c r="I495" i="98" s="1"/>
  <c r="H487" i="98"/>
  <c r="I487" i="98" s="1"/>
  <c r="H479" i="98"/>
  <c r="I479" i="98" s="1"/>
  <c r="H471" i="98"/>
  <c r="I471" i="98" s="1"/>
  <c r="H463" i="98"/>
  <c r="I463" i="98" s="1"/>
  <c r="H455" i="98"/>
  <c r="I455" i="98" s="1"/>
  <c r="H447" i="98"/>
  <c r="I447" i="98" s="1"/>
  <c r="H439" i="98"/>
  <c r="I439" i="98" s="1"/>
  <c r="H431" i="98"/>
  <c r="I431" i="98" s="1"/>
  <c r="H423" i="98"/>
  <c r="I423" i="98" s="1"/>
  <c r="H415" i="98"/>
  <c r="I415" i="98" s="1"/>
  <c r="H407" i="98"/>
  <c r="I407" i="98" s="1"/>
  <c r="H399" i="98"/>
  <c r="I399" i="98" s="1"/>
  <c r="H391" i="98"/>
  <c r="I391" i="98" s="1"/>
  <c r="H343" i="98"/>
  <c r="I343" i="98" s="1"/>
  <c r="H601" i="98"/>
  <c r="I601" i="98" s="1"/>
  <c r="H593" i="98"/>
  <c r="I593" i="98" s="1"/>
  <c r="H585" i="98"/>
  <c r="I585" i="98" s="1"/>
  <c r="H577" i="98"/>
  <c r="I577" i="98" s="1"/>
  <c r="H569" i="98"/>
  <c r="I569" i="98" s="1"/>
  <c r="H561" i="98"/>
  <c r="I561" i="98" s="1"/>
  <c r="H553" i="98"/>
  <c r="I553" i="98" s="1"/>
  <c r="H545" i="98"/>
  <c r="I545" i="98" s="1"/>
  <c r="H508" i="98"/>
  <c r="I508" i="98" s="1"/>
  <c r="H500" i="98"/>
  <c r="I500" i="98" s="1"/>
  <c r="H492" i="98"/>
  <c r="I492" i="98" s="1"/>
  <c r="H484" i="98"/>
  <c r="I484" i="98" s="1"/>
  <c r="H476" i="98"/>
  <c r="I476" i="98" s="1"/>
  <c r="H468" i="98"/>
  <c r="I468" i="98" s="1"/>
  <c r="H460" i="98"/>
  <c r="I460" i="98" s="1"/>
  <c r="H452" i="98"/>
  <c r="I452" i="98" s="1"/>
  <c r="H444" i="98"/>
  <c r="I444" i="98" s="1"/>
  <c r="H436" i="98"/>
  <c r="I436" i="98" s="1"/>
  <c r="H428" i="98"/>
  <c r="I428" i="98" s="1"/>
  <c r="H420" i="98"/>
  <c r="I420" i="98" s="1"/>
  <c r="H412" i="98"/>
  <c r="I412" i="98" s="1"/>
  <c r="H404" i="98"/>
  <c r="I404" i="98" s="1"/>
  <c r="H400" i="98"/>
  <c r="I400" i="98" s="1"/>
  <c r="H392" i="98"/>
  <c r="I392" i="98" s="1"/>
  <c r="H344" i="98"/>
  <c r="I344" i="98" s="1"/>
  <c r="H603" i="98"/>
  <c r="I603" i="98" s="1"/>
  <c r="H599" i="98"/>
  <c r="I599" i="98" s="1"/>
  <c r="H595" i="98"/>
  <c r="I595" i="98" s="1"/>
  <c r="H591" i="98"/>
  <c r="I591" i="98" s="1"/>
  <c r="H587" i="98"/>
  <c r="I587" i="98" s="1"/>
  <c r="H583" i="98"/>
  <c r="I583" i="98" s="1"/>
  <c r="H579" i="98"/>
  <c r="I579" i="98" s="1"/>
  <c r="H575" i="98"/>
  <c r="I575" i="98" s="1"/>
  <c r="H571" i="98"/>
  <c r="I571" i="98" s="1"/>
  <c r="H567" i="98"/>
  <c r="I567" i="98" s="1"/>
  <c r="H563" i="98"/>
  <c r="I563" i="98" s="1"/>
  <c r="H559" i="98"/>
  <c r="I559" i="98" s="1"/>
  <c r="H555" i="98"/>
  <c r="I555" i="98" s="1"/>
  <c r="H551" i="98"/>
  <c r="I551" i="98" s="1"/>
  <c r="H547" i="98"/>
  <c r="I547" i="98" s="1"/>
  <c r="H543" i="98"/>
  <c r="I543" i="98" s="1"/>
  <c r="H510" i="98"/>
  <c r="I510" i="98" s="1"/>
  <c r="H506" i="98"/>
  <c r="I506" i="98" s="1"/>
  <c r="H502" i="98"/>
  <c r="I502" i="98" s="1"/>
  <c r="H498" i="98"/>
  <c r="I498" i="98" s="1"/>
  <c r="H494" i="98"/>
  <c r="I494" i="98" s="1"/>
  <c r="H490" i="98"/>
  <c r="I490" i="98" s="1"/>
  <c r="H486" i="98"/>
  <c r="I486" i="98" s="1"/>
  <c r="H482" i="98"/>
  <c r="I482" i="98" s="1"/>
  <c r="H478" i="98"/>
  <c r="I478" i="98" s="1"/>
  <c r="H474" i="98"/>
  <c r="I474" i="98" s="1"/>
  <c r="H470" i="98"/>
  <c r="I470" i="98" s="1"/>
  <c r="H466" i="98"/>
  <c r="I466" i="98" s="1"/>
  <c r="H462" i="98"/>
  <c r="I462" i="98" s="1"/>
  <c r="H458" i="98"/>
  <c r="I458" i="98" s="1"/>
  <c r="H454" i="98"/>
  <c r="I454" i="98" s="1"/>
  <c r="H450" i="98"/>
  <c r="I450" i="98" s="1"/>
  <c r="H446" i="98"/>
  <c r="I446" i="98" s="1"/>
  <c r="H442" i="98"/>
  <c r="I442" i="98" s="1"/>
  <c r="H438" i="98"/>
  <c r="I438" i="98" s="1"/>
  <c r="H434" i="98"/>
  <c r="I434" i="98" s="1"/>
  <c r="H430" i="98"/>
  <c r="I430" i="98" s="1"/>
  <c r="H426" i="98"/>
  <c r="I426" i="98" s="1"/>
  <c r="H422" i="98"/>
  <c r="I422" i="98" s="1"/>
  <c r="H418" i="98"/>
  <c r="I418" i="98" s="1"/>
  <c r="H414" i="98"/>
  <c r="I414" i="98" s="1"/>
  <c r="H410" i="98"/>
  <c r="I410" i="98" s="1"/>
  <c r="H406" i="98"/>
  <c r="I406" i="98" s="1"/>
  <c r="H402" i="98"/>
  <c r="I402" i="98" s="1"/>
  <c r="H398" i="98"/>
  <c r="I398" i="98" s="1"/>
  <c r="H394" i="98"/>
  <c r="I394" i="98" s="1"/>
  <c r="H390" i="98"/>
  <c r="I390" i="98" s="1"/>
  <c r="H375" i="98"/>
  <c r="I375" i="98" s="1"/>
  <c r="H604" i="98"/>
  <c r="I604" i="98" s="1"/>
  <c r="H600" i="98"/>
  <c r="I600" i="98" s="1"/>
  <c r="H596" i="98"/>
  <c r="I596" i="98" s="1"/>
  <c r="H592" i="98"/>
  <c r="I592" i="98" s="1"/>
  <c r="H584" i="98"/>
  <c r="I584" i="98" s="1"/>
  <c r="H580" i="98"/>
  <c r="I580" i="98" s="1"/>
  <c r="H576" i="98"/>
  <c r="I576" i="98" s="1"/>
  <c r="H568" i="98"/>
  <c r="I568" i="98" s="1"/>
  <c r="H560" i="98"/>
  <c r="I560" i="98" s="1"/>
  <c r="H552" i="98"/>
  <c r="I552" i="98" s="1"/>
  <c r="H544" i="98"/>
  <c r="I544" i="98" s="1"/>
  <c r="H507" i="98"/>
  <c r="I507" i="98" s="1"/>
  <c r="H499" i="98"/>
  <c r="I499" i="98" s="1"/>
  <c r="H491" i="98"/>
  <c r="I491" i="98" s="1"/>
  <c r="H483" i="98"/>
  <c r="I483" i="98" s="1"/>
  <c r="H475" i="98"/>
  <c r="I475" i="98" s="1"/>
  <c r="H467" i="98"/>
  <c r="I467" i="98" s="1"/>
  <c r="H459" i="98"/>
  <c r="I459" i="98" s="1"/>
  <c r="H451" i="98"/>
  <c r="I451" i="98" s="1"/>
  <c r="H443" i="98"/>
  <c r="I443" i="98" s="1"/>
  <c r="H435" i="98"/>
  <c r="I435" i="98" s="1"/>
  <c r="H427" i="98"/>
  <c r="I427" i="98" s="1"/>
  <c r="H419" i="98"/>
  <c r="I419" i="98" s="1"/>
  <c r="H411" i="98"/>
  <c r="I411" i="98" s="1"/>
  <c r="H403" i="98"/>
  <c r="I403" i="98" s="1"/>
  <c r="H395" i="98"/>
  <c r="I395" i="98" s="1"/>
  <c r="H387" i="98"/>
  <c r="I387" i="98" s="1"/>
  <c r="H605" i="98"/>
  <c r="I605" i="98" s="1"/>
  <c r="H597" i="98"/>
  <c r="I597" i="98" s="1"/>
  <c r="H589" i="98"/>
  <c r="I589" i="98" s="1"/>
  <c r="H581" i="98"/>
  <c r="I581" i="98" s="1"/>
  <c r="H573" i="98"/>
  <c r="I573" i="98" s="1"/>
  <c r="H565" i="98"/>
  <c r="I565" i="98" s="1"/>
  <c r="H557" i="98"/>
  <c r="I557" i="98" s="1"/>
  <c r="H549" i="98"/>
  <c r="I549" i="98" s="1"/>
  <c r="H541" i="98"/>
  <c r="I541" i="98" s="1"/>
  <c r="H504" i="98"/>
  <c r="I504" i="98" s="1"/>
  <c r="H496" i="98"/>
  <c r="I496" i="98" s="1"/>
  <c r="H488" i="98"/>
  <c r="I488" i="98" s="1"/>
  <c r="H480" i="98"/>
  <c r="I480" i="98" s="1"/>
  <c r="H472" i="98"/>
  <c r="I472" i="98" s="1"/>
  <c r="H464" i="98"/>
  <c r="I464" i="98" s="1"/>
  <c r="H456" i="98"/>
  <c r="I456" i="98" s="1"/>
  <c r="H448" i="98"/>
  <c r="I448" i="98" s="1"/>
  <c r="H440" i="98"/>
  <c r="I440" i="98" s="1"/>
  <c r="H432" i="98"/>
  <c r="I432" i="98" s="1"/>
  <c r="H424" i="98"/>
  <c r="I424" i="98" s="1"/>
  <c r="H416" i="98"/>
  <c r="I416" i="98" s="1"/>
  <c r="H408" i="98"/>
  <c r="I408" i="98" s="1"/>
  <c r="H396" i="98"/>
  <c r="I396" i="98" s="1"/>
  <c r="H388" i="98"/>
  <c r="I388" i="98" s="1"/>
  <c r="H339" i="98"/>
  <c r="I339" i="98" s="1"/>
  <c r="H335" i="98"/>
  <c r="I335" i="98" s="1"/>
  <c r="H331" i="98"/>
  <c r="I331" i="98" s="1"/>
  <c r="H327" i="98"/>
  <c r="I327" i="98" s="1"/>
  <c r="H323" i="98"/>
  <c r="I323" i="98" s="1"/>
  <c r="H215" i="98"/>
  <c r="I215" i="98" s="1"/>
  <c r="H211" i="98"/>
  <c r="I211" i="98" s="1"/>
  <c r="H95" i="98"/>
  <c r="I95" i="98" s="1"/>
  <c r="H336" i="98"/>
  <c r="I336" i="98" s="1"/>
  <c r="H332" i="98"/>
  <c r="I332" i="98" s="1"/>
  <c r="H328" i="98"/>
  <c r="I328" i="98" s="1"/>
  <c r="H324" i="98"/>
  <c r="I324" i="98" s="1"/>
  <c r="H216" i="98"/>
  <c r="I216" i="98" s="1"/>
  <c r="H212" i="98"/>
  <c r="I212" i="98" s="1"/>
  <c r="H96" i="98"/>
  <c r="I96" i="98" s="1"/>
  <c r="H341" i="98"/>
  <c r="I341" i="98" s="1"/>
  <c r="H337" i="98"/>
  <c r="I337" i="98" s="1"/>
  <c r="H333" i="98"/>
  <c r="I333" i="98" s="1"/>
  <c r="H329" i="98"/>
  <c r="I329" i="98" s="1"/>
  <c r="H325" i="98"/>
  <c r="I325" i="98" s="1"/>
  <c r="H217" i="98"/>
  <c r="I217" i="98" s="1"/>
  <c r="H213" i="98"/>
  <c r="I213" i="98" s="1"/>
  <c r="H342" i="98"/>
  <c r="I342" i="98" s="1"/>
  <c r="H334" i="98"/>
  <c r="I334" i="98" s="1"/>
  <c r="H326" i="98"/>
  <c r="I326" i="98" s="1"/>
  <c r="H214" i="98"/>
  <c r="I214" i="98" s="1"/>
  <c r="H94" i="98"/>
  <c r="I94" i="98" s="1"/>
  <c r="H340" i="98"/>
  <c r="I340" i="98" s="1"/>
  <c r="H97" i="98"/>
  <c r="I97" i="98" s="1"/>
  <c r="H338" i="98"/>
  <c r="I338" i="98" s="1"/>
  <c r="H330" i="98"/>
  <c r="I330" i="98" s="1"/>
  <c r="H322" i="98"/>
  <c r="I322" i="98" s="1"/>
  <c r="H98" i="98"/>
  <c r="I98" i="98" s="1"/>
  <c r="H3" i="97"/>
  <c r="I3" i="97" s="1"/>
  <c r="H3" i="98"/>
  <c r="H604" i="97"/>
  <c r="I604" i="97" s="1"/>
  <c r="H602" i="97"/>
  <c r="I602" i="97" s="1"/>
  <c r="H600" i="97"/>
  <c r="I600" i="97" s="1"/>
  <c r="H598" i="97"/>
  <c r="I598" i="97" s="1"/>
  <c r="H596" i="97"/>
  <c r="I596" i="97" s="1"/>
  <c r="H594" i="97"/>
  <c r="I594" i="97" s="1"/>
  <c r="H592" i="97"/>
  <c r="I592" i="97" s="1"/>
  <c r="H590" i="97"/>
  <c r="I590" i="97" s="1"/>
  <c r="H588" i="97"/>
  <c r="I588" i="97" s="1"/>
  <c r="H586" i="97"/>
  <c r="I586" i="97" s="1"/>
  <c r="H584" i="97"/>
  <c r="I584" i="97" s="1"/>
  <c r="H582" i="97"/>
  <c r="I582" i="97" s="1"/>
  <c r="H580" i="97"/>
  <c r="I580" i="97" s="1"/>
  <c r="H578" i="97"/>
  <c r="I578" i="97" s="1"/>
  <c r="H576" i="97"/>
  <c r="I576" i="97" s="1"/>
  <c r="H574" i="97"/>
  <c r="I574" i="97" s="1"/>
  <c r="H572" i="97"/>
  <c r="I572" i="97" s="1"/>
  <c r="H570" i="97"/>
  <c r="I570" i="97" s="1"/>
  <c r="H568" i="97"/>
  <c r="I568" i="97" s="1"/>
  <c r="H566" i="97"/>
  <c r="I566" i="97" s="1"/>
  <c r="H564" i="97"/>
  <c r="I564" i="97" s="1"/>
  <c r="H562" i="97"/>
  <c r="I562" i="97" s="1"/>
  <c r="H560" i="97"/>
  <c r="I560" i="97" s="1"/>
  <c r="H558" i="97"/>
  <c r="I558" i="97" s="1"/>
  <c r="H556" i="97"/>
  <c r="I556" i="97" s="1"/>
  <c r="H554" i="97"/>
  <c r="I554" i="97" s="1"/>
  <c r="H552" i="97"/>
  <c r="I552" i="97" s="1"/>
  <c r="H550" i="97"/>
  <c r="I550" i="97" s="1"/>
  <c r="H548" i="97"/>
  <c r="I548" i="97" s="1"/>
  <c r="H546" i="97"/>
  <c r="I546" i="97" s="1"/>
  <c r="H544" i="97"/>
  <c r="I544" i="97" s="1"/>
  <c r="H542" i="97"/>
  <c r="I542" i="97" s="1"/>
  <c r="H511" i="97"/>
  <c r="I511" i="97" s="1"/>
  <c r="H509" i="97"/>
  <c r="I509" i="97" s="1"/>
  <c r="H507" i="97"/>
  <c r="I507" i="97" s="1"/>
  <c r="H505" i="97"/>
  <c r="I505" i="97" s="1"/>
  <c r="H503" i="97"/>
  <c r="I503" i="97" s="1"/>
  <c r="H501" i="97"/>
  <c r="I501" i="97" s="1"/>
  <c r="H499" i="97"/>
  <c r="I499" i="97" s="1"/>
  <c r="H497" i="97"/>
  <c r="I497" i="97" s="1"/>
  <c r="H495" i="97"/>
  <c r="I495" i="97" s="1"/>
  <c r="H493" i="97"/>
  <c r="I493" i="97" s="1"/>
  <c r="H491" i="97"/>
  <c r="I491" i="97" s="1"/>
  <c r="H489" i="97"/>
  <c r="I489" i="97" s="1"/>
  <c r="H487" i="97"/>
  <c r="I487" i="97" s="1"/>
  <c r="H485" i="97"/>
  <c r="I485" i="97" s="1"/>
  <c r="H483" i="97"/>
  <c r="I483" i="97" s="1"/>
  <c r="H481" i="97"/>
  <c r="I481" i="97" s="1"/>
  <c r="H479" i="97"/>
  <c r="I479" i="97" s="1"/>
  <c r="H477" i="97"/>
  <c r="I477" i="97" s="1"/>
  <c r="H475" i="97"/>
  <c r="I475" i="97" s="1"/>
  <c r="H473" i="97"/>
  <c r="I473" i="97" s="1"/>
  <c r="H471" i="97"/>
  <c r="I471" i="97" s="1"/>
  <c r="H469" i="97"/>
  <c r="I469" i="97" s="1"/>
  <c r="H467" i="97"/>
  <c r="I467" i="97" s="1"/>
  <c r="H465" i="97"/>
  <c r="I465" i="97" s="1"/>
  <c r="H463" i="97"/>
  <c r="I463" i="97" s="1"/>
  <c r="H461" i="97"/>
  <c r="I461" i="97" s="1"/>
  <c r="H459" i="97"/>
  <c r="I459" i="97" s="1"/>
  <c r="H457" i="97"/>
  <c r="I457" i="97" s="1"/>
  <c r="H455" i="97"/>
  <c r="I455" i="97" s="1"/>
  <c r="H453" i="97"/>
  <c r="I453" i="97" s="1"/>
  <c r="H451" i="97"/>
  <c r="I451" i="97" s="1"/>
  <c r="H449" i="97"/>
  <c r="I449" i="97" s="1"/>
  <c r="H447" i="97"/>
  <c r="I447" i="97" s="1"/>
  <c r="H445" i="97"/>
  <c r="I445" i="97" s="1"/>
  <c r="H443" i="97"/>
  <c r="I443" i="97" s="1"/>
  <c r="H441" i="97"/>
  <c r="I441" i="97" s="1"/>
  <c r="H439" i="97"/>
  <c r="I439" i="97" s="1"/>
  <c r="H437" i="97"/>
  <c r="I437" i="97" s="1"/>
  <c r="H435" i="97"/>
  <c r="I435" i="97" s="1"/>
  <c r="H433" i="97"/>
  <c r="I433" i="97" s="1"/>
  <c r="H431" i="97"/>
  <c r="I431" i="97" s="1"/>
  <c r="H429" i="97"/>
  <c r="I429" i="97" s="1"/>
  <c r="H427" i="97"/>
  <c r="I427" i="97" s="1"/>
  <c r="H425" i="97"/>
  <c r="I425" i="97" s="1"/>
  <c r="H423" i="97"/>
  <c r="I423" i="97" s="1"/>
  <c r="H421" i="97"/>
  <c r="I421" i="97" s="1"/>
  <c r="H419" i="97"/>
  <c r="I419" i="97" s="1"/>
  <c r="H417" i="97"/>
  <c r="I417" i="97" s="1"/>
  <c r="H415" i="97"/>
  <c r="I415" i="97" s="1"/>
  <c r="H413" i="97"/>
  <c r="I413" i="97" s="1"/>
  <c r="H411" i="97"/>
  <c r="I411" i="97" s="1"/>
  <c r="H409" i="97"/>
  <c r="I409" i="97" s="1"/>
  <c r="H605" i="97"/>
  <c r="I605" i="97" s="1"/>
  <c r="H601" i="97"/>
  <c r="I601" i="97" s="1"/>
  <c r="H597" i="97"/>
  <c r="I597" i="97" s="1"/>
  <c r="H593" i="97"/>
  <c r="I593" i="97" s="1"/>
  <c r="H589" i="97"/>
  <c r="I589" i="97" s="1"/>
  <c r="H585" i="97"/>
  <c r="I585" i="97" s="1"/>
  <c r="H581" i="97"/>
  <c r="I581" i="97" s="1"/>
  <c r="H577" i="97"/>
  <c r="I577" i="97" s="1"/>
  <c r="H573" i="97"/>
  <c r="I573" i="97" s="1"/>
  <c r="H569" i="97"/>
  <c r="I569" i="97" s="1"/>
  <c r="H565" i="97"/>
  <c r="I565" i="97" s="1"/>
  <c r="H561" i="97"/>
  <c r="I561" i="97" s="1"/>
  <c r="H557" i="97"/>
  <c r="I557" i="97" s="1"/>
  <c r="H553" i="97"/>
  <c r="I553" i="97" s="1"/>
  <c r="H549" i="97"/>
  <c r="I549" i="97" s="1"/>
  <c r="H545" i="97"/>
  <c r="I545" i="97" s="1"/>
  <c r="H541" i="97"/>
  <c r="I541" i="97" s="1"/>
  <c r="H508" i="97"/>
  <c r="I508" i="97" s="1"/>
  <c r="H504" i="97"/>
  <c r="I504" i="97" s="1"/>
  <c r="H500" i="97"/>
  <c r="I500" i="97" s="1"/>
  <c r="H496" i="97"/>
  <c r="I496" i="97" s="1"/>
  <c r="H492" i="97"/>
  <c r="I492" i="97" s="1"/>
  <c r="H488" i="97"/>
  <c r="I488" i="97" s="1"/>
  <c r="H484" i="97"/>
  <c r="I484" i="97" s="1"/>
  <c r="H480" i="97"/>
  <c r="I480" i="97" s="1"/>
  <c r="H476" i="97"/>
  <c r="I476" i="97" s="1"/>
  <c r="H472" i="97"/>
  <c r="I472" i="97" s="1"/>
  <c r="H468" i="97"/>
  <c r="I468" i="97" s="1"/>
  <c r="H464" i="97"/>
  <c r="I464" i="97" s="1"/>
  <c r="H460" i="97"/>
  <c r="I460" i="97" s="1"/>
  <c r="H456" i="97"/>
  <c r="I456" i="97" s="1"/>
  <c r="H452" i="97"/>
  <c r="I452" i="97" s="1"/>
  <c r="H448" i="97"/>
  <c r="I448" i="97" s="1"/>
  <c r="H444" i="97"/>
  <c r="I444" i="97" s="1"/>
  <c r="H440" i="97"/>
  <c r="I440" i="97" s="1"/>
  <c r="H436" i="97"/>
  <c r="I436" i="97" s="1"/>
  <c r="H432" i="97"/>
  <c r="I432" i="97" s="1"/>
  <c r="H428" i="97"/>
  <c r="I428" i="97" s="1"/>
  <c r="H424" i="97"/>
  <c r="I424" i="97" s="1"/>
  <c r="H420" i="97"/>
  <c r="I420" i="97" s="1"/>
  <c r="H416" i="97"/>
  <c r="I416" i="97" s="1"/>
  <c r="H412" i="97"/>
  <c r="I412" i="97" s="1"/>
  <c r="H408" i="97"/>
  <c r="I408" i="97" s="1"/>
  <c r="H406" i="97"/>
  <c r="I406" i="97" s="1"/>
  <c r="H404" i="97"/>
  <c r="I404" i="97" s="1"/>
  <c r="H402" i="97"/>
  <c r="I402" i="97" s="1"/>
  <c r="H400" i="97"/>
  <c r="I400" i="97" s="1"/>
  <c r="H398" i="97"/>
  <c r="I398" i="97" s="1"/>
  <c r="H396" i="97"/>
  <c r="I396" i="97" s="1"/>
  <c r="H394" i="97"/>
  <c r="I394" i="97" s="1"/>
  <c r="H392" i="97"/>
  <c r="I392" i="97" s="1"/>
  <c r="H390" i="97"/>
  <c r="I390" i="97" s="1"/>
  <c r="H388" i="97"/>
  <c r="I388" i="97" s="1"/>
  <c r="H346" i="97"/>
  <c r="I346" i="97" s="1"/>
  <c r="H344" i="97"/>
  <c r="I344" i="97" s="1"/>
  <c r="H342" i="97"/>
  <c r="I342" i="97" s="1"/>
  <c r="H340" i="97"/>
  <c r="I340" i="97" s="1"/>
  <c r="H338" i="97"/>
  <c r="I338" i="97" s="1"/>
  <c r="H336" i="97"/>
  <c r="I336" i="97" s="1"/>
  <c r="H334" i="97"/>
  <c r="I334" i="97" s="1"/>
  <c r="H332" i="97"/>
  <c r="I332" i="97" s="1"/>
  <c r="H330" i="97"/>
  <c r="I330" i="97" s="1"/>
  <c r="H328" i="97"/>
  <c r="I328" i="97" s="1"/>
  <c r="H326" i="97"/>
  <c r="I326" i="97" s="1"/>
  <c r="H324" i="97"/>
  <c r="I324" i="97" s="1"/>
  <c r="H217" i="97"/>
  <c r="I217" i="97" s="1"/>
  <c r="H215" i="97"/>
  <c r="I215" i="97" s="1"/>
  <c r="H213" i="97"/>
  <c r="I213" i="97" s="1"/>
  <c r="H211" i="97"/>
  <c r="I211" i="97" s="1"/>
  <c r="H97" i="97"/>
  <c r="I97" i="97" s="1"/>
  <c r="H95" i="97"/>
  <c r="I95" i="97" s="1"/>
  <c r="H325" i="97"/>
  <c r="I325" i="97" s="1"/>
  <c r="H216" i="97"/>
  <c r="I216" i="97" s="1"/>
  <c r="H212" i="97"/>
  <c r="I212" i="97" s="1"/>
  <c r="H98" i="97"/>
  <c r="I98" i="97" s="1"/>
  <c r="H603" i="97"/>
  <c r="I603" i="97" s="1"/>
  <c r="H599" i="97"/>
  <c r="I599" i="97" s="1"/>
  <c r="H595" i="97"/>
  <c r="I595" i="97" s="1"/>
  <c r="H591" i="97"/>
  <c r="I591" i="97" s="1"/>
  <c r="H587" i="97"/>
  <c r="I587" i="97" s="1"/>
  <c r="H583" i="97"/>
  <c r="I583" i="97" s="1"/>
  <c r="H579" i="97"/>
  <c r="I579" i="97" s="1"/>
  <c r="H575" i="97"/>
  <c r="I575" i="97" s="1"/>
  <c r="H571" i="97"/>
  <c r="I571" i="97" s="1"/>
  <c r="H567" i="97"/>
  <c r="I567" i="97" s="1"/>
  <c r="H563" i="97"/>
  <c r="I563" i="97" s="1"/>
  <c r="H559" i="97"/>
  <c r="I559" i="97" s="1"/>
  <c r="H555" i="97"/>
  <c r="I555" i="97" s="1"/>
  <c r="H551" i="97"/>
  <c r="I551" i="97" s="1"/>
  <c r="H547" i="97"/>
  <c r="I547" i="97" s="1"/>
  <c r="H543" i="97"/>
  <c r="I543" i="97" s="1"/>
  <c r="H510" i="97"/>
  <c r="I510" i="97" s="1"/>
  <c r="H506" i="97"/>
  <c r="I506" i="97" s="1"/>
  <c r="H502" i="97"/>
  <c r="I502" i="97" s="1"/>
  <c r="H498" i="97"/>
  <c r="I498" i="97" s="1"/>
  <c r="H494" i="97"/>
  <c r="I494" i="97" s="1"/>
  <c r="H490" i="97"/>
  <c r="I490" i="97" s="1"/>
  <c r="H486" i="97"/>
  <c r="I486" i="97" s="1"/>
  <c r="H482" i="97"/>
  <c r="I482" i="97" s="1"/>
  <c r="H478" i="97"/>
  <c r="I478" i="97" s="1"/>
  <c r="H474" i="97"/>
  <c r="I474" i="97" s="1"/>
  <c r="H470" i="97"/>
  <c r="I470" i="97" s="1"/>
  <c r="H466" i="97"/>
  <c r="I466" i="97" s="1"/>
  <c r="H462" i="97"/>
  <c r="I462" i="97" s="1"/>
  <c r="H458" i="97"/>
  <c r="I458" i="97" s="1"/>
  <c r="H454" i="97"/>
  <c r="I454" i="97" s="1"/>
  <c r="H450" i="97"/>
  <c r="I450" i="97" s="1"/>
  <c r="H446" i="97"/>
  <c r="I446" i="97" s="1"/>
  <c r="H442" i="97"/>
  <c r="I442" i="97" s="1"/>
  <c r="H438" i="97"/>
  <c r="I438" i="97" s="1"/>
  <c r="H434" i="97"/>
  <c r="I434" i="97" s="1"/>
  <c r="H430" i="97"/>
  <c r="I430" i="97" s="1"/>
  <c r="H426" i="97"/>
  <c r="I426" i="97" s="1"/>
  <c r="H422" i="97"/>
  <c r="I422" i="97" s="1"/>
  <c r="H418" i="97"/>
  <c r="I418" i="97" s="1"/>
  <c r="H414" i="97"/>
  <c r="I414" i="97" s="1"/>
  <c r="H410" i="97"/>
  <c r="I410" i="97" s="1"/>
  <c r="H407" i="97"/>
  <c r="I407" i="97" s="1"/>
  <c r="H405" i="97"/>
  <c r="I405" i="97" s="1"/>
  <c r="H403" i="97"/>
  <c r="I403" i="97" s="1"/>
  <c r="H401" i="97"/>
  <c r="I401" i="97" s="1"/>
  <c r="H399" i="97"/>
  <c r="I399" i="97" s="1"/>
  <c r="H397" i="97"/>
  <c r="I397" i="97" s="1"/>
  <c r="H395" i="97"/>
  <c r="I395" i="97" s="1"/>
  <c r="H393" i="97"/>
  <c r="I393" i="97" s="1"/>
  <c r="H391" i="97"/>
  <c r="I391" i="97" s="1"/>
  <c r="H389" i="97"/>
  <c r="I389" i="97" s="1"/>
  <c r="H387" i="97"/>
  <c r="I387" i="97" s="1"/>
  <c r="H345" i="97"/>
  <c r="I345" i="97" s="1"/>
  <c r="H343" i="97"/>
  <c r="I343" i="97" s="1"/>
  <c r="H341" i="97"/>
  <c r="I341" i="97" s="1"/>
  <c r="H339" i="97"/>
  <c r="I339" i="97" s="1"/>
  <c r="H337" i="97"/>
  <c r="I337" i="97" s="1"/>
  <c r="H335" i="97"/>
  <c r="I335" i="97" s="1"/>
  <c r="H333" i="97"/>
  <c r="I333" i="97" s="1"/>
  <c r="H331" i="97"/>
  <c r="I331" i="97" s="1"/>
  <c r="H329" i="97"/>
  <c r="I329" i="97" s="1"/>
  <c r="H327" i="97"/>
  <c r="I327" i="97" s="1"/>
  <c r="H323" i="97"/>
  <c r="I323" i="97" s="1"/>
  <c r="H214" i="97"/>
  <c r="I214" i="97" s="1"/>
  <c r="H96" i="97"/>
  <c r="I96" i="97" s="1"/>
  <c r="H12" i="97"/>
  <c r="I12" i="97" s="1"/>
  <c r="H10" i="97"/>
  <c r="I10" i="97" s="1"/>
  <c r="H8" i="97"/>
  <c r="I8" i="97" s="1"/>
  <c r="H6" i="97"/>
  <c r="I6" i="97" s="1"/>
  <c r="H4" i="97"/>
  <c r="I4" i="97" s="1"/>
  <c r="H94" i="97"/>
  <c r="I94" i="97" s="1"/>
  <c r="H11" i="97"/>
  <c r="I11" i="97" s="1"/>
  <c r="H9" i="97"/>
  <c r="I9" i="97" s="1"/>
  <c r="H7" i="97"/>
  <c r="I7" i="97" s="1"/>
  <c r="H5" i="97"/>
  <c r="I5" i="97" s="1"/>
  <c r="R25" i="95"/>
  <c r="S24" i="95"/>
  <c r="I606" i="98" s="1"/>
  <c r="H606" i="98" s="1"/>
  <c r="R27" i="95"/>
  <c r="R26" i="95"/>
  <c r="R29" i="95"/>
  <c r="R30" i="95"/>
  <c r="C32" i="9"/>
  <c r="C35" i="9" s="1"/>
  <c r="G21" i="9"/>
  <c r="I3" i="98" l="1"/>
  <c r="H663" i="98"/>
  <c r="I663" i="98" s="1"/>
  <c r="H659" i="98"/>
  <c r="I659" i="98" s="1"/>
  <c r="H655" i="98"/>
  <c r="I655" i="98" s="1"/>
  <c r="H651" i="98"/>
  <c r="I651" i="98" s="1"/>
  <c r="H647" i="98"/>
  <c r="I647" i="98" s="1"/>
  <c r="H643" i="98"/>
  <c r="I643" i="98" s="1"/>
  <c r="H538" i="98"/>
  <c r="I538" i="98" s="1"/>
  <c r="H534" i="98"/>
  <c r="I534" i="98" s="1"/>
  <c r="H386" i="98"/>
  <c r="I386" i="98" s="1"/>
  <c r="H320" i="98"/>
  <c r="I320" i="98" s="1"/>
  <c r="H316" i="98"/>
  <c r="I316" i="98" s="1"/>
  <c r="H208" i="98"/>
  <c r="I208" i="98" s="1"/>
  <c r="H204" i="98"/>
  <c r="I204" i="98" s="1"/>
  <c r="H200" i="98"/>
  <c r="I200" i="98" s="1"/>
  <c r="H196" i="98"/>
  <c r="I196" i="98" s="1"/>
  <c r="H192" i="98"/>
  <c r="I192" i="98" s="1"/>
  <c r="H188" i="98"/>
  <c r="I188" i="98" s="1"/>
  <c r="H184" i="98"/>
  <c r="I184" i="98" s="1"/>
  <c r="H180" i="98"/>
  <c r="I180" i="98" s="1"/>
  <c r="H176" i="98"/>
  <c r="I176" i="98" s="1"/>
  <c r="H172" i="98"/>
  <c r="I172" i="98" s="1"/>
  <c r="H168" i="98"/>
  <c r="I168" i="98" s="1"/>
  <c r="H164" i="98"/>
  <c r="I164" i="98" s="1"/>
  <c r="H160" i="98"/>
  <c r="I160" i="98" s="1"/>
  <c r="H664" i="98"/>
  <c r="I664" i="98" s="1"/>
  <c r="H660" i="98"/>
  <c r="I660" i="98" s="1"/>
  <c r="H656" i="98"/>
  <c r="I656" i="98" s="1"/>
  <c r="H652" i="98"/>
  <c r="I652" i="98" s="1"/>
  <c r="H648" i="98"/>
  <c r="I648" i="98" s="1"/>
  <c r="H644" i="98"/>
  <c r="I644" i="98" s="1"/>
  <c r="H539" i="98"/>
  <c r="I539" i="98" s="1"/>
  <c r="H535" i="98"/>
  <c r="I535" i="98" s="1"/>
  <c r="H531" i="98"/>
  <c r="I531" i="98" s="1"/>
  <c r="H321" i="98"/>
  <c r="I321" i="98" s="1"/>
  <c r="H317" i="98"/>
  <c r="I317" i="98" s="1"/>
  <c r="H209" i="98"/>
  <c r="I209" i="98" s="1"/>
  <c r="H205" i="98"/>
  <c r="I205" i="98" s="1"/>
  <c r="H201" i="98"/>
  <c r="I201" i="98" s="1"/>
  <c r="H197" i="98"/>
  <c r="I197" i="98" s="1"/>
  <c r="H193" i="98"/>
  <c r="I193" i="98" s="1"/>
  <c r="H189" i="98"/>
  <c r="I189" i="98" s="1"/>
  <c r="H185" i="98"/>
  <c r="I185" i="98" s="1"/>
  <c r="H181" i="98"/>
  <c r="I181" i="98" s="1"/>
  <c r="H177" i="98"/>
  <c r="I177" i="98" s="1"/>
  <c r="H173" i="98"/>
  <c r="I173" i="98" s="1"/>
  <c r="H169" i="98"/>
  <c r="I169" i="98" s="1"/>
  <c r="H165" i="98"/>
  <c r="I165" i="98" s="1"/>
  <c r="H161" i="98"/>
  <c r="I161" i="98" s="1"/>
  <c r="H187" i="98"/>
  <c r="I187" i="98" s="1"/>
  <c r="H179" i="98"/>
  <c r="I179" i="98" s="1"/>
  <c r="H171" i="98"/>
  <c r="I171" i="98" s="1"/>
  <c r="H163" i="98"/>
  <c r="I163" i="98" s="1"/>
  <c r="H665" i="98"/>
  <c r="I665" i="98" s="1"/>
  <c r="H661" i="98"/>
  <c r="I661" i="98" s="1"/>
  <c r="H657" i="98"/>
  <c r="I657" i="98" s="1"/>
  <c r="H653" i="98"/>
  <c r="I653" i="98" s="1"/>
  <c r="H649" i="98"/>
  <c r="I649" i="98" s="1"/>
  <c r="H645" i="98"/>
  <c r="I645" i="98" s="1"/>
  <c r="H540" i="98"/>
  <c r="I540" i="98" s="1"/>
  <c r="H536" i="98"/>
  <c r="I536" i="98" s="1"/>
  <c r="H532" i="98"/>
  <c r="I532" i="98" s="1"/>
  <c r="H384" i="98"/>
  <c r="I384" i="98" s="1"/>
  <c r="H318" i="98"/>
  <c r="I318" i="98" s="1"/>
  <c r="H210" i="98"/>
  <c r="I210" i="98" s="1"/>
  <c r="H206" i="98"/>
  <c r="I206" i="98" s="1"/>
  <c r="H202" i="98"/>
  <c r="I202" i="98" s="1"/>
  <c r="H198" i="98"/>
  <c r="I198" i="98" s="1"/>
  <c r="H194" i="98"/>
  <c r="I194" i="98" s="1"/>
  <c r="H190" i="98"/>
  <c r="I190" i="98" s="1"/>
  <c r="H186" i="98"/>
  <c r="I186" i="98" s="1"/>
  <c r="H182" i="98"/>
  <c r="I182" i="98" s="1"/>
  <c r="H178" i="98"/>
  <c r="I178" i="98" s="1"/>
  <c r="H174" i="98"/>
  <c r="I174" i="98" s="1"/>
  <c r="H170" i="98"/>
  <c r="I170" i="98" s="1"/>
  <c r="H166" i="98"/>
  <c r="I166" i="98" s="1"/>
  <c r="H162" i="98"/>
  <c r="I162" i="98" s="1"/>
  <c r="H666" i="98"/>
  <c r="I666" i="98" s="1"/>
  <c r="H662" i="98"/>
  <c r="I662" i="98" s="1"/>
  <c r="H658" i="98"/>
  <c r="I658" i="98" s="1"/>
  <c r="H654" i="98"/>
  <c r="I654" i="98" s="1"/>
  <c r="H650" i="98"/>
  <c r="I650" i="98" s="1"/>
  <c r="H646" i="98"/>
  <c r="I646" i="98" s="1"/>
  <c r="H642" i="98"/>
  <c r="I642" i="98" s="1"/>
  <c r="H537" i="98"/>
  <c r="I537" i="98" s="1"/>
  <c r="H533" i="98"/>
  <c r="I533" i="98" s="1"/>
  <c r="H385" i="98"/>
  <c r="I385" i="98" s="1"/>
  <c r="H319" i="98"/>
  <c r="I319" i="98" s="1"/>
  <c r="H315" i="98"/>
  <c r="I315" i="98" s="1"/>
  <c r="H207" i="98"/>
  <c r="I207" i="98" s="1"/>
  <c r="H203" i="98"/>
  <c r="I203" i="98" s="1"/>
  <c r="H199" i="98"/>
  <c r="I199" i="98" s="1"/>
  <c r="H195" i="98"/>
  <c r="I195" i="98" s="1"/>
  <c r="H191" i="98"/>
  <c r="I191" i="98" s="1"/>
  <c r="H183" i="98"/>
  <c r="I183" i="98" s="1"/>
  <c r="H175" i="98"/>
  <c r="I175" i="98" s="1"/>
  <c r="H167" i="98"/>
  <c r="I167" i="98" s="1"/>
  <c r="H159" i="97"/>
  <c r="I159" i="97" s="1"/>
  <c r="H159" i="98"/>
  <c r="I159" i="98" s="1"/>
  <c r="H637" i="98"/>
  <c r="I637" i="98" s="1"/>
  <c r="H633" i="98"/>
  <c r="I633" i="98" s="1"/>
  <c r="H629" i="98"/>
  <c r="I629" i="98" s="1"/>
  <c r="H625" i="98"/>
  <c r="I625" i="98" s="1"/>
  <c r="H621" i="98"/>
  <c r="I621" i="98" s="1"/>
  <c r="H617" i="98"/>
  <c r="I617" i="98" s="1"/>
  <c r="H613" i="98"/>
  <c r="I613" i="98" s="1"/>
  <c r="H609" i="98"/>
  <c r="I609" i="98" s="1"/>
  <c r="H529" i="98"/>
  <c r="I529" i="98" s="1"/>
  <c r="H525" i="98"/>
  <c r="I525" i="98" s="1"/>
  <c r="H521" i="98"/>
  <c r="I521" i="98" s="1"/>
  <c r="H517" i="98"/>
  <c r="I517" i="98" s="1"/>
  <c r="H513" i="98"/>
  <c r="I513" i="98" s="1"/>
  <c r="H381" i="98"/>
  <c r="I381" i="98" s="1"/>
  <c r="H377" i="98"/>
  <c r="I377" i="98" s="1"/>
  <c r="H372" i="98"/>
  <c r="I372" i="98" s="1"/>
  <c r="H368" i="98"/>
  <c r="I368" i="98" s="1"/>
  <c r="H364" i="98"/>
  <c r="I364" i="98" s="1"/>
  <c r="H360" i="98"/>
  <c r="I360" i="98" s="1"/>
  <c r="H356" i="98"/>
  <c r="I356" i="98" s="1"/>
  <c r="H352" i="98"/>
  <c r="I352" i="98" s="1"/>
  <c r="H348" i="98"/>
  <c r="I348" i="98" s="1"/>
  <c r="H313" i="98"/>
  <c r="I313" i="98" s="1"/>
  <c r="H309" i="98"/>
  <c r="I309" i="98" s="1"/>
  <c r="H305" i="98"/>
  <c r="I305" i="98" s="1"/>
  <c r="H301" i="98"/>
  <c r="I301" i="98" s="1"/>
  <c r="H297" i="98"/>
  <c r="I297" i="98" s="1"/>
  <c r="H293" i="98"/>
  <c r="I293" i="98" s="1"/>
  <c r="H289" i="98"/>
  <c r="I289" i="98" s="1"/>
  <c r="H285" i="98"/>
  <c r="I285" i="98" s="1"/>
  <c r="H281" i="98"/>
  <c r="I281" i="98" s="1"/>
  <c r="H277" i="98"/>
  <c r="I277" i="98" s="1"/>
  <c r="H273" i="98"/>
  <c r="I273" i="98" s="1"/>
  <c r="H269" i="98"/>
  <c r="I269" i="98" s="1"/>
  <c r="H265" i="98"/>
  <c r="I265" i="98" s="1"/>
  <c r="H261" i="98"/>
  <c r="I261" i="98" s="1"/>
  <c r="H257" i="98"/>
  <c r="I257" i="98" s="1"/>
  <c r="H253" i="98"/>
  <c r="I253" i="98" s="1"/>
  <c r="H249" i="98"/>
  <c r="I249" i="98" s="1"/>
  <c r="H245" i="98"/>
  <c r="I245" i="98" s="1"/>
  <c r="H241" i="98"/>
  <c r="I241" i="98" s="1"/>
  <c r="H237" i="98"/>
  <c r="I237" i="98" s="1"/>
  <c r="H233" i="98"/>
  <c r="I233" i="98" s="1"/>
  <c r="H229" i="98"/>
  <c r="I229" i="98" s="1"/>
  <c r="H225" i="98"/>
  <c r="I225" i="98" s="1"/>
  <c r="H221" i="98"/>
  <c r="I221" i="98" s="1"/>
  <c r="H155" i="98"/>
  <c r="I155" i="98" s="1"/>
  <c r="H151" i="98"/>
  <c r="I151" i="98" s="1"/>
  <c r="H147" i="98"/>
  <c r="I147" i="98" s="1"/>
  <c r="H143" i="98"/>
  <c r="I143" i="98" s="1"/>
  <c r="H91" i="98"/>
  <c r="I91" i="98" s="1"/>
  <c r="H87" i="98"/>
  <c r="I87" i="98" s="1"/>
  <c r="H83" i="98"/>
  <c r="I83" i="98" s="1"/>
  <c r="H79" i="98"/>
  <c r="I79" i="98" s="1"/>
  <c r="H75" i="98"/>
  <c r="I75" i="98" s="1"/>
  <c r="H71" i="98"/>
  <c r="I71" i="98" s="1"/>
  <c r="H250" i="98"/>
  <c r="I250" i="98" s="1"/>
  <c r="H242" i="98"/>
  <c r="I242" i="98" s="1"/>
  <c r="H238" i="98"/>
  <c r="I238" i="98" s="1"/>
  <c r="H230" i="98"/>
  <c r="I230" i="98" s="1"/>
  <c r="H226" i="98"/>
  <c r="I226" i="98" s="1"/>
  <c r="H222" i="98"/>
  <c r="I222" i="98" s="1"/>
  <c r="H156" i="98"/>
  <c r="I156" i="98" s="1"/>
  <c r="H148" i="98"/>
  <c r="I148" i="98" s="1"/>
  <c r="H144" i="98"/>
  <c r="I144" i="98" s="1"/>
  <c r="H92" i="98"/>
  <c r="I92" i="98" s="1"/>
  <c r="H88" i="98"/>
  <c r="I88" i="98" s="1"/>
  <c r="H84" i="98"/>
  <c r="I84" i="98" s="1"/>
  <c r="H76" i="98"/>
  <c r="I76" i="98" s="1"/>
  <c r="H72" i="98"/>
  <c r="I72" i="98" s="1"/>
  <c r="H639" i="98"/>
  <c r="I639" i="98" s="1"/>
  <c r="H635" i="98"/>
  <c r="I635" i="98" s="1"/>
  <c r="H627" i="98"/>
  <c r="I627" i="98" s="1"/>
  <c r="H623" i="98"/>
  <c r="I623" i="98" s="1"/>
  <c r="H619" i="98"/>
  <c r="I619" i="98" s="1"/>
  <c r="H615" i="98"/>
  <c r="I615" i="98" s="1"/>
  <c r="H607" i="98"/>
  <c r="I607" i="98" s="1"/>
  <c r="H523" i="98"/>
  <c r="I523" i="98" s="1"/>
  <c r="H515" i="98"/>
  <c r="I515" i="98" s="1"/>
  <c r="H379" i="98"/>
  <c r="I379" i="98" s="1"/>
  <c r="H370" i="98"/>
  <c r="I370" i="98" s="1"/>
  <c r="H362" i="98"/>
  <c r="I362" i="98" s="1"/>
  <c r="H354" i="98"/>
  <c r="I354" i="98" s="1"/>
  <c r="H346" i="98"/>
  <c r="I346" i="98" s="1"/>
  <c r="H307" i="98"/>
  <c r="I307" i="98" s="1"/>
  <c r="H299" i="98"/>
  <c r="I299" i="98" s="1"/>
  <c r="H291" i="98"/>
  <c r="I291" i="98" s="1"/>
  <c r="H283" i="98"/>
  <c r="I283" i="98" s="1"/>
  <c r="H275" i="98"/>
  <c r="I275" i="98" s="1"/>
  <c r="H267" i="98"/>
  <c r="I267" i="98" s="1"/>
  <c r="H259" i="98"/>
  <c r="I259" i="98" s="1"/>
  <c r="H251" i="98"/>
  <c r="I251" i="98" s="1"/>
  <c r="H243" i="98"/>
  <c r="I243" i="98" s="1"/>
  <c r="H235" i="98"/>
  <c r="I235" i="98" s="1"/>
  <c r="H227" i="98"/>
  <c r="I227" i="98" s="1"/>
  <c r="H157" i="98"/>
  <c r="I157" i="98" s="1"/>
  <c r="H149" i="98"/>
  <c r="I149" i="98" s="1"/>
  <c r="H93" i="98"/>
  <c r="I93" i="98" s="1"/>
  <c r="H85" i="98"/>
  <c r="I85" i="98" s="1"/>
  <c r="H77" i="98"/>
  <c r="I77" i="98" s="1"/>
  <c r="H69" i="98"/>
  <c r="I69" i="98" s="1"/>
  <c r="H640" i="98"/>
  <c r="I640" i="98" s="1"/>
  <c r="H632" i="98"/>
  <c r="I632" i="98" s="1"/>
  <c r="H624" i="98"/>
  <c r="I624" i="98" s="1"/>
  <c r="H616" i="98"/>
  <c r="I616" i="98" s="1"/>
  <c r="H608" i="98"/>
  <c r="I608" i="98" s="1"/>
  <c r="H524" i="98"/>
  <c r="I524" i="98" s="1"/>
  <c r="H516" i="98"/>
  <c r="I516" i="98" s="1"/>
  <c r="H380" i="98"/>
  <c r="I380" i="98" s="1"/>
  <c r="H371" i="98"/>
  <c r="I371" i="98" s="1"/>
  <c r="H363" i="98"/>
  <c r="I363" i="98" s="1"/>
  <c r="H355" i="98"/>
  <c r="I355" i="98" s="1"/>
  <c r="H347" i="98"/>
  <c r="I347" i="98" s="1"/>
  <c r="H308" i="98"/>
  <c r="I308" i="98" s="1"/>
  <c r="H300" i="98"/>
  <c r="I300" i="98" s="1"/>
  <c r="H292" i="98"/>
  <c r="I292" i="98" s="1"/>
  <c r="H284" i="98"/>
  <c r="I284" i="98" s="1"/>
  <c r="H276" i="98"/>
  <c r="I276" i="98" s="1"/>
  <c r="H272" i="98"/>
  <c r="I272" i="98" s="1"/>
  <c r="H264" i="98"/>
  <c r="I264" i="98" s="1"/>
  <c r="H256" i="98"/>
  <c r="I256" i="98" s="1"/>
  <c r="H248" i="98"/>
  <c r="I248" i="98" s="1"/>
  <c r="H240" i="98"/>
  <c r="I240" i="98" s="1"/>
  <c r="H232" i="98"/>
  <c r="I232" i="98" s="1"/>
  <c r="H224" i="98"/>
  <c r="I224" i="98" s="1"/>
  <c r="H154" i="98"/>
  <c r="I154" i="98" s="1"/>
  <c r="H146" i="98"/>
  <c r="I146" i="98" s="1"/>
  <c r="H90" i="98"/>
  <c r="I90" i="98" s="1"/>
  <c r="H82" i="98"/>
  <c r="I82" i="98" s="1"/>
  <c r="H74" i="98"/>
  <c r="I74" i="98" s="1"/>
  <c r="H638" i="98"/>
  <c r="I638" i="98" s="1"/>
  <c r="H634" i="98"/>
  <c r="I634" i="98" s="1"/>
  <c r="H630" i="98"/>
  <c r="I630" i="98" s="1"/>
  <c r="H626" i="98"/>
  <c r="I626" i="98" s="1"/>
  <c r="H622" i="98"/>
  <c r="I622" i="98" s="1"/>
  <c r="H618" i="98"/>
  <c r="I618" i="98" s="1"/>
  <c r="H614" i="98"/>
  <c r="I614" i="98" s="1"/>
  <c r="H610" i="98"/>
  <c r="I610" i="98" s="1"/>
  <c r="H530" i="98"/>
  <c r="I530" i="98" s="1"/>
  <c r="H526" i="98"/>
  <c r="I526" i="98" s="1"/>
  <c r="H522" i="98"/>
  <c r="I522" i="98" s="1"/>
  <c r="H518" i="98"/>
  <c r="I518" i="98" s="1"/>
  <c r="H514" i="98"/>
  <c r="I514" i="98" s="1"/>
  <c r="H382" i="98"/>
  <c r="I382" i="98" s="1"/>
  <c r="H378" i="98"/>
  <c r="I378" i="98" s="1"/>
  <c r="H373" i="98"/>
  <c r="I373" i="98" s="1"/>
  <c r="H369" i="98"/>
  <c r="I369" i="98" s="1"/>
  <c r="H365" i="98"/>
  <c r="I365" i="98" s="1"/>
  <c r="H361" i="98"/>
  <c r="I361" i="98" s="1"/>
  <c r="H357" i="98"/>
  <c r="I357" i="98" s="1"/>
  <c r="H353" i="98"/>
  <c r="I353" i="98" s="1"/>
  <c r="H349" i="98"/>
  <c r="I349" i="98" s="1"/>
  <c r="H314" i="98"/>
  <c r="I314" i="98" s="1"/>
  <c r="H310" i="98"/>
  <c r="I310" i="98" s="1"/>
  <c r="H306" i="98"/>
  <c r="I306" i="98" s="1"/>
  <c r="H302" i="98"/>
  <c r="I302" i="98" s="1"/>
  <c r="H298" i="98"/>
  <c r="I298" i="98" s="1"/>
  <c r="H294" i="98"/>
  <c r="I294" i="98" s="1"/>
  <c r="H290" i="98"/>
  <c r="I290" i="98" s="1"/>
  <c r="H286" i="98"/>
  <c r="I286" i="98" s="1"/>
  <c r="H282" i="98"/>
  <c r="I282" i="98" s="1"/>
  <c r="H278" i="98"/>
  <c r="I278" i="98" s="1"/>
  <c r="H274" i="98"/>
  <c r="I274" i="98" s="1"/>
  <c r="H270" i="98"/>
  <c r="I270" i="98" s="1"/>
  <c r="H266" i="98"/>
  <c r="I266" i="98" s="1"/>
  <c r="H262" i="98"/>
  <c r="I262" i="98" s="1"/>
  <c r="H258" i="98"/>
  <c r="I258" i="98" s="1"/>
  <c r="H254" i="98"/>
  <c r="I254" i="98" s="1"/>
  <c r="H246" i="98"/>
  <c r="I246" i="98" s="1"/>
  <c r="H234" i="98"/>
  <c r="I234" i="98" s="1"/>
  <c r="H152" i="98"/>
  <c r="I152" i="98" s="1"/>
  <c r="H80" i="98"/>
  <c r="I80" i="98" s="1"/>
  <c r="H631" i="98"/>
  <c r="I631" i="98" s="1"/>
  <c r="H611" i="98"/>
  <c r="I611" i="98" s="1"/>
  <c r="H527" i="98"/>
  <c r="I527" i="98" s="1"/>
  <c r="H519" i="98"/>
  <c r="I519" i="98" s="1"/>
  <c r="H383" i="98"/>
  <c r="I383" i="98" s="1"/>
  <c r="H374" i="98"/>
  <c r="I374" i="98" s="1"/>
  <c r="H366" i="98"/>
  <c r="I366" i="98" s="1"/>
  <c r="H358" i="98"/>
  <c r="I358" i="98" s="1"/>
  <c r="H350" i="98"/>
  <c r="I350" i="98" s="1"/>
  <c r="H311" i="98"/>
  <c r="I311" i="98" s="1"/>
  <c r="H303" i="98"/>
  <c r="I303" i="98" s="1"/>
  <c r="H295" i="98"/>
  <c r="I295" i="98" s="1"/>
  <c r="H287" i="98"/>
  <c r="I287" i="98" s="1"/>
  <c r="H279" i="98"/>
  <c r="I279" i="98" s="1"/>
  <c r="H271" i="98"/>
  <c r="I271" i="98" s="1"/>
  <c r="H263" i="98"/>
  <c r="I263" i="98" s="1"/>
  <c r="H255" i="98"/>
  <c r="I255" i="98" s="1"/>
  <c r="H247" i="98"/>
  <c r="I247" i="98" s="1"/>
  <c r="H239" i="98"/>
  <c r="I239" i="98" s="1"/>
  <c r="H231" i="98"/>
  <c r="I231" i="98" s="1"/>
  <c r="H223" i="98"/>
  <c r="I223" i="98" s="1"/>
  <c r="H153" i="98"/>
  <c r="I153" i="98" s="1"/>
  <c r="H145" i="98"/>
  <c r="I145" i="98" s="1"/>
  <c r="H89" i="98"/>
  <c r="I89" i="98" s="1"/>
  <c r="H81" i="98"/>
  <c r="I81" i="98" s="1"/>
  <c r="H73" i="98"/>
  <c r="I73" i="98" s="1"/>
  <c r="H636" i="98"/>
  <c r="I636" i="98" s="1"/>
  <c r="H628" i="98"/>
  <c r="I628" i="98" s="1"/>
  <c r="H620" i="98"/>
  <c r="I620" i="98" s="1"/>
  <c r="H612" i="98"/>
  <c r="I612" i="98" s="1"/>
  <c r="H528" i="98"/>
  <c r="I528" i="98" s="1"/>
  <c r="H520" i="98"/>
  <c r="I520" i="98" s="1"/>
  <c r="H512" i="98"/>
  <c r="I512" i="98" s="1"/>
  <c r="H376" i="98"/>
  <c r="I376" i="98" s="1"/>
  <c r="H367" i="98"/>
  <c r="I367" i="98" s="1"/>
  <c r="H359" i="98"/>
  <c r="I359" i="98" s="1"/>
  <c r="H351" i="98"/>
  <c r="I351" i="98" s="1"/>
  <c r="H312" i="98"/>
  <c r="I312" i="98" s="1"/>
  <c r="H304" i="98"/>
  <c r="I304" i="98" s="1"/>
  <c r="H296" i="98"/>
  <c r="I296" i="98" s="1"/>
  <c r="H288" i="98"/>
  <c r="I288" i="98" s="1"/>
  <c r="H280" i="98"/>
  <c r="I280" i="98" s="1"/>
  <c r="H268" i="98"/>
  <c r="I268" i="98" s="1"/>
  <c r="H260" i="98"/>
  <c r="I260" i="98" s="1"/>
  <c r="H252" i="98"/>
  <c r="I252" i="98" s="1"/>
  <c r="H244" i="98"/>
  <c r="I244" i="98" s="1"/>
  <c r="H236" i="98"/>
  <c r="I236" i="98" s="1"/>
  <c r="H228" i="98"/>
  <c r="I228" i="98" s="1"/>
  <c r="H158" i="98"/>
  <c r="I158" i="98" s="1"/>
  <c r="H150" i="98"/>
  <c r="I150" i="98" s="1"/>
  <c r="H142" i="98"/>
  <c r="I142" i="98" s="1"/>
  <c r="H86" i="98"/>
  <c r="I86" i="98" s="1"/>
  <c r="H78" i="98"/>
  <c r="I78" i="98" s="1"/>
  <c r="H70" i="98"/>
  <c r="I70" i="98" s="1"/>
  <c r="H68" i="97"/>
  <c r="I68" i="97" s="1"/>
  <c r="H68" i="98"/>
  <c r="I68" i="98" s="1"/>
  <c r="H137" i="98"/>
  <c r="I137" i="98" s="1"/>
  <c r="H133" i="98"/>
  <c r="I133" i="98" s="1"/>
  <c r="H129" i="98"/>
  <c r="I129" i="98" s="1"/>
  <c r="H67" i="98"/>
  <c r="I67" i="98" s="1"/>
  <c r="H63" i="98"/>
  <c r="I63" i="98" s="1"/>
  <c r="H59" i="98"/>
  <c r="I59" i="98" s="1"/>
  <c r="H55" i="98"/>
  <c r="I55" i="98" s="1"/>
  <c r="H51" i="98"/>
  <c r="I51" i="98" s="1"/>
  <c r="H47" i="98"/>
  <c r="I47" i="98" s="1"/>
  <c r="H43" i="98"/>
  <c r="I43" i="98" s="1"/>
  <c r="H39" i="98"/>
  <c r="I39" i="98" s="1"/>
  <c r="H35" i="98"/>
  <c r="I35" i="98" s="1"/>
  <c r="H31" i="98"/>
  <c r="I31" i="98" s="1"/>
  <c r="H27" i="98"/>
  <c r="I27" i="98" s="1"/>
  <c r="H136" i="98"/>
  <c r="I136" i="98" s="1"/>
  <c r="H128" i="98"/>
  <c r="I128" i="98" s="1"/>
  <c r="H62" i="98"/>
  <c r="I62" i="98" s="1"/>
  <c r="H54" i="98"/>
  <c r="I54" i="98" s="1"/>
  <c r="H46" i="98"/>
  <c r="I46" i="98" s="1"/>
  <c r="H38" i="98"/>
  <c r="I38" i="98" s="1"/>
  <c r="H30" i="98"/>
  <c r="I30" i="98" s="1"/>
  <c r="H138" i="98"/>
  <c r="I138" i="98" s="1"/>
  <c r="H134" i="98"/>
  <c r="I134" i="98" s="1"/>
  <c r="H130" i="98"/>
  <c r="I130" i="98" s="1"/>
  <c r="H126" i="98"/>
  <c r="I126" i="98" s="1"/>
  <c r="H64" i="98"/>
  <c r="I64" i="98" s="1"/>
  <c r="H60" i="98"/>
  <c r="I60" i="98" s="1"/>
  <c r="H56" i="98"/>
  <c r="I56" i="98" s="1"/>
  <c r="H52" i="98"/>
  <c r="I52" i="98" s="1"/>
  <c r="H48" i="98"/>
  <c r="I48" i="98" s="1"/>
  <c r="H44" i="98"/>
  <c r="I44" i="98" s="1"/>
  <c r="H40" i="98"/>
  <c r="I40" i="98" s="1"/>
  <c r="H36" i="98"/>
  <c r="I36" i="98" s="1"/>
  <c r="H32" i="98"/>
  <c r="I32" i="98" s="1"/>
  <c r="H28" i="98"/>
  <c r="I28" i="98" s="1"/>
  <c r="H139" i="98"/>
  <c r="I139" i="98" s="1"/>
  <c r="H135" i="98"/>
  <c r="I135" i="98" s="1"/>
  <c r="H131" i="98"/>
  <c r="I131" i="98" s="1"/>
  <c r="H127" i="98"/>
  <c r="I127" i="98" s="1"/>
  <c r="H65" i="98"/>
  <c r="I65" i="98" s="1"/>
  <c r="H61" i="98"/>
  <c r="I61" i="98" s="1"/>
  <c r="H57" i="98"/>
  <c r="I57" i="98" s="1"/>
  <c r="H53" i="98"/>
  <c r="I53" i="98" s="1"/>
  <c r="H49" i="98"/>
  <c r="I49" i="98" s="1"/>
  <c r="H45" i="98"/>
  <c r="I45" i="98" s="1"/>
  <c r="H41" i="98"/>
  <c r="I41" i="98" s="1"/>
  <c r="H37" i="98"/>
  <c r="I37" i="98" s="1"/>
  <c r="H33" i="98"/>
  <c r="I33" i="98" s="1"/>
  <c r="H29" i="98"/>
  <c r="I29" i="98" s="1"/>
  <c r="H140" i="98"/>
  <c r="I140" i="98" s="1"/>
  <c r="H132" i="98"/>
  <c r="I132" i="98" s="1"/>
  <c r="H66" i="98"/>
  <c r="I66" i="98" s="1"/>
  <c r="H58" i="98"/>
  <c r="I58" i="98" s="1"/>
  <c r="H50" i="98"/>
  <c r="I50" i="98" s="1"/>
  <c r="H42" i="98"/>
  <c r="I42" i="98" s="1"/>
  <c r="H34" i="98"/>
  <c r="I34" i="98" s="1"/>
  <c r="H26" i="98"/>
  <c r="I26" i="98" s="1"/>
  <c r="H25" i="97"/>
  <c r="I25" i="97" s="1"/>
  <c r="H25" i="98"/>
  <c r="I25" i="98" s="1"/>
  <c r="H123" i="98"/>
  <c r="I123" i="98" s="1"/>
  <c r="H119" i="98"/>
  <c r="I119" i="98" s="1"/>
  <c r="H21" i="98"/>
  <c r="I21" i="98" s="1"/>
  <c r="H124" i="98"/>
  <c r="I124" i="98" s="1"/>
  <c r="H120" i="98"/>
  <c r="I120" i="98" s="1"/>
  <c r="H22" i="98"/>
  <c r="I22" i="98" s="1"/>
  <c r="H125" i="98"/>
  <c r="I125" i="98" s="1"/>
  <c r="H121" i="98"/>
  <c r="I121" i="98" s="1"/>
  <c r="H23" i="98"/>
  <c r="I23" i="98" s="1"/>
  <c r="H219" i="98"/>
  <c r="I219" i="98" s="1"/>
  <c r="H122" i="98"/>
  <c r="I122" i="98" s="1"/>
  <c r="H24" i="98"/>
  <c r="I24" i="98" s="1"/>
  <c r="H20" i="97"/>
  <c r="I20" i="97" s="1"/>
  <c r="H20" i="98"/>
  <c r="I20" i="98" s="1"/>
  <c r="H115" i="98"/>
  <c r="I115" i="98" s="1"/>
  <c r="H111" i="98"/>
  <c r="I111" i="98" s="1"/>
  <c r="H107" i="98"/>
  <c r="I107" i="98" s="1"/>
  <c r="H103" i="98"/>
  <c r="I103" i="98" s="1"/>
  <c r="H99" i="98"/>
  <c r="I99" i="98" s="1"/>
  <c r="H16" i="98"/>
  <c r="I16" i="98" s="1"/>
  <c r="H18" i="98"/>
  <c r="I18" i="98" s="1"/>
  <c r="H114" i="98"/>
  <c r="I114" i="98" s="1"/>
  <c r="H106" i="98"/>
  <c r="I106" i="98" s="1"/>
  <c r="H19" i="98"/>
  <c r="I19" i="98" s="1"/>
  <c r="H116" i="98"/>
  <c r="I116" i="98" s="1"/>
  <c r="H112" i="98"/>
  <c r="I112" i="98" s="1"/>
  <c r="H108" i="98"/>
  <c r="I108" i="98" s="1"/>
  <c r="H104" i="98"/>
  <c r="I104" i="98" s="1"/>
  <c r="H100" i="98"/>
  <c r="I100" i="98" s="1"/>
  <c r="H17" i="98"/>
  <c r="I17" i="98" s="1"/>
  <c r="H117" i="98"/>
  <c r="I117" i="98" s="1"/>
  <c r="H113" i="98"/>
  <c r="I113" i="98" s="1"/>
  <c r="H109" i="98"/>
  <c r="I109" i="98" s="1"/>
  <c r="H105" i="98"/>
  <c r="I105" i="98" s="1"/>
  <c r="H101" i="98"/>
  <c r="I101" i="98" s="1"/>
  <c r="H14" i="98"/>
  <c r="I14" i="98" s="1"/>
  <c r="H118" i="98"/>
  <c r="I118" i="98" s="1"/>
  <c r="H110" i="98"/>
  <c r="I110" i="98" s="1"/>
  <c r="H102" i="98"/>
  <c r="I102" i="98" s="1"/>
  <c r="H15" i="98"/>
  <c r="I15" i="98" s="1"/>
  <c r="H13" i="97"/>
  <c r="I13" i="97" s="1"/>
  <c r="H13" i="98"/>
  <c r="I606" i="97"/>
  <c r="H606" i="97" s="1"/>
  <c r="H666" i="97"/>
  <c r="I666" i="97" s="1"/>
  <c r="H664" i="97"/>
  <c r="I664" i="97" s="1"/>
  <c r="H662" i="97"/>
  <c r="I662" i="97" s="1"/>
  <c r="H660" i="97"/>
  <c r="I660" i="97" s="1"/>
  <c r="H658" i="97"/>
  <c r="I658" i="97" s="1"/>
  <c r="H656" i="97"/>
  <c r="I656" i="97" s="1"/>
  <c r="H654" i="97"/>
  <c r="I654" i="97" s="1"/>
  <c r="H652" i="97"/>
  <c r="I652" i="97" s="1"/>
  <c r="H650" i="97"/>
  <c r="I650" i="97" s="1"/>
  <c r="H648" i="97"/>
  <c r="I648" i="97" s="1"/>
  <c r="H646" i="97"/>
  <c r="I646" i="97" s="1"/>
  <c r="H644" i="97"/>
  <c r="I644" i="97" s="1"/>
  <c r="H642" i="97"/>
  <c r="I642" i="97" s="1"/>
  <c r="H539" i="97"/>
  <c r="I539" i="97" s="1"/>
  <c r="H537" i="97"/>
  <c r="I537" i="97" s="1"/>
  <c r="H535" i="97"/>
  <c r="I535" i="97" s="1"/>
  <c r="H533" i="97"/>
  <c r="I533" i="97" s="1"/>
  <c r="H531" i="97"/>
  <c r="I531" i="97" s="1"/>
  <c r="H385" i="97"/>
  <c r="I385" i="97" s="1"/>
  <c r="H322" i="97"/>
  <c r="I322" i="97" s="1"/>
  <c r="H320" i="97"/>
  <c r="I320" i="97" s="1"/>
  <c r="H318" i="97"/>
  <c r="I318" i="97" s="1"/>
  <c r="H316" i="97"/>
  <c r="I316" i="97" s="1"/>
  <c r="H209" i="97"/>
  <c r="I209" i="97" s="1"/>
  <c r="H207" i="97"/>
  <c r="I207" i="97" s="1"/>
  <c r="H205" i="97"/>
  <c r="I205" i="97" s="1"/>
  <c r="H203" i="97"/>
  <c r="I203" i="97" s="1"/>
  <c r="H201" i="97"/>
  <c r="I201" i="97" s="1"/>
  <c r="H199" i="97"/>
  <c r="I199" i="97" s="1"/>
  <c r="H197" i="97"/>
  <c r="I197" i="97" s="1"/>
  <c r="H195" i="97"/>
  <c r="I195" i="97" s="1"/>
  <c r="H193" i="97"/>
  <c r="I193" i="97" s="1"/>
  <c r="H191" i="97"/>
  <c r="I191" i="97" s="1"/>
  <c r="H189" i="97"/>
  <c r="I189" i="97" s="1"/>
  <c r="H187" i="97"/>
  <c r="I187" i="97" s="1"/>
  <c r="H185" i="97"/>
  <c r="I185" i="97" s="1"/>
  <c r="H183" i="97"/>
  <c r="I183" i="97" s="1"/>
  <c r="H181" i="97"/>
  <c r="I181" i="97" s="1"/>
  <c r="H179" i="97"/>
  <c r="I179" i="97" s="1"/>
  <c r="H177" i="97"/>
  <c r="I177" i="97" s="1"/>
  <c r="H175" i="97"/>
  <c r="I175" i="97" s="1"/>
  <c r="H173" i="97"/>
  <c r="I173" i="97" s="1"/>
  <c r="H171" i="97"/>
  <c r="I171" i="97" s="1"/>
  <c r="H169" i="97"/>
  <c r="I169" i="97" s="1"/>
  <c r="H167" i="97"/>
  <c r="I167" i="97" s="1"/>
  <c r="H165" i="97"/>
  <c r="I165" i="97" s="1"/>
  <c r="H163" i="97"/>
  <c r="I163" i="97" s="1"/>
  <c r="H161" i="97"/>
  <c r="I161" i="97" s="1"/>
  <c r="H665" i="97"/>
  <c r="I665" i="97" s="1"/>
  <c r="H661" i="97"/>
  <c r="I661" i="97" s="1"/>
  <c r="H657" i="97"/>
  <c r="I657" i="97" s="1"/>
  <c r="H653" i="97"/>
  <c r="I653" i="97" s="1"/>
  <c r="H649" i="97"/>
  <c r="I649" i="97" s="1"/>
  <c r="H645" i="97"/>
  <c r="I645" i="97" s="1"/>
  <c r="H540" i="97"/>
  <c r="I540" i="97" s="1"/>
  <c r="H536" i="97"/>
  <c r="I536" i="97" s="1"/>
  <c r="H532" i="97"/>
  <c r="I532" i="97" s="1"/>
  <c r="H384" i="97"/>
  <c r="I384" i="97" s="1"/>
  <c r="H319" i="97"/>
  <c r="I319" i="97" s="1"/>
  <c r="H210" i="97"/>
  <c r="I210" i="97" s="1"/>
  <c r="H206" i="97"/>
  <c r="I206" i="97" s="1"/>
  <c r="H202" i="97"/>
  <c r="I202" i="97" s="1"/>
  <c r="H198" i="97"/>
  <c r="I198" i="97" s="1"/>
  <c r="H194" i="97"/>
  <c r="I194" i="97" s="1"/>
  <c r="H190" i="97"/>
  <c r="I190" i="97" s="1"/>
  <c r="H186" i="97"/>
  <c r="I186" i="97" s="1"/>
  <c r="H182" i="97"/>
  <c r="I182" i="97" s="1"/>
  <c r="H178" i="97"/>
  <c r="I178" i="97" s="1"/>
  <c r="H174" i="97"/>
  <c r="I174" i="97" s="1"/>
  <c r="H170" i="97"/>
  <c r="I170" i="97" s="1"/>
  <c r="H166" i="97"/>
  <c r="I166" i="97" s="1"/>
  <c r="H162" i="97"/>
  <c r="I162" i="97" s="1"/>
  <c r="H663" i="97"/>
  <c r="I663" i="97" s="1"/>
  <c r="H659" i="97"/>
  <c r="I659" i="97" s="1"/>
  <c r="H655" i="97"/>
  <c r="I655" i="97" s="1"/>
  <c r="H651" i="97"/>
  <c r="I651" i="97" s="1"/>
  <c r="H647" i="97"/>
  <c r="I647" i="97" s="1"/>
  <c r="H643" i="97"/>
  <c r="I643" i="97" s="1"/>
  <c r="H538" i="97"/>
  <c r="I538" i="97" s="1"/>
  <c r="H534" i="97"/>
  <c r="I534" i="97" s="1"/>
  <c r="H386" i="97"/>
  <c r="I386" i="97" s="1"/>
  <c r="H321" i="97"/>
  <c r="I321" i="97" s="1"/>
  <c r="H317" i="97"/>
  <c r="I317" i="97" s="1"/>
  <c r="H208" i="97"/>
  <c r="I208" i="97" s="1"/>
  <c r="H204" i="97"/>
  <c r="I204" i="97" s="1"/>
  <c r="H200" i="97"/>
  <c r="I200" i="97" s="1"/>
  <c r="H196" i="97"/>
  <c r="I196" i="97" s="1"/>
  <c r="H192" i="97"/>
  <c r="I192" i="97" s="1"/>
  <c r="H188" i="97"/>
  <c r="I188" i="97" s="1"/>
  <c r="H184" i="97"/>
  <c r="I184" i="97" s="1"/>
  <c r="H180" i="97"/>
  <c r="I180" i="97" s="1"/>
  <c r="H176" i="97"/>
  <c r="I176" i="97" s="1"/>
  <c r="H172" i="97"/>
  <c r="I172" i="97" s="1"/>
  <c r="H168" i="97"/>
  <c r="I168" i="97" s="1"/>
  <c r="H164" i="97"/>
  <c r="I164" i="97" s="1"/>
  <c r="H160" i="97"/>
  <c r="I160" i="97" s="1"/>
  <c r="H640" i="97"/>
  <c r="I640" i="97" s="1"/>
  <c r="H638" i="97"/>
  <c r="I638" i="97" s="1"/>
  <c r="H636" i="97"/>
  <c r="I636" i="97" s="1"/>
  <c r="H634" i="97"/>
  <c r="I634" i="97" s="1"/>
  <c r="H632" i="97"/>
  <c r="I632" i="97" s="1"/>
  <c r="H630" i="97"/>
  <c r="I630" i="97" s="1"/>
  <c r="H628" i="97"/>
  <c r="I628" i="97" s="1"/>
  <c r="H626" i="97"/>
  <c r="I626" i="97" s="1"/>
  <c r="H624" i="97"/>
  <c r="I624" i="97" s="1"/>
  <c r="H622" i="97"/>
  <c r="I622" i="97" s="1"/>
  <c r="H620" i="97"/>
  <c r="I620" i="97" s="1"/>
  <c r="H618" i="97"/>
  <c r="I618" i="97" s="1"/>
  <c r="H616" i="97"/>
  <c r="I616" i="97" s="1"/>
  <c r="H614" i="97"/>
  <c r="I614" i="97" s="1"/>
  <c r="H612" i="97"/>
  <c r="I612" i="97" s="1"/>
  <c r="H610" i="97"/>
  <c r="I610" i="97" s="1"/>
  <c r="H608" i="97"/>
  <c r="I608" i="97" s="1"/>
  <c r="H530" i="97"/>
  <c r="I530" i="97" s="1"/>
  <c r="H528" i="97"/>
  <c r="I528" i="97" s="1"/>
  <c r="H526" i="97"/>
  <c r="I526" i="97" s="1"/>
  <c r="H524" i="97"/>
  <c r="I524" i="97" s="1"/>
  <c r="H522" i="97"/>
  <c r="I522" i="97" s="1"/>
  <c r="H520" i="97"/>
  <c r="I520" i="97" s="1"/>
  <c r="H518" i="97"/>
  <c r="I518" i="97" s="1"/>
  <c r="H516" i="97"/>
  <c r="I516" i="97" s="1"/>
  <c r="H514" i="97"/>
  <c r="I514" i="97" s="1"/>
  <c r="H512" i="97"/>
  <c r="I512" i="97" s="1"/>
  <c r="H382" i="97"/>
  <c r="I382" i="97" s="1"/>
  <c r="H380" i="97"/>
  <c r="I380" i="97" s="1"/>
  <c r="H378" i="97"/>
  <c r="I378" i="97" s="1"/>
  <c r="H376" i="97"/>
  <c r="I376" i="97" s="1"/>
  <c r="H374" i="97"/>
  <c r="I374" i="97" s="1"/>
  <c r="H372" i="97"/>
  <c r="I372" i="97" s="1"/>
  <c r="H370" i="97"/>
  <c r="I370" i="97" s="1"/>
  <c r="H368" i="97"/>
  <c r="I368" i="97" s="1"/>
  <c r="H366" i="97"/>
  <c r="I366" i="97" s="1"/>
  <c r="H364" i="97"/>
  <c r="I364" i="97" s="1"/>
  <c r="H362" i="97"/>
  <c r="I362" i="97" s="1"/>
  <c r="H360" i="97"/>
  <c r="I360" i="97" s="1"/>
  <c r="H358" i="97"/>
  <c r="I358" i="97" s="1"/>
  <c r="H356" i="97"/>
  <c r="I356" i="97" s="1"/>
  <c r="H354" i="97"/>
  <c r="I354" i="97" s="1"/>
  <c r="H352" i="97"/>
  <c r="I352" i="97" s="1"/>
  <c r="H350" i="97"/>
  <c r="I350" i="97" s="1"/>
  <c r="H348" i="97"/>
  <c r="I348" i="97" s="1"/>
  <c r="H315" i="97"/>
  <c r="I315" i="97" s="1"/>
  <c r="H313" i="97"/>
  <c r="I313" i="97" s="1"/>
  <c r="H311" i="97"/>
  <c r="I311" i="97" s="1"/>
  <c r="H309" i="97"/>
  <c r="I309" i="97" s="1"/>
  <c r="H307" i="97"/>
  <c r="I307" i="97" s="1"/>
  <c r="H305" i="97"/>
  <c r="I305" i="97" s="1"/>
  <c r="H303" i="97"/>
  <c r="I303" i="97" s="1"/>
  <c r="H301" i="97"/>
  <c r="I301" i="97" s="1"/>
  <c r="H299" i="97"/>
  <c r="I299" i="97" s="1"/>
  <c r="H297" i="97"/>
  <c r="I297" i="97" s="1"/>
  <c r="H295" i="97"/>
  <c r="I295" i="97" s="1"/>
  <c r="H293" i="97"/>
  <c r="I293" i="97" s="1"/>
  <c r="H291" i="97"/>
  <c r="I291" i="97" s="1"/>
  <c r="H289" i="97"/>
  <c r="I289" i="97" s="1"/>
  <c r="H287" i="97"/>
  <c r="I287" i="97" s="1"/>
  <c r="H285" i="97"/>
  <c r="I285" i="97" s="1"/>
  <c r="H283" i="97"/>
  <c r="I283" i="97" s="1"/>
  <c r="H281" i="97"/>
  <c r="I281" i="97" s="1"/>
  <c r="H279" i="97"/>
  <c r="I279" i="97" s="1"/>
  <c r="H277" i="97"/>
  <c r="I277" i="97" s="1"/>
  <c r="H275" i="97"/>
  <c r="I275" i="97" s="1"/>
  <c r="H273" i="97"/>
  <c r="I273" i="97" s="1"/>
  <c r="H271" i="97"/>
  <c r="I271" i="97" s="1"/>
  <c r="H269" i="97"/>
  <c r="I269" i="97" s="1"/>
  <c r="H267" i="97"/>
  <c r="I267" i="97" s="1"/>
  <c r="H265" i="97"/>
  <c r="I265" i="97" s="1"/>
  <c r="H263" i="97"/>
  <c r="I263" i="97" s="1"/>
  <c r="H261" i="97"/>
  <c r="I261" i="97" s="1"/>
  <c r="H259" i="97"/>
  <c r="I259" i="97" s="1"/>
  <c r="H257" i="97"/>
  <c r="I257" i="97" s="1"/>
  <c r="H255" i="97"/>
  <c r="I255" i="97" s="1"/>
  <c r="H253" i="97"/>
  <c r="I253" i="97" s="1"/>
  <c r="H251" i="97"/>
  <c r="I251" i="97" s="1"/>
  <c r="H249" i="97"/>
  <c r="I249" i="97" s="1"/>
  <c r="H247" i="97"/>
  <c r="I247" i="97" s="1"/>
  <c r="H245" i="97"/>
  <c r="I245" i="97" s="1"/>
  <c r="H243" i="97"/>
  <c r="I243" i="97" s="1"/>
  <c r="H241" i="97"/>
  <c r="I241" i="97" s="1"/>
  <c r="H239" i="97"/>
  <c r="I239" i="97" s="1"/>
  <c r="H237" i="97"/>
  <c r="I237" i="97" s="1"/>
  <c r="H639" i="97"/>
  <c r="I639" i="97" s="1"/>
  <c r="H635" i="97"/>
  <c r="I635" i="97" s="1"/>
  <c r="H631" i="97"/>
  <c r="I631" i="97" s="1"/>
  <c r="H627" i="97"/>
  <c r="I627" i="97" s="1"/>
  <c r="H623" i="97"/>
  <c r="I623" i="97" s="1"/>
  <c r="H619" i="97"/>
  <c r="I619" i="97" s="1"/>
  <c r="H615" i="97"/>
  <c r="I615" i="97" s="1"/>
  <c r="H611" i="97"/>
  <c r="I611" i="97" s="1"/>
  <c r="H607" i="97"/>
  <c r="I607" i="97" s="1"/>
  <c r="H527" i="97"/>
  <c r="I527" i="97" s="1"/>
  <c r="H523" i="97"/>
  <c r="I523" i="97" s="1"/>
  <c r="H519" i="97"/>
  <c r="I519" i="97" s="1"/>
  <c r="H515" i="97"/>
  <c r="I515" i="97" s="1"/>
  <c r="H383" i="97"/>
  <c r="I383" i="97" s="1"/>
  <c r="H379" i="97"/>
  <c r="I379" i="97" s="1"/>
  <c r="H375" i="97"/>
  <c r="I375" i="97" s="1"/>
  <c r="H371" i="97"/>
  <c r="I371" i="97" s="1"/>
  <c r="H367" i="97"/>
  <c r="I367" i="97" s="1"/>
  <c r="H363" i="97"/>
  <c r="I363" i="97" s="1"/>
  <c r="H359" i="97"/>
  <c r="I359" i="97" s="1"/>
  <c r="H355" i="97"/>
  <c r="I355" i="97" s="1"/>
  <c r="H351" i="97"/>
  <c r="I351" i="97" s="1"/>
  <c r="H347" i="97"/>
  <c r="I347" i="97" s="1"/>
  <c r="H312" i="97"/>
  <c r="I312" i="97" s="1"/>
  <c r="H308" i="97"/>
  <c r="I308" i="97" s="1"/>
  <c r="H304" i="97"/>
  <c r="I304" i="97" s="1"/>
  <c r="H300" i="97"/>
  <c r="I300" i="97" s="1"/>
  <c r="H296" i="97"/>
  <c r="I296" i="97" s="1"/>
  <c r="H292" i="97"/>
  <c r="I292" i="97" s="1"/>
  <c r="H288" i="97"/>
  <c r="I288" i="97" s="1"/>
  <c r="H284" i="97"/>
  <c r="I284" i="97" s="1"/>
  <c r="H280" i="97"/>
  <c r="I280" i="97" s="1"/>
  <c r="H276" i="97"/>
  <c r="I276" i="97" s="1"/>
  <c r="H272" i="97"/>
  <c r="I272" i="97" s="1"/>
  <c r="H268" i="97"/>
  <c r="I268" i="97" s="1"/>
  <c r="H264" i="97"/>
  <c r="I264" i="97" s="1"/>
  <c r="H260" i="97"/>
  <c r="I260" i="97" s="1"/>
  <c r="H256" i="97"/>
  <c r="I256" i="97" s="1"/>
  <c r="H252" i="97"/>
  <c r="I252" i="97" s="1"/>
  <c r="H248" i="97"/>
  <c r="I248" i="97" s="1"/>
  <c r="H244" i="97"/>
  <c r="I244" i="97" s="1"/>
  <c r="H240" i="97"/>
  <c r="I240" i="97" s="1"/>
  <c r="H236" i="97"/>
  <c r="I236" i="97" s="1"/>
  <c r="H234" i="97"/>
  <c r="I234" i="97" s="1"/>
  <c r="H232" i="97"/>
  <c r="I232" i="97" s="1"/>
  <c r="H230" i="97"/>
  <c r="I230" i="97" s="1"/>
  <c r="H228" i="97"/>
  <c r="I228" i="97" s="1"/>
  <c r="H226" i="97"/>
  <c r="I226" i="97" s="1"/>
  <c r="H224" i="97"/>
  <c r="I224" i="97" s="1"/>
  <c r="H222" i="97"/>
  <c r="I222" i="97" s="1"/>
  <c r="H158" i="97"/>
  <c r="I158" i="97" s="1"/>
  <c r="H156" i="97"/>
  <c r="I156" i="97" s="1"/>
  <c r="H154" i="97"/>
  <c r="I154" i="97" s="1"/>
  <c r="H152" i="97"/>
  <c r="I152" i="97" s="1"/>
  <c r="H150" i="97"/>
  <c r="I150" i="97" s="1"/>
  <c r="H148" i="97"/>
  <c r="I148" i="97" s="1"/>
  <c r="H146" i="97"/>
  <c r="I146" i="97" s="1"/>
  <c r="H144" i="97"/>
  <c r="I144" i="97" s="1"/>
  <c r="H142" i="97"/>
  <c r="I142" i="97" s="1"/>
  <c r="H92" i="97"/>
  <c r="I92" i="97" s="1"/>
  <c r="H90" i="97"/>
  <c r="I90" i="97" s="1"/>
  <c r="H88" i="97"/>
  <c r="I88" i="97" s="1"/>
  <c r="H86" i="97"/>
  <c r="I86" i="97" s="1"/>
  <c r="H84" i="97"/>
  <c r="I84" i="97" s="1"/>
  <c r="H82" i="97"/>
  <c r="I82" i="97" s="1"/>
  <c r="H80" i="97"/>
  <c r="I80" i="97" s="1"/>
  <c r="H78" i="97"/>
  <c r="I78" i="97" s="1"/>
  <c r="H76" i="97"/>
  <c r="I76" i="97" s="1"/>
  <c r="H74" i="97"/>
  <c r="I74" i="97" s="1"/>
  <c r="H72" i="97"/>
  <c r="I72" i="97" s="1"/>
  <c r="H70" i="97"/>
  <c r="I70" i="97" s="1"/>
  <c r="H637" i="97"/>
  <c r="I637" i="97" s="1"/>
  <c r="H629" i="97"/>
  <c r="I629" i="97" s="1"/>
  <c r="H621" i="97"/>
  <c r="I621" i="97" s="1"/>
  <c r="H613" i="97"/>
  <c r="I613" i="97" s="1"/>
  <c r="H529" i="97"/>
  <c r="I529" i="97" s="1"/>
  <c r="H521" i="97"/>
  <c r="I521" i="97" s="1"/>
  <c r="H513" i="97"/>
  <c r="I513" i="97" s="1"/>
  <c r="H377" i="97"/>
  <c r="I377" i="97" s="1"/>
  <c r="H369" i="97"/>
  <c r="I369" i="97" s="1"/>
  <c r="H361" i="97"/>
  <c r="I361" i="97" s="1"/>
  <c r="H353" i="97"/>
  <c r="I353" i="97" s="1"/>
  <c r="H314" i="97"/>
  <c r="I314" i="97" s="1"/>
  <c r="H306" i="97"/>
  <c r="I306" i="97" s="1"/>
  <c r="H298" i="97"/>
  <c r="I298" i="97" s="1"/>
  <c r="H290" i="97"/>
  <c r="I290" i="97" s="1"/>
  <c r="H282" i="97"/>
  <c r="I282" i="97" s="1"/>
  <c r="H274" i="97"/>
  <c r="I274" i="97" s="1"/>
  <c r="H266" i="97"/>
  <c r="I266" i="97" s="1"/>
  <c r="H258" i="97"/>
  <c r="I258" i="97" s="1"/>
  <c r="H250" i="97"/>
  <c r="I250" i="97" s="1"/>
  <c r="H242" i="97"/>
  <c r="I242" i="97" s="1"/>
  <c r="H235" i="97"/>
  <c r="I235" i="97" s="1"/>
  <c r="H231" i="97"/>
  <c r="I231" i="97" s="1"/>
  <c r="H227" i="97"/>
  <c r="I227" i="97" s="1"/>
  <c r="H223" i="97"/>
  <c r="I223" i="97" s="1"/>
  <c r="H157" i="97"/>
  <c r="I157" i="97" s="1"/>
  <c r="H153" i="97"/>
  <c r="I153" i="97" s="1"/>
  <c r="H149" i="97"/>
  <c r="I149" i="97" s="1"/>
  <c r="H145" i="97"/>
  <c r="I145" i="97" s="1"/>
  <c r="H93" i="97"/>
  <c r="I93" i="97" s="1"/>
  <c r="H89" i="97"/>
  <c r="I89" i="97" s="1"/>
  <c r="H85" i="97"/>
  <c r="I85" i="97" s="1"/>
  <c r="H81" i="97"/>
  <c r="I81" i="97" s="1"/>
  <c r="H77" i="97"/>
  <c r="I77" i="97" s="1"/>
  <c r="H73" i="97"/>
  <c r="I73" i="97" s="1"/>
  <c r="H69" i="97"/>
  <c r="I69" i="97" s="1"/>
  <c r="H633" i="97"/>
  <c r="I633" i="97" s="1"/>
  <c r="H625" i="97"/>
  <c r="I625" i="97" s="1"/>
  <c r="H617" i="97"/>
  <c r="I617" i="97" s="1"/>
  <c r="H609" i="97"/>
  <c r="I609" i="97" s="1"/>
  <c r="H525" i="97"/>
  <c r="I525" i="97" s="1"/>
  <c r="H517" i="97"/>
  <c r="I517" i="97" s="1"/>
  <c r="H381" i="97"/>
  <c r="I381" i="97" s="1"/>
  <c r="H373" i="97"/>
  <c r="I373" i="97" s="1"/>
  <c r="H365" i="97"/>
  <c r="I365" i="97" s="1"/>
  <c r="H357" i="97"/>
  <c r="I357" i="97" s="1"/>
  <c r="H349" i="97"/>
  <c r="I349" i="97" s="1"/>
  <c r="H310" i="97"/>
  <c r="I310" i="97" s="1"/>
  <c r="H302" i="97"/>
  <c r="I302" i="97" s="1"/>
  <c r="H294" i="97"/>
  <c r="I294" i="97" s="1"/>
  <c r="H286" i="97"/>
  <c r="I286" i="97" s="1"/>
  <c r="H278" i="97"/>
  <c r="I278" i="97" s="1"/>
  <c r="H270" i="97"/>
  <c r="I270" i="97" s="1"/>
  <c r="H262" i="97"/>
  <c r="I262" i="97" s="1"/>
  <c r="H254" i="97"/>
  <c r="I254" i="97" s="1"/>
  <c r="H246" i="97"/>
  <c r="I246" i="97" s="1"/>
  <c r="H238" i="97"/>
  <c r="I238" i="97" s="1"/>
  <c r="H233" i="97"/>
  <c r="I233" i="97" s="1"/>
  <c r="H229" i="97"/>
  <c r="I229" i="97" s="1"/>
  <c r="H225" i="97"/>
  <c r="I225" i="97" s="1"/>
  <c r="H221" i="97"/>
  <c r="I221" i="97" s="1"/>
  <c r="H155" i="97"/>
  <c r="I155" i="97" s="1"/>
  <c r="H151" i="97"/>
  <c r="I151" i="97" s="1"/>
  <c r="H147" i="97"/>
  <c r="I147" i="97" s="1"/>
  <c r="H143" i="97"/>
  <c r="I143" i="97" s="1"/>
  <c r="H91" i="97"/>
  <c r="I91" i="97" s="1"/>
  <c r="H87" i="97"/>
  <c r="I87" i="97" s="1"/>
  <c r="H83" i="97"/>
  <c r="I83" i="97" s="1"/>
  <c r="H79" i="97"/>
  <c r="I79" i="97" s="1"/>
  <c r="H75" i="97"/>
  <c r="I75" i="97" s="1"/>
  <c r="H71" i="97"/>
  <c r="I71" i="97" s="1"/>
  <c r="H140" i="97"/>
  <c r="I140" i="97" s="1"/>
  <c r="H138" i="97"/>
  <c r="I138" i="97" s="1"/>
  <c r="H136" i="97"/>
  <c r="I136" i="97" s="1"/>
  <c r="H134" i="97"/>
  <c r="I134" i="97" s="1"/>
  <c r="H132" i="97"/>
  <c r="I132" i="97" s="1"/>
  <c r="H130" i="97"/>
  <c r="I130" i="97" s="1"/>
  <c r="H128" i="97"/>
  <c r="I128" i="97" s="1"/>
  <c r="H126" i="97"/>
  <c r="I126" i="97" s="1"/>
  <c r="H66" i="97"/>
  <c r="I66" i="97" s="1"/>
  <c r="H64" i="97"/>
  <c r="I64" i="97" s="1"/>
  <c r="H62" i="97"/>
  <c r="I62" i="97" s="1"/>
  <c r="H60" i="97"/>
  <c r="I60" i="97" s="1"/>
  <c r="H58" i="97"/>
  <c r="I58" i="97" s="1"/>
  <c r="H56" i="97"/>
  <c r="I56" i="97" s="1"/>
  <c r="H54" i="97"/>
  <c r="I54" i="97" s="1"/>
  <c r="H52" i="97"/>
  <c r="I52" i="97" s="1"/>
  <c r="H50" i="97"/>
  <c r="I50" i="97" s="1"/>
  <c r="H48" i="97"/>
  <c r="I48" i="97" s="1"/>
  <c r="H46" i="97"/>
  <c r="I46" i="97" s="1"/>
  <c r="H44" i="97"/>
  <c r="I44" i="97" s="1"/>
  <c r="H42" i="97"/>
  <c r="I42" i="97" s="1"/>
  <c r="H40" i="97"/>
  <c r="I40" i="97" s="1"/>
  <c r="H38" i="97"/>
  <c r="I38" i="97" s="1"/>
  <c r="H36" i="97"/>
  <c r="I36" i="97" s="1"/>
  <c r="H34" i="97"/>
  <c r="I34" i="97" s="1"/>
  <c r="H32" i="97"/>
  <c r="I32" i="97" s="1"/>
  <c r="H30" i="97"/>
  <c r="I30" i="97" s="1"/>
  <c r="H28" i="97"/>
  <c r="I28" i="97" s="1"/>
  <c r="H26" i="97"/>
  <c r="I26" i="97" s="1"/>
  <c r="H139" i="97"/>
  <c r="I139" i="97" s="1"/>
  <c r="H137" i="97"/>
  <c r="I137" i="97" s="1"/>
  <c r="H135" i="97"/>
  <c r="I135" i="97" s="1"/>
  <c r="H133" i="97"/>
  <c r="I133" i="97" s="1"/>
  <c r="H131" i="97"/>
  <c r="I131" i="97" s="1"/>
  <c r="H129" i="97"/>
  <c r="I129" i="97" s="1"/>
  <c r="H127" i="97"/>
  <c r="I127" i="97" s="1"/>
  <c r="H67" i="97"/>
  <c r="I67" i="97" s="1"/>
  <c r="H65" i="97"/>
  <c r="I65" i="97" s="1"/>
  <c r="H63" i="97"/>
  <c r="I63" i="97" s="1"/>
  <c r="H61" i="97"/>
  <c r="I61" i="97" s="1"/>
  <c r="H59" i="97"/>
  <c r="I59" i="97" s="1"/>
  <c r="H57" i="97"/>
  <c r="I57" i="97" s="1"/>
  <c r="H55" i="97"/>
  <c r="I55" i="97" s="1"/>
  <c r="H53" i="97"/>
  <c r="I53" i="97" s="1"/>
  <c r="H51" i="97"/>
  <c r="I51" i="97" s="1"/>
  <c r="H49" i="97"/>
  <c r="I49" i="97" s="1"/>
  <c r="H47" i="97"/>
  <c r="I47" i="97" s="1"/>
  <c r="H45" i="97"/>
  <c r="I45" i="97" s="1"/>
  <c r="H43" i="97"/>
  <c r="I43" i="97" s="1"/>
  <c r="H41" i="97"/>
  <c r="I41" i="97" s="1"/>
  <c r="H39" i="97"/>
  <c r="I39" i="97" s="1"/>
  <c r="H37" i="97"/>
  <c r="I37" i="97" s="1"/>
  <c r="H35" i="97"/>
  <c r="I35" i="97" s="1"/>
  <c r="H33" i="97"/>
  <c r="I33" i="97" s="1"/>
  <c r="H31" i="97"/>
  <c r="I31" i="97" s="1"/>
  <c r="H29" i="97"/>
  <c r="I29" i="97" s="1"/>
  <c r="H27" i="97"/>
  <c r="I27" i="97" s="1"/>
  <c r="H219" i="97"/>
  <c r="I219" i="97" s="1"/>
  <c r="H124" i="97"/>
  <c r="I124" i="97" s="1"/>
  <c r="H122" i="97"/>
  <c r="I122" i="97" s="1"/>
  <c r="H120" i="97"/>
  <c r="I120" i="97" s="1"/>
  <c r="H24" i="97"/>
  <c r="I24" i="97" s="1"/>
  <c r="H22" i="97"/>
  <c r="I22" i="97" s="1"/>
  <c r="H125" i="97"/>
  <c r="I125" i="97" s="1"/>
  <c r="H123" i="97"/>
  <c r="I123" i="97" s="1"/>
  <c r="H121" i="97"/>
  <c r="I121" i="97" s="1"/>
  <c r="H119" i="97"/>
  <c r="I119" i="97" s="1"/>
  <c r="H23" i="97"/>
  <c r="I23" i="97" s="1"/>
  <c r="H21" i="97"/>
  <c r="I21" i="97" s="1"/>
  <c r="S30" i="95"/>
  <c r="S29" i="95"/>
  <c r="S27" i="95"/>
  <c r="I141" i="98" s="1"/>
  <c r="H141" i="98" s="1"/>
  <c r="S26" i="95"/>
  <c r="H118" i="97"/>
  <c r="I118" i="97" s="1"/>
  <c r="H116" i="97"/>
  <c r="I116" i="97" s="1"/>
  <c r="H114" i="97"/>
  <c r="I114" i="97" s="1"/>
  <c r="H112" i="97"/>
  <c r="I112" i="97" s="1"/>
  <c r="H110" i="97"/>
  <c r="I110" i="97" s="1"/>
  <c r="H108" i="97"/>
  <c r="I108" i="97" s="1"/>
  <c r="H106" i="97"/>
  <c r="I106" i="97" s="1"/>
  <c r="H104" i="97"/>
  <c r="I104" i="97" s="1"/>
  <c r="H102" i="97"/>
  <c r="I102" i="97" s="1"/>
  <c r="H100" i="97"/>
  <c r="I100" i="97" s="1"/>
  <c r="H19" i="97"/>
  <c r="I19" i="97" s="1"/>
  <c r="H17" i="97"/>
  <c r="I17" i="97" s="1"/>
  <c r="H15" i="97"/>
  <c r="I15" i="97" s="1"/>
  <c r="H117" i="97"/>
  <c r="I117" i="97" s="1"/>
  <c r="H115" i="97"/>
  <c r="I115" i="97" s="1"/>
  <c r="H113" i="97"/>
  <c r="I113" i="97" s="1"/>
  <c r="H111" i="97"/>
  <c r="I111" i="97" s="1"/>
  <c r="H109" i="97"/>
  <c r="I109" i="97" s="1"/>
  <c r="H107" i="97"/>
  <c r="I107" i="97" s="1"/>
  <c r="H105" i="97"/>
  <c r="I105" i="97" s="1"/>
  <c r="H103" i="97"/>
  <c r="I103" i="97" s="1"/>
  <c r="H101" i="97"/>
  <c r="I101" i="97" s="1"/>
  <c r="H99" i="97"/>
  <c r="I99" i="97" s="1"/>
  <c r="H18" i="97"/>
  <c r="I18" i="97" s="1"/>
  <c r="H16" i="97"/>
  <c r="I16" i="97" s="1"/>
  <c r="H14" i="97"/>
  <c r="I14" i="97" s="1"/>
  <c r="S25" i="95"/>
  <c r="I218" i="98" s="1"/>
  <c r="H218" i="98" s="1"/>
  <c r="C34" i="9"/>
  <c r="I667" i="97" l="1"/>
  <c r="H667" i="97" s="1"/>
  <c r="I667" i="98"/>
  <c r="H667" i="98" s="1"/>
  <c r="I641" i="97"/>
  <c r="H641" i="97" s="1"/>
  <c r="I641" i="98"/>
  <c r="H641" i="98" s="1"/>
  <c r="I141" i="97"/>
  <c r="H141" i="97" s="1"/>
  <c r="I220" i="97"/>
  <c r="H220" i="97" s="1"/>
  <c r="I220" i="98"/>
  <c r="H220" i="98" s="1"/>
  <c r="I218" i="97"/>
  <c r="H218" i="97" s="1"/>
  <c r="I13" i="98"/>
  <c r="S22" i="95"/>
  <c r="G14" i="74" s="1"/>
  <c r="H112" i="9"/>
  <c r="D21" i="53" s="1"/>
  <c r="B39" i="72" s="1"/>
  <c r="H111" i="9"/>
  <c r="D126" i="9" s="1"/>
  <c r="D59" i="9"/>
  <c r="M55" i="9"/>
  <c r="I668" i="98" l="1"/>
  <c r="H668" i="98" s="1"/>
  <c r="R22" i="95"/>
  <c r="B21" i="95" s="1"/>
  <c r="R7" i="79"/>
  <c r="S7" i="79" s="1"/>
  <c r="B20" i="95"/>
  <c r="D14" i="74"/>
  <c r="D19" i="53"/>
  <c r="B38" i="72"/>
  <c r="D20" i="53"/>
  <c r="B40" i="72" s="1"/>
  <c r="I14" i="74"/>
  <c r="B8" i="74" s="1"/>
  <c r="D127" i="9"/>
  <c r="D13" i="52" s="1"/>
  <c r="D12" i="52"/>
  <c r="F118" i="9"/>
  <c r="G118" i="9" s="1"/>
  <c r="G4" i="52" s="1"/>
  <c r="D118" i="9"/>
  <c r="D119" i="9" s="1"/>
  <c r="D5" i="52" s="1"/>
  <c r="H118" i="9"/>
  <c r="C104" i="9" s="1"/>
  <c r="B49" i="72" l="1"/>
  <c r="B52" i="72"/>
  <c r="D8" i="74"/>
  <c r="C8" i="74"/>
  <c r="H101" i="9"/>
  <c r="M48" i="9" s="1"/>
  <c r="I118" i="9"/>
  <c r="C105" i="9" s="1"/>
  <c r="H119" i="9"/>
  <c r="H5" i="52" s="1"/>
  <c r="F4" i="52"/>
  <c r="F119" i="9"/>
  <c r="F5" i="52" s="1"/>
  <c r="H4" i="52"/>
  <c r="D4" i="52"/>
  <c r="H107" i="9" l="1"/>
  <c r="M49" i="9" s="1"/>
  <c r="L66" i="9" s="1"/>
  <c r="M66" i="9" s="1"/>
  <c r="B53" i="72"/>
  <c r="B47" i="72"/>
  <c r="B51" i="72"/>
  <c r="L68" i="9"/>
  <c r="M68" i="9" s="1"/>
  <c r="L63" i="9"/>
  <c r="M63" i="9" s="1"/>
  <c r="M69" i="9" s="1"/>
  <c r="N69" i="9" s="1"/>
  <c r="L64" i="9"/>
  <c r="M64" i="9" s="1"/>
  <c r="D45" i="9"/>
  <c r="D53" i="9" s="1"/>
  <c r="I4" i="52"/>
  <c r="D5" i="53"/>
  <c r="H102" i="9"/>
  <c r="D7" i="53" s="1"/>
  <c r="E118" i="9"/>
  <c r="E4" i="52" s="1"/>
  <c r="E14" i="74"/>
  <c r="B5" i="74"/>
  <c r="F14" i="74"/>
  <c r="L67" i="9" l="1"/>
  <c r="M67" i="9" s="1"/>
  <c r="L65" i="9"/>
  <c r="M65" i="9" s="1"/>
  <c r="H108" i="9"/>
  <c r="D15" i="53" s="1"/>
  <c r="B31" i="72" s="1"/>
  <c r="D13" i="53"/>
  <c r="B30" i="72" s="1"/>
  <c r="D122" i="9"/>
  <c r="D123" i="9" s="1"/>
  <c r="D9" i="52" s="1"/>
  <c r="B21" i="72"/>
  <c r="B48" i="72"/>
  <c r="B20" i="72"/>
  <c r="C93" i="9"/>
  <c r="C86" i="9" s="1"/>
  <c r="D52" i="9"/>
  <c r="C78" i="9"/>
  <c r="C73" i="9" s="1"/>
  <c r="C85" i="9"/>
  <c r="C72" i="9"/>
  <c r="D55" i="9"/>
  <c r="M53" i="9" s="1"/>
  <c r="C64" i="9"/>
  <c r="C63" i="9" s="1"/>
  <c r="D6" i="53"/>
  <c r="D5" i="74"/>
  <c r="C5" i="74"/>
  <c r="B6" i="74"/>
  <c r="D14" i="53" l="1"/>
  <c r="B32" i="72" s="1"/>
  <c r="D8" i="52"/>
  <c r="B22" i="72"/>
  <c r="C95" i="9"/>
  <c r="C67" i="9"/>
  <c r="C68" i="9" s="1"/>
  <c r="D54" i="9" s="1"/>
  <c r="C79" i="9"/>
  <c r="D6" i="74"/>
  <c r="C6" i="74"/>
  <c r="C96" i="9" l="1"/>
  <c r="E96" i="9" s="1"/>
  <c r="E97" i="9" s="1"/>
  <c r="C80" i="9"/>
  <c r="E80" i="9" s="1"/>
  <c r="E81" i="9" s="1"/>
  <c r="C97" i="9" l="1"/>
  <c r="D58" i="9" s="1"/>
  <c r="D56" i="9" s="1"/>
  <c r="M54" i="9" s="1"/>
  <c r="N57" i="9" s="1"/>
  <c r="N59" i="9" s="1"/>
  <c r="C81" i="9"/>
  <c r="N61" i="9" l="1"/>
  <c r="N60" i="9"/>
  <c r="P57" i="9"/>
  <c r="N58"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5.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6.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<sst xmlns="http://schemas.openxmlformats.org/spreadsheetml/2006/main" count="26531" uniqueCount="7848">
  <si>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</si>
  <si>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</si>
  <si>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</si>
  <si>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</si>
  <si>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</si>
  <si>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</si>
  <si>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</si>
  <si>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</si>
  <si>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</si>
  <si>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</si>
  <si>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</si>
  <si>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</si>
  <si>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</si>
  <si>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</si>
  <si>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</si>
  <si>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</si>
  <si>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</si>
  <si>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</si>
  <si>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</si>
  <si>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</si>
  <si>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</si>
  <si>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</si>
  <si>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</si>
  <si>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</si>
  <si>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</si>
  <si>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</si>
  <si>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</si>
  <si>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</si>
  <si>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</si>
  <si>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</si>
  <si>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</si>
  <si>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</si>
  <si>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</si>
  <si>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</si>
  <si>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</si>
  <si>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</si>
  <si>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</si>
  <si>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</si>
  <si>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</si>
  <si>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</si>
  <si>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</si>
  <si>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</si>
  <si>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</si>
  <si>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</si>
  <si>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</si>
  <si>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</si>
  <si>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</si>
  <si>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</si>
  <si>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</si>
  <si>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</si>
  <si>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</si>
  <si>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</si>
  <si>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</si>
  <si>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</si>
  <si>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</si>
  <si>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</si>
  <si>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</si>
  <si>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</si>
  <si>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</si>
  <si>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</si>
  <si>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</si>
  <si>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</si>
  <si>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</si>
  <si>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</si>
  <si>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</si>
  <si>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</si>
  <si>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</si>
  <si>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</si>
  <si>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</si>
  <si>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</si>
  <si>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</si>
  <si>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</si>
  <si>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</si>
  <si>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</si>
  <si>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</si>
  <si>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</si>
  <si>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</si>
  <si>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</si>
  <si>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</si>
  <si>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</si>
  <si>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</si>
  <si>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</si>
  <si>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</si>
  <si>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</si>
  <si>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</si>
  <si>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</si>
  <si>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</si>
  <si>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</si>
  <si>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</si>
  <si>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</si>
  <si>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</si>
  <si>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</si>
  <si>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</si>
  <si>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</si>
  <si>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</si>
  <si>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</si>
  <si>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</si>
  <si>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</si>
  <si>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</si>
  <si>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</si>
  <si>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</si>
  <si>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</si>
  <si>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</si>
  <si>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</si>
  <si>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</si>
  <si>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</si>
  <si>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</si>
  <si>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</si>
  <si>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</si>
  <si>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</si>
  <si>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</si>
  <si>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</si>
  <si>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</si>
  <si>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</si>
  <si>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</si>
  <si>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</si>
  <si>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</si>
  <si>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</si>
  <si>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</si>
  <si>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</si>
  <si>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</si>
  <si>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</si>
  <si>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</si>
  <si>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</si>
  <si>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</si>
  <si>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</si>
  <si>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</si>
  <si>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</si>
  <si>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</si>
  <si>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</si>
  <si>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</si>
  <si>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</si>
  <si>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</si>
  <si>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</si>
  <si>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</si>
  <si>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</si>
  <si>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</si>
  <si>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</si>
  <si>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</si>
  <si>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</si>
  <si>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</si>
  <si>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</si>
  <si>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</si>
  <si>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</si>
  <si>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</si>
  <si>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</si>
  <si>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</si>
  <si>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</si>
  <si>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</si>
  <si>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</si>
  <si>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</si>
  <si>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</si>
  <si>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</si>
  <si>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</si>
  <si>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</si>
  <si>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</si>
  <si>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</si>
  <si>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</si>
  <si>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</si>
  <si>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</si>
  <si>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</si>
  <si>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</si>
  <si>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</si>
  <si>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</si>
  <si>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</si>
  <si>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</si>
  <si>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</si>
  <si>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</si>
  <si>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</si>
  <si>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</si>
  <si>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</si>
  <si>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</si>
  <si>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</si>
  <si>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</si>
  <si>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</si>
  <si>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</si>
  <si>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</si>
  <si>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</si>
  <si>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</si>
  <si>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</si>
  <si>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</si>
  <si>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</si>
  <si>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</si>
  <si>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</si>
  <si>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</si>
  <si>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</si>
  <si>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</si>
  <si>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</si>
  <si>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</si>
  <si>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</si>
  <si>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</si>
  <si>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</si>
  <si>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</si>
  <si>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</si>
  <si>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</si>
  <si>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</si>
  <si>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</si>
  <si>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</si>
  <si>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</si>
  <si>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</si>
  <si>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</si>
  <si>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</si>
  <si>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</si>
  <si>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</si>
  <si>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</si>
  <si>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</si>
  <si>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</si>
  <si>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</si>
  <si>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</si>
  <si>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</si>
  <si>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</si>
  <si>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</si>
  <si>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</si>
  <si>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</si>
  <si>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</si>
  <si>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</si>
  <si>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</si>
  <si>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</si>
  <si>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</si>
  <si>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</si>
  <si>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</si>
  <si>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</si>
  <si>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</si>
  <si>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</si>
  <si>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</si>
  <si>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</si>
  <si>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</si>
  <si>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</si>
  <si>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</si>
  <si>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</si>
  <si>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</si>
  <si>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</si>
  <si>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</si>
  <si>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</si>
  <si>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</si>
  <si>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</si>
  <si>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</si>
  <si>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</si>
  <si>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</si>
  <si>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</si>
  <si>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</si>
  <si>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</si>
  <si>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</si>
  <si>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</si>
  <si>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</si>
  <si>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</si>
  <si>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</si>
  <si>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</si>
  <si>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</si>
  <si>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</si>
  <si>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</si>
  <si>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</si>
  <si>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</si>
  <si>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</si>
  <si>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</si>
  <si>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</si>
  <si>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</si>
  <si>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</si>
  <si>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</si>
  <si>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</si>
  <si>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</si>
  <si>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</si>
  <si>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</si>
  <si>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</si>
  <si>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</si>
  <si>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</si>
  <si>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</si>
  <si>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</si>
  <si>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</si>
  <si>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</si>
  <si>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</si>
  <si>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</si>
  <si>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</si>
  <si>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</si>
  <si>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</si>
  <si>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</si>
  <si>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</si>
  <si>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</si>
  <si>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</si>
  <si>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</si>
  <si>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</si>
  <si>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</si>
  <si>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</si>
  <si>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</si>
  <si>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</si>
  <si>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</si>
  <si>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</si>
  <si>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</si>
  <si>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</si>
  <si>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</si>
  <si>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</si>
  <si>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</si>
  <si>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</si>
  <si>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</si>
  <si>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</si>
  <si>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</si>
  <si>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</si>
  <si>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</si>
  <si>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</si>
  <si>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</si>
  <si>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</si>
  <si>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</si>
  <si>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</si>
  <si>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</si>
  <si>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</si>
  <si>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</si>
  <si>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</si>
  <si>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</si>
  <si>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</si>
  <si>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</si>
  <si>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</si>
  <si>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</si>
  <si>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</si>
  <si>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</si>
  <si>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</si>
  <si>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</si>
  <si>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</si>
  <si>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</si>
  <si>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</si>
  <si>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</si>
  <si>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</si>
  <si>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</si>
  <si>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</si>
  <si>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</si>
  <si>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</si>
  <si>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</si>
  <si>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</si>
  <si>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</si>
  <si>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</si>
  <si>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</si>
  <si>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</si>
  <si>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</si>
  <si>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</si>
  <si>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</si>
  <si>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</si>
  <si>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</si>
  <si>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</si>
  <si>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</si>
  <si>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</si>
  <si>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</si>
  <si>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</si>
  <si>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</si>
  <si>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</si>
  <si>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</si>
  <si>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</si>
  <si>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</si>
  <si>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</si>
  <si>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</si>
  <si>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</si>
  <si>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</si>
  <si>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</si>
  <si>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</si>
  <si>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</si>
  <si>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</si>
  <si>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</si>
  <si>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</si>
  <si>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</si>
  <si>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</si>
  <si>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</si>
  <si>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</si>
  <si>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</si>
  <si>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</si>
  <si>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</si>
  <si>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</si>
  <si>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</si>
  <si>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</si>
  <si>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</si>
  <si>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</si>
  <si>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</si>
  <si>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</si>
  <si>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</si>
  <si>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</si>
  <si>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</si>
  <si>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</si>
  <si>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</si>
  <si>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</si>
  <si>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</si>
  <si>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</si>
  <si>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</si>
  <si>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</si>
  <si>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</si>
  <si>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</si>
  <si>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</si>
  <si>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</si>
  <si>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</si>
  <si>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</si>
  <si>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</si>
  <si>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</si>
  <si>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</si>
  <si>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</si>
  <si>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</si>
  <si>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</si>
  <si>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</si>
  <si>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</si>
  <si>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</si>
  <si>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</si>
  <si>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</si>
  <si>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</si>
  <si>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</si>
  <si>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</si>
  <si>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</si>
  <si>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</si>
  <si>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</si>
  <si>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</si>
  <si>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</si>
  <si>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</si>
  <si>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</si>
  <si>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</si>
  <si>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</si>
  <si>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</si>
  <si>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</si>
  <si>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</si>
  <si>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</si>
  <si>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</si>
  <si>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</si>
  <si>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</si>
  <si>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</si>
  <si>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</si>
  <si>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</si>
  <si>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</si>
  <si>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</si>
  <si>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</si>
  <si>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</si>
  <si>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</si>
  <si>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</si>
  <si>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</si>
  <si>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</si>
  <si>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</si>
  <si>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</si>
  <si>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</si>
  <si>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</si>
  <si>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</si>
  <si>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</si>
  <si>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</si>
  <si>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</si>
  <si>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</si>
  <si>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</si>
  <si>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</si>
  <si>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</si>
  <si>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</si>
  <si>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</si>
  <si>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</si>
  <si>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</si>
  <si>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</si>
  <si>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</si>
  <si>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</si>
  <si>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</si>
  <si>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</si>
  <si>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</si>
  <si>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</si>
  <si>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</si>
  <si>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</si>
  <si>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</si>
  <si>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</si>
  <si>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</si>
  <si>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</si>
  <si>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</si>
  <si>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</si>
  <si>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</si>
  <si>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</si>
  <si>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</si>
  <si>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</si>
  <si>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</si>
  <si>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</si>
  <si>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</si>
  <si>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</si>
  <si>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</si>
  <si>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</si>
  <si>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</si>
  <si>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</si>
  <si>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</si>
  <si>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</si>
  <si>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</si>
  <si>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</si>
  <si>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</si>
  <si>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</si>
  <si>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</si>
  <si>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</si>
  <si>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</si>
  <si>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</si>
  <si>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</si>
  <si>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</si>
  <si>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</si>
  <si>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</si>
  <si>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</si>
  <si>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</si>
  <si>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</si>
  <si>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</si>
  <si>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</si>
  <si>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</si>
  <si>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</si>
  <si>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</si>
  <si>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</si>
  <si>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</si>
  <si>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</si>
  <si>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</si>
  <si>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</si>
  <si>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</si>
  <si>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</si>
  <si>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</si>
  <si>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</si>
  <si>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</si>
  <si>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</si>
  <si>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</si>
  <si>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</si>
  <si>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</si>
  <si>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</si>
  <si>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</si>
  <si>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</si>
  <si>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</si>
  <si>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</si>
  <si>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</si>
  <si>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</si>
  <si>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</si>
  <si>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</si>
  <si>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</si>
  <si>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</si>
  <si>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</si>
  <si>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</si>
  <si>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</si>
  <si>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</si>
  <si>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</si>
  <si>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</si>
  <si>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</si>
  <si>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</si>
  <si>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</si>
  <si>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</si>
  <si>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</si>
  <si>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</si>
  <si>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</si>
  <si>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</si>
  <si>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</si>
  <si>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</si>
  <si>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</si>
  <si>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</si>
  <si>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</si>
  <si>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</si>
  <si>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</si>
  <si>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</si>
  <si>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</si>
  <si>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</si>
  <si>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</si>
  <si>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</si>
  <si>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</si>
  <si>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</si>
  <si>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</si>
  <si>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</si>
  <si>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</si>
  <si>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</si>
  <si>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</si>
  <si>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</si>
  <si>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</si>
  <si>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</si>
  <si>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</si>
  <si>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</si>
  <si>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</si>
  <si>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</si>
  <si>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</si>
  <si>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</si>
  <si>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</si>
  <si>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</si>
  <si>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</si>
  <si>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</si>
  <si>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</si>
  <si>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</si>
  <si>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</si>
  <si>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</si>
  <si>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</si>
  <si>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</si>
  <si>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</si>
  <si>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</si>
  <si>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</si>
  <si>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</si>
  <si>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</si>
  <si>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</si>
  <si>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</si>
  <si>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</si>
  <si>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</si>
  <si>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</si>
  <si>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</si>
  <si>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</si>
  <si>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</si>
  <si>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</si>
  <si>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</si>
  <si>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</si>
  <si>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</si>
  <si>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</si>
  <si>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</si>
  <si>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</si>
  <si>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</si>
  <si>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</si>
  <si>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</si>
  <si>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</si>
  <si>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</si>
  <si>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</si>
  <si>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</si>
  <si>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</si>
  <si>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</si>
  <si>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</si>
  <si>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</si>
  <si>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</si>
  <si>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</si>
  <si>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</si>
  <si>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</si>
  <si>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</si>
  <si>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</si>
  <si>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</si>
  <si>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</si>
  <si>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</si>
  <si>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</si>
  <si>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</si>
  <si>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</si>
  <si>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</si>
  <si>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</si>
  <si>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</si>
  <si>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</si>
  <si>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</si>
  <si>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</si>
  <si>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</si>
  <si>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</si>
  <si>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</si>
  <si>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</si>
  <si>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</si>
  <si>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</si>
  <si>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</si>
  <si>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</si>
  <si>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</si>
  <si>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</si>
  <si>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</si>
  <si>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</si>
  <si>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</si>
  <si>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</si>
  <si>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</si>
  <si>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</si>
  <si>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</si>
  <si>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</si>
  <si>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</si>
  <si>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</si>
  <si>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</si>
  <si>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</si>
  <si>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</si>
  <si>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</si>
  <si>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</si>
  <si>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</si>
  <si>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</si>
  <si>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</si>
  <si>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</si>
  <si>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</si>
  <si>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</si>
  <si>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</si>
  <si>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</si>
  <si>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</si>
  <si>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</si>
  <si>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</si>
  <si>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</si>
  <si>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</si>
  <si>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</si>
  <si>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</si>
  <si>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</si>
  <si>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</si>
  <si>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</si>
  <si>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</si>
  <si>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</si>
  <si>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</si>
  <si>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</si>
  <si>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</si>
  <si>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</si>
  <si>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</si>
  <si>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</si>
  <si>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</si>
  <si>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</si>
  <si>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</si>
  <si>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</si>
  <si>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</si>
  <si>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</si>
  <si>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</si>
  <si>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</si>
  <si>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</si>
  <si>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</si>
  <si>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</si>
  <si>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</si>
  <si>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</si>
  <si>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</si>
  <si>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</si>
  <si>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</si>
  <si>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</si>
  <si>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</si>
  <si>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</si>
  <si>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</si>
  <si>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</si>
  <si>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</si>
  <si>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</si>
  <si>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</si>
  <si>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</si>
  <si>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</si>
  <si>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</si>
  <si>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</si>
  <si>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</si>
  <si>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</si>
  <si>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</si>
  <si>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</si>
  <si>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</si>
  <si>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</si>
  <si>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</si>
  <si>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</si>
  <si>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</si>
  <si>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</si>
  <si>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</si>
  <si>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</si>
  <si>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</si>
  <si>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</si>
  <si>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</si>
  <si>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</si>
  <si>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</si>
  <si>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</si>
  <si>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</si>
  <si>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</si>
  <si>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</si>
  <si>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</si>
  <si>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</si>
  <si>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</si>
  <si>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</si>
  <si>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</si>
  <si>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</si>
  <si>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</si>
  <si>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</si>
  <si>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</si>
  <si>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</si>
  <si>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</si>
  <si>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</si>
  <si>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</si>
  <si>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</si>
  <si>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</si>
  <si>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</si>
  <si>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</si>
  <si>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</si>
  <si>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</si>
  <si>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</si>
  <si>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</si>
  <si>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</si>
  <si>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</si>
  <si>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</si>
  <si>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</si>
  <si>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</si>
  <si>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</si>
  <si>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</si>
  <si>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</si>
  <si>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</si>
  <si>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</si>
  <si>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</si>
  <si>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</si>
  <si>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</si>
  <si>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</si>
  <si>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</si>
  <si>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</si>
  <si>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</si>
  <si>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</si>
  <si>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</si>
  <si>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</si>
  <si>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</si>
  <si>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</si>
  <si>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</si>
  <si>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</si>
  <si>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</si>
  <si>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</si>
  <si>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</si>
  <si>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</si>
  <si>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</si>
  <si>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</si>
  <si>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</si>
  <si>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</si>
  <si>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</si>
  <si>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</si>
  <si>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</si>
  <si>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</si>
  <si>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</si>
  <si>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</si>
  <si>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</si>
  <si>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</si>
  <si>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</si>
  <si>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</si>
  <si>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</si>
  <si>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</si>
  <si>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</si>
  <si>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</si>
  <si>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</si>
  <si>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</si>
  <si>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</si>
  <si>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</si>
  <si>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</si>
  <si>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</si>
  <si>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</si>
  <si>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</si>
  <si>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</si>
  <si>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</si>
  <si>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</si>
  <si>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</si>
  <si>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</si>
  <si>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</si>
  <si>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</si>
  <si>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</si>
  <si>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</si>
  <si>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</si>
  <si>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</si>
  <si>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</si>
  <si>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</si>
  <si>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</si>
  <si>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</si>
  <si>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</si>
  <si>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</si>
  <si>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</si>
  <si>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</si>
  <si>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</si>
  <si>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</si>
  <si>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</si>
  <si>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</si>
  <si>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</si>
  <si>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</si>
  <si>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</si>
  <si>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</si>
  <si>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</si>
  <si>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</si>
  <si>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</si>
  <si>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</si>
  <si>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</si>
  <si>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</si>
  <si>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</si>
  <si>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</si>
  <si>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</si>
  <si>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</si>
  <si>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</si>
  <si>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</si>
  <si>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</si>
  <si>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</si>
  <si>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</si>
  <si>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</si>
  <si>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</si>
  <si>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</si>
  <si>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</si>
  <si>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</si>
  <si>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</si>
  <si>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</si>
  <si>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</si>
  <si>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</si>
  <si>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</si>
  <si>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</si>
  <si>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</si>
  <si>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</si>
  <si>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</si>
  <si>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</si>
  <si>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</si>
  <si>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</si>
  <si>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</si>
  <si>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</si>
  <si>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</si>
  <si>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</si>
  <si>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</si>
  <si>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</si>
  <si>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</si>
  <si>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</si>
  <si>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</si>
  <si>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</si>
  <si>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</si>
  <si>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</si>
  <si>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</si>
  <si>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</si>
  <si>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</si>
  <si>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</si>
  <si>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</si>
  <si>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</si>
  <si>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</si>
  <si>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</si>
  <si>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</si>
  <si>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</si>
  <si>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</si>
  <si>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</si>
  <si>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</si>
  <si>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</si>
  <si>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</si>
  <si>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</si>
  <si>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</si>
  <si>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</si>
  <si>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</si>
  <si>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</si>
  <si>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</si>
  <si>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</si>
  <si>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</si>
  <si>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</si>
  <si>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</si>
  <si>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</si>
  <si>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</si>
  <si>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</si>
  <si>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</si>
  <si>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</si>
  <si>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</si>
  <si>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</si>
  <si>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</si>
  <si>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</si>
  <si>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</si>
  <si>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</si>
  <si>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</si>
  <si>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</si>
  <si>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</si>
  <si>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</si>
  <si>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</si>
  <si>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</si>
  <si>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</si>
  <si>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</si>
  <si>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</si>
  <si>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</si>
  <si>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</si>
  <si>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</si>
  <si>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</si>
  <si>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</si>
  <si>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</si>
  <si>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</si>
  <si>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</si>
  <si>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</si>
  <si>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</si>
  <si>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</si>
  <si>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</si>
  <si>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</si>
  <si>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</si>
  <si>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</si>
  <si>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</si>
  <si>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</si>
  <si>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</si>
  <si>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</si>
  <si>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</si>
  <si>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</si>
  <si>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</si>
  <si>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</si>
  <si>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</si>
  <si>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</si>
  <si>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</si>
  <si>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</si>
  <si>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</si>
  <si>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</si>
  <si>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</si>
  <si>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</si>
  <si>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</si>
  <si>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</si>
  <si>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</si>
  <si>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</si>
  <si>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</si>
  <si>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</si>
  <si>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</si>
  <si>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</si>
  <si>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</si>
  <si>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</si>
  <si>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</si>
  <si>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</si>
  <si>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</si>
  <si>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</si>
  <si>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</si>
  <si>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</si>
  <si>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</si>
  <si>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</si>
  <si>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</si>
  <si>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</si>
  <si>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</si>
  <si>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</si>
  <si>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</si>
  <si>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</si>
  <si>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</si>
  <si>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</si>
  <si>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</si>
  <si>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</si>
  <si>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</si>
  <si>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</si>
  <si>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</si>
  <si>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</si>
  <si>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</si>
  <si>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</si>
  <si>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</si>
  <si>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</si>
  <si>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</si>
  <si>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</si>
  <si>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</si>
  <si>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</si>
  <si>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</si>
  <si>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</si>
  <si>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</si>
  <si>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</si>
  <si>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</si>
  <si>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</si>
  <si>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</si>
  <si>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</si>
  <si>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</si>
  <si>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</si>
  <si>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</si>
  <si>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</si>
  <si>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</si>
  <si>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</si>
  <si>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</si>
  <si>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</si>
  <si>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</si>
  <si>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</si>
  <si>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</si>
  <si>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</si>
  <si>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</si>
  <si>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</si>
  <si>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</si>
  <si>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</si>
  <si>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</si>
  <si>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</si>
  <si>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</si>
  <si>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</si>
  <si>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</si>
  <si>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</si>
  <si>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</si>
  <si>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</si>
  <si>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</si>
  <si>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</si>
  <si>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</si>
  <si>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</si>
  <si>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</si>
  <si>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</si>
  <si>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</si>
  <si>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</si>
  <si>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</si>
  <si>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</si>
  <si>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</si>
  <si>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</si>
  <si>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</si>
  <si>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</si>
  <si>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</si>
  <si>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</si>
  <si>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</si>
  <si>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</si>
  <si>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</si>
  <si>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</si>
  <si>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</si>
  <si>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</si>
  <si>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</si>
  <si>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</si>
  <si>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</si>
  <si>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</si>
  <si>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</si>
  <si>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</si>
  <si>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</si>
  <si>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</si>
  <si>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</si>
  <si>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</si>
  <si>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</si>
  <si>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</si>
  <si>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</si>
  <si>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</si>
  <si>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</si>
  <si>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</si>
  <si>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</si>
  <si>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</si>
  <si>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</si>
  <si>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</si>
  <si>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</si>
  <si>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</si>
  <si>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</si>
  <si>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</si>
  <si>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</si>
  <si>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</si>
  <si>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</si>
  <si>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</si>
  <si>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</si>
  <si>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</si>
  <si>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</si>
  <si>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</si>
  <si>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</si>
  <si>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</si>
  <si>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</si>
  <si>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</si>
  <si>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</si>
  <si>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</si>
  <si>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</si>
  <si>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</si>
  <si>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</si>
  <si>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</si>
  <si>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</si>
  <si>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</si>
  <si>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</si>
  <si>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</si>
  <si>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</si>
  <si>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</si>
  <si>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</si>
  <si>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</si>
  <si>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</si>
  <si>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</si>
  <si>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</si>
  <si>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</si>
  <si>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</si>
  <si>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</si>
  <si>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</si>
  <si>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</si>
  <si>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</si>
  <si>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</si>
  <si>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</si>
  <si>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</si>
  <si>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</si>
  <si>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</si>
  <si>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</si>
  <si>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</si>
  <si>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</si>
  <si>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</si>
  <si>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</si>
  <si>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</si>
  <si>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</si>
  <si>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</si>
  <si>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</si>
  <si>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</si>
  <si>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</si>
  <si>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</si>
  <si>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</si>
  <si>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</si>
  <si>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</si>
  <si>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</si>
  <si>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</si>
  <si>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</si>
  <si>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</si>
  <si>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</si>
  <si>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</si>
  <si>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</si>
  <si>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</si>
  <si>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</si>
  <si>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</si>
  <si>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</si>
  <si>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</si>
  <si>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</si>
  <si>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</si>
  <si>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</si>
  <si>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</si>
  <si>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</si>
  <si>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</si>
  <si>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</si>
  <si>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</si>
  <si>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</si>
  <si>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</si>
  <si>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</si>
  <si>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</si>
  <si>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</si>
  <si>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</si>
  <si>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</si>
  <si>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</si>
  <si>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</si>
  <si>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</si>
  <si>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</si>
  <si>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</si>
  <si>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</si>
  <si>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</si>
  <si>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</si>
  <si>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</si>
  <si>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</si>
  <si>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</si>
  <si>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</si>
  <si>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</si>
  <si>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</si>
  <si>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</si>
  <si>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</si>
  <si>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</si>
  <si>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</si>
  <si>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</si>
  <si>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</si>
  <si>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</si>
  <si>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</si>
  <si>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当前季度，按平均增长率计算</t>
    <phoneticPr fontId="14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</si>
  <si>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</si>
  <si>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</si>
  <si>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</si>
  <si>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</si>
  <si>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</si>
  <si>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</si>
  <si>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</si>
  <si>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</si>
  <si>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</si>
  <si>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</si>
  <si>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</si>
  <si>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</si>
  <si>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</si>
  <si>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</si>
  <si>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</si>
  <si>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</si>
  <si>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</si>
  <si>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</si>
  <si>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</si>
  <si>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</si>
  <si>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</si>
  <si>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</si>
  <si>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</si>
  <si>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</si>
  <si>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</si>
  <si>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</si>
  <si>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</si>
  <si>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</si>
  <si>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</si>
  <si>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</si>
  <si>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</si>
  <si>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</si>
  <si>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</si>
  <si>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</si>
  <si>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</si>
  <si>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</si>
  <si>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</si>
  <si>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</si>
  <si>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</si>
  <si>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</si>
  <si>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</si>
  <si>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</si>
  <si>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</si>
  <si>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</si>
  <si>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</si>
  <si>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</si>
  <si>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</si>
  <si>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</si>
  <si>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</si>
  <si>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</si>
  <si>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</si>
  <si>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</si>
  <si>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</si>
  <si>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</si>
  <si>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</si>
  <si>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</si>
  <si>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</si>
  <si>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</si>
  <si>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</si>
  <si>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</si>
  <si>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</si>
  <si>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</si>
  <si>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</si>
  <si>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</si>
  <si>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</si>
  <si>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</si>
  <si>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</si>
  <si>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</si>
  <si>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</si>
  <si>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</si>
  <si>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</si>
  <si>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</si>
  <si>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</si>
  <si>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</si>
  <si>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</si>
  <si>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</si>
  <si>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</si>
  <si>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</si>
  <si>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</si>
  <si>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</si>
  <si>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</si>
  <si>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</si>
  <si>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</si>
  <si>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</si>
  <si>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</si>
  <si>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</si>
  <si>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</si>
  <si>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</si>
  <si>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</si>
  <si>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</si>
  <si>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</si>
  <si>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</si>
  <si>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</si>
  <si>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</si>
  <si>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</si>
  <si>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</si>
  <si>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</si>
  <si>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</si>
  <si>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</si>
  <si>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</si>
  <si>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</si>
  <si>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</si>
  <si>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</si>
  <si>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</si>
  <si>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</si>
  <si>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</si>
  <si>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</si>
  <si>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</si>
  <si>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</si>
  <si>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</si>
  <si>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</si>
  <si>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</si>
  <si>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</si>
  <si>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</si>
  <si>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</si>
  <si>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</si>
  <si>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</si>
  <si>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</si>
  <si>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</si>
  <si>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</si>
  <si>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</si>
  <si>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</si>
  <si>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</si>
  <si>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</si>
  <si>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</si>
  <si>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</si>
  <si>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</si>
  <si>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</si>
  <si>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</si>
  <si>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</si>
  <si>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</si>
  <si>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</si>
  <si>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</si>
  <si>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</si>
  <si>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</si>
  <si>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</si>
  <si>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</si>
  <si>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</si>
  <si>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</si>
  <si>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</si>
  <si>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</si>
  <si>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</si>
  <si>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</si>
  <si>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</si>
  <si>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</si>
  <si>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</si>
  <si>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</si>
  <si>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</si>
  <si>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</si>
  <si>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</si>
  <si>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</si>
  <si>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</si>
  <si>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</si>
  <si>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</si>
  <si>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</si>
  <si>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</si>
  <si>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</si>
  <si>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</si>
  <si>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</si>
  <si>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</si>
  <si>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</si>
  <si>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</si>
  <si>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</si>
  <si>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</si>
  <si>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</si>
  <si>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</si>
  <si>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</si>
  <si>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</si>
  <si>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</si>
  <si>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</si>
  <si>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</si>
  <si>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</si>
  <si>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</si>
  <si>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</si>
  <si>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</si>
  <si>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</si>
  <si>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</si>
  <si>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</si>
  <si>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</si>
  <si>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</si>
  <si>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</si>
  <si>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</si>
  <si>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</si>
  <si>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</si>
  <si>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</si>
  <si>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</si>
  <si>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</si>
  <si>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</si>
  <si>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</si>
  <si>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</si>
  <si>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</si>
  <si>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</si>
  <si>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</si>
  <si>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</si>
  <si>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</si>
  <si>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</si>
  <si>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</si>
  <si>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</si>
  <si>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</si>
  <si>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</si>
  <si>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</si>
  <si>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</si>
  <si>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</si>
  <si>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</si>
  <si>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</si>
  <si>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</si>
  <si>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</si>
  <si>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</si>
  <si>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</si>
  <si>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</si>
  <si>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</si>
  <si>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</si>
  <si>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</si>
  <si>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</si>
  <si>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</si>
  <si>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</si>
  <si>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</si>
  <si>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</si>
  <si>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</si>
  <si>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</si>
  <si>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</si>
  <si>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</si>
  <si>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</si>
  <si>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</si>
  <si>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</si>
  <si>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</si>
  <si>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</si>
  <si>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</si>
  <si>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</si>
  <si>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</si>
  <si>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</si>
  <si>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</si>
  <si>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</si>
  <si>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</si>
  <si>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</si>
  <si>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</si>
  <si>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</si>
  <si>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</si>
  <si>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</si>
  <si>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</si>
  <si>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</si>
  <si>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</si>
  <si>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</si>
  <si>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</si>
  <si>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</si>
  <si>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</si>
  <si>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</si>
  <si>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</si>
  <si>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</si>
  <si>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</si>
  <si>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</si>
  <si>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</si>
  <si>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</si>
  <si>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</si>
  <si>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</si>
  <si>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</si>
  <si>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</si>
  <si>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</si>
  <si>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</si>
  <si>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</si>
  <si>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</si>
  <si>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</si>
  <si>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</si>
  <si>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</si>
  <si>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</si>
  <si>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</si>
  <si>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</si>
  <si>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</si>
  <si>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</si>
  <si>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</si>
  <si>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</si>
  <si>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</si>
  <si>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</si>
  <si>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</si>
  <si>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</si>
  <si>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</si>
  <si>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</si>
  <si>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</si>
  <si>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</si>
  <si>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</si>
  <si>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</si>
  <si>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</si>
  <si>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</si>
  <si>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</si>
  <si>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</si>
  <si>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</si>
  <si>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</si>
  <si>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</si>
  <si>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</si>
  <si>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</si>
  <si>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</si>
  <si>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</si>
  <si>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</si>
  <si>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</si>
  <si>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</si>
  <si>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</si>
  <si>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</si>
  <si>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</si>
  <si>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</si>
  <si>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</si>
  <si>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</si>
  <si>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</si>
  <si>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</si>
  <si>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</si>
  <si>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</si>
  <si>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</si>
  <si>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</si>
  <si>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</si>
  <si>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</si>
  <si>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</si>
  <si>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</si>
  <si>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</si>
  <si>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</si>
  <si>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</si>
  <si>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</si>
  <si>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</si>
  <si>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</si>
  <si>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</si>
  <si>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</si>
  <si>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</si>
  <si>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</si>
  <si>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</si>
  <si>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</si>
  <si>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</si>
  <si>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</si>
  <si>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</si>
  <si>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</si>
  <si>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</si>
  <si>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</si>
  <si>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</si>
  <si>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</si>
  <si>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</si>
  <si>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</si>
  <si>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</si>
  <si>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</si>
  <si>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</si>
  <si>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</si>
  <si>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</si>
  <si>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</si>
  <si>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</si>
  <si>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</si>
  <si>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</si>
  <si>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</si>
  <si>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</si>
  <si>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</si>
  <si>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</si>
  <si>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</si>
  <si>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</si>
  <si>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</si>
  <si>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</si>
  <si>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</si>
  <si>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</si>
  <si>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</si>
  <si>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</si>
  <si>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</si>
  <si>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</si>
  <si>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</si>
  <si>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</si>
  <si>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</si>
  <si>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</si>
  <si>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</si>
  <si>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</si>
  <si>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</si>
  <si>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</si>
  <si>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</si>
  <si>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</si>
  <si>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</si>
  <si>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</si>
  <si>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</si>
  <si>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</si>
  <si>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</si>
  <si>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</si>
  <si>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</si>
  <si>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</si>
  <si>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</si>
  <si>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</si>
  <si>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</si>
  <si>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</si>
  <si>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</si>
  <si>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</si>
  <si>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</si>
  <si>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</si>
  <si>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</si>
  <si>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</si>
  <si>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</si>
  <si>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</si>
  <si>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</si>
  <si>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</si>
  <si>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</si>
  <si>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</si>
  <si>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</si>
  <si>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</si>
  <si>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</si>
  <si>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</si>
  <si>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</si>
  <si>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</si>
  <si>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</si>
  <si>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</si>
  <si>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</si>
  <si>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</si>
  <si>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</si>
  <si>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</si>
  <si>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</si>
  <si>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</si>
  <si>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</si>
  <si>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</si>
  <si>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</si>
  <si>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</si>
  <si>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</si>
  <si>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</si>
  <si>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</si>
  <si>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</si>
  <si>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</si>
  <si>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</si>
  <si>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</si>
  <si>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</si>
  <si>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</si>
  <si>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</si>
  <si>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</si>
  <si>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</si>
  <si>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</si>
  <si>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</si>
  <si>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</si>
  <si>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</si>
  <si>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</si>
  <si>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</si>
  <si>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</si>
  <si>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</si>
  <si>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</si>
  <si>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</si>
  <si>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</si>
  <si>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</si>
  <si>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</si>
  <si>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</si>
  <si>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</si>
  <si>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</si>
  <si>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</si>
  <si>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</si>
  <si>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</si>
  <si>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</si>
  <si>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</si>
  <si>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</si>
  <si>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</si>
  <si>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</si>
  <si>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</si>
  <si>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</si>
  <si>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</si>
  <si>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</si>
  <si>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</si>
  <si>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</si>
  <si>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</si>
  <si>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</si>
  <si>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</si>
  <si>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</si>
  <si>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</si>
  <si>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</si>
  <si>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</si>
  <si>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</si>
  <si>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</si>
  <si>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</si>
  <si>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</si>
  <si>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</si>
  <si>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</si>
  <si>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</si>
  <si>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</si>
  <si>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</si>
  <si>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</si>
  <si>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</si>
  <si>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</si>
  <si>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</si>
  <si>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</si>
  <si>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</si>
  <si>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</si>
  <si>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</si>
  <si>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</si>
  <si>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</si>
  <si>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</si>
  <si>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</si>
  <si>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</si>
  <si>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</si>
  <si>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</si>
  <si>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</si>
  <si>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</si>
  <si>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</si>
  <si>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</si>
  <si>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</si>
  <si>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</si>
  <si>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</si>
  <si>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</si>
  <si>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</si>
  <si>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</si>
  <si>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</si>
  <si>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</si>
  <si>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</si>
  <si>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</si>
  <si>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</si>
  <si>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</si>
  <si>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</si>
  <si>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</si>
  <si>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</si>
  <si>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</si>
  <si>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</si>
  <si>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</si>
  <si>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</si>
  <si>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</si>
  <si>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</si>
  <si>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</si>
  <si>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</si>
  <si>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</si>
  <si>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</si>
  <si>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</si>
  <si>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</si>
  <si>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</si>
  <si>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</si>
  <si>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</si>
  <si>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</si>
  <si>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</si>
  <si>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</si>
  <si>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</si>
  <si>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</si>
  <si>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</si>
  <si>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</si>
  <si>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</si>
  <si>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</si>
  <si>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</si>
  <si>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</si>
  <si>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</si>
  <si>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</si>
  <si>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</si>
  <si>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</si>
  <si>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</si>
  <si>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</si>
  <si>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</si>
  <si>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</si>
  <si>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</si>
  <si>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</si>
  <si>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</si>
  <si>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</si>
  <si>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</si>
  <si>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</si>
  <si>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</si>
  <si>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</si>
  <si>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</si>
  <si>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</si>
  <si>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</si>
  <si>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</si>
  <si>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</si>
  <si>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</si>
  <si>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</si>
  <si>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</si>
  <si>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</si>
  <si>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</si>
  <si>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</si>
  <si>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</si>
  <si>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</si>
  <si>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</si>
  <si>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</si>
  <si>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</si>
  <si>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</si>
  <si>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</si>
  <si>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</si>
  <si>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</si>
  <si>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</si>
  <si>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</si>
  <si>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</si>
  <si>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</si>
  <si>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</si>
  <si>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</si>
  <si>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</si>
  <si>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</si>
  <si>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</si>
  <si>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</si>
  <si>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</si>
  <si>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</si>
  <si>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</si>
  <si>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</si>
  <si>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</si>
  <si>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</si>
  <si>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</si>
  <si>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</si>
  <si>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</si>
  <si>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</si>
  <si>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</si>
  <si>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</si>
  <si>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</si>
  <si>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</si>
  <si>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</si>
  <si>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</si>
  <si>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</si>
  <si>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</si>
  <si>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</si>
  <si>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</si>
  <si>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</si>
  <si>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</si>
  <si>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</si>
  <si>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</si>
  <si>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</si>
  <si>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</si>
  <si>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</si>
  <si>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</si>
  <si>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</si>
  <si>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</si>
  <si>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</si>
  <si>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</si>
  <si>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</si>
  <si>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</si>
  <si>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</si>
  <si>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</si>
  <si>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</si>
  <si>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</si>
  <si>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</si>
  <si>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</si>
  <si>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</si>
  <si>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</si>
  <si>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</si>
  <si>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</si>
  <si>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</si>
  <si>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</si>
  <si>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</si>
  <si>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</si>
  <si>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</si>
  <si>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</si>
  <si>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</si>
  <si>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</si>
  <si>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</si>
  <si>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</si>
  <si>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</si>
  <si>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</si>
  <si>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</si>
  <si>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</si>
  <si>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</si>
  <si>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</si>
  <si>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</si>
  <si>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</si>
  <si>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</si>
  <si>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</si>
  <si>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</si>
  <si>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</si>
  <si>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</si>
  <si>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</si>
  <si>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</si>
  <si>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</si>
  <si>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</si>
  <si>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</si>
  <si>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</si>
  <si>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</si>
  <si>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</si>
  <si>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</si>
  <si>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</si>
  <si>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</si>
  <si>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</si>
  <si>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</si>
  <si>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</si>
  <si>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</si>
  <si>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</si>
  <si>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</si>
  <si>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</si>
  <si>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</si>
  <si>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</si>
  <si>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</si>
  <si>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</si>
  <si>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</si>
  <si>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</si>
  <si>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</si>
  <si>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</si>
  <si>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</si>
  <si>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</si>
  <si>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</si>
  <si>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</si>
  <si>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</si>
  <si>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</si>
  <si>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</si>
  <si>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</si>
  <si>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</si>
  <si>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</si>
  <si>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</si>
  <si>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</si>
  <si>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</si>
  <si>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</si>
  <si>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</si>
  <si>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</si>
  <si>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</si>
  <si>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</si>
  <si>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</si>
  <si>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</si>
  <si>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</si>
  <si>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</si>
  <si>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</si>
  <si>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</si>
  <si>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</si>
  <si>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</si>
  <si>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</si>
  <si>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</si>
  <si>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</si>
  <si>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</si>
  <si>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</si>
  <si>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</si>
  <si>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</si>
  <si>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</si>
  <si>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</si>
  <si>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</si>
  <si>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</si>
  <si>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</si>
  <si>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</si>
  <si>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</si>
  <si>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</si>
  <si>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</si>
  <si>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</si>
  <si>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</si>
  <si>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</si>
  <si>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</si>
  <si>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</si>
  <si>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</si>
  <si>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</si>
  <si>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</si>
  <si>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</si>
  <si>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</si>
  <si>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</si>
  <si>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</si>
  <si>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</si>
  <si>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</si>
  <si>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</si>
  <si>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</si>
  <si>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</si>
  <si>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</si>
  <si>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</si>
  <si>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</si>
  <si>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</si>
  <si>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</si>
  <si>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</si>
  <si>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</si>
  <si>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</si>
  <si>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</si>
  <si>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</si>
  <si>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</si>
  <si>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</si>
  <si>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</si>
  <si>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</si>
  <si>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</si>
  <si>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</si>
  <si>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</si>
  <si>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</si>
  <si>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</si>
  <si>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</si>
  <si>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</si>
  <si>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</si>
  <si>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</si>
  <si>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</si>
  <si>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</si>
  <si>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</si>
  <si>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</si>
  <si>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</si>
  <si>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</si>
  <si>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</si>
  <si>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</si>
  <si>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</si>
  <si>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</si>
  <si>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</si>
  <si>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</si>
  <si>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</si>
  <si>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</si>
  <si>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</si>
  <si>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</si>
  <si>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</si>
  <si>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</si>
  <si>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</si>
  <si>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</si>
  <si>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</si>
  <si>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</si>
  <si>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</si>
  <si>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</si>
  <si>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</si>
  <si>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</si>
  <si>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</si>
  <si>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</si>
  <si>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</si>
  <si>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</si>
  <si>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</si>
  <si>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</si>
  <si>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</si>
  <si>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</si>
  <si>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</si>
  <si>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</si>
  <si>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</si>
  <si>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</si>
  <si>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</si>
  <si>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</si>
  <si>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</si>
  <si>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</si>
  <si>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</si>
  <si>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</si>
  <si>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</si>
  <si>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</si>
  <si>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</si>
  <si>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</si>
  <si>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</si>
  <si>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</si>
  <si>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</si>
  <si>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</si>
  <si>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</si>
  <si>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</si>
  <si>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</si>
  <si>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</si>
  <si>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</si>
  <si>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</si>
  <si>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</si>
  <si>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</si>
  <si>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</si>
  <si>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</si>
  <si>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</si>
  <si>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</si>
  <si>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</si>
  <si>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</si>
  <si>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</si>
  <si>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</si>
  <si>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</si>
  <si>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</si>
  <si>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</si>
  <si>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</si>
  <si>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</si>
  <si>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</si>
  <si>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</si>
  <si>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</si>
  <si>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</si>
  <si>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</si>
  <si>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</si>
  <si>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</si>
  <si>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</si>
  <si>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</si>
  <si>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</si>
  <si>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</si>
  <si>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</si>
  <si>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</si>
  <si>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</si>
  <si>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</si>
  <si>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</si>
  <si>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</si>
  <si>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</si>
  <si>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</si>
  <si>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</si>
  <si>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</si>
  <si>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</si>
  <si>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</si>
  <si>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</si>
  <si>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</si>
  <si>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</si>
  <si>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</si>
  <si>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</si>
  <si>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</si>
  <si>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</si>
  <si>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</si>
  <si>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</si>
  <si>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</si>
  <si>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</si>
  <si>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</si>
  <si>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</si>
  <si>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</si>
  <si>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</si>
  <si>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</si>
  <si>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</si>
  <si>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</si>
  <si>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</si>
  <si>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</si>
  <si>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</si>
  <si>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</si>
  <si>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</si>
  <si>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</si>
  <si>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</si>
  <si>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</si>
  <si>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</si>
  <si>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</si>
  <si>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</si>
  <si>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</si>
  <si>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</si>
  <si>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</si>
  <si>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</si>
  <si>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</si>
  <si>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</si>
  <si>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</si>
  <si>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</si>
  <si>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</si>
  <si>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</si>
  <si>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</si>
  <si>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</si>
  <si>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</si>
  <si>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</si>
  <si>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</si>
  <si>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</si>
  <si>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</si>
  <si>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</si>
  <si>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</si>
  <si>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</si>
  <si>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</si>
  <si>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</si>
  <si>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</si>
  <si>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</si>
  <si>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</si>
  <si>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</si>
  <si>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</si>
  <si>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</si>
  <si>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</si>
  <si>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</si>
  <si>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</si>
  <si>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</si>
  <si>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</si>
  <si>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</si>
  <si>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</si>
  <si>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</si>
  <si>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</si>
  <si>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</si>
  <si>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</si>
  <si>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</si>
  <si>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</si>
  <si>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</si>
  <si>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</si>
  <si>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</si>
  <si>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</si>
  <si>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</si>
  <si>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</si>
  <si>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</si>
  <si>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</si>
  <si>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</si>
  <si>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</si>
  <si>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</si>
  <si>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</si>
  <si>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</si>
  <si>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</si>
  <si>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</si>
  <si>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</si>
  <si>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</si>
  <si>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</si>
  <si>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</si>
  <si>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</si>
  <si>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</si>
  <si>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</si>
  <si>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</si>
  <si>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</si>
  <si>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</si>
  <si>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</si>
  <si>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</si>
  <si>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</si>
  <si>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</si>
  <si>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</si>
  <si>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</si>
  <si>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</si>
  <si>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</si>
  <si>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</si>
  <si>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</si>
  <si>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</si>
  <si>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</si>
  <si>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</si>
  <si>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</si>
  <si>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</si>
  <si>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</si>
  <si>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</si>
  <si>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</si>
  <si>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</si>
  <si>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</si>
  <si>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</si>
  <si>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</si>
  <si>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</si>
  <si>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</si>
  <si>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</si>
  <si>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</si>
  <si>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</si>
  <si>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</si>
  <si>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</si>
  <si>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</si>
  <si>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</si>
  <si>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</si>
  <si>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</si>
  <si>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</si>
  <si>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</si>
  <si>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</si>
  <si>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</si>
  <si>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</si>
  <si>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</si>
  <si>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</si>
  <si>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</si>
  <si>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</si>
  <si>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</si>
  <si>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</si>
  <si>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</si>
  <si>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</si>
  <si>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</si>
  <si>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</si>
  <si>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</si>
  <si>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</si>
  <si>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</si>
  <si>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</si>
  <si>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</si>
  <si>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</si>
  <si>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</si>
  <si>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</si>
  <si>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</si>
  <si>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</si>
  <si>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</si>
  <si>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</si>
  <si>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</si>
  <si>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</si>
  <si>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</si>
  <si>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</si>
  <si>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</si>
  <si>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</si>
  <si>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</si>
  <si>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</si>
  <si>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</si>
  <si>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</si>
  <si>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</si>
  <si>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</si>
  <si>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</si>
  <si>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</si>
  <si>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</si>
  <si>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</si>
  <si>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</si>
  <si>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</si>
  <si>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</si>
  <si>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</si>
  <si>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</si>
  <si>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</si>
  <si>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</si>
  <si>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</si>
  <si>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</si>
  <si>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</si>
  <si>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</si>
  <si>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</si>
  <si>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</si>
  <si>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</si>
  <si>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</si>
  <si>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</si>
  <si>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</si>
  <si>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</si>
  <si>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</si>
  <si>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</si>
  <si>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</si>
  <si>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</si>
  <si>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</si>
  <si>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</si>
  <si>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</si>
  <si>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</si>
  <si>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</si>
  <si>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</si>
  <si>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</si>
  <si>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</si>
  <si>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</si>
  <si>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</si>
  <si>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</si>
  <si>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</si>
  <si>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</si>
  <si>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</si>
  <si>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</si>
  <si>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</si>
  <si>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</si>
  <si>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</si>
  <si>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</si>
  <si>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</si>
  <si>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</si>
  <si>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</si>
  <si>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</si>
  <si>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</si>
  <si>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</si>
  <si>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</si>
  <si>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</si>
  <si>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</si>
  <si>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</si>
  <si>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</si>
  <si>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</si>
  <si>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</si>
  <si>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</si>
  <si>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</si>
  <si>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</si>
  <si>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</si>
  <si>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</si>
  <si>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</si>
  <si>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</si>
  <si>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</si>
  <si>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</si>
  <si>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</si>
  <si>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</si>
  <si>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</si>
  <si>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</si>
  <si>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</si>
  <si>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</si>
  <si>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</si>
  <si>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</si>
  <si>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</si>
  <si>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</si>
  <si>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</si>
  <si>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</si>
  <si>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</si>
  <si>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</si>
  <si>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</si>
  <si>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</si>
  <si>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</si>
  <si>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</si>
  <si>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</si>
  <si>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</si>
  <si>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</si>
  <si>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</si>
  <si>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</si>
  <si>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</si>
  <si>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</si>
  <si>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</si>
  <si>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</si>
  <si>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</si>
  <si>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</si>
  <si>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</si>
  <si>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</si>
  <si>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</si>
  <si>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</si>
  <si>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</si>
  <si>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</si>
  <si>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</si>
  <si>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</si>
  <si>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</si>
  <si>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</si>
  <si>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</si>
  <si>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</si>
  <si>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</si>
  <si>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</si>
  <si>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</si>
  <si>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</si>
  <si>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</si>
  <si>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</si>
  <si>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</si>
  <si>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</si>
  <si>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</si>
  <si>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</si>
  <si>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</si>
  <si>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</si>
  <si>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</si>
  <si>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</si>
  <si>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</si>
  <si>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</si>
  <si>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</si>
  <si>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</si>
  <si>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</si>
  <si>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</si>
  <si>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</si>
  <si>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</si>
  <si>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</si>
  <si>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</si>
  <si>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</si>
  <si>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</si>
  <si>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</si>
  <si>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</si>
  <si>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</si>
  <si>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</si>
  <si>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</si>
  <si>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</si>
  <si>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</si>
  <si>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</si>
  <si>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</si>
  <si>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</si>
  <si>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</si>
  <si>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</si>
  <si>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</si>
  <si>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</si>
  <si>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</si>
  <si>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</si>
  <si>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</si>
  <si>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</si>
  <si>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</si>
  <si>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</si>
  <si>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</si>
  <si>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</si>
  <si>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</si>
  <si>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</si>
  <si>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</si>
  <si>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</si>
  <si>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</si>
  <si>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</si>
  <si>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</si>
  <si>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</si>
  <si>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</si>
  <si>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</si>
  <si>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</si>
  <si>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</si>
  <si>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</si>
  <si>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</si>
  <si>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</si>
  <si>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</si>
  <si>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</si>
  <si>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</si>
  <si>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</si>
  <si>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</si>
  <si>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</si>
  <si>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</si>
  <si>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</si>
  <si>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</si>
  <si>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</si>
  <si>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</si>
  <si>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</si>
  <si>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</si>
  <si>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</si>
  <si>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</si>
  <si>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</si>
  <si>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</si>
  <si>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</si>
  <si>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</si>
  <si>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</si>
  <si>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</si>
  <si>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</si>
  <si>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</si>
  <si>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</si>
  <si>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</si>
  <si>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</si>
  <si>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</si>
  <si>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</si>
  <si>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</si>
  <si>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</si>
  <si>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</si>
  <si>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</si>
  <si>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</si>
  <si>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</si>
  <si>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</si>
  <si>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</si>
  <si>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</si>
  <si>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</si>
  <si>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</si>
  <si>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</si>
  <si>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</si>
  <si>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</si>
  <si>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</si>
  <si>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</si>
  <si>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</si>
  <si>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</si>
  <si>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</si>
  <si>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</si>
  <si>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</si>
  <si>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</si>
  <si>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</si>
  <si>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</si>
  <si>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</si>
  <si>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</si>
  <si>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</si>
  <si>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</si>
  <si>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</si>
  <si>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</si>
  <si>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</si>
  <si>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</si>
  <si>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</si>
  <si>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</si>
  <si>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</si>
  <si>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</si>
  <si>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</si>
  <si>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</si>
  <si>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</si>
  <si>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</si>
  <si>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</si>
  <si>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</si>
  <si>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</si>
  <si>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</si>
  <si>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</si>
  <si>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</si>
  <si>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</si>
  <si>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</si>
  <si>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</si>
  <si>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</si>
  <si>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</si>
  <si>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</si>
  <si>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</si>
  <si>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</si>
  <si>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</si>
  <si>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</si>
  <si>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</si>
  <si>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</si>
  <si>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</si>
  <si>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</si>
  <si>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</si>
  <si>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</si>
  <si>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</si>
  <si>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</si>
  <si>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</si>
  <si>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</si>
  <si>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</si>
  <si>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</si>
  <si>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</si>
  <si>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</si>
  <si>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</si>
  <si>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</si>
  <si>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</si>
  <si>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</si>
  <si>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</si>
  <si>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</si>
  <si>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</si>
  <si>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</si>
  <si>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</si>
  <si>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</si>
  <si>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</si>
  <si>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</si>
  <si>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</si>
  <si>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</si>
  <si>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</si>
  <si>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</si>
  <si>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</si>
  <si>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</si>
  <si>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</si>
  <si>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</si>
  <si>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</si>
  <si>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</si>
  <si>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</si>
  <si>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</si>
  <si>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</si>
  <si>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</si>
  <si>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</si>
  <si>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</si>
  <si>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</si>
  <si>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</si>
  <si>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</si>
  <si>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</si>
  <si>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</si>
  <si>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</si>
  <si>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</si>
  <si>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</si>
  <si>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</si>
  <si>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</si>
  <si>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</si>
  <si>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</si>
  <si>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</si>
  <si>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</si>
  <si>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</si>
  <si>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</si>
  <si>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</si>
  <si>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</si>
  <si>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</si>
  <si>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</si>
  <si>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</si>
  <si>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</si>
  <si>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</si>
  <si>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</si>
  <si>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</si>
  <si>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</si>
  <si>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</si>
  <si>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</si>
  <si>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</si>
  <si>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</si>
  <si>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</si>
  <si>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</si>
  <si>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</si>
  <si>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</si>
  <si>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</si>
  <si>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</si>
  <si>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</si>
  <si>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</si>
  <si>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</si>
  <si>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</si>
  <si>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</si>
  <si>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</si>
  <si>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</si>
  <si>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</si>
  <si>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</si>
  <si>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</si>
  <si>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</si>
  <si>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</si>
  <si>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</si>
  <si>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</si>
  <si>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</si>
  <si>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</si>
  <si>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</si>
  <si>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</si>
  <si>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</si>
  <si>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</si>
  <si>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</si>
  <si>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</si>
  <si>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</si>
  <si>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</si>
  <si>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</si>
  <si>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</si>
  <si>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</si>
  <si>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</si>
  <si>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</si>
  <si>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</si>
  <si>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</si>
  <si>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</si>
  <si>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</si>
  <si>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</si>
  <si>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</si>
  <si>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</si>
  <si>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</si>
  <si>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</si>
  <si>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</si>
  <si>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</si>
  <si>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</si>
  <si>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</si>
  <si>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</si>
  <si>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</si>
  <si>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</si>
  <si>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</si>
  <si>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</si>
  <si>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</si>
  <si>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</si>
  <si>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</si>
  <si>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</si>
  <si>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</si>
  <si>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</si>
  <si>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</si>
  <si>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</si>
  <si>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</si>
  <si>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</si>
  <si>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</si>
  <si>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</si>
  <si>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</si>
  <si>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</si>
  <si>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</si>
  <si>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</si>
  <si>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</si>
  <si>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</si>
  <si>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</si>
  <si>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</si>
  <si>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</si>
  <si>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</si>
  <si>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</si>
  <si>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</si>
  <si>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</si>
  <si>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</si>
  <si>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</si>
  <si>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</si>
  <si>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</si>
  <si>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</si>
  <si>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</si>
  <si>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</si>
  <si>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</si>
  <si>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</si>
  <si>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</si>
  <si>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</si>
  <si>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</si>
  <si>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</si>
  <si>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</si>
  <si>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</si>
  <si>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</si>
  <si>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</si>
  <si>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</si>
  <si>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</si>
  <si>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</si>
  <si>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</si>
  <si>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</si>
  <si>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</si>
  <si>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</si>
  <si>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</si>
  <si>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</si>
  <si>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</si>
  <si>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</si>
  <si>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</si>
  <si>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</si>
  <si>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</si>
  <si>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</si>
  <si>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</si>
  <si>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</si>
  <si>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</si>
  <si>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</si>
  <si>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</si>
  <si>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</si>
  <si>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</si>
  <si>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</si>
  <si>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</si>
  <si>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</si>
  <si>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</si>
  <si>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</si>
  <si>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</si>
  <si>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</si>
  <si>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</si>
  <si>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</si>
  <si>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</si>
  <si>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</si>
  <si>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</si>
  <si>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</si>
  <si>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</si>
  <si>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</si>
  <si>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</si>
  <si>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</si>
  <si>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</si>
  <si>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</si>
  <si>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</si>
  <si>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</si>
  <si>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</si>
  <si>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</si>
  <si>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</si>
  <si>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</si>
  <si>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</si>
  <si>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</si>
  <si>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</si>
  <si>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</si>
  <si>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</si>
  <si>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</si>
  <si>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</si>
  <si>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</si>
  <si>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</si>
  <si>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</si>
  <si>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</si>
  <si>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</si>
  <si>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</si>
  <si>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</si>
  <si>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</si>
  <si>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</si>
  <si>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</si>
  <si>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</si>
  <si>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</si>
  <si>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</si>
  <si>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</si>
  <si>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</si>
  <si>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</si>
  <si>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</si>
  <si>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</si>
  <si>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</si>
  <si>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</si>
  <si>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</si>
  <si>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</si>
  <si>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</si>
  <si>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</si>
  <si>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</si>
  <si>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</si>
  <si>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</si>
  <si>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</si>
  <si>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</si>
  <si>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</si>
  <si>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</si>
  <si>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</si>
  <si>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</si>
  <si>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</si>
  <si>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</si>
  <si>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</si>
  <si>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</si>
  <si>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</si>
  <si>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</si>
  <si>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</si>
  <si>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</si>
  <si>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</si>
  <si>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</si>
  <si>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</si>
  <si>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</si>
  <si>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</si>
  <si>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</si>
  <si>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</si>
  <si>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</si>
  <si>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</si>
  <si>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</si>
  <si>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</si>
  <si>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</si>
  <si>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</si>
  <si>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</si>
  <si>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</si>
  <si>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</si>
  <si>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</si>
  <si>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</si>
  <si>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</si>
  <si>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</si>
  <si>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</si>
  <si>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</si>
  <si>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</si>
  <si>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</si>
  <si>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</si>
  <si>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</si>
  <si>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</si>
  <si>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</si>
  <si>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</si>
  <si>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</si>
  <si>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</si>
  <si>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</si>
  <si>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</si>
  <si>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</si>
  <si>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</si>
  <si>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</si>
  <si>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</si>
  <si>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</si>
  <si>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</si>
  <si>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</si>
  <si>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</si>
  <si>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</si>
  <si>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</si>
  <si>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</si>
  <si>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</si>
  <si>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</si>
  <si>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</si>
  <si>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</si>
  <si>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</si>
  <si>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</si>
  <si>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</si>
  <si>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</si>
  <si>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</si>
  <si>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</si>
  <si>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</si>
  <si>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</si>
  <si>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</si>
  <si>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</si>
  <si>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</si>
  <si>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</si>
  <si>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</si>
  <si>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</si>
  <si>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</si>
  <si>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</si>
  <si>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</si>
  <si>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</si>
  <si>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</si>
  <si>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</si>
  <si>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</si>
  <si>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</si>
  <si>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</si>
  <si>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</si>
  <si>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</si>
  <si>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</si>
  <si>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</si>
  <si>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</si>
  <si>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</si>
  <si>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</si>
  <si>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</si>
  <si>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</si>
  <si>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</si>
  <si>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</si>
  <si>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</si>
  <si>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</si>
  <si>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</si>
  <si>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</si>
  <si>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</si>
  <si>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</si>
  <si>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</si>
  <si>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</si>
  <si>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</si>
  <si>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</si>
  <si>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</si>
  <si>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</si>
  <si>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</si>
  <si>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</si>
  <si>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</si>
  <si>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</si>
  <si>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</si>
  <si>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</si>
  <si>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</si>
  <si>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</si>
  <si>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</si>
  <si>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</si>
  <si>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</si>
  <si>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</si>
  <si>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</si>
  <si>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</si>
  <si>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</si>
  <si>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</si>
  <si>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</si>
  <si>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</si>
  <si>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</si>
  <si>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</si>
  <si>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</si>
  <si>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</si>
  <si>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</si>
  <si>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</si>
  <si>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</si>
  <si>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</si>
  <si>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</si>
  <si>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</si>
  <si>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</si>
  <si>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</si>
  <si>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</si>
  <si>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</si>
  <si>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</si>
  <si>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</si>
  <si>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</si>
  <si>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</si>
  <si>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</si>
  <si>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</si>
  <si>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</si>
  <si>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</si>
  <si>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</si>
  <si>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</si>
  <si>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</si>
  <si>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</si>
  <si>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</si>
  <si>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</si>
  <si>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</si>
  <si>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</si>
  <si>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</si>
  <si>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</si>
  <si>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</si>
  <si>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</si>
  <si>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</si>
  <si>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</si>
  <si>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</si>
  <si>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</si>
  <si>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</si>
  <si>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</si>
  <si>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</si>
  <si>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</si>
  <si>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</si>
  <si>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</si>
  <si>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</si>
  <si>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</si>
  <si>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</si>
  <si>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</si>
  <si>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</si>
  <si>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</si>
  <si>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</si>
  <si>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</si>
  <si>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</si>
  <si>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</si>
  <si>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</si>
  <si>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</si>
  <si>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</si>
  <si>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</si>
  <si>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</si>
  <si>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</si>
  <si>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</si>
  <si>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</si>
  <si>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</si>
  <si>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</si>
  <si>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</si>
  <si>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</si>
  <si>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</si>
  <si>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</si>
  <si>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</si>
  <si>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</si>
  <si>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</si>
  <si>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</si>
  <si>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</si>
  <si>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</si>
  <si>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</si>
  <si>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</si>
  <si>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</si>
  <si>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</si>
  <si>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</si>
  <si>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</si>
  <si>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</si>
  <si>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</si>
  <si>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</si>
  <si>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</si>
  <si>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</si>
  <si>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</si>
  <si>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</si>
  <si>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</si>
  <si>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</si>
  <si>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</si>
  <si>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</si>
  <si>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</si>
  <si>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</si>
  <si>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</si>
  <si>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</si>
  <si>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</si>
  <si>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</si>
  <si>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</si>
  <si>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</si>
  <si>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</si>
  <si>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</si>
  <si>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</si>
  <si>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</si>
  <si>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</si>
  <si>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</si>
  <si>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</si>
  <si>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</si>
  <si>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</si>
  <si>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</si>
  <si>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</si>
  <si>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</si>
  <si>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</si>
  <si>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</si>
  <si>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</si>
  <si>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</si>
  <si>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</si>
  <si>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</si>
  <si>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</si>
  <si>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</si>
  <si>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</si>
  <si>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</si>
  <si>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</si>
  <si>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</si>
  <si>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</si>
  <si>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</si>
  <si>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</si>
  <si>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</si>
  <si>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</si>
  <si>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</si>
  <si>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</si>
  <si>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</si>
  <si>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</si>
  <si>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</si>
  <si>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</si>
  <si>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</si>
  <si>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</si>
  <si>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</si>
  <si>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</si>
  <si>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</si>
  <si>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</si>
  <si>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</si>
  <si>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</si>
  <si>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</si>
  <si>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</si>
  <si>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</si>
  <si>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</si>
  <si>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</si>
  <si>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</si>
  <si>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</si>
  <si>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</si>
  <si>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</si>
  <si>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</si>
  <si>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</si>
  <si>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</si>
  <si>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</si>
  <si>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</si>
  <si>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</si>
  <si>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</si>
  <si>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</si>
  <si>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</si>
  <si>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</si>
  <si>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</si>
  <si>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</si>
  <si>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</si>
  <si>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</si>
  <si>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</si>
  <si>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</si>
  <si>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</si>
  <si>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</si>
  <si>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</si>
  <si>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</si>
  <si>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</si>
  <si>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</si>
  <si>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</si>
  <si>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</si>
  <si>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</si>
  <si>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</si>
  <si>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</si>
  <si>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</si>
  <si>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</si>
  <si>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</si>
  <si>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</si>
  <si>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</si>
  <si>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</si>
  <si>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</si>
  <si>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</si>
  <si>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</si>
  <si>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</si>
  <si>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</si>
  <si>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</si>
  <si>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</si>
  <si>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</si>
  <si>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</si>
  <si>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</si>
  <si>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</si>
  <si>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</si>
  <si>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</si>
  <si>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</si>
  <si>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</si>
  <si>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</si>
  <si>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</si>
  <si>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</si>
  <si>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</si>
  <si>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</si>
  <si>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</si>
  <si>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</si>
  <si>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</si>
  <si>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</si>
  <si>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</si>
  <si>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</si>
  <si>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</si>
  <si>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</si>
  <si>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</si>
  <si>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</si>
  <si>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</si>
  <si>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</si>
  <si>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</si>
  <si>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</si>
  <si>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</si>
  <si>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</si>
  <si>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</si>
  <si>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</si>
  <si>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</si>
  <si>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</si>
  <si>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</si>
  <si>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</si>
  <si>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</si>
  <si>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</si>
  <si>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</si>
  <si>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</si>
  <si>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</si>
  <si>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</si>
  <si>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</si>
  <si>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</si>
  <si>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t>租金×天数×建筑面积/12×一年期存款利率</t>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</si>
  <si>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</si>
  <si>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</si>
  <si>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</si>
  <si>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</si>
  <si>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</si>
  <si>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</si>
  <si>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</si>
  <si>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</si>
  <si>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</si>
  <si>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地上</t>
  </si>
  <si>
    <t>独立商业</t>
  </si>
  <si>
    <t>地下</t>
  </si>
  <si>
    <t>序号</t>
  </si>
  <si>
    <t>馆号</t>
  </si>
  <si>
    <t>层数</t>
  </si>
  <si>
    <t>店面号</t>
  </si>
  <si>
    <t>产权面积</t>
  </si>
  <si>
    <t>6A</t>
  </si>
  <si>
    <t>6B</t>
  </si>
  <si>
    <t>7A</t>
  </si>
  <si>
    <t>7B</t>
  </si>
  <si>
    <t>已出租</t>
  </si>
  <si>
    <t>保留产权证的清单</t>
  </si>
  <si>
    <t>核定资产</t>
  </si>
  <si>
    <t>其他：</t>
  </si>
  <si>
    <t>企业</t>
  </si>
  <si>
    <t>出让</t>
  </si>
  <si>
    <t>是</t>
  </si>
  <si>
    <t>成新度</t>
  </si>
  <si>
    <t>楼号</t>
    <phoneticPr fontId="143" type="noConversion"/>
  </si>
  <si>
    <r>
      <t>6</t>
    </r>
    <r>
      <rPr>
        <sz val="11"/>
        <color theme="1"/>
        <rFont val="宋体"/>
        <family val="3"/>
        <charset val="134"/>
        <scheme val="minor"/>
      </rPr>
      <t>A</t>
    </r>
    <phoneticPr fontId="143" type="noConversion"/>
  </si>
  <si>
    <r>
      <t>6</t>
    </r>
    <r>
      <rPr>
        <sz val="11"/>
        <color theme="1"/>
        <rFont val="宋体"/>
        <family val="3"/>
        <charset val="134"/>
        <scheme val="minor"/>
      </rPr>
      <t>B</t>
    </r>
    <phoneticPr fontId="143" type="noConversion"/>
  </si>
  <si>
    <t>7A</t>
    <phoneticPr fontId="143" type="noConversion"/>
  </si>
  <si>
    <t>7B</t>
    <phoneticPr fontId="143" type="noConversion"/>
  </si>
  <si>
    <t>2层</t>
  </si>
  <si>
    <t>3层</t>
  </si>
  <si>
    <t>合计</t>
    <phoneticPr fontId="143" type="noConversion"/>
  </si>
  <si>
    <t>合计</t>
    <phoneticPr fontId="143" type="noConversion"/>
  </si>
  <si>
    <r>
      <t>1</t>
    </r>
    <r>
      <rPr>
        <sz val="10"/>
        <color indexed="8"/>
        <rFont val="宋体"/>
        <family val="3"/>
        <charset val="134"/>
      </rPr>
      <t>层</t>
    </r>
    <phoneticPr fontId="3" type="noConversion"/>
  </si>
  <si>
    <r>
      <t>2层</t>
    </r>
    <r>
      <rPr>
        <sz val="10"/>
        <color indexed="8"/>
        <rFont val="宋体"/>
        <family val="3"/>
        <charset val="134"/>
      </rPr>
      <t/>
    </r>
  </si>
  <si>
    <r>
      <t>3层</t>
    </r>
    <r>
      <rPr>
        <sz val="10"/>
        <color indexed="8"/>
        <rFont val="宋体"/>
        <family val="3"/>
        <charset val="134"/>
      </rPr>
      <t/>
    </r>
  </si>
  <si>
    <r>
      <t>4层</t>
    </r>
    <r>
      <rPr>
        <sz val="10"/>
        <color indexed="8"/>
        <rFont val="宋体"/>
        <family val="3"/>
        <charset val="134"/>
      </rPr>
      <t/>
    </r>
  </si>
  <si>
    <r>
      <t>5层</t>
    </r>
    <r>
      <rPr>
        <sz val="10"/>
        <color indexed="8"/>
        <rFont val="宋体"/>
        <family val="3"/>
        <charset val="134"/>
      </rPr>
      <t/>
    </r>
  </si>
  <si>
    <t>1层</t>
  </si>
  <si>
    <t>售价</t>
  </si>
  <si>
    <t>比较法-商业</t>
  </si>
  <si>
    <t>利嘉国际商业城</t>
    <phoneticPr fontId="3" type="noConversion"/>
  </si>
  <si>
    <t>商业</t>
    <phoneticPr fontId="31" type="noConversion"/>
  </si>
  <si>
    <t>30-40（含）</t>
  </si>
  <si>
    <t>一般</t>
  </si>
  <si>
    <t>六通</t>
  </si>
  <si>
    <t>较差</t>
  </si>
  <si>
    <t>好</t>
  </si>
  <si>
    <t>较好</t>
  </si>
  <si>
    <t>差</t>
  </si>
  <si>
    <r>
      <t>1</t>
    </r>
    <r>
      <rPr>
        <sz val="11"/>
        <color indexed="8"/>
        <rFont val="宋体"/>
        <family val="3"/>
        <charset val="134"/>
      </rPr>
      <t>层</t>
    </r>
    <phoneticPr fontId="31" type="noConversion"/>
  </si>
  <si>
    <t>钢混</t>
  </si>
  <si>
    <t>精装修</t>
  </si>
  <si>
    <t>七通</t>
    <phoneticPr fontId="31" type="noConversion"/>
  </si>
  <si>
    <t>六通</t>
    <phoneticPr fontId="31" type="noConversion"/>
  </si>
  <si>
    <t>五通</t>
  </si>
  <si>
    <t>五通</t>
    <phoneticPr fontId="31" type="noConversion"/>
  </si>
  <si>
    <t>精装修</t>
    <phoneticPr fontId="3" type="noConversion"/>
  </si>
  <si>
    <t>普通装修</t>
    <phoneticPr fontId="3" type="noConversion"/>
  </si>
  <si>
    <t>简装</t>
    <phoneticPr fontId="3" type="noConversion"/>
  </si>
  <si>
    <t>毛坯</t>
    <phoneticPr fontId="3" type="noConversion"/>
  </si>
  <si>
    <t>钢结构</t>
    <phoneticPr fontId="3" type="noConversion"/>
  </si>
  <si>
    <t>钢混</t>
    <phoneticPr fontId="3" type="noConversion"/>
  </si>
  <si>
    <t>砖混</t>
    <phoneticPr fontId="3" type="noConversion"/>
  </si>
  <si>
    <t>可餐饮</t>
    <phoneticPr fontId="3" type="noConversion"/>
  </si>
  <si>
    <t>不可餐饮</t>
    <phoneticPr fontId="3" type="noConversion"/>
  </si>
  <si>
    <t>超高层高</t>
    <phoneticPr fontId="3" type="noConversion"/>
  </si>
  <si>
    <t>标准层高</t>
    <phoneticPr fontId="3" type="noConversion"/>
  </si>
  <si>
    <t>适宜</t>
    <phoneticPr fontId="3" type="noConversion"/>
  </si>
  <si>
    <t>较适宜</t>
    <phoneticPr fontId="3" type="noConversion"/>
  </si>
  <si>
    <t>较不适宜</t>
    <phoneticPr fontId="3" type="noConversion"/>
  </si>
  <si>
    <t>独栋商业</t>
    <phoneticPr fontId="3" type="noConversion"/>
  </si>
  <si>
    <t>商业街</t>
    <phoneticPr fontId="3" type="noConversion"/>
  </si>
  <si>
    <t>底商</t>
    <phoneticPr fontId="3" type="noConversion"/>
  </si>
  <si>
    <t>多面临街</t>
    <phoneticPr fontId="3" type="noConversion"/>
  </si>
  <si>
    <t>双面临街</t>
    <phoneticPr fontId="3" type="noConversion"/>
  </si>
  <si>
    <t>单面临街</t>
    <phoneticPr fontId="3" type="noConversion"/>
  </si>
  <si>
    <t>不临街</t>
    <phoneticPr fontId="3" type="noConversion"/>
  </si>
  <si>
    <r>
      <t>2层</t>
    </r>
    <r>
      <rPr>
        <sz val="11"/>
        <color indexed="8"/>
        <rFont val="宋体"/>
        <family val="3"/>
        <charset val="134"/>
      </rPr>
      <t/>
    </r>
  </si>
  <si>
    <r>
      <t>3层</t>
    </r>
    <r>
      <rPr>
        <sz val="11"/>
        <color indexed="8"/>
        <rFont val="宋体"/>
        <family val="3"/>
        <charset val="134"/>
      </rPr>
      <t/>
    </r>
  </si>
  <si>
    <r>
      <t>4层</t>
    </r>
    <r>
      <rPr>
        <sz val="11"/>
        <color indexed="8"/>
        <rFont val="宋体"/>
        <family val="3"/>
        <charset val="134"/>
      </rPr>
      <t/>
    </r>
  </si>
  <si>
    <r>
      <t>5层</t>
    </r>
    <r>
      <rPr>
        <sz val="11"/>
        <color indexed="8"/>
        <rFont val="宋体"/>
        <family val="3"/>
        <charset val="134"/>
      </rPr>
      <t/>
    </r>
  </si>
  <si>
    <t>大</t>
    <phoneticPr fontId="3" type="noConversion"/>
  </si>
  <si>
    <t>较大</t>
    <phoneticPr fontId="3" type="noConversion"/>
  </si>
  <si>
    <t>一般</t>
    <phoneticPr fontId="3" type="noConversion"/>
  </si>
  <si>
    <t>较小</t>
    <phoneticPr fontId="3" type="noConversion"/>
  </si>
  <si>
    <t>小</t>
    <phoneticPr fontId="3" type="noConversion"/>
  </si>
  <si>
    <t>标准层高</t>
  </si>
  <si>
    <t>较适宜</t>
  </si>
  <si>
    <t>毛坯</t>
  </si>
  <si>
    <t>编号</t>
  </si>
  <si>
    <t>馆</t>
  </si>
  <si>
    <t>层</t>
  </si>
  <si>
    <t>编号</t>
    <phoneticPr fontId="143" type="noConversion"/>
  </si>
  <si>
    <t>面积</t>
    <phoneticPr fontId="143" type="noConversion"/>
  </si>
  <si>
    <t>单价</t>
  </si>
  <si>
    <t>合同总价</t>
    <phoneticPr fontId="143" type="noConversion"/>
  </si>
  <si>
    <t>签订时间</t>
    <phoneticPr fontId="143" type="noConversion"/>
  </si>
  <si>
    <t>已收金额</t>
    <phoneticPr fontId="143" type="noConversion"/>
  </si>
  <si>
    <t>1馆地下一层131</t>
  </si>
  <si>
    <t>地下一层</t>
  </si>
  <si>
    <t>1馆地下一层132</t>
  </si>
  <si>
    <t>1馆地下一层133</t>
  </si>
  <si>
    <t>1馆地下一层138</t>
  </si>
  <si>
    <t>1馆地下一层139</t>
  </si>
  <si>
    <t>1馆地下一层140</t>
  </si>
  <si>
    <t>1馆地下一层141</t>
  </si>
  <si>
    <t>1馆地下一层142</t>
  </si>
  <si>
    <t>1馆地下二层19</t>
  </si>
  <si>
    <t>地下二层</t>
  </si>
  <si>
    <t>1馆地下二层20</t>
  </si>
  <si>
    <t>1馆地下二层21</t>
  </si>
  <si>
    <t>1馆地下二层22</t>
  </si>
  <si>
    <t>1馆地下二层23</t>
  </si>
  <si>
    <t>1馆地下二层25</t>
  </si>
  <si>
    <t>1馆地下二层26</t>
  </si>
  <si>
    <t>1馆地下二层27</t>
  </si>
  <si>
    <t>1馆地下二层56</t>
  </si>
  <si>
    <t>2馆2层5</t>
  </si>
  <si>
    <t>2F</t>
  </si>
  <si>
    <t>2馆2层7</t>
  </si>
  <si>
    <t>2馆2层8</t>
  </si>
  <si>
    <t>2馆2层9</t>
  </si>
  <si>
    <t>2馆2层102</t>
  </si>
  <si>
    <t>2馆2层106</t>
  </si>
  <si>
    <t>2馆3层6</t>
  </si>
  <si>
    <t>3F</t>
  </si>
  <si>
    <t>2馆3层11</t>
  </si>
  <si>
    <t>2馆3层33</t>
  </si>
  <si>
    <t>2馆3层36</t>
  </si>
  <si>
    <t>2馆3层37</t>
  </si>
  <si>
    <t>2馆3层38</t>
  </si>
  <si>
    <t>2馆3层89</t>
  </si>
  <si>
    <t>2馆3层91</t>
  </si>
  <si>
    <t>2馆3层92</t>
  </si>
  <si>
    <t>2馆3层93</t>
  </si>
  <si>
    <t>2馆3层102</t>
  </si>
  <si>
    <t>2馆4层12</t>
  </si>
  <si>
    <t>4F</t>
  </si>
  <si>
    <t>2馆4层13</t>
  </si>
  <si>
    <t>2馆4层15</t>
  </si>
  <si>
    <t>2馆4层118</t>
  </si>
  <si>
    <t>2馆4层122</t>
  </si>
  <si>
    <t>2馆4层123</t>
  </si>
  <si>
    <t>2馆4层126</t>
  </si>
  <si>
    <t>2馆4层127</t>
  </si>
  <si>
    <t>2馆4层131</t>
  </si>
  <si>
    <t>2馆4层137</t>
  </si>
  <si>
    <t>2馆5层6</t>
  </si>
  <si>
    <t>5F</t>
  </si>
  <si>
    <t>2馆5层9</t>
  </si>
  <si>
    <t>2馆5层10</t>
  </si>
  <si>
    <t>2馆5层11</t>
  </si>
  <si>
    <t>2馆5层12</t>
  </si>
  <si>
    <t>2馆5层13</t>
  </si>
  <si>
    <t>2馆5层15</t>
  </si>
  <si>
    <t>2馆5层16</t>
  </si>
  <si>
    <t>2馆5层17</t>
  </si>
  <si>
    <t>2馆5层18</t>
  </si>
  <si>
    <t>2馆5层19</t>
  </si>
  <si>
    <t>2馆5层21</t>
  </si>
  <si>
    <t>2馆5层22</t>
  </si>
  <si>
    <t>2馆5层23</t>
  </si>
  <si>
    <t>2馆5层25</t>
  </si>
  <si>
    <t>2馆5层26</t>
  </si>
  <si>
    <t>2馆5层30</t>
  </si>
  <si>
    <t>2馆5层31</t>
  </si>
  <si>
    <t>2馆5层35</t>
  </si>
  <si>
    <t>2馆5层43</t>
  </si>
  <si>
    <t>2馆5层45</t>
  </si>
  <si>
    <t>2馆5层46</t>
  </si>
  <si>
    <t>2馆5层47</t>
  </si>
  <si>
    <t>2馆5层48</t>
  </si>
  <si>
    <t>2馆5层50</t>
  </si>
  <si>
    <t>2馆5层51</t>
  </si>
  <si>
    <t>2馆5层52</t>
  </si>
  <si>
    <t>2馆5层53</t>
  </si>
  <si>
    <t>2馆5层57</t>
  </si>
  <si>
    <t>2馆5层58</t>
  </si>
  <si>
    <t>2馆5层67</t>
  </si>
  <si>
    <t>2馆5层68</t>
  </si>
  <si>
    <t>2馆5层69</t>
  </si>
  <si>
    <t>2馆5层70</t>
  </si>
  <si>
    <t>2馆5层71</t>
  </si>
  <si>
    <t>2馆5层76</t>
  </si>
  <si>
    <t>2馆5层77</t>
  </si>
  <si>
    <t>2馆5层78</t>
  </si>
  <si>
    <t>2馆5层79</t>
  </si>
  <si>
    <t>2馆5层82</t>
  </si>
  <si>
    <t>2馆5层83</t>
  </si>
  <si>
    <t>2馆5层99</t>
  </si>
  <si>
    <t>2馆5层100</t>
  </si>
  <si>
    <t>2馆5层131</t>
  </si>
  <si>
    <t>2馆5层140</t>
  </si>
  <si>
    <t>2馆5层141</t>
  </si>
  <si>
    <t>2馆5层142</t>
  </si>
  <si>
    <t>2馆5层143</t>
  </si>
  <si>
    <t>2馆5层145</t>
  </si>
  <si>
    <t>2馆地下二层43</t>
  </si>
  <si>
    <t>2馆地下二层60</t>
  </si>
  <si>
    <t>2馆地下二层61</t>
  </si>
  <si>
    <t>2馆地下二层113</t>
  </si>
  <si>
    <t>2馆地下二层115</t>
  </si>
  <si>
    <t>2馆地下二层116</t>
  </si>
  <si>
    <t>2馆地下二层117</t>
  </si>
  <si>
    <t>2馆地下二层165</t>
  </si>
  <si>
    <t>2馆地下二层166</t>
  </si>
  <si>
    <t>2馆地下二层167</t>
  </si>
  <si>
    <t>2馆地下二层168</t>
  </si>
  <si>
    <t>2馆地下一层81</t>
  </si>
  <si>
    <t>2馆地下一层82</t>
  </si>
  <si>
    <t>2馆地下一层92</t>
  </si>
  <si>
    <t>2馆地下一层93</t>
  </si>
  <si>
    <t>2馆地下一层146</t>
  </si>
  <si>
    <t>2馆地下一层175</t>
  </si>
  <si>
    <t>2馆地下一层176</t>
  </si>
  <si>
    <t>2馆地下一层178</t>
  </si>
  <si>
    <t>2馆地下一层179</t>
  </si>
  <si>
    <t>3馆1层1</t>
  </si>
  <si>
    <t>1F</t>
  </si>
  <si>
    <t>3馆1层3</t>
  </si>
  <si>
    <t>3馆1层7</t>
  </si>
  <si>
    <t>3馆1层8</t>
  </si>
  <si>
    <t>3馆1层17</t>
  </si>
  <si>
    <t>3馆1层18</t>
  </si>
  <si>
    <t>3馆1层19</t>
  </si>
  <si>
    <t>3馆1层20</t>
  </si>
  <si>
    <t>3馆1层21</t>
  </si>
  <si>
    <t>3馆1层42</t>
  </si>
  <si>
    <t>3馆1层47</t>
  </si>
  <si>
    <t>3馆1层50</t>
  </si>
  <si>
    <t>3馆1层51</t>
  </si>
  <si>
    <t>3馆1层56</t>
  </si>
  <si>
    <t>3馆1层62</t>
  </si>
  <si>
    <t>3馆1层63</t>
  </si>
  <si>
    <t>3馆1层71</t>
  </si>
  <si>
    <t>3馆1层97</t>
  </si>
  <si>
    <t>3馆1层98</t>
  </si>
  <si>
    <t>3馆1层99</t>
  </si>
  <si>
    <t>3馆1层100</t>
  </si>
  <si>
    <t>3馆1层101</t>
  </si>
  <si>
    <t>3馆1层102</t>
  </si>
  <si>
    <t>3馆1层105</t>
  </si>
  <si>
    <t>3馆1层106</t>
  </si>
  <si>
    <t>3馆1层107</t>
  </si>
  <si>
    <t>3馆1层108</t>
  </si>
  <si>
    <t>3馆2层29</t>
  </si>
  <si>
    <t>3馆2层30</t>
  </si>
  <si>
    <t>3馆2层36</t>
  </si>
  <si>
    <t>3馆2层37</t>
  </si>
  <si>
    <t>3馆2层38</t>
  </si>
  <si>
    <t>3馆2层39</t>
  </si>
  <si>
    <t>3馆2层40</t>
  </si>
  <si>
    <t>3馆2层46</t>
  </si>
  <si>
    <t>3馆2层53</t>
  </si>
  <si>
    <t>3馆2层55</t>
  </si>
  <si>
    <t>3馆2层56</t>
  </si>
  <si>
    <t>3馆2层58</t>
  </si>
  <si>
    <t>3馆2层59</t>
  </si>
  <si>
    <t>3馆2层65</t>
  </si>
  <si>
    <t>3馆2层66</t>
  </si>
  <si>
    <t>3馆2层76</t>
  </si>
  <si>
    <t>3馆2层91</t>
  </si>
  <si>
    <t>3馆2层92</t>
  </si>
  <si>
    <t>3馆2层99</t>
  </si>
  <si>
    <t>3馆2层100</t>
  </si>
  <si>
    <t>3馆2层103</t>
  </si>
  <si>
    <t>3馆2层109</t>
  </si>
  <si>
    <t>3馆2层110</t>
  </si>
  <si>
    <t>3馆2层136</t>
  </si>
  <si>
    <t>3馆2层137</t>
  </si>
  <si>
    <t>3馆2层138</t>
  </si>
  <si>
    <t>3馆2层139</t>
  </si>
  <si>
    <t>3馆2层140</t>
  </si>
  <si>
    <t>3馆2层141</t>
  </si>
  <si>
    <t>3馆2层142</t>
  </si>
  <si>
    <t>3馆2层143</t>
  </si>
  <si>
    <t>3馆2层145</t>
  </si>
  <si>
    <t>3馆2层146</t>
  </si>
  <si>
    <t>3馆2层147</t>
  </si>
  <si>
    <t>3馆2层148</t>
  </si>
  <si>
    <t>3馆3层3</t>
  </si>
  <si>
    <t>3馆3层27</t>
  </si>
  <si>
    <t>3馆3层31</t>
  </si>
  <si>
    <t>3馆3层32</t>
  </si>
  <si>
    <t>3馆3层33</t>
  </si>
  <si>
    <t>3馆3层35</t>
  </si>
  <si>
    <t>3馆3层36</t>
  </si>
  <si>
    <t>3馆3层40</t>
  </si>
  <si>
    <t>3馆3层43</t>
  </si>
  <si>
    <t>3馆3层46</t>
  </si>
  <si>
    <t>3馆3层52</t>
  </si>
  <si>
    <t>3馆3层57</t>
  </si>
  <si>
    <t>3馆3层59</t>
  </si>
  <si>
    <t>3馆3层61</t>
  </si>
  <si>
    <t>3馆3层70</t>
  </si>
  <si>
    <t>3馆3层97</t>
  </si>
  <si>
    <t>3馆3层98</t>
  </si>
  <si>
    <t>3馆3层99</t>
  </si>
  <si>
    <t>3馆3层100</t>
  </si>
  <si>
    <t>3馆3层101</t>
  </si>
  <si>
    <t>3馆3层102</t>
  </si>
  <si>
    <t>3馆3层119</t>
  </si>
  <si>
    <t>3馆3层122</t>
  </si>
  <si>
    <t>3馆4层2</t>
  </si>
  <si>
    <t>3馆4层3</t>
  </si>
  <si>
    <t>3馆4层6</t>
  </si>
  <si>
    <t>3馆4层7</t>
  </si>
  <si>
    <t>3馆4层8</t>
  </si>
  <si>
    <t>3馆4层10</t>
  </si>
  <si>
    <t>3馆4层11</t>
  </si>
  <si>
    <t>3馆4层12</t>
  </si>
  <si>
    <t>3馆4层27</t>
  </si>
  <si>
    <t>3馆4层28</t>
  </si>
  <si>
    <t>3馆4层29</t>
  </si>
  <si>
    <t>3馆4层30</t>
  </si>
  <si>
    <t>3馆4层31</t>
  </si>
  <si>
    <t>3馆4层32</t>
  </si>
  <si>
    <t>3馆4层35</t>
  </si>
  <si>
    <t>3馆4层40</t>
  </si>
  <si>
    <t>3馆4层42</t>
  </si>
  <si>
    <t>3馆4层43</t>
  </si>
  <si>
    <t>3馆4层46</t>
  </si>
  <si>
    <t>3馆4层47</t>
  </si>
  <si>
    <t>3馆4层49</t>
  </si>
  <si>
    <t>3馆4层67</t>
  </si>
  <si>
    <t>3馆4层97</t>
  </si>
  <si>
    <t>3馆4层98</t>
  </si>
  <si>
    <t>3馆4层99</t>
  </si>
  <si>
    <t>3馆4层100</t>
  </si>
  <si>
    <t>3馆4层102</t>
  </si>
  <si>
    <t>3馆4层103</t>
  </si>
  <si>
    <t>3馆4层105</t>
  </si>
  <si>
    <t>3馆4层106</t>
  </si>
  <si>
    <t>3馆4层107</t>
  </si>
  <si>
    <t>3馆4层113</t>
  </si>
  <si>
    <t>3馆4层115</t>
  </si>
  <si>
    <t>3馆4层121</t>
  </si>
  <si>
    <t>3馆4层122</t>
  </si>
  <si>
    <t>3馆4层133</t>
  </si>
  <si>
    <t>3馆地下一层7</t>
  </si>
  <si>
    <t>3馆地下一层10</t>
  </si>
  <si>
    <t>3馆地下一层13</t>
  </si>
  <si>
    <t>3馆地下一层17</t>
  </si>
  <si>
    <t>3馆地下一层31</t>
  </si>
  <si>
    <t>3馆地下一层33</t>
  </si>
  <si>
    <t>3馆地下一层35</t>
  </si>
  <si>
    <t>3馆地下一层36</t>
  </si>
  <si>
    <t>3馆地下一层105</t>
  </si>
  <si>
    <t>3馆地下一层106</t>
  </si>
  <si>
    <t>3馆地下一层135</t>
  </si>
  <si>
    <t>3馆地下一层136</t>
  </si>
  <si>
    <t>3馆地下一层137</t>
  </si>
  <si>
    <t>3馆地下一层138</t>
  </si>
  <si>
    <t>3馆地下二层10</t>
  </si>
  <si>
    <t>3馆地下二层11</t>
  </si>
  <si>
    <t>3馆地下二层45</t>
  </si>
  <si>
    <t>3馆地下二层46</t>
  </si>
  <si>
    <t>3馆地下二层57</t>
  </si>
  <si>
    <t>3馆地下二层58</t>
  </si>
  <si>
    <t>3馆地下二层83</t>
  </si>
  <si>
    <t>3馆地下二层85</t>
  </si>
  <si>
    <t>3馆地下二层86</t>
  </si>
  <si>
    <t>3馆地下二层87</t>
  </si>
  <si>
    <t>3馆地下二层102</t>
  </si>
  <si>
    <t>3馆地下二层103</t>
  </si>
  <si>
    <t>3馆地下二层109</t>
  </si>
  <si>
    <t>3馆地下二层110</t>
  </si>
  <si>
    <t>3馆地下二层111</t>
  </si>
  <si>
    <t>3馆地下二层112</t>
  </si>
  <si>
    <t>3馆地下二层113</t>
  </si>
  <si>
    <t>3馆地下二层115</t>
  </si>
  <si>
    <t>3馆地下二层116</t>
  </si>
  <si>
    <t>3馆地下二层117</t>
  </si>
  <si>
    <t>3馆地下二层118</t>
  </si>
  <si>
    <t>3馆地下二层119</t>
  </si>
  <si>
    <t>3馆地下二层120</t>
  </si>
  <si>
    <t>3馆地下二层121</t>
  </si>
  <si>
    <t>3馆地下二层122</t>
  </si>
  <si>
    <t>3馆地下二层128</t>
  </si>
  <si>
    <t>5馆1层1</t>
  </si>
  <si>
    <t>5馆1层2</t>
  </si>
  <si>
    <t>5馆1层3</t>
  </si>
  <si>
    <t>5馆1层5</t>
  </si>
  <si>
    <t>5馆1层6</t>
  </si>
  <si>
    <t>5馆1层7</t>
  </si>
  <si>
    <t>5馆1层8</t>
  </si>
  <si>
    <t>5馆1层9</t>
  </si>
  <si>
    <t>5馆1层10</t>
  </si>
  <si>
    <t>5馆1层13</t>
  </si>
  <si>
    <t>5馆1层15</t>
  </si>
  <si>
    <t>5馆1层17</t>
  </si>
  <si>
    <t>5馆1层19</t>
  </si>
  <si>
    <t>5馆1层26</t>
  </si>
  <si>
    <t>5馆1层27</t>
  </si>
  <si>
    <t>5馆1层28</t>
  </si>
  <si>
    <t>5馆1层33</t>
  </si>
  <si>
    <t>5馆1层35</t>
  </si>
  <si>
    <t>5馆1层36</t>
  </si>
  <si>
    <t>5馆1层48</t>
  </si>
  <si>
    <t>5馆1层52</t>
  </si>
  <si>
    <t>5馆1层53</t>
  </si>
  <si>
    <t>5馆1层57</t>
  </si>
  <si>
    <t>5馆1层58</t>
  </si>
  <si>
    <t>5馆1层62</t>
  </si>
  <si>
    <t>5馆1层67</t>
  </si>
  <si>
    <t>5馆1层70</t>
  </si>
  <si>
    <t>5馆1层77</t>
  </si>
  <si>
    <t>5馆1层83</t>
  </si>
  <si>
    <t>5馆1层92</t>
  </si>
  <si>
    <t>5馆1层96</t>
  </si>
  <si>
    <t>5馆1层102</t>
  </si>
  <si>
    <t>5馆1层112</t>
  </si>
  <si>
    <t>5馆1层113</t>
  </si>
  <si>
    <t>5馆1层115</t>
  </si>
  <si>
    <t>5馆2层1</t>
  </si>
  <si>
    <t>5馆2层2</t>
  </si>
  <si>
    <t>5馆2层3</t>
  </si>
  <si>
    <t>5馆2层5</t>
  </si>
  <si>
    <t>5馆2层6</t>
  </si>
  <si>
    <t>5馆2层7</t>
  </si>
  <si>
    <t>5馆2层8</t>
  </si>
  <si>
    <t>5馆2层9</t>
  </si>
  <si>
    <t>5馆2层11</t>
  </si>
  <si>
    <t>5馆2层12</t>
  </si>
  <si>
    <t>5馆2层13</t>
  </si>
  <si>
    <t>5馆2层15</t>
  </si>
  <si>
    <t>5馆2层16</t>
  </si>
  <si>
    <t>5馆2层18</t>
  </si>
  <si>
    <t>5馆2层19</t>
  </si>
  <si>
    <t>5馆2层20</t>
  </si>
  <si>
    <t>5馆2层26</t>
  </si>
  <si>
    <t>5馆2层27</t>
  </si>
  <si>
    <t>5馆2层31</t>
  </si>
  <si>
    <t>5馆2层32</t>
  </si>
  <si>
    <t>5馆2层33</t>
  </si>
  <si>
    <t>5馆2层35</t>
  </si>
  <si>
    <t>5馆2层37</t>
  </si>
  <si>
    <t>5馆2层38</t>
  </si>
  <si>
    <t>5馆2层41</t>
  </si>
  <si>
    <t>5馆2层42</t>
  </si>
  <si>
    <t>5馆2层43</t>
  </si>
  <si>
    <t>5馆2层45</t>
  </si>
  <si>
    <t>5馆2层46</t>
  </si>
  <si>
    <t>5馆2层47</t>
  </si>
  <si>
    <t>5馆2层51</t>
  </si>
  <si>
    <t>5馆2层52</t>
  </si>
  <si>
    <t>5馆2层56</t>
  </si>
  <si>
    <t>5馆2层57</t>
  </si>
  <si>
    <t>5馆2层58</t>
  </si>
  <si>
    <t>5馆2层59</t>
  </si>
  <si>
    <t>5馆2层61</t>
  </si>
  <si>
    <t>5馆2层62</t>
  </si>
  <si>
    <t>5馆2层63</t>
  </si>
  <si>
    <t>5馆2层65</t>
  </si>
  <si>
    <t>5馆2层67</t>
  </si>
  <si>
    <t>5馆2层68</t>
  </si>
  <si>
    <t>5馆2层69</t>
  </si>
  <si>
    <t>5馆2层70</t>
  </si>
  <si>
    <t>5馆2层71</t>
  </si>
  <si>
    <t>5馆2层72</t>
  </si>
  <si>
    <t>5馆2层73</t>
  </si>
  <si>
    <t>5馆2层75</t>
  </si>
  <si>
    <t>5馆2层76</t>
  </si>
  <si>
    <t>5馆2层77</t>
  </si>
  <si>
    <t>5馆2层78</t>
  </si>
  <si>
    <t>5馆2层79</t>
  </si>
  <si>
    <t>5馆2层80</t>
  </si>
  <si>
    <t>5馆2层81</t>
  </si>
  <si>
    <t>5馆2层82</t>
  </si>
  <si>
    <t>5馆2层87</t>
  </si>
  <si>
    <t>5馆2层88</t>
  </si>
  <si>
    <t>5馆2层89</t>
  </si>
  <si>
    <t>5馆2层90</t>
  </si>
  <si>
    <t>5馆2层91</t>
  </si>
  <si>
    <t>5馆2层93</t>
  </si>
  <si>
    <t>5馆2层96</t>
  </si>
  <si>
    <t>5馆2层102</t>
  </si>
  <si>
    <t>5馆2层103</t>
  </si>
  <si>
    <t>5馆2层105</t>
  </si>
  <si>
    <t>5馆2层106</t>
  </si>
  <si>
    <t>5馆2层107</t>
  </si>
  <si>
    <t>5馆2层108</t>
  </si>
  <si>
    <t>5馆2层109</t>
  </si>
  <si>
    <t>5馆2层110</t>
  </si>
  <si>
    <t>5馆2层111</t>
  </si>
  <si>
    <t>5馆2层112</t>
  </si>
  <si>
    <t>5馆2层113</t>
  </si>
  <si>
    <t>5馆2层115</t>
  </si>
  <si>
    <t>5馆2层116</t>
  </si>
  <si>
    <t>5馆2层118</t>
  </si>
  <si>
    <t>5馆2层119</t>
  </si>
  <si>
    <t>5馆2层122</t>
  </si>
  <si>
    <t>5馆2层123</t>
  </si>
  <si>
    <t>5馆2层125</t>
  </si>
  <si>
    <t>5馆2层126</t>
  </si>
  <si>
    <t>5馆2层127</t>
  </si>
  <si>
    <t>5馆2层130</t>
  </si>
  <si>
    <t>5馆2层131</t>
  </si>
  <si>
    <t>5馆2层132</t>
  </si>
  <si>
    <t>5馆2层133</t>
  </si>
  <si>
    <t>5馆2层135</t>
  </si>
  <si>
    <t>5馆2层136</t>
  </si>
  <si>
    <t>5馆2层137</t>
  </si>
  <si>
    <t>5馆2层138</t>
  </si>
  <si>
    <t>5馆2层142</t>
  </si>
  <si>
    <t>5馆2层146</t>
  </si>
  <si>
    <t>5馆2层147</t>
  </si>
  <si>
    <t>5馆2层150</t>
  </si>
  <si>
    <t>5馆2层151</t>
  </si>
  <si>
    <t>5馆2层152</t>
  </si>
  <si>
    <t>5馆2层155</t>
  </si>
  <si>
    <t>5馆2层158</t>
  </si>
  <si>
    <t>5馆2层160</t>
  </si>
  <si>
    <t>5馆2层161</t>
  </si>
  <si>
    <t>5馆2层162</t>
  </si>
  <si>
    <t>5馆2层163</t>
  </si>
  <si>
    <t>5馆2层165</t>
  </si>
  <si>
    <t>5馆3层1</t>
  </si>
  <si>
    <t>5馆3层2</t>
  </si>
  <si>
    <t>5馆3层3</t>
  </si>
  <si>
    <t>5馆3层5</t>
  </si>
  <si>
    <t>5馆3层6</t>
  </si>
  <si>
    <t>5馆3层7</t>
  </si>
  <si>
    <t>5馆3层8</t>
  </si>
  <si>
    <t>5馆3层9</t>
  </si>
  <si>
    <t>5馆3层11</t>
  </si>
  <si>
    <t>5馆3层15</t>
  </si>
  <si>
    <t>5馆3层16</t>
  </si>
  <si>
    <t>5馆3层17</t>
  </si>
  <si>
    <t>5馆3层18</t>
  </si>
  <si>
    <t>5馆3层19</t>
  </si>
  <si>
    <t>5馆3层20</t>
  </si>
  <si>
    <t>5馆3层22</t>
  </si>
  <si>
    <t>5馆3层23</t>
  </si>
  <si>
    <t>5馆3层25</t>
  </si>
  <si>
    <t>5馆3层26</t>
  </si>
  <si>
    <t>5馆3层27</t>
  </si>
  <si>
    <t>5馆3层28</t>
  </si>
  <si>
    <t>5馆3层29</t>
  </si>
  <si>
    <t>5馆3层30</t>
  </si>
  <si>
    <t>5馆3层31</t>
  </si>
  <si>
    <t>5馆3层33</t>
  </si>
  <si>
    <t>5馆3层35</t>
  </si>
  <si>
    <t>5馆3层36</t>
  </si>
  <si>
    <t>5馆3层37</t>
  </si>
  <si>
    <t>5馆3层40</t>
  </si>
  <si>
    <t>5馆3层42</t>
  </si>
  <si>
    <t>5馆3层43</t>
  </si>
  <si>
    <t>5馆3层45</t>
  </si>
  <si>
    <t>5馆3层47</t>
  </si>
  <si>
    <t>5馆3层48</t>
  </si>
  <si>
    <t>5馆3层49</t>
  </si>
  <si>
    <t>5馆3层57</t>
  </si>
  <si>
    <t>5馆3层59</t>
  </si>
  <si>
    <t>5馆3层61</t>
  </si>
  <si>
    <t>5馆3层62</t>
  </si>
  <si>
    <t>5馆3层63</t>
  </si>
  <si>
    <t>5馆3层66</t>
  </si>
  <si>
    <t>5馆3层68</t>
  </si>
  <si>
    <t>5馆3层71</t>
  </si>
  <si>
    <t>5馆3层72</t>
  </si>
  <si>
    <t>5馆3层73</t>
  </si>
  <si>
    <t>5馆3层75</t>
  </si>
  <si>
    <t>5馆3层76</t>
  </si>
  <si>
    <t>5馆3层82</t>
  </si>
  <si>
    <t>5馆3层83</t>
  </si>
  <si>
    <t>5馆3层85</t>
  </si>
  <si>
    <t>5馆3层87</t>
  </si>
  <si>
    <t>5馆3层88</t>
  </si>
  <si>
    <t>5馆3层89</t>
  </si>
  <si>
    <t>5馆3层93</t>
  </si>
  <si>
    <t>5馆3层97</t>
  </si>
  <si>
    <t>5馆3层98</t>
  </si>
  <si>
    <t>5馆3层99</t>
  </si>
  <si>
    <t>5馆3层108</t>
  </si>
  <si>
    <t>5馆3层109</t>
  </si>
  <si>
    <t>5馆3层110</t>
  </si>
  <si>
    <t>5馆3层112</t>
  </si>
  <si>
    <t>5馆3层113</t>
  </si>
  <si>
    <t>5馆3层116</t>
  </si>
  <si>
    <t>5馆3层117</t>
  </si>
  <si>
    <t>5馆3层118</t>
  </si>
  <si>
    <t>5馆3层119</t>
  </si>
  <si>
    <t>5馆3层120</t>
  </si>
  <si>
    <t>5馆3层121</t>
  </si>
  <si>
    <t>5馆3层122</t>
  </si>
  <si>
    <t>5馆3层125</t>
  </si>
  <si>
    <t>5馆3层126</t>
  </si>
  <si>
    <t>5馆3层128</t>
  </si>
  <si>
    <t>5馆3层129</t>
  </si>
  <si>
    <t>5馆3层130</t>
  </si>
  <si>
    <t>5馆3层132</t>
  </si>
  <si>
    <t>5馆3层133</t>
  </si>
  <si>
    <t>5馆3层135</t>
  </si>
  <si>
    <t>5馆3层136</t>
  </si>
  <si>
    <t>5馆3层137</t>
  </si>
  <si>
    <t>5馆3层138</t>
  </si>
  <si>
    <t>5馆3层139</t>
  </si>
  <si>
    <t>5馆3层140</t>
  </si>
  <si>
    <t>5馆3层142</t>
  </si>
  <si>
    <t>5馆3层143</t>
  </si>
  <si>
    <t>5馆3层145</t>
  </si>
  <si>
    <t>5馆3层146</t>
  </si>
  <si>
    <t>5馆3层147</t>
  </si>
  <si>
    <t>5馆3层148</t>
  </si>
  <si>
    <t>5馆3层149</t>
  </si>
  <si>
    <t>5馆3层150</t>
  </si>
  <si>
    <t>5馆3层151</t>
  </si>
  <si>
    <t>5馆3层152</t>
  </si>
  <si>
    <t>5馆3层153</t>
  </si>
  <si>
    <t>5馆3层156</t>
  </si>
  <si>
    <t>5馆3层157</t>
  </si>
  <si>
    <t>5馆3层161</t>
  </si>
  <si>
    <t>5馆3层162</t>
  </si>
  <si>
    <t>5馆3层165</t>
  </si>
  <si>
    <t>5馆3层166</t>
  </si>
  <si>
    <t>5馆3层172</t>
  </si>
  <si>
    <t>5馆3层177</t>
  </si>
  <si>
    <t>5馆3层178</t>
  </si>
  <si>
    <t>5馆3层179</t>
  </si>
  <si>
    <t>5馆3层180</t>
  </si>
  <si>
    <t>5馆3层181</t>
  </si>
  <si>
    <t>5馆地下一层1</t>
  </si>
  <si>
    <t>5馆地下一层2</t>
  </si>
  <si>
    <t>5馆地下一层3</t>
  </si>
  <si>
    <t>5馆地下一层5</t>
  </si>
  <si>
    <t>5馆地下一层6</t>
  </si>
  <si>
    <t>5馆地下一层7</t>
  </si>
  <si>
    <t>5馆地下一层9</t>
  </si>
  <si>
    <t>5馆地下一层17</t>
  </si>
  <si>
    <t>5馆地下一层18</t>
  </si>
  <si>
    <t>5馆地下一层19</t>
  </si>
  <si>
    <t>5馆地下一层20</t>
  </si>
  <si>
    <t>5馆地下一层21</t>
  </si>
  <si>
    <t>5馆地下一层22</t>
  </si>
  <si>
    <t>5馆地下一层23</t>
  </si>
  <si>
    <t>5馆地下一层25</t>
  </si>
  <si>
    <t>5馆地下一层26</t>
  </si>
  <si>
    <t>5馆地下一层28</t>
  </si>
  <si>
    <t>5馆地下一层29</t>
  </si>
  <si>
    <t>5馆地下一层31</t>
  </si>
  <si>
    <t>5馆地下一层41</t>
  </si>
  <si>
    <t>5馆地下一层52</t>
  </si>
  <si>
    <t>5馆地下一层59</t>
  </si>
  <si>
    <t>5馆地下一层60</t>
  </si>
  <si>
    <t>5馆地下一层73</t>
  </si>
  <si>
    <t>5馆地下一层75</t>
  </si>
  <si>
    <t>5馆地下一层82</t>
  </si>
  <si>
    <t>5馆地下一层85</t>
  </si>
  <si>
    <t>5馆地下一层86</t>
  </si>
  <si>
    <t>5馆地下一层93</t>
  </si>
  <si>
    <t>5馆地下一层96</t>
  </si>
  <si>
    <t>5馆地下一层97</t>
  </si>
  <si>
    <t>5馆地下一层98</t>
  </si>
  <si>
    <t>5馆地下一层102</t>
  </si>
  <si>
    <t>5馆地下一层103</t>
  </si>
  <si>
    <t>5馆地下一层105</t>
  </si>
  <si>
    <t>5馆地下一层106</t>
  </si>
  <si>
    <t>5馆地下一层107</t>
  </si>
  <si>
    <t>5馆地下一层118</t>
  </si>
  <si>
    <t>5馆地下一层122</t>
  </si>
  <si>
    <t>5馆地下一层123</t>
  </si>
  <si>
    <t>5馆地下一层126</t>
  </si>
  <si>
    <t>5馆地下一层128</t>
  </si>
  <si>
    <t>5馆地下一层129</t>
  </si>
  <si>
    <t>5馆地下一层130</t>
  </si>
  <si>
    <t>5馆地下一层131</t>
  </si>
  <si>
    <t>5馆地下一层142</t>
  </si>
  <si>
    <t>5馆地下一层143</t>
  </si>
  <si>
    <t>5馆地下一层146</t>
  </si>
  <si>
    <t>5馆地下一层147</t>
  </si>
  <si>
    <t>5馆地下一层148</t>
  </si>
  <si>
    <t>5馆地下二层1</t>
  </si>
  <si>
    <t>5馆地下二层18</t>
  </si>
  <si>
    <t>5馆地下二层19</t>
  </si>
  <si>
    <t>5馆地下二层31</t>
  </si>
  <si>
    <t>5馆地下二层42</t>
  </si>
  <si>
    <t>5馆地下二层43</t>
  </si>
  <si>
    <t>5馆地下二层45</t>
  </si>
  <si>
    <t>5馆地下二层51</t>
  </si>
  <si>
    <t>5馆地下二层52</t>
  </si>
  <si>
    <t>5馆地下二层53</t>
  </si>
  <si>
    <t>5馆地下二层57</t>
  </si>
  <si>
    <t>5馆地下二层58</t>
  </si>
  <si>
    <t>5馆地下二层59</t>
  </si>
  <si>
    <t>5馆地下二层60</t>
  </si>
  <si>
    <t>5馆地下二层61</t>
  </si>
  <si>
    <t>5馆地下二层62</t>
  </si>
  <si>
    <t>5馆地下二层63</t>
  </si>
  <si>
    <t>5馆地下二层70</t>
  </si>
  <si>
    <t>5馆地下二层107</t>
  </si>
  <si>
    <t>5馆地下二层126</t>
  </si>
  <si>
    <t>5馆地下二层195</t>
  </si>
  <si>
    <t>5馆地下二层315</t>
  </si>
  <si>
    <t>5馆地下二层316</t>
  </si>
  <si>
    <t>5馆地下二层317</t>
  </si>
  <si>
    <t>5馆地下二层318</t>
  </si>
  <si>
    <t>5馆地下二层339</t>
  </si>
  <si>
    <t>5馆地下二层340</t>
  </si>
  <si>
    <t>5馆地下二层341</t>
  </si>
  <si>
    <t>5馆地下二层342</t>
  </si>
  <si>
    <t>6A馆1层13</t>
  </si>
  <si>
    <t>6A馆1层19</t>
  </si>
  <si>
    <t>6A馆1层20</t>
  </si>
  <si>
    <t>6A馆1层27</t>
  </si>
  <si>
    <t>6A馆1层29</t>
  </si>
  <si>
    <t>6A馆1层30</t>
  </si>
  <si>
    <t>6A馆1层31</t>
  </si>
  <si>
    <t>6A馆1层32</t>
  </si>
  <si>
    <t>6A馆1层33</t>
  </si>
  <si>
    <t>6A馆1层35</t>
  </si>
  <si>
    <t>6A馆1层36</t>
  </si>
  <si>
    <t>6A馆1层37</t>
  </si>
  <si>
    <t>6A馆1层38</t>
  </si>
  <si>
    <t>6A馆1层39</t>
  </si>
  <si>
    <t>6A馆1层40</t>
  </si>
  <si>
    <t>6A馆1层41</t>
  </si>
  <si>
    <t>6A馆1层42</t>
  </si>
  <si>
    <t>6A馆1层43</t>
  </si>
  <si>
    <t>6A馆1层45</t>
  </si>
  <si>
    <t>6A馆1层46</t>
  </si>
  <si>
    <t>6A馆1层47</t>
  </si>
  <si>
    <t>6A馆1层48</t>
  </si>
  <si>
    <t>6A馆1层50</t>
  </si>
  <si>
    <t>6A馆1层51</t>
  </si>
  <si>
    <t>6A馆1层56</t>
  </si>
  <si>
    <t>6A馆1层57</t>
  </si>
  <si>
    <t>6A馆1层58</t>
  </si>
  <si>
    <t>6A馆1层59</t>
  </si>
  <si>
    <t>6A馆1层60</t>
  </si>
  <si>
    <t>6A馆1层65</t>
  </si>
  <si>
    <t>6A馆1层66</t>
  </si>
  <si>
    <t>6A馆1层79</t>
  </si>
  <si>
    <t>6A馆1层81</t>
  </si>
  <si>
    <t>6A馆1层86</t>
  </si>
  <si>
    <t>6A馆1层87</t>
  </si>
  <si>
    <t>6A馆1层88</t>
  </si>
  <si>
    <t>6A馆1层89</t>
  </si>
  <si>
    <t>6A馆1层90</t>
  </si>
  <si>
    <t>6A馆1层120</t>
  </si>
  <si>
    <t>6A馆1层121</t>
  </si>
  <si>
    <t>6A馆1层126</t>
  </si>
  <si>
    <t>6A馆1层129</t>
  </si>
  <si>
    <t>6A馆1层130</t>
  </si>
  <si>
    <t>6A馆1层131</t>
  </si>
  <si>
    <t>6A馆1层137</t>
  </si>
  <si>
    <t>6A馆1层142</t>
  </si>
  <si>
    <t>6A馆1层153</t>
  </si>
  <si>
    <t>6A馆1层155</t>
  </si>
  <si>
    <t>6A馆1层156</t>
  </si>
  <si>
    <t>6A馆1层157</t>
  </si>
  <si>
    <t>6A馆1层159</t>
  </si>
  <si>
    <t>6A馆1层160</t>
  </si>
  <si>
    <t>6A馆1层162</t>
  </si>
  <si>
    <t>6A馆1层165</t>
  </si>
  <si>
    <t>6A馆1层166</t>
  </si>
  <si>
    <t>6A馆1层170</t>
  </si>
  <si>
    <t>6A馆1层172</t>
  </si>
  <si>
    <t>6A馆1层173</t>
  </si>
  <si>
    <t>6A馆1层175</t>
  </si>
  <si>
    <t>6A馆1层176</t>
  </si>
  <si>
    <t>6A馆1层177</t>
  </si>
  <si>
    <t>6A馆1层178</t>
  </si>
  <si>
    <t>6A馆1层182</t>
  </si>
  <si>
    <t>6A馆1层183</t>
  </si>
  <si>
    <t>6A馆1层185</t>
  </si>
  <si>
    <t>6A馆2层10</t>
  </si>
  <si>
    <t>6A馆2层11</t>
  </si>
  <si>
    <t>6A馆2层12</t>
  </si>
  <si>
    <t>6A馆2层13</t>
  </si>
  <si>
    <t>6A馆2层15</t>
  </si>
  <si>
    <t>6A馆2层16</t>
  </si>
  <si>
    <t>6A馆2层17</t>
  </si>
  <si>
    <t>6A馆2层18</t>
  </si>
  <si>
    <t>6A馆2层19</t>
  </si>
  <si>
    <t>6A馆2层20</t>
  </si>
  <si>
    <t>6A馆2层21</t>
  </si>
  <si>
    <t>6A馆2层22</t>
  </si>
  <si>
    <t>6A馆2层23</t>
  </si>
  <si>
    <t>6A馆2层25</t>
  </si>
  <si>
    <t>6A馆2层26</t>
  </si>
  <si>
    <t>6A馆2层27</t>
  </si>
  <si>
    <t>6A馆2层28</t>
  </si>
  <si>
    <t>6A馆2层29</t>
  </si>
  <si>
    <t>6A馆2层30</t>
  </si>
  <si>
    <t>6A馆2层31</t>
  </si>
  <si>
    <t>6A馆2层32</t>
  </si>
  <si>
    <t>6A馆2层33</t>
  </si>
  <si>
    <t>6A馆2层35</t>
  </si>
  <si>
    <t>6A馆2层36</t>
  </si>
  <si>
    <t>6A馆2层37</t>
  </si>
  <si>
    <t>6A馆2层38</t>
  </si>
  <si>
    <t>6A馆2层39</t>
  </si>
  <si>
    <t>6A馆2层40</t>
  </si>
  <si>
    <t>6A馆2层46</t>
  </si>
  <si>
    <t>6A馆2层47</t>
  </si>
  <si>
    <t>6A馆2层48</t>
  </si>
  <si>
    <t>6A馆2层49</t>
  </si>
  <si>
    <t>6A馆2层50</t>
  </si>
  <si>
    <t>6A馆2层51</t>
  </si>
  <si>
    <t>6A馆2层52</t>
  </si>
  <si>
    <t>6A馆2层53</t>
  </si>
  <si>
    <t>6A馆2层58</t>
  </si>
  <si>
    <t>6A馆2层59</t>
  </si>
  <si>
    <t>6A馆2层60</t>
  </si>
  <si>
    <t>6A馆2层61</t>
  </si>
  <si>
    <t>6A馆2层62</t>
  </si>
  <si>
    <t>6A馆2层63</t>
  </si>
  <si>
    <t>6A馆2层65</t>
  </si>
  <si>
    <t>6A馆2层66</t>
  </si>
  <si>
    <t>6A馆2层67</t>
  </si>
  <si>
    <t>6A馆2层70</t>
  </si>
  <si>
    <t>6A馆2层71</t>
  </si>
  <si>
    <t>6A馆2层72</t>
  </si>
  <si>
    <t>6A馆2层73</t>
  </si>
  <si>
    <t>6A馆2层75</t>
  </si>
  <si>
    <t>6A馆2层76</t>
  </si>
  <si>
    <t>6A馆2层77</t>
  </si>
  <si>
    <t>6A馆2层78</t>
  </si>
  <si>
    <t>6A馆2层79</t>
  </si>
  <si>
    <t>6A馆2层80</t>
  </si>
  <si>
    <t>6A馆2层81</t>
  </si>
  <si>
    <t>6A馆2层82</t>
  </si>
  <si>
    <t>6A馆2层86</t>
  </si>
  <si>
    <t>6A馆2层87</t>
  </si>
  <si>
    <t>6A馆2层88</t>
  </si>
  <si>
    <t>6A馆2层90</t>
  </si>
  <si>
    <t>6A馆2层92</t>
  </si>
  <si>
    <t>6A馆2层93</t>
  </si>
  <si>
    <t>6A馆2层97</t>
  </si>
  <si>
    <t>6A馆2层98</t>
  </si>
  <si>
    <t>6A馆2层102</t>
  </si>
  <si>
    <t>6A馆2层107</t>
  </si>
  <si>
    <t>6A馆2层108</t>
  </si>
  <si>
    <t>6A馆2层109</t>
  </si>
  <si>
    <t>6A馆2层110</t>
  </si>
  <si>
    <t>6A馆2层111</t>
  </si>
  <si>
    <t>6A馆2层119</t>
  </si>
  <si>
    <t>6A馆2层123</t>
  </si>
  <si>
    <t>6A馆2层127</t>
  </si>
  <si>
    <t>6A馆2层130</t>
  </si>
  <si>
    <t>6A馆2层131</t>
  </si>
  <si>
    <t>6A馆2层142</t>
  </si>
  <si>
    <t>6A馆2层146</t>
  </si>
  <si>
    <t>6A馆2层147</t>
  </si>
  <si>
    <t>6A馆2层149</t>
  </si>
  <si>
    <t>6A馆2层150</t>
  </si>
  <si>
    <t>6A馆2层151</t>
  </si>
  <si>
    <t>6A馆2层152</t>
  </si>
  <si>
    <t>6A馆2层157</t>
  </si>
  <si>
    <t>6A馆2层158</t>
  </si>
  <si>
    <t>6A馆2层159</t>
  </si>
  <si>
    <t>6A馆2层161</t>
  </si>
  <si>
    <t>6A馆2层162</t>
  </si>
  <si>
    <t>6A馆2层163</t>
  </si>
  <si>
    <t>6A馆2层165</t>
  </si>
  <si>
    <t>6A馆2层167</t>
  </si>
  <si>
    <t>6A馆2层168</t>
  </si>
  <si>
    <t>6A馆2层169</t>
  </si>
  <si>
    <t>6A馆2层170</t>
  </si>
  <si>
    <t>6A馆2层171</t>
  </si>
  <si>
    <t>6A馆2层172</t>
  </si>
  <si>
    <t>6A馆2层173</t>
  </si>
  <si>
    <t>6A馆2层175</t>
  </si>
  <si>
    <t>6A馆2层176</t>
  </si>
  <si>
    <t>6A馆2层177</t>
  </si>
  <si>
    <t>6A馆2层178</t>
  </si>
  <si>
    <t>6A馆2层179</t>
  </si>
  <si>
    <t>6A馆2层180</t>
  </si>
  <si>
    <t>6A馆2层181</t>
  </si>
  <si>
    <t>6A馆2层182</t>
  </si>
  <si>
    <t>6A馆2层183</t>
  </si>
  <si>
    <t>6A馆2层185</t>
  </si>
  <si>
    <t>6A馆2层186</t>
  </si>
  <si>
    <t>6A馆2层187</t>
  </si>
  <si>
    <t>6A馆2层188</t>
  </si>
  <si>
    <t>6A馆2层189</t>
  </si>
  <si>
    <t>6A馆2层190</t>
  </si>
  <si>
    <t>6A馆2层191</t>
  </si>
  <si>
    <t>6A馆2层192</t>
  </si>
  <si>
    <t>6A馆2层193</t>
  </si>
  <si>
    <t>6A馆2层195</t>
  </si>
  <si>
    <t>6A馆2层196</t>
  </si>
  <si>
    <t>6A馆2层197</t>
  </si>
  <si>
    <t>6A馆2层198</t>
  </si>
  <si>
    <t>6A馆2层199</t>
  </si>
  <si>
    <t>6A馆2层200</t>
  </si>
  <si>
    <t>6A馆2层201</t>
  </si>
  <si>
    <t>6A馆2层202</t>
  </si>
  <si>
    <t>6A馆2层203</t>
  </si>
  <si>
    <t>6A馆2层205</t>
  </si>
  <si>
    <t>6A馆2层206</t>
  </si>
  <si>
    <t>6A馆2层207</t>
  </si>
  <si>
    <t>6A馆2层208</t>
  </si>
  <si>
    <t>6A馆2层209</t>
  </si>
  <si>
    <t>6A馆2层210</t>
  </si>
  <si>
    <t>6A馆2层211</t>
  </si>
  <si>
    <t>6A馆2层212</t>
  </si>
  <si>
    <t>6A馆2层213</t>
  </si>
  <si>
    <t>6A馆2层215</t>
  </si>
  <si>
    <t>6A馆2层216</t>
  </si>
  <si>
    <t>6A馆2层217</t>
  </si>
  <si>
    <t>6A馆2层218</t>
  </si>
  <si>
    <t>6A馆2层219</t>
  </si>
  <si>
    <t>6A馆2层220</t>
  </si>
  <si>
    <t>6A馆2层221</t>
  </si>
  <si>
    <t>6A馆2层222</t>
  </si>
  <si>
    <t>6A馆2层223</t>
  </si>
  <si>
    <t>6A馆2层225</t>
  </si>
  <si>
    <t>6A馆2层226</t>
  </si>
  <si>
    <t>6A馆2层227</t>
  </si>
  <si>
    <t>6A馆2层228</t>
  </si>
  <si>
    <t>6A馆2层229</t>
  </si>
  <si>
    <t>6A馆2层230</t>
  </si>
  <si>
    <t>6A馆2层231</t>
  </si>
  <si>
    <t>6A馆2层232</t>
  </si>
  <si>
    <t>6A馆2层236</t>
  </si>
  <si>
    <t>6A馆2层237</t>
  </si>
  <si>
    <t>6A馆3层11</t>
  </si>
  <si>
    <t>6A馆3层12</t>
  </si>
  <si>
    <t>6A馆3层13</t>
  </si>
  <si>
    <t>6A馆3层17</t>
  </si>
  <si>
    <t>6A馆3层18</t>
  </si>
  <si>
    <t>6A馆3层27</t>
  </si>
  <si>
    <t>6A馆3层28</t>
  </si>
  <si>
    <t>6A馆3层29</t>
  </si>
  <si>
    <t>6A馆3层30</t>
  </si>
  <si>
    <t>6A馆3层33</t>
  </si>
  <si>
    <t>6A馆3层35</t>
  </si>
  <si>
    <t>6A馆3层38</t>
  </si>
  <si>
    <t>6A馆3层39</t>
  </si>
  <si>
    <t>6A馆3层40</t>
  </si>
  <si>
    <t>6A馆3层41</t>
  </si>
  <si>
    <t>6A馆3层42</t>
  </si>
  <si>
    <t>6A馆3层46</t>
  </si>
  <si>
    <t>6A馆3层47</t>
  </si>
  <si>
    <t>6A馆3层48</t>
  </si>
  <si>
    <t>6A馆3层49</t>
  </si>
  <si>
    <t>6A馆3层50</t>
  </si>
  <si>
    <t>6A馆3层51</t>
  </si>
  <si>
    <t>6A馆3层52</t>
  </si>
  <si>
    <t>6A馆3层53</t>
  </si>
  <si>
    <t>6A馆3层55</t>
  </si>
  <si>
    <t>6A馆3层56</t>
  </si>
  <si>
    <t>6A馆3层57</t>
  </si>
  <si>
    <t>6A馆3层58</t>
  </si>
  <si>
    <t>6A馆3层59</t>
  </si>
  <si>
    <t>6A馆3层60</t>
  </si>
  <si>
    <t>6A馆3层61</t>
  </si>
  <si>
    <t>6A馆3层62</t>
  </si>
  <si>
    <t>6A馆3层63</t>
  </si>
  <si>
    <t>6A馆3层66</t>
  </si>
  <si>
    <t>6A馆3层67</t>
  </si>
  <si>
    <t>6A馆3层68</t>
  </si>
  <si>
    <t>6A馆3层69</t>
  </si>
  <si>
    <t>6A馆3层70</t>
  </si>
  <si>
    <t>6A馆3层71</t>
  </si>
  <si>
    <t>6A馆3层72</t>
  </si>
  <si>
    <t>6A馆3层73</t>
  </si>
  <si>
    <t>6A馆3层80</t>
  </si>
  <si>
    <t>6A馆3层83</t>
  </si>
  <si>
    <t>6A馆3层85</t>
  </si>
  <si>
    <t>6A馆3层87</t>
  </si>
  <si>
    <t>6A馆3层88</t>
  </si>
  <si>
    <t>6A馆3层97</t>
  </si>
  <si>
    <t>6A馆3层150</t>
  </si>
  <si>
    <t>6A馆3层151</t>
  </si>
  <si>
    <t>6A馆3层152</t>
  </si>
  <si>
    <t>6A馆3层153</t>
  </si>
  <si>
    <t>6A馆3层155</t>
  </si>
  <si>
    <t>6A馆3层161</t>
  </si>
  <si>
    <t>6A馆3层163</t>
  </si>
  <si>
    <t>6A馆3层165</t>
  </si>
  <si>
    <t>6A馆3层170</t>
  </si>
  <si>
    <t>6A馆3层171</t>
  </si>
  <si>
    <t>6A馆3层173</t>
  </si>
  <si>
    <t>6A馆3层175</t>
  </si>
  <si>
    <t>6A馆3层176</t>
  </si>
  <si>
    <t>6A馆3层177</t>
  </si>
  <si>
    <t>6A馆3层178</t>
  </si>
  <si>
    <t>6A馆3层179</t>
  </si>
  <si>
    <t>6A馆3层180</t>
  </si>
  <si>
    <t>6A馆3层181</t>
  </si>
  <si>
    <t>6A馆3层182</t>
  </si>
  <si>
    <t>6A馆3层183</t>
  </si>
  <si>
    <t>6A馆3层185</t>
  </si>
  <si>
    <t>6A馆3层186</t>
  </si>
  <si>
    <t>6A馆3层187</t>
  </si>
  <si>
    <t>6A馆3层188</t>
  </si>
  <si>
    <t>6A馆3层189</t>
  </si>
  <si>
    <t>6A馆3层190</t>
  </si>
  <si>
    <t>6A馆3层191</t>
  </si>
  <si>
    <t>6A馆3层193</t>
  </si>
  <si>
    <t>6A馆3层195</t>
  </si>
  <si>
    <t>6A馆3层196</t>
  </si>
  <si>
    <t>6A馆3层197</t>
  </si>
  <si>
    <t>6A馆3层200</t>
  </si>
  <si>
    <t>6A馆3层201</t>
  </si>
  <si>
    <t>6A馆3层203</t>
  </si>
  <si>
    <t>6A馆3层205</t>
  </si>
  <si>
    <t>6A馆3层206</t>
  </si>
  <si>
    <t>6A馆3层207</t>
  </si>
  <si>
    <t>6A馆3层208</t>
  </si>
  <si>
    <t>6A馆3层209</t>
  </si>
  <si>
    <t>6A馆3层212</t>
  </si>
  <si>
    <t>6A馆3层219</t>
  </si>
  <si>
    <t>6A馆3层222</t>
  </si>
  <si>
    <t>6A馆3层223</t>
  </si>
  <si>
    <t>6A馆3层225</t>
  </si>
  <si>
    <t>6A馆3层226</t>
  </si>
  <si>
    <t>6A馆3层227</t>
  </si>
  <si>
    <t>6A馆3层228</t>
  </si>
  <si>
    <t>6A馆3层229</t>
  </si>
  <si>
    <t>6A馆3层230</t>
  </si>
  <si>
    <t>6A馆3层231</t>
  </si>
  <si>
    <t>6A馆3层239</t>
  </si>
  <si>
    <t>6A馆4层11</t>
  </si>
  <si>
    <t>6A馆4层12</t>
  </si>
  <si>
    <t>6A馆4层26</t>
  </si>
  <si>
    <t>6A馆4层52</t>
  </si>
  <si>
    <t>6A馆4层61</t>
  </si>
  <si>
    <t>6A馆4层81</t>
  </si>
  <si>
    <t>6A馆4层108</t>
  </si>
  <si>
    <t>6A馆4层118</t>
  </si>
  <si>
    <t>6A馆4层123</t>
  </si>
  <si>
    <t>6A馆4层129</t>
  </si>
  <si>
    <t>6A馆4层130</t>
  </si>
  <si>
    <t>6A馆4层139</t>
  </si>
  <si>
    <t>6A馆4层140</t>
  </si>
  <si>
    <t>6A馆4层142</t>
  </si>
  <si>
    <t>6A馆地下一层7</t>
  </si>
  <si>
    <t>6A馆地下一层8</t>
  </si>
  <si>
    <t>6A馆地下一层13</t>
  </si>
  <si>
    <t>6A馆地下一层16</t>
  </si>
  <si>
    <t>6A馆地下一层18</t>
  </si>
  <si>
    <t>6A馆地下一层19</t>
  </si>
  <si>
    <t>6A馆地下一层20</t>
  </si>
  <si>
    <t>6A馆地下一层21</t>
  </si>
  <si>
    <t>6A馆地下一层22</t>
  </si>
  <si>
    <t>6A馆地下一层23</t>
  </si>
  <si>
    <t>6A馆地下一层25</t>
  </si>
  <si>
    <t>6A馆地下一层26</t>
  </si>
  <si>
    <t>6A馆地下一层27</t>
  </si>
  <si>
    <t>6A馆地下一层28</t>
  </si>
  <si>
    <t>6A馆地下一层30</t>
  </si>
  <si>
    <t>6A馆地下一层32</t>
  </si>
  <si>
    <t>6A馆地下一层36</t>
  </si>
  <si>
    <t>6A馆地下一层37</t>
  </si>
  <si>
    <t>6A馆地下一层39</t>
  </si>
  <si>
    <t>6A馆地下一层40</t>
  </si>
  <si>
    <t>6A馆地下一层43</t>
  </si>
  <si>
    <t>6A馆地下一层47</t>
  </si>
  <si>
    <t>6A馆地下一层48</t>
  </si>
  <si>
    <t>6A馆地下一层50</t>
  </si>
  <si>
    <t>6A馆地下一层51</t>
  </si>
  <si>
    <t>6A馆地下一层52</t>
  </si>
  <si>
    <t>6A馆地下一层55</t>
  </si>
  <si>
    <t>6A馆地下一层59</t>
  </si>
  <si>
    <t>6A馆地下一层60</t>
  </si>
  <si>
    <t>6A馆地下一层61</t>
  </si>
  <si>
    <t>6A馆地下一层62</t>
  </si>
  <si>
    <t>6A馆地下一层63</t>
  </si>
  <si>
    <t>6A馆地下一层65</t>
  </si>
  <si>
    <t>6A馆地下一层66</t>
  </si>
  <si>
    <t>6A馆地下一层67</t>
  </si>
  <si>
    <t>6A馆地下一层68</t>
  </si>
  <si>
    <t>6A馆地下一层69</t>
  </si>
  <si>
    <t>6A馆地下一层70</t>
  </si>
  <si>
    <t>6A馆地下一层71</t>
  </si>
  <si>
    <t>6A馆地下一层72</t>
  </si>
  <si>
    <t>6A馆地下一层73</t>
  </si>
  <si>
    <t>6A馆地下一层75</t>
  </si>
  <si>
    <t>6A馆地下一层76</t>
  </si>
  <si>
    <t>6A馆地下一层77</t>
  </si>
  <si>
    <t>6A馆地下一层78</t>
  </si>
  <si>
    <t>6A馆地下一层79</t>
  </si>
  <si>
    <t>6A馆地下一层80</t>
  </si>
  <si>
    <t>6A馆地下一层81</t>
  </si>
  <si>
    <t>6A馆地下一层87</t>
  </si>
  <si>
    <t>6A馆地下一层88</t>
  </si>
  <si>
    <t>6A馆地下一层89</t>
  </si>
  <si>
    <t>6A馆地下一层90</t>
  </si>
  <si>
    <t>6A馆地下一层91</t>
  </si>
  <si>
    <t>6A馆地下一层97</t>
  </si>
  <si>
    <t>6A馆地下一层98</t>
  </si>
  <si>
    <t>6A馆地下一层99</t>
  </si>
  <si>
    <t>6A馆地下一层100</t>
  </si>
  <si>
    <t>6A馆地下一层102</t>
  </si>
  <si>
    <t>6A馆地下一层103</t>
  </si>
  <si>
    <t>6A馆地下一层105</t>
  </si>
  <si>
    <t>6A馆地下一层106</t>
  </si>
  <si>
    <t>6A馆地下一层107</t>
  </si>
  <si>
    <t>6A馆地下一层108</t>
  </si>
  <si>
    <t>6A馆地下一层109</t>
  </si>
  <si>
    <t>6A馆地下一层110</t>
  </si>
  <si>
    <t>6A馆地下一层111</t>
  </si>
  <si>
    <t>6A馆地下一层115</t>
  </si>
  <si>
    <t>6A馆地下一层116</t>
  </si>
  <si>
    <t>6A馆地下一层117</t>
  </si>
  <si>
    <t>6A馆地下一层118</t>
  </si>
  <si>
    <t>6A馆地下一层119</t>
  </si>
  <si>
    <t>6A馆地下一层120</t>
  </si>
  <si>
    <t>6A馆地下一层121</t>
  </si>
  <si>
    <t>6A馆地下一层122</t>
  </si>
  <si>
    <t>6A馆地下一层123</t>
  </si>
  <si>
    <t>6A馆地下一层125</t>
  </si>
  <si>
    <t>6A馆地下一层126</t>
  </si>
  <si>
    <t>6A馆地下一层127</t>
  </si>
  <si>
    <t>6A馆地下一层128</t>
  </si>
  <si>
    <t>6A馆地下一层129</t>
  </si>
  <si>
    <t>6A馆地下一层130</t>
  </si>
  <si>
    <t>6A馆地下一层131</t>
  </si>
  <si>
    <t>6A馆地下一层132</t>
  </si>
  <si>
    <t>6A馆地下一层133</t>
  </si>
  <si>
    <t>6A馆地下一层135</t>
  </si>
  <si>
    <t>6A馆地下一层136</t>
  </si>
  <si>
    <t>6A馆地下一层137</t>
  </si>
  <si>
    <t>6A馆地下一层138</t>
  </si>
  <si>
    <t>6A馆地下一层139</t>
  </si>
  <si>
    <t>6A馆地下一层140</t>
  </si>
  <si>
    <t>6A馆地下一层141</t>
  </si>
  <si>
    <t>6A馆地下一层142</t>
  </si>
  <si>
    <t>6A馆地下一层143</t>
  </si>
  <si>
    <t>6A馆地下一层145</t>
  </si>
  <si>
    <t>6A馆地下一层146</t>
  </si>
  <si>
    <t>6A馆地下一层147</t>
  </si>
  <si>
    <t>6A馆地下一层148</t>
  </si>
  <si>
    <t>6A馆地下一层149</t>
  </si>
  <si>
    <t>6A馆地下一层150</t>
  </si>
  <si>
    <t>6A馆地下一层151</t>
  </si>
  <si>
    <t>6A馆地下一层152</t>
  </si>
  <si>
    <t>6A馆地下一层155</t>
  </si>
  <si>
    <t>6A馆地下一层156</t>
  </si>
  <si>
    <t>6A馆地下一层158</t>
  </si>
  <si>
    <t>6A馆地下一层159</t>
  </si>
  <si>
    <t>6A馆地下一层162</t>
  </si>
  <si>
    <t>6A馆地下一层163</t>
  </si>
  <si>
    <t>6A馆地下一层165</t>
  </si>
  <si>
    <t>6A馆地下一层166</t>
  </si>
  <si>
    <t>6A馆地下一层167</t>
  </si>
  <si>
    <t>6A馆地下一层168</t>
  </si>
  <si>
    <t>6A馆地下一层169</t>
  </si>
  <si>
    <t>6A馆地下一层170</t>
  </si>
  <si>
    <t>6A馆地下一层171</t>
  </si>
  <si>
    <t>6A馆地下一层172</t>
  </si>
  <si>
    <t>6A馆地下一层173</t>
  </si>
  <si>
    <t>6A馆地下一层175</t>
  </si>
  <si>
    <t>6A馆地下一层176</t>
  </si>
  <si>
    <t>6A馆地下一层177</t>
  </si>
  <si>
    <t>6A馆地下一层178</t>
  </si>
  <si>
    <t>6A馆地下一层179</t>
  </si>
  <si>
    <t>6A馆地下一层180</t>
  </si>
  <si>
    <t>6A馆地下一层181</t>
  </si>
  <si>
    <t>6A馆地下一层182</t>
  </si>
  <si>
    <t>6A馆地下一层183</t>
  </si>
  <si>
    <t>6A馆地下一层185</t>
  </si>
  <si>
    <t>6A馆地下一层186</t>
  </si>
  <si>
    <t>6A馆地下一层187</t>
  </si>
  <si>
    <t>6A馆地下一层188</t>
  </si>
  <si>
    <t>6A馆地下一层189</t>
  </si>
  <si>
    <t>6A馆地下一层190</t>
  </si>
  <si>
    <t>6A馆地下一层191</t>
  </si>
  <si>
    <t>6A馆地下一层192</t>
  </si>
  <si>
    <t>6A馆地下一层193</t>
  </si>
  <si>
    <t>6A馆地下一层195</t>
  </si>
  <si>
    <t>6A馆地下一层196</t>
  </si>
  <si>
    <t>6A馆地下一层197</t>
  </si>
  <si>
    <t>6A馆地下一层198</t>
  </si>
  <si>
    <t>6A馆地下一层199</t>
  </si>
  <si>
    <t>6A馆地下一层200</t>
  </si>
  <si>
    <t>6A馆地下一层201</t>
  </si>
  <si>
    <t>6A馆地下一层202</t>
  </si>
  <si>
    <t>6A馆地下一层203</t>
  </si>
  <si>
    <t>6A馆地下一层205</t>
  </si>
  <si>
    <t>6A馆地下一层206</t>
  </si>
  <si>
    <t>6A馆地下一层207</t>
  </si>
  <si>
    <t>6A馆地下一层208</t>
  </si>
  <si>
    <t>6A馆地下一层209</t>
  </si>
  <si>
    <t>6A馆地下一层210</t>
  </si>
  <si>
    <t>6A馆地下一层211</t>
  </si>
  <si>
    <t>6A馆地下一层212</t>
  </si>
  <si>
    <t>6A馆地下一层213</t>
  </si>
  <si>
    <t>6A馆地下一层215</t>
  </si>
  <si>
    <t>6A馆地下一层216</t>
  </si>
  <si>
    <t>6A馆地下一层217</t>
  </si>
  <si>
    <t>6A馆地下一层218</t>
  </si>
  <si>
    <t>6A馆地下一层219</t>
  </si>
  <si>
    <t>6A馆地下一层220</t>
  </si>
  <si>
    <t>6A馆地下一层221</t>
  </si>
  <si>
    <t>6A馆地下一层222</t>
  </si>
  <si>
    <t>6A馆地下一层223</t>
  </si>
  <si>
    <t>6A馆地下一层225</t>
  </si>
  <si>
    <t>6A馆地下一层226</t>
  </si>
  <si>
    <t>6A馆地下一层227</t>
  </si>
  <si>
    <t>6A馆地下一层228</t>
  </si>
  <si>
    <t>6A馆地下一层229</t>
  </si>
  <si>
    <t>6A馆地下一层230</t>
  </si>
  <si>
    <t>6A馆地下一层231</t>
  </si>
  <si>
    <t>6A馆地下一层232</t>
  </si>
  <si>
    <t>6A馆地下一层233</t>
  </si>
  <si>
    <t>6A馆地下一层235</t>
  </si>
  <si>
    <t>6A馆地下一层236</t>
  </si>
  <si>
    <t>6A馆地下一层237</t>
  </si>
  <si>
    <t>6A馆地下一层238</t>
  </si>
  <si>
    <t>6A馆地下一层239</t>
  </si>
  <si>
    <t>6A馆地下一层240</t>
  </si>
  <si>
    <t>6A馆地下一层241</t>
  </si>
  <si>
    <t>6A馆地下一层242</t>
  </si>
  <si>
    <t>6A馆地下一层243</t>
  </si>
  <si>
    <t>6A馆地下一层245</t>
  </si>
  <si>
    <t>6A馆地下一层246</t>
  </si>
  <si>
    <t>6A馆地下一层247</t>
  </si>
  <si>
    <t>6A馆地下一层248</t>
  </si>
  <si>
    <t>6A馆地下一层249</t>
  </si>
  <si>
    <t>6A馆地下一层250</t>
  </si>
  <si>
    <t>6A馆地下一层251</t>
  </si>
  <si>
    <t>6A馆地下一层252</t>
  </si>
  <si>
    <t>6A馆地下一层253</t>
  </si>
  <si>
    <t>6A馆地下一层255</t>
  </si>
  <si>
    <t>6A馆地下一层256</t>
  </si>
  <si>
    <t>6A馆地下一层257</t>
  </si>
  <si>
    <t>6A馆地下一层258</t>
  </si>
  <si>
    <t>6A馆地下一层259</t>
  </si>
  <si>
    <t>6A馆地下一层261</t>
  </si>
  <si>
    <t>6A馆地下一层262</t>
  </si>
  <si>
    <t>6A馆地下一层263</t>
  </si>
  <si>
    <t>6A馆地下一层265</t>
  </si>
  <si>
    <t>6A馆地下一层266</t>
  </si>
  <si>
    <t>6A馆地下一层267</t>
  </si>
  <si>
    <t>6A馆地下一层268</t>
  </si>
  <si>
    <t>6A馆地下一层269</t>
  </si>
  <si>
    <t>6A馆地下一层270</t>
  </si>
  <si>
    <t>6A馆地下一层271</t>
  </si>
  <si>
    <t>6A馆地下一层272</t>
  </si>
  <si>
    <t>6A馆地下一层273</t>
  </si>
  <si>
    <t>6A馆地下一层275</t>
  </si>
  <si>
    <t>6A馆地下一层276</t>
  </si>
  <si>
    <t>6A馆地下一层277</t>
  </si>
  <si>
    <t>6A馆地下一层278</t>
  </si>
  <si>
    <t>6A馆地下一层280</t>
  </si>
  <si>
    <t>6A馆地下一层281</t>
  </si>
  <si>
    <t>6A馆地下一层282</t>
  </si>
  <si>
    <t>6A馆地下一层283</t>
  </si>
  <si>
    <t>6A馆地下一层285</t>
  </si>
  <si>
    <t>6A馆地下一层286</t>
  </si>
  <si>
    <t>6A馆地下一层287</t>
  </si>
  <si>
    <t>6A馆地下一层288</t>
  </si>
  <si>
    <t>6A馆地下一层291</t>
  </si>
  <si>
    <t>6A馆地下一层292</t>
  </si>
  <si>
    <t>6A馆地下一层293</t>
  </si>
  <si>
    <t>6A馆地下一层295</t>
  </si>
  <si>
    <t>6A馆地下一层296</t>
  </si>
  <si>
    <t>6A馆地下一层297</t>
  </si>
  <si>
    <t>6A馆地下一层298</t>
  </si>
  <si>
    <t>6A馆地下一层299</t>
  </si>
  <si>
    <t>6A馆地下一层308</t>
  </si>
  <si>
    <t>6A馆地下一层309</t>
  </si>
  <si>
    <t>6A馆地下一层313</t>
  </si>
  <si>
    <t>6A馆地下一层315</t>
  </si>
  <si>
    <t>6A馆地下一层316</t>
  </si>
  <si>
    <t>6A馆地下一层317</t>
  </si>
  <si>
    <t>6A馆地下一层318</t>
  </si>
  <si>
    <t>6A馆地下一层319</t>
  </si>
  <si>
    <t>6A馆地下一层320</t>
  </si>
  <si>
    <t>6A馆地下一层321</t>
  </si>
  <si>
    <t>6A馆地下一层322</t>
  </si>
  <si>
    <t>6A馆地下一层323</t>
  </si>
  <si>
    <t>6A馆地下一层325</t>
  </si>
  <si>
    <t>6A馆地下一层326</t>
  </si>
  <si>
    <t>6A馆地下一层327</t>
  </si>
  <si>
    <t>6A馆地下一层328</t>
  </si>
  <si>
    <t>6A馆地下一层330</t>
  </si>
  <si>
    <t>6A馆地下一层331</t>
  </si>
  <si>
    <t>6A馆地下一层332</t>
  </si>
  <si>
    <t>6A馆地下一层333</t>
  </si>
  <si>
    <t>6A馆地下一层335</t>
  </si>
  <si>
    <t>6B馆1层1</t>
  </si>
  <si>
    <t>6B馆1层3</t>
  </si>
  <si>
    <t>6B馆1层5</t>
  </si>
  <si>
    <t>6B馆1层6</t>
  </si>
  <si>
    <t>6B馆1层7</t>
  </si>
  <si>
    <t>6B馆1层8</t>
  </si>
  <si>
    <t>6B馆1层9</t>
  </si>
  <si>
    <t>6B馆1层10</t>
  </si>
  <si>
    <t>6B馆1层11</t>
  </si>
  <si>
    <t>6B馆1层12</t>
  </si>
  <si>
    <t>6B馆1层15</t>
  </si>
  <si>
    <t>6B馆1层16</t>
  </si>
  <si>
    <t>6B馆1层17</t>
  </si>
  <si>
    <t>6B馆1层18</t>
  </si>
  <si>
    <t>6B馆1层19</t>
  </si>
  <si>
    <t>6B馆1层20</t>
  </si>
  <si>
    <t>6B馆1层21</t>
  </si>
  <si>
    <t>6B馆1层22</t>
  </si>
  <si>
    <t>6B馆1层23</t>
  </si>
  <si>
    <t>6B馆1层25</t>
  </si>
  <si>
    <t>6B馆1层26</t>
  </si>
  <si>
    <t>6B馆1层27</t>
  </si>
  <si>
    <t>6B馆1层28</t>
  </si>
  <si>
    <t>6B馆1层29</t>
  </si>
  <si>
    <t>6B馆1层30</t>
  </si>
  <si>
    <t>6B馆1层31</t>
  </si>
  <si>
    <t>6B馆1层32</t>
  </si>
  <si>
    <t>6B馆1层33</t>
  </si>
  <si>
    <t>6B馆1层35</t>
  </si>
  <si>
    <t>6B馆1层36</t>
  </si>
  <si>
    <t>6B馆1层37</t>
  </si>
  <si>
    <t>6B馆1层38</t>
  </si>
  <si>
    <t>6B馆1层39</t>
  </si>
  <si>
    <t>6B馆1层40</t>
  </si>
  <si>
    <t>6B馆1层41</t>
  </si>
  <si>
    <t>6B馆1层42</t>
  </si>
  <si>
    <t>6B馆1层43</t>
  </si>
  <si>
    <t>6B馆1层46</t>
  </si>
  <si>
    <t>6B馆1层47</t>
  </si>
  <si>
    <t>6B馆1层49</t>
  </si>
  <si>
    <t>6B馆1层50</t>
  </si>
  <si>
    <t>6B馆1层51</t>
  </si>
  <si>
    <t>6B馆1层52</t>
  </si>
  <si>
    <t>6B馆1层53</t>
  </si>
  <si>
    <t>6B馆1层55</t>
  </si>
  <si>
    <t>6B馆1层56</t>
  </si>
  <si>
    <t>6B馆1层57</t>
  </si>
  <si>
    <t>6B馆1层58</t>
  </si>
  <si>
    <t>6B馆1层59</t>
  </si>
  <si>
    <t>6B馆1层60</t>
  </si>
  <si>
    <t>6B馆1层61</t>
  </si>
  <si>
    <t>6B馆1层62</t>
  </si>
  <si>
    <t>6B馆1层63</t>
  </si>
  <si>
    <t>6B馆1层65</t>
  </si>
  <si>
    <t>6B馆1层66</t>
  </si>
  <si>
    <t>6B馆1层67</t>
  </si>
  <si>
    <t>6B馆1层68</t>
  </si>
  <si>
    <t>6B馆1层69</t>
  </si>
  <si>
    <t>6B馆1层70</t>
  </si>
  <si>
    <t>6B馆1层75</t>
  </si>
  <si>
    <t>6B馆1层76</t>
  </si>
  <si>
    <t>6B馆1层77</t>
  </si>
  <si>
    <t>6B馆1层78</t>
  </si>
  <si>
    <t>6B馆1层79</t>
  </si>
  <si>
    <t>6B馆1层80</t>
  </si>
  <si>
    <t>6B馆1层82</t>
  </si>
  <si>
    <t>6B馆1层83</t>
  </si>
  <si>
    <t>6B馆1层87</t>
  </si>
  <si>
    <t>6B馆1层88</t>
  </si>
  <si>
    <t>6B馆1层91</t>
  </si>
  <si>
    <t>6B馆1层92</t>
  </si>
  <si>
    <t>6B馆1层95</t>
  </si>
  <si>
    <t>6B馆1层96</t>
  </si>
  <si>
    <t>6B馆1层98</t>
  </si>
  <si>
    <t>6B馆1层101</t>
  </si>
  <si>
    <t>6B馆1层102</t>
  </si>
  <si>
    <t>6B馆1层103</t>
  </si>
  <si>
    <t>6B馆1层106</t>
  </si>
  <si>
    <t>6B馆1层110</t>
  </si>
  <si>
    <t>6B馆1层111</t>
  </si>
  <si>
    <t>6B馆1层112</t>
  </si>
  <si>
    <t>6B馆1层113</t>
  </si>
  <si>
    <t>6B馆1层115</t>
  </si>
  <si>
    <t>6B馆1层116</t>
  </si>
  <si>
    <t>6B馆1层117</t>
  </si>
  <si>
    <t>6B馆1层118</t>
  </si>
  <si>
    <t>6B馆1层119</t>
  </si>
  <si>
    <t>6B馆1层122</t>
  </si>
  <si>
    <t>6B馆1层126</t>
  </si>
  <si>
    <t>6B馆1层127</t>
  </si>
  <si>
    <t>6B馆1层128</t>
  </si>
  <si>
    <t>6B馆1层129</t>
  </si>
  <si>
    <t>6B馆1层131</t>
  </si>
  <si>
    <t>6B馆1层135</t>
  </si>
  <si>
    <t>6B馆1层138</t>
  </si>
  <si>
    <t>6B馆1层139</t>
  </si>
  <si>
    <t>6B馆1层141</t>
  </si>
  <si>
    <t>6B馆1层142</t>
  </si>
  <si>
    <t>6B馆1层143</t>
  </si>
  <si>
    <t>6B馆1层146</t>
  </si>
  <si>
    <t>6B馆1层147</t>
  </si>
  <si>
    <t>6B馆1层148</t>
  </si>
  <si>
    <t>6B馆1层149</t>
  </si>
  <si>
    <t>6B馆1层150</t>
  </si>
  <si>
    <t>6B馆1层151</t>
  </si>
  <si>
    <t>6B馆1层152</t>
  </si>
  <si>
    <t>6B馆1层153</t>
  </si>
  <si>
    <t>6B馆1层155</t>
  </si>
  <si>
    <t>6B馆1层156</t>
  </si>
  <si>
    <t>6B馆1层157</t>
  </si>
  <si>
    <t>6B馆1层158</t>
  </si>
  <si>
    <t>6B馆1层159</t>
  </si>
  <si>
    <t>6B馆1层160</t>
  </si>
  <si>
    <t>6B馆1层161</t>
  </si>
  <si>
    <t>6B馆1层162</t>
  </si>
  <si>
    <t>6B馆2层1</t>
  </si>
  <si>
    <t>6B馆2层2</t>
  </si>
  <si>
    <t>6B馆2层5</t>
  </si>
  <si>
    <t>6B馆2层6</t>
  </si>
  <si>
    <t>6B馆2层7</t>
  </si>
  <si>
    <t>6B馆2层8</t>
  </si>
  <si>
    <t>6B馆2层9</t>
  </si>
  <si>
    <t>6B馆2层10</t>
  </si>
  <si>
    <t>6B馆2层11</t>
  </si>
  <si>
    <t>6B馆2层12</t>
  </si>
  <si>
    <t>6B馆2层13</t>
  </si>
  <si>
    <t>6B馆2层15</t>
  </si>
  <si>
    <t>6B馆2层16</t>
  </si>
  <si>
    <t>6B馆2层17</t>
  </si>
  <si>
    <t>6B馆2层18</t>
  </si>
  <si>
    <t>6B馆2层19</t>
  </si>
  <si>
    <t>6B馆2层20</t>
  </si>
  <si>
    <t>6B馆2层22</t>
  </si>
  <si>
    <t>6B馆2层23</t>
  </si>
  <si>
    <t>6B馆2层29</t>
  </si>
  <si>
    <t>6B馆2层30</t>
  </si>
  <si>
    <t>6B馆2层31</t>
  </si>
  <si>
    <t>6B馆2层32</t>
  </si>
  <si>
    <t>6B馆2层33</t>
  </si>
  <si>
    <t>6B馆2层35</t>
  </si>
  <si>
    <t>6B馆2层36</t>
  </si>
  <si>
    <t>6B馆2层37</t>
  </si>
  <si>
    <t>6B馆2层38</t>
  </si>
  <si>
    <t>6B馆2层39</t>
  </si>
  <si>
    <t>6B馆2层40</t>
  </si>
  <si>
    <t>6B馆2层41</t>
  </si>
  <si>
    <t>6B馆2层42</t>
  </si>
  <si>
    <t>6B馆2层43</t>
  </si>
  <si>
    <t>6B馆2层45</t>
  </si>
  <si>
    <t>6B馆2层46</t>
  </si>
  <si>
    <t>6B馆2层47</t>
  </si>
  <si>
    <t>6B馆2层48</t>
  </si>
  <si>
    <t>6B馆2层49</t>
  </si>
  <si>
    <t>6B馆2层51</t>
  </si>
  <si>
    <t>6B馆2层52</t>
  </si>
  <si>
    <t>6B馆2层53</t>
  </si>
  <si>
    <t>6B馆2层55</t>
  </si>
  <si>
    <t>6B馆2层56</t>
  </si>
  <si>
    <t>6B馆2层57</t>
  </si>
  <si>
    <t>6B馆2层58</t>
  </si>
  <si>
    <t>6B馆2层59</t>
  </si>
  <si>
    <t>6B馆2层60</t>
  </si>
  <si>
    <t>6B馆2层61</t>
  </si>
  <si>
    <t>6B馆2层63</t>
  </si>
  <si>
    <t>6B馆2层66</t>
  </si>
  <si>
    <t>6B馆2层67</t>
  </si>
  <si>
    <t>6B馆2层68</t>
  </si>
  <si>
    <t>6B馆2层69</t>
  </si>
  <si>
    <t>6B馆2层70</t>
  </si>
  <si>
    <t>6B馆2层71</t>
  </si>
  <si>
    <t>6B馆2层72</t>
  </si>
  <si>
    <t>6B馆2层73</t>
  </si>
  <si>
    <t>6B馆2层75</t>
  </si>
  <si>
    <t>6B馆2层76</t>
  </si>
  <si>
    <t>6B馆2层77</t>
  </si>
  <si>
    <t>6B馆2层78</t>
  </si>
  <si>
    <t>6B馆2层79</t>
  </si>
  <si>
    <t>6B馆2层80</t>
  </si>
  <si>
    <t>6B馆2层81</t>
  </si>
  <si>
    <t>6B馆2层91</t>
  </si>
  <si>
    <t>6B馆2层92</t>
  </si>
  <si>
    <t>6B馆2层93</t>
  </si>
  <si>
    <t>6B馆2层95</t>
  </si>
  <si>
    <t>6B馆2层96</t>
  </si>
  <si>
    <t>6B馆2层97</t>
  </si>
  <si>
    <t>6B馆2层98</t>
  </si>
  <si>
    <t>6B馆2层99</t>
  </si>
  <si>
    <t>6B馆2层102</t>
  </si>
  <si>
    <t>6B馆2层107</t>
  </si>
  <si>
    <t>6B馆2层109</t>
  </si>
  <si>
    <t>6B馆2层110</t>
  </si>
  <si>
    <t>6B馆2层111</t>
  </si>
  <si>
    <t>6B馆2层112</t>
  </si>
  <si>
    <t>6B馆2层113</t>
  </si>
  <si>
    <t>6B馆2层117</t>
  </si>
  <si>
    <t>6B馆2层118</t>
  </si>
  <si>
    <t>6B馆2层119</t>
  </si>
  <si>
    <t>6B馆2层120</t>
  </si>
  <si>
    <t>6B馆2层121</t>
  </si>
  <si>
    <t>6B馆2层122</t>
  </si>
  <si>
    <t>6B馆2层123</t>
  </si>
  <si>
    <t>6B馆2层125</t>
  </si>
  <si>
    <t>6B馆2层126</t>
  </si>
  <si>
    <t>6B馆2层130</t>
  </si>
  <si>
    <t>6B馆2层135</t>
  </si>
  <si>
    <t>6B馆2层136</t>
  </si>
  <si>
    <t>6B馆2层137</t>
  </si>
  <si>
    <t>6B馆2层138</t>
  </si>
  <si>
    <t>6B馆2层139</t>
  </si>
  <si>
    <t>6B馆2层140</t>
  </si>
  <si>
    <t>6B馆2层142</t>
  </si>
  <si>
    <t>6B馆2层143</t>
  </si>
  <si>
    <t>6B馆2层145</t>
  </si>
  <si>
    <t>6B馆2层147</t>
  </si>
  <si>
    <t>6B馆2层148</t>
  </si>
  <si>
    <t>6B馆2层150</t>
  </si>
  <si>
    <t>6B馆2层151</t>
  </si>
  <si>
    <t>6B馆2层152</t>
  </si>
  <si>
    <t>6B馆2层153</t>
  </si>
  <si>
    <t>6B馆2层155</t>
  </si>
  <si>
    <t>6B馆2层156</t>
  </si>
  <si>
    <t>6B馆2层157</t>
  </si>
  <si>
    <t>6B馆2层158</t>
  </si>
  <si>
    <t>6B馆2层159</t>
  </si>
  <si>
    <t>6B馆2层160</t>
  </si>
  <si>
    <t>6B馆2层161</t>
  </si>
  <si>
    <t>6B馆2层162</t>
  </si>
  <si>
    <t>6B馆2层163</t>
  </si>
  <si>
    <t>6B馆2层165</t>
  </si>
  <si>
    <t>6B馆2层166</t>
  </si>
  <si>
    <t>6B馆2层167</t>
  </si>
  <si>
    <t>6B馆2层169</t>
  </si>
  <si>
    <t>6B馆2层171</t>
  </si>
  <si>
    <t>6B馆2层172</t>
  </si>
  <si>
    <t>6B馆2层173</t>
  </si>
  <si>
    <t>6B馆2层175</t>
  </si>
  <si>
    <t>6B馆2层176</t>
  </si>
  <si>
    <t>6B馆2层177</t>
  </si>
  <si>
    <t>6B馆2层179</t>
  </si>
  <si>
    <t>6B馆2层180</t>
  </si>
  <si>
    <t>6B馆2层181</t>
  </si>
  <si>
    <t>6B馆2层182</t>
  </si>
  <si>
    <t>6B馆2层183</t>
  </si>
  <si>
    <t>6B馆2层185</t>
  </si>
  <si>
    <t>6B馆2层186</t>
  </si>
  <si>
    <t>6B馆2层187</t>
  </si>
  <si>
    <t>6B馆2层188</t>
  </si>
  <si>
    <t>6B馆2层191</t>
  </si>
  <si>
    <t>6B馆2层192</t>
  </si>
  <si>
    <t>6B馆2层193</t>
  </si>
  <si>
    <t>6B馆2层198</t>
  </si>
  <si>
    <t>6B馆2层199</t>
  </si>
  <si>
    <t>6B馆2层200</t>
  </si>
  <si>
    <t>6B馆2层201</t>
  </si>
  <si>
    <t>6B馆2层202</t>
  </si>
  <si>
    <t>6B馆2层203</t>
  </si>
  <si>
    <t>6B馆2层205</t>
  </si>
  <si>
    <t>6B馆2层206</t>
  </si>
  <si>
    <t>6B馆2层207</t>
  </si>
  <si>
    <t>6B馆2层208</t>
  </si>
  <si>
    <t>6B馆2层209</t>
  </si>
  <si>
    <t>6B馆2层210</t>
  </si>
  <si>
    <t>6B馆2层211</t>
  </si>
  <si>
    <t>6B馆2层212</t>
  </si>
  <si>
    <t>6B馆2层213</t>
  </si>
  <si>
    <t>6B馆2层215</t>
  </si>
  <si>
    <t>6B馆2层216</t>
  </si>
  <si>
    <t>6B馆2层217</t>
  </si>
  <si>
    <t>6B馆2层218</t>
  </si>
  <si>
    <t>6B馆2层219</t>
  </si>
  <si>
    <t>6B馆2层220</t>
  </si>
  <si>
    <t>6B馆2层221</t>
  </si>
  <si>
    <t>6B馆2层222</t>
  </si>
  <si>
    <t>6B馆2层223</t>
  </si>
  <si>
    <t>6B馆2层225</t>
  </si>
  <si>
    <t>6B馆2层230</t>
  </si>
  <si>
    <t>6B馆2层231</t>
  </si>
  <si>
    <t>6B馆2层232</t>
  </si>
  <si>
    <t>6B馆2层233</t>
  </si>
  <si>
    <t>6B馆2层235</t>
  </si>
  <si>
    <t>6B馆2层236</t>
  </si>
  <si>
    <t>6B馆2层237</t>
  </si>
  <si>
    <t>6B馆2层238</t>
  </si>
  <si>
    <t>6B馆2层240</t>
  </si>
  <si>
    <t>6B馆2层241</t>
  </si>
  <si>
    <t>6B馆2层242</t>
  </si>
  <si>
    <t>6B馆2层243</t>
  </si>
  <si>
    <t>6B馆3层27</t>
  </si>
  <si>
    <t>6B馆3层29</t>
  </si>
  <si>
    <t>6B馆3层30</t>
  </si>
  <si>
    <t>6B馆3层31</t>
  </si>
  <si>
    <t>6B馆3层32</t>
  </si>
  <si>
    <t>6B馆3层33</t>
  </si>
  <si>
    <t>6B馆3层35</t>
  </si>
  <si>
    <t>6B馆3层36</t>
  </si>
  <si>
    <t>6B馆3层37</t>
  </si>
  <si>
    <t>6B馆3层38</t>
  </si>
  <si>
    <t>6B馆3层39</t>
  </si>
  <si>
    <t>6B馆3层51</t>
  </si>
  <si>
    <t>6B馆3层52</t>
  </si>
  <si>
    <t>6B馆3层53</t>
  </si>
  <si>
    <t>6B馆3层55</t>
  </si>
  <si>
    <t>6B馆3层56</t>
  </si>
  <si>
    <t>6B馆3层57</t>
  </si>
  <si>
    <t>6B馆3层58</t>
  </si>
  <si>
    <t>6B馆3层59</t>
  </si>
  <si>
    <t>6B馆3层60</t>
  </si>
  <si>
    <t>6B馆3层62</t>
  </si>
  <si>
    <t>6B馆3层63</t>
  </si>
  <si>
    <t>6B馆3层65</t>
  </si>
  <si>
    <t>6B馆3层66</t>
  </si>
  <si>
    <t>6B馆3层67</t>
  </si>
  <si>
    <t>6B馆3层69</t>
  </si>
  <si>
    <t>6B馆3层70</t>
  </si>
  <si>
    <t>6B馆3层71</t>
  </si>
  <si>
    <t>6B馆3层72</t>
  </si>
  <si>
    <t>6B馆3层75</t>
  </si>
  <si>
    <t>6B馆3层79</t>
  </si>
  <si>
    <t>6B馆3层80</t>
  </si>
  <si>
    <t>6B馆3层82</t>
  </si>
  <si>
    <t>6B馆3层83</t>
  </si>
  <si>
    <t>6B馆3层85</t>
  </si>
  <si>
    <t>6B馆3层86</t>
  </si>
  <si>
    <t>6B馆3层87</t>
  </si>
  <si>
    <t>6B馆3层88</t>
  </si>
  <si>
    <t>6B馆3层89</t>
  </si>
  <si>
    <t>6B馆3层90</t>
  </si>
  <si>
    <t>6B馆3层93</t>
  </si>
  <si>
    <t>6B馆3层95</t>
  </si>
  <si>
    <t>6B馆3层97</t>
  </si>
  <si>
    <t>6B馆3层103</t>
  </si>
  <si>
    <t>6B馆3层105</t>
  </si>
  <si>
    <t>6B馆3层106</t>
  </si>
  <si>
    <t>6B馆3层107</t>
  </si>
  <si>
    <t>6B馆3层108</t>
  </si>
  <si>
    <t>6B馆3层115</t>
  </si>
  <si>
    <t>6B馆3层116</t>
  </si>
  <si>
    <t>6B馆3层117</t>
  </si>
  <si>
    <t>6B馆3层118</t>
  </si>
  <si>
    <t>6B馆3层119</t>
  </si>
  <si>
    <t>6B馆3层120</t>
  </si>
  <si>
    <t>6B馆3层121</t>
  </si>
  <si>
    <t>6B馆3层122</t>
  </si>
  <si>
    <t>6B馆3层123</t>
  </si>
  <si>
    <t>6B馆3层125</t>
  </si>
  <si>
    <t>6B馆3层126</t>
  </si>
  <si>
    <t>6B馆3层127</t>
  </si>
  <si>
    <t>6B馆3层128</t>
  </si>
  <si>
    <t>6B馆3层129</t>
  </si>
  <si>
    <t>6B馆3层130</t>
  </si>
  <si>
    <t>6B馆3层131</t>
  </si>
  <si>
    <t>6B馆3层132</t>
  </si>
  <si>
    <t>6B馆3层133</t>
  </si>
  <si>
    <t>6B馆3层135</t>
  </si>
  <si>
    <t>6B馆3层136</t>
  </si>
  <si>
    <t>6B馆3层137</t>
  </si>
  <si>
    <t>6B馆3层138</t>
  </si>
  <si>
    <t>6B馆3层139</t>
  </si>
  <si>
    <t>6B馆3层140</t>
  </si>
  <si>
    <t>6B馆3层141</t>
  </si>
  <si>
    <t>6B馆3层142</t>
  </si>
  <si>
    <t>6B馆3层143</t>
  </si>
  <si>
    <t>6B馆3层145</t>
  </si>
  <si>
    <t>6B馆3层147</t>
  </si>
  <si>
    <t>6B馆3层150</t>
  </si>
  <si>
    <t>6B馆3层152</t>
  </si>
  <si>
    <t>6B馆3层153</t>
  </si>
  <si>
    <t>6B馆3层155</t>
  </si>
  <si>
    <t>6B馆3层156</t>
  </si>
  <si>
    <t>6B馆3层157</t>
  </si>
  <si>
    <t>6B馆3层158</t>
  </si>
  <si>
    <t>6B馆3层159</t>
  </si>
  <si>
    <t>6B馆3层160</t>
  </si>
  <si>
    <t>6B馆3层161</t>
  </si>
  <si>
    <t>6B馆3层162</t>
  </si>
  <si>
    <t>6B馆3层163</t>
  </si>
  <si>
    <t>6B馆3层167</t>
  </si>
  <si>
    <t>6B馆3层170</t>
  </si>
  <si>
    <t>6B馆3层171</t>
  </si>
  <si>
    <t>6B馆3层172</t>
  </si>
  <si>
    <t>6B馆3层173</t>
  </si>
  <si>
    <t>6B馆3层176</t>
  </si>
  <si>
    <t>6B馆3层177</t>
  </si>
  <si>
    <t>6B馆3层178</t>
  </si>
  <si>
    <t>6B馆3层180</t>
  </si>
  <si>
    <t>6B馆3层181</t>
  </si>
  <si>
    <t>6B馆3层187</t>
  </si>
  <si>
    <t>6B馆3层188</t>
  </si>
  <si>
    <t>6B馆3层189</t>
  </si>
  <si>
    <t>6B馆3层190</t>
  </si>
  <si>
    <t>6B馆3层191</t>
  </si>
  <si>
    <t>6B馆3层192</t>
  </si>
  <si>
    <t>6B馆3层193</t>
  </si>
  <si>
    <t>6B馆3层195</t>
  </si>
  <si>
    <t>6B馆3层196</t>
  </si>
  <si>
    <t>6B馆3层198</t>
  </si>
  <si>
    <t>6B馆3层199</t>
  </si>
  <si>
    <t>6B馆3层200</t>
  </si>
  <si>
    <t>6B馆3层201</t>
  </si>
  <si>
    <t>6B馆3层202</t>
  </si>
  <si>
    <t>6B馆3层203</t>
  </si>
  <si>
    <t>6B馆3层205</t>
  </si>
  <si>
    <t>6B馆3层206</t>
  </si>
  <si>
    <t>6B馆3层207</t>
  </si>
  <si>
    <t>6B馆3层208</t>
  </si>
  <si>
    <t>6B馆3层209</t>
  </si>
  <si>
    <t>6B馆3层210</t>
  </si>
  <si>
    <t>6B馆3层211</t>
  </si>
  <si>
    <t>6B馆3层212</t>
  </si>
  <si>
    <t>6B馆3层213</t>
  </si>
  <si>
    <t>6B馆3层216</t>
  </si>
  <si>
    <t>6B馆3层218</t>
  </si>
  <si>
    <t>6B馆3层219</t>
  </si>
  <si>
    <t>6B馆3层222</t>
  </si>
  <si>
    <t>6B馆3层225</t>
  </si>
  <si>
    <t>6B馆3层226</t>
  </si>
  <si>
    <t>6B馆3层228</t>
  </si>
  <si>
    <t>6B馆3层229</t>
  </si>
  <si>
    <t>6B馆3层230</t>
  </si>
  <si>
    <t>6B馆3层231</t>
  </si>
  <si>
    <t>6B馆3层232</t>
  </si>
  <si>
    <t>6B馆3层233</t>
  </si>
  <si>
    <t>6B馆3层235</t>
  </si>
  <si>
    <t>6B馆3层236</t>
  </si>
  <si>
    <t>6B馆3层239</t>
  </si>
  <si>
    <t>6B馆3层240</t>
  </si>
  <si>
    <t>6B馆4层16</t>
  </si>
  <si>
    <t>6B馆4层17</t>
  </si>
  <si>
    <t>6B馆4层18</t>
  </si>
  <si>
    <t>6B馆4层19</t>
  </si>
  <si>
    <t>6B馆4层20</t>
  </si>
  <si>
    <t>6B馆4层21</t>
  </si>
  <si>
    <t>6B馆4层22</t>
  </si>
  <si>
    <t>6B馆4层23</t>
  </si>
  <si>
    <t>6B馆4层45</t>
  </si>
  <si>
    <t>6B馆4层46</t>
  </si>
  <si>
    <t>6B馆4层47</t>
  </si>
  <si>
    <t>6B馆4层67</t>
  </si>
  <si>
    <t>6B馆4层79</t>
  </si>
  <si>
    <t>6B馆4层87</t>
  </si>
  <si>
    <t>6B馆4层109</t>
  </si>
  <si>
    <t>6B馆4层110</t>
  </si>
  <si>
    <t>6B馆4层119</t>
  </si>
  <si>
    <t>6B馆4层125</t>
  </si>
  <si>
    <t>6B馆4层129</t>
  </si>
  <si>
    <t>6B馆4层130</t>
  </si>
  <si>
    <t>6B馆4层131</t>
  </si>
  <si>
    <t>6B馆4层132</t>
  </si>
  <si>
    <t>6B馆4层133</t>
  </si>
  <si>
    <t>6B馆4层135</t>
  </si>
  <si>
    <t>6B馆4层136</t>
  </si>
  <si>
    <t>6B馆4层137</t>
  </si>
  <si>
    <t>6B馆5层2</t>
  </si>
  <si>
    <t>6B馆5层3</t>
  </si>
  <si>
    <t>6B馆5层5</t>
  </si>
  <si>
    <t>6B馆5层6</t>
  </si>
  <si>
    <t>6B馆5层7</t>
  </si>
  <si>
    <t>6B馆5层10</t>
  </si>
  <si>
    <t>6B馆5层11</t>
  </si>
  <si>
    <t>6B馆5层12</t>
  </si>
  <si>
    <t>6B馆5层13</t>
  </si>
  <si>
    <t>6B馆5层15</t>
  </si>
  <si>
    <t>6B馆5层17</t>
  </si>
  <si>
    <t>6B馆5层18</t>
  </si>
  <si>
    <t>6B馆5层22</t>
  </si>
  <si>
    <t>6B馆5层43</t>
  </si>
  <si>
    <t>6B馆5层45</t>
  </si>
  <si>
    <t>6B馆5层46</t>
  </si>
  <si>
    <t>6B馆5层48</t>
  </si>
  <si>
    <t>6B馆5层49</t>
  </si>
  <si>
    <t>6B馆5层50</t>
  </si>
  <si>
    <t>6B馆地下一层1</t>
  </si>
  <si>
    <t>6B馆地下一层2</t>
  </si>
  <si>
    <t>6B馆地下一层3</t>
  </si>
  <si>
    <t>6B馆地下一层5</t>
  </si>
  <si>
    <t>6B馆地下一层6</t>
  </si>
  <si>
    <t>6B馆地下一层7</t>
  </si>
  <si>
    <t>6B馆地下一层8</t>
  </si>
  <si>
    <t>6B馆地下一层9</t>
  </si>
  <si>
    <t>6B馆地下一层10</t>
  </si>
  <si>
    <t>6B馆地下一层11</t>
  </si>
  <si>
    <t>6B馆地下一层12</t>
  </si>
  <si>
    <t>6B馆地下一层13</t>
  </si>
  <si>
    <t>6B馆地下一层15</t>
  </si>
  <si>
    <t>6B馆地下一层16</t>
  </si>
  <si>
    <t>6B馆地下一层17</t>
  </si>
  <si>
    <t>6B馆地下一层18</t>
  </si>
  <si>
    <t>6B馆地下一层19</t>
  </si>
  <si>
    <t>6B馆地下一层20</t>
  </si>
  <si>
    <t>6B馆地下一层21</t>
  </si>
  <si>
    <t>6B馆地下一层22</t>
  </si>
  <si>
    <t>6B馆地下一层23</t>
  </si>
  <si>
    <t>6B馆地下一层25</t>
  </si>
  <si>
    <t>6B馆地下一层26</t>
  </si>
  <si>
    <t>6B馆地下一层27</t>
  </si>
  <si>
    <t>6B馆地下一层28</t>
  </si>
  <si>
    <t>6B馆地下一层29</t>
  </si>
  <si>
    <t>6B馆地下一层30</t>
  </si>
  <si>
    <t>6B馆地下一层31</t>
  </si>
  <si>
    <t>6B馆地下一层32</t>
  </si>
  <si>
    <t>6B馆地下一层33</t>
  </si>
  <si>
    <t>6B馆地下一层35</t>
  </si>
  <si>
    <t>6B馆地下一层36</t>
  </si>
  <si>
    <t>6B馆地下一层37</t>
  </si>
  <si>
    <t>6B馆地下一层38</t>
  </si>
  <si>
    <t>6B馆地下一层39</t>
  </si>
  <si>
    <t>6B馆地下一层40</t>
  </si>
  <si>
    <t>6B馆地下一层41</t>
  </si>
  <si>
    <t>6B馆地下一层43</t>
  </si>
  <si>
    <t>6B馆地下一层45</t>
  </si>
  <si>
    <t>6B馆地下一层46</t>
  </si>
  <si>
    <t>6B馆地下一层47</t>
  </si>
  <si>
    <t>6B馆地下一层48</t>
  </si>
  <si>
    <t>6B馆地下一层49</t>
  </si>
  <si>
    <t>6B馆地下一层50</t>
  </si>
  <si>
    <t>6B馆地下一层51</t>
  </si>
  <si>
    <t>6B馆地下一层52</t>
  </si>
  <si>
    <t>6B馆地下一层53</t>
  </si>
  <si>
    <t>6B馆地下一层55</t>
  </si>
  <si>
    <t>6B馆地下一层56</t>
  </si>
  <si>
    <t>6B馆地下一层57</t>
  </si>
  <si>
    <t>6B馆地下一层58</t>
  </si>
  <si>
    <t>6B馆地下一层59</t>
  </si>
  <si>
    <t>6B馆地下一层60</t>
  </si>
  <si>
    <t>6B馆地下一层61</t>
  </si>
  <si>
    <t>6B馆地下一层62</t>
  </si>
  <si>
    <t>6B馆地下一层63</t>
  </si>
  <si>
    <t>6B馆地下一层65</t>
  </si>
  <si>
    <t>6B馆地下一层67</t>
  </si>
  <si>
    <t>6B馆地下一层68</t>
  </si>
  <si>
    <t>6B馆地下一层69</t>
  </si>
  <si>
    <t>6B馆地下一层70</t>
  </si>
  <si>
    <t>6B馆地下一层72</t>
  </si>
  <si>
    <t>6B馆地下一层73</t>
  </si>
  <si>
    <t>6B馆地下一层75</t>
  </si>
  <si>
    <t>6B馆地下一层76</t>
  </si>
  <si>
    <t>6B馆地下一层77</t>
  </si>
  <si>
    <t>6B馆地下一层78</t>
  </si>
  <si>
    <t>6B馆地下一层79</t>
  </si>
  <si>
    <t>6B馆地下一层80</t>
  </si>
  <si>
    <t>6B馆地下一层81</t>
  </si>
  <si>
    <t>6B馆地下一层82</t>
  </si>
  <si>
    <t>6B馆地下一层83</t>
  </si>
  <si>
    <t>6B馆地下一层86</t>
  </si>
  <si>
    <t>6B馆地下一层87</t>
  </si>
  <si>
    <t>6B馆地下一层88</t>
  </si>
  <si>
    <t>6B馆地下一层89</t>
  </si>
  <si>
    <t>6B馆地下一层91</t>
  </si>
  <si>
    <t>6B馆地下一层92</t>
  </si>
  <si>
    <t>6B馆地下一层93</t>
  </si>
  <si>
    <t>6B馆地下一层95</t>
  </si>
  <si>
    <t>6B馆地下一层97</t>
  </si>
  <si>
    <t>6B馆地下一层98</t>
  </si>
  <si>
    <t>6B馆地下一层99</t>
  </si>
  <si>
    <t>6B馆地下一层100</t>
  </si>
  <si>
    <t>6B馆地下一层102</t>
  </si>
  <si>
    <t>6B馆地下一层103</t>
  </si>
  <si>
    <t>6B馆地下一层108</t>
  </si>
  <si>
    <t>6B馆地下一层109</t>
  </si>
  <si>
    <t>6B馆地下一层111</t>
  </si>
  <si>
    <t>6B馆地下一层112</t>
  </si>
  <si>
    <t>6B馆地下一层113</t>
  </si>
  <si>
    <t>6B馆地下一层115</t>
  </si>
  <si>
    <t>6B馆地下一层116</t>
  </si>
  <si>
    <t>6B馆地下一层117</t>
  </si>
  <si>
    <t>6B馆地下一层118</t>
  </si>
  <si>
    <t>6B馆地下一层119</t>
  </si>
  <si>
    <t>6B馆地下一层120</t>
  </si>
  <si>
    <t>6B馆地下一层121</t>
  </si>
  <si>
    <t>6B馆地下一层122</t>
  </si>
  <si>
    <t>6B馆地下一层123</t>
  </si>
  <si>
    <t>6B馆地下一层125</t>
  </si>
  <si>
    <t>6B馆地下一层126</t>
  </si>
  <si>
    <t>6B馆地下一层127</t>
  </si>
  <si>
    <t>6B馆地下一层128</t>
  </si>
  <si>
    <t>6B馆地下一层129</t>
  </si>
  <si>
    <t>6B馆地下一层130</t>
  </si>
  <si>
    <t>6B馆地下一层131</t>
  </si>
  <si>
    <t>6B馆地下一层133</t>
  </si>
  <si>
    <t>6B馆地下一层135</t>
  </si>
  <si>
    <t>6B馆地下一层136</t>
  </si>
  <si>
    <t>6B馆地下一层137</t>
  </si>
  <si>
    <t>6B馆地下一层138</t>
  </si>
  <si>
    <t>6B馆地下一层139</t>
  </si>
  <si>
    <t>6B馆地下一层140</t>
  </si>
  <si>
    <t>6B馆地下一层141</t>
  </si>
  <si>
    <t>6B馆地下一层142</t>
  </si>
  <si>
    <t>6B馆地下一层143</t>
  </si>
  <si>
    <t>6B馆地下一层145</t>
  </si>
  <si>
    <t>6B馆地下一层146</t>
  </si>
  <si>
    <t>6B馆地下一层147</t>
  </si>
  <si>
    <t>6B馆地下一层148</t>
  </si>
  <si>
    <t>6B馆地下一层149</t>
  </si>
  <si>
    <t>6B馆地下一层150</t>
  </si>
  <si>
    <t>6B馆地下一层151</t>
  </si>
  <si>
    <t>6B馆地下一层152</t>
  </si>
  <si>
    <t>6B馆地下一层153</t>
  </si>
  <si>
    <t>6B馆地下一层155</t>
  </si>
  <si>
    <t>6B馆地下一层156</t>
  </si>
  <si>
    <t>6B馆地下一层157</t>
  </si>
  <si>
    <t>6B馆地下一层158</t>
  </si>
  <si>
    <t>6B馆地下一层159</t>
  </si>
  <si>
    <t>6B馆地下一层160</t>
  </si>
  <si>
    <t>6B馆地下一层161</t>
  </si>
  <si>
    <t>6B馆地下一层162</t>
  </si>
  <si>
    <t>6B馆地下一层163</t>
  </si>
  <si>
    <t>6B馆地下一层165</t>
  </si>
  <si>
    <t>6B馆地下一层166</t>
  </si>
  <si>
    <t>6B馆地下一层168</t>
  </si>
  <si>
    <t>6B馆地下一层171</t>
  </si>
  <si>
    <t>6B馆地下一层172</t>
  </si>
  <si>
    <t>6B馆地下一层173</t>
  </si>
  <si>
    <t>6B馆地下一层175</t>
  </si>
  <si>
    <t>6B馆地下一层176</t>
  </si>
  <si>
    <t>6B馆地下一层177</t>
  </si>
  <si>
    <t>6B馆地下一层178</t>
  </si>
  <si>
    <t>6B馆地下一层179</t>
  </si>
  <si>
    <t>6B馆地下一层182</t>
  </si>
  <si>
    <t>6B馆地下一层186</t>
  </si>
  <si>
    <t>6B馆地下一层187</t>
  </si>
  <si>
    <t>6B馆地下一层188</t>
  </si>
  <si>
    <t>6B馆地下一层189</t>
  </si>
  <si>
    <t>6B馆地下一层190</t>
  </si>
  <si>
    <t>6B馆地下一层191</t>
  </si>
  <si>
    <t>6B馆地下一层195</t>
  </si>
  <si>
    <t>6B馆地下一层196</t>
  </si>
  <si>
    <t>6B馆地下一层197</t>
  </si>
  <si>
    <t>6B馆地下一层198</t>
  </si>
  <si>
    <t>6B馆地下一层199</t>
  </si>
  <si>
    <t>6B馆地下一层200</t>
  </si>
  <si>
    <t>6B馆地下一层201</t>
  </si>
  <si>
    <t>6B馆地下一层202</t>
  </si>
  <si>
    <t>6B馆地下一层203</t>
  </si>
  <si>
    <t>6B馆地下一层205</t>
  </si>
  <si>
    <t>6B馆地下一层206</t>
  </si>
  <si>
    <t>6B馆地下一层210</t>
  </si>
  <si>
    <t>6B馆地下一层211</t>
  </si>
  <si>
    <t>6B馆地下一层212</t>
  </si>
  <si>
    <t>6B馆地下一层216</t>
  </si>
  <si>
    <t>6B馆地下一层217</t>
  </si>
  <si>
    <t>6B馆地下一层218</t>
  </si>
  <si>
    <t>6B馆地下一层219</t>
  </si>
  <si>
    <t>6B馆地下一层220</t>
  </si>
  <si>
    <t>6B馆地下一层221</t>
  </si>
  <si>
    <t>6B馆地下一层222</t>
  </si>
  <si>
    <t>6B馆地下一层223</t>
  </si>
  <si>
    <t>6B馆地下一层225</t>
  </si>
  <si>
    <t>6B馆地下一层226</t>
  </si>
  <si>
    <t>6B馆地下一层227</t>
  </si>
  <si>
    <t>6B馆地下一层228</t>
  </si>
  <si>
    <t>6B馆地下一层231</t>
  </si>
  <si>
    <t>6B馆地下一层232</t>
  </si>
  <si>
    <t>6B馆地下一层233</t>
  </si>
  <si>
    <t>6B馆地下一层235</t>
  </si>
  <si>
    <t>6B馆地下一层236</t>
  </si>
  <si>
    <t>6B馆地下一层237</t>
  </si>
  <si>
    <t>6B馆地下一层238</t>
  </si>
  <si>
    <t>6B馆地下一层239</t>
  </si>
  <si>
    <t>6B馆地下一层240</t>
  </si>
  <si>
    <t>6B馆地下一层241</t>
  </si>
  <si>
    <t>6B馆地下一层242</t>
  </si>
  <si>
    <t>6B馆地下一层243</t>
  </si>
  <si>
    <t>6B馆地下一层245</t>
  </si>
  <si>
    <t>6B馆地下一层246</t>
  </si>
  <si>
    <t>6B馆地下一层247</t>
  </si>
  <si>
    <t>6B馆地下一层248</t>
  </si>
  <si>
    <t>6B馆地下一层249</t>
  </si>
  <si>
    <t>6B馆地下一层250</t>
  </si>
  <si>
    <t>6B馆地下一层251</t>
  </si>
  <si>
    <t>6B馆地下一层252</t>
  </si>
  <si>
    <t>6B馆地下一层253</t>
  </si>
  <si>
    <t>6B馆地下一层255</t>
  </si>
  <si>
    <t>6B馆地下一层256</t>
  </si>
  <si>
    <t>6B馆地下一层257</t>
  </si>
  <si>
    <t>6B馆地下一层258</t>
  </si>
  <si>
    <t>6B馆地下一层259</t>
  </si>
  <si>
    <t>6B馆地下一层260</t>
  </si>
  <si>
    <t>6B馆地下一层263</t>
  </si>
  <si>
    <t>6B馆地下一层267</t>
  </si>
  <si>
    <t>6B馆地下一层270</t>
  </si>
  <si>
    <t>6B馆地下一层272</t>
  </si>
  <si>
    <t>6B馆地下一层273</t>
  </si>
  <si>
    <t>6B馆地下一层275</t>
  </si>
  <si>
    <t>6B馆地下一层276</t>
  </si>
  <si>
    <t>6B馆地下一层277</t>
  </si>
  <si>
    <t>6B馆地下一层278</t>
  </si>
  <si>
    <t>6B馆地下一层279</t>
  </si>
  <si>
    <t>6B馆地下一层280</t>
  </si>
  <si>
    <t>6B馆地下一层281</t>
  </si>
  <si>
    <t>6B馆地下二层8</t>
  </si>
  <si>
    <t>6B馆地下二层9</t>
  </si>
  <si>
    <t>6B馆地下二层10</t>
  </si>
  <si>
    <t>6B馆地下二层11</t>
  </si>
  <si>
    <t>6B馆地下二层12</t>
  </si>
  <si>
    <t>6B馆地下二层13</t>
  </si>
  <si>
    <t>6B馆地下二层15</t>
  </si>
  <si>
    <t>6B馆地下二层56</t>
  </si>
  <si>
    <t>6B馆地下二层57</t>
  </si>
  <si>
    <t>6B馆地下二层73</t>
  </si>
  <si>
    <t>6B馆地下二层75</t>
  </si>
  <si>
    <t>6B馆地下二层77</t>
  </si>
  <si>
    <t>6B馆地下二层220</t>
  </si>
  <si>
    <t>6B馆地下二层221</t>
  </si>
  <si>
    <t>7A馆1层1</t>
  </si>
  <si>
    <t>7A馆1层2</t>
  </si>
  <si>
    <t>7A馆1层3</t>
  </si>
  <si>
    <t>7A馆1层5</t>
  </si>
  <si>
    <t>7A馆1层6</t>
  </si>
  <si>
    <t>7A馆1层7</t>
  </si>
  <si>
    <t>7A馆1层8</t>
  </si>
  <si>
    <t>7A馆1层9</t>
  </si>
  <si>
    <t>7A馆1层10</t>
  </si>
  <si>
    <t>7A馆1层11</t>
  </si>
  <si>
    <t>7A馆1层12</t>
  </si>
  <si>
    <t>7A馆1层15</t>
  </si>
  <si>
    <t>7A馆1层16</t>
  </si>
  <si>
    <t>7A馆1层20</t>
  </si>
  <si>
    <t>7A馆1层21</t>
  </si>
  <si>
    <t>7A馆1层22</t>
  </si>
  <si>
    <t>7A馆1层23</t>
  </si>
  <si>
    <t>7A馆1层25</t>
  </si>
  <si>
    <t>7A馆1层26</t>
  </si>
  <si>
    <t>7A馆1层28</t>
  </si>
  <si>
    <t>7A馆1层29</t>
  </si>
  <si>
    <t>7A馆1层30</t>
  </si>
  <si>
    <t>7A馆1层35</t>
  </si>
  <si>
    <t>7A馆1层36</t>
  </si>
  <si>
    <t>7A馆1层38</t>
  </si>
  <si>
    <t>7A馆1层39</t>
  </si>
  <si>
    <t>7A馆1层42</t>
  </si>
  <si>
    <t>7A馆1层43</t>
  </si>
  <si>
    <t>7A馆1层45</t>
  </si>
  <si>
    <t>7A馆1层46</t>
  </si>
  <si>
    <t>7A馆1层47</t>
  </si>
  <si>
    <t>7A馆1层48</t>
  </si>
  <si>
    <t>7A馆1层49</t>
  </si>
  <si>
    <t>7A馆1层52</t>
  </si>
  <si>
    <t>7A馆1层53</t>
  </si>
  <si>
    <t>7A馆1层55</t>
  </si>
  <si>
    <t>7A馆1层61</t>
  </si>
  <si>
    <t>7A馆1层63</t>
  </si>
  <si>
    <t>7A馆1层68</t>
  </si>
  <si>
    <t>7A馆1层75</t>
  </si>
  <si>
    <t>7A馆1层76</t>
  </si>
  <si>
    <t>7A馆1层77</t>
  </si>
  <si>
    <t>7A馆1层78</t>
  </si>
  <si>
    <t>7A馆1层79</t>
  </si>
  <si>
    <t>7A馆1层80</t>
  </si>
  <si>
    <t>7A馆1层89</t>
  </si>
  <si>
    <t>7A馆1层90</t>
  </si>
  <si>
    <t>7A馆1层95</t>
  </si>
  <si>
    <t>7A馆1层96</t>
  </si>
  <si>
    <t>7A馆1层97</t>
  </si>
  <si>
    <t>7A馆1层105</t>
  </si>
  <si>
    <t>7A馆1层107</t>
  </si>
  <si>
    <t>7A馆1层108</t>
  </si>
  <si>
    <t>7A馆1层109</t>
  </si>
  <si>
    <t>7A馆1层119</t>
  </si>
  <si>
    <t>7A馆1层120</t>
  </si>
  <si>
    <t>7A馆1层121</t>
  </si>
  <si>
    <t>7A馆1层126</t>
  </si>
  <si>
    <t>7A馆1层127</t>
  </si>
  <si>
    <t>7A馆1层128</t>
  </si>
  <si>
    <t>7A馆1层129</t>
  </si>
  <si>
    <t>7A馆1层131</t>
  </si>
  <si>
    <t>7A馆1层132</t>
  </si>
  <si>
    <t>7A馆1层137</t>
  </si>
  <si>
    <t>7A馆1层138</t>
  </si>
  <si>
    <t>7A馆1层139</t>
  </si>
  <si>
    <t>7A馆1层140</t>
  </si>
  <si>
    <t>7A馆1层141</t>
  </si>
  <si>
    <t>7A馆1层143</t>
  </si>
  <si>
    <t>7A馆1层145</t>
  </si>
  <si>
    <t>7A馆1层146</t>
  </si>
  <si>
    <t>7A馆1层147</t>
  </si>
  <si>
    <t>7A馆1层148</t>
  </si>
  <si>
    <t>7A馆1层149</t>
  </si>
  <si>
    <t>7A馆1层150</t>
  </si>
  <si>
    <t>7A馆2层1</t>
  </si>
  <si>
    <t>7A馆2层2</t>
  </si>
  <si>
    <t>7A馆2层10</t>
  </si>
  <si>
    <t>7A馆2层11</t>
  </si>
  <si>
    <t>7A馆2层13</t>
  </si>
  <si>
    <t>7A馆2层15</t>
  </si>
  <si>
    <t>7A馆2层18</t>
  </si>
  <si>
    <t>7A馆2层19</t>
  </si>
  <si>
    <t>7A馆2层21</t>
  </si>
  <si>
    <t>7A馆2层22</t>
  </si>
  <si>
    <t>7A馆2层23</t>
  </si>
  <si>
    <t>7A馆2层25</t>
  </si>
  <si>
    <t>7A馆2层26</t>
  </si>
  <si>
    <t>7A馆2层29</t>
  </si>
  <si>
    <t>7A馆2层33</t>
  </si>
  <si>
    <t>7A馆2层35</t>
  </si>
  <si>
    <t>7A馆2层36</t>
  </si>
  <si>
    <t>7A馆2层38</t>
  </si>
  <si>
    <t>7A馆2层40</t>
  </si>
  <si>
    <t>7A馆2层42</t>
  </si>
  <si>
    <t>7A馆2层45</t>
  </si>
  <si>
    <t>7A馆2层47</t>
  </si>
  <si>
    <t>7A馆2层48</t>
  </si>
  <si>
    <t>7A馆2层50</t>
  </si>
  <si>
    <t>7A馆2层58</t>
  </si>
  <si>
    <t>7A馆2层59</t>
  </si>
  <si>
    <t>7A馆2层60</t>
  </si>
  <si>
    <t>7A馆2层61</t>
  </si>
  <si>
    <t>7A馆2层62</t>
  </si>
  <si>
    <t>7A馆2层65</t>
  </si>
  <si>
    <t>7A馆2层66</t>
  </si>
  <si>
    <t>7A馆2层67</t>
  </si>
  <si>
    <t>7A馆2层68</t>
  </si>
  <si>
    <t>7A馆2层71</t>
  </si>
  <si>
    <t>7A馆2层72</t>
  </si>
  <si>
    <t>7A馆2层73</t>
  </si>
  <si>
    <t>7A馆2层75</t>
  </si>
  <si>
    <t>7A馆2层76</t>
  </si>
  <si>
    <t>7A馆2层77</t>
  </si>
  <si>
    <t>7A馆2层78</t>
  </si>
  <si>
    <t>7A馆2层81</t>
  </si>
  <si>
    <t>7A馆2层82</t>
  </si>
  <si>
    <t>7A馆2层83</t>
  </si>
  <si>
    <t>7A馆2层85</t>
  </si>
  <si>
    <t>7A馆2层86</t>
  </si>
  <si>
    <t>7A馆2层91</t>
  </si>
  <si>
    <t>7A馆2层92</t>
  </si>
  <si>
    <t>7A馆2层96</t>
  </si>
  <si>
    <t>7A馆2层97</t>
  </si>
  <si>
    <t>7A馆2层98</t>
  </si>
  <si>
    <t>7A馆2层99</t>
  </si>
  <si>
    <t>7A馆2层100</t>
  </si>
  <si>
    <t>7A馆2层101</t>
  </si>
  <si>
    <t>7A馆2层102</t>
  </si>
  <si>
    <t>7A馆2层103</t>
  </si>
  <si>
    <t>7A馆2层105</t>
  </si>
  <si>
    <t>7A馆2层106</t>
  </si>
  <si>
    <t>7A馆2层107</t>
  </si>
  <si>
    <t>7A馆2层108</t>
  </si>
  <si>
    <t>7A馆2层109</t>
  </si>
  <si>
    <t>7A馆2层110</t>
  </si>
  <si>
    <t>7A馆2层111</t>
  </si>
  <si>
    <t>7A馆2层112</t>
  </si>
  <si>
    <t>7A馆2层113</t>
  </si>
  <si>
    <t>7A馆2层115</t>
  </si>
  <si>
    <t>7A馆2层116</t>
  </si>
  <si>
    <t>7A馆2层118</t>
  </si>
  <si>
    <t>7A馆2层119</t>
  </si>
  <si>
    <t>7A馆2层120</t>
  </si>
  <si>
    <t>7A馆2层121</t>
  </si>
  <si>
    <t>7A馆2层122</t>
  </si>
  <si>
    <t>7A馆2层123</t>
  </si>
  <si>
    <t>7A馆2层125</t>
  </si>
  <si>
    <t>7A馆2层126</t>
  </si>
  <si>
    <t>7A馆2层127</t>
  </si>
  <si>
    <t>7A馆2层128</t>
  </si>
  <si>
    <t>7A馆2层131</t>
  </si>
  <si>
    <t>7A馆2层132</t>
  </si>
  <si>
    <t>7A馆2层135</t>
  </si>
  <si>
    <t>7A馆2层136</t>
  </si>
  <si>
    <t>7A馆2层138</t>
  </si>
  <si>
    <t>7A馆2层142</t>
  </si>
  <si>
    <t>7A馆2层143</t>
  </si>
  <si>
    <t>7A馆2层145</t>
  </si>
  <si>
    <t>7A馆2层146</t>
  </si>
  <si>
    <t>7A馆2层147</t>
  </si>
  <si>
    <t>7A馆2层148</t>
  </si>
  <si>
    <t>7A馆2层150</t>
  </si>
  <si>
    <t>7A馆2层151</t>
  </si>
  <si>
    <t>7A馆2层152</t>
  </si>
  <si>
    <t>7A馆2层153</t>
  </si>
  <si>
    <t>7A馆2层155</t>
  </si>
  <si>
    <t>7A馆2层156</t>
  </si>
  <si>
    <t>7A馆2层157</t>
  </si>
  <si>
    <t>7A馆2层158</t>
  </si>
  <si>
    <t>7A馆2层159</t>
  </si>
  <si>
    <t>7A馆2层160</t>
  </si>
  <si>
    <t>7A馆2层161</t>
  </si>
  <si>
    <t>7A馆2层162</t>
  </si>
  <si>
    <t>7A馆2层163</t>
  </si>
  <si>
    <t>7A馆2层165</t>
  </si>
  <si>
    <t>7A馆2层167</t>
  </si>
  <si>
    <t>7A馆2层168</t>
  </si>
  <si>
    <t>7A馆2层169</t>
  </si>
  <si>
    <t>7A馆2层170</t>
  </si>
  <si>
    <t>7A馆2层172</t>
  </si>
  <si>
    <t>7A馆2层173</t>
  </si>
  <si>
    <t>7A馆2层175</t>
  </si>
  <si>
    <t>7A馆2层176</t>
  </si>
  <si>
    <t>7A馆2层179</t>
  </si>
  <si>
    <t>7A馆2层181</t>
  </si>
  <si>
    <t>7A馆2层182</t>
  </si>
  <si>
    <t>7A馆2层183</t>
  </si>
  <si>
    <t>7A馆2层185</t>
  </si>
  <si>
    <t>7A馆2层186</t>
  </si>
  <si>
    <t>7A馆2层187</t>
  </si>
  <si>
    <t>7A馆2层188</t>
  </si>
  <si>
    <t>7A馆2层189</t>
  </si>
  <si>
    <t>7A馆2层190</t>
  </si>
  <si>
    <t>7A馆2层191</t>
  </si>
  <si>
    <t>7A馆2层192</t>
  </si>
  <si>
    <t>7A馆2层193</t>
  </si>
  <si>
    <t>7A馆2层195</t>
  </si>
  <si>
    <t>7A馆2层196</t>
  </si>
  <si>
    <t>7A馆2层197</t>
  </si>
  <si>
    <t>7A馆2层198</t>
  </si>
  <si>
    <t>7A馆2层200</t>
  </si>
  <si>
    <t>7A馆2层201</t>
  </si>
  <si>
    <t>7A馆2层202</t>
  </si>
  <si>
    <t>7A馆2层203</t>
  </si>
  <si>
    <t>7A馆2层205</t>
  </si>
  <si>
    <t>7A馆2层206</t>
  </si>
  <si>
    <t>7A馆2层208</t>
  </si>
  <si>
    <t>7A馆2层209</t>
  </si>
  <si>
    <t>7A馆2层210</t>
  </si>
  <si>
    <t>7A馆2层211</t>
  </si>
  <si>
    <t>7A馆2层212</t>
  </si>
  <si>
    <t>7A馆2层213</t>
  </si>
  <si>
    <t>7A馆2层215</t>
  </si>
  <si>
    <t>7A馆2层216</t>
  </si>
  <si>
    <t>7A馆2层217</t>
  </si>
  <si>
    <t>7A馆2层218</t>
  </si>
  <si>
    <t>7A馆2层219</t>
  </si>
  <si>
    <t>7A馆2层220</t>
  </si>
  <si>
    <t>7A馆2层221</t>
  </si>
  <si>
    <t>7A馆2层222</t>
  </si>
  <si>
    <t>7A馆2层225</t>
  </si>
  <si>
    <t>7A馆2层226</t>
  </si>
  <si>
    <t>7A馆2层227</t>
  </si>
  <si>
    <t>7A馆2层228</t>
  </si>
  <si>
    <t>7A馆2层229</t>
  </si>
  <si>
    <t>7A馆2层230</t>
  </si>
  <si>
    <t>7A馆2层231</t>
  </si>
  <si>
    <t>7A馆2层232</t>
  </si>
  <si>
    <t>7A馆2层233</t>
  </si>
  <si>
    <t>7A馆2层235</t>
  </si>
  <si>
    <t>7A馆2层236</t>
  </si>
  <si>
    <t>7A馆2层237</t>
  </si>
  <si>
    <t>7A馆2层238</t>
  </si>
  <si>
    <t>7A馆2层239</t>
  </si>
  <si>
    <t>7A馆2层240</t>
  </si>
  <si>
    <t>7A馆3层2</t>
  </si>
  <si>
    <t>7A馆3层3</t>
  </si>
  <si>
    <t>7A馆3层5</t>
  </si>
  <si>
    <t>7A馆3层6</t>
  </si>
  <si>
    <t>7A馆3层7</t>
  </si>
  <si>
    <t>7A馆3层8</t>
  </si>
  <si>
    <t>7A馆3层9</t>
  </si>
  <si>
    <t>7A馆3层10</t>
  </si>
  <si>
    <t>7A馆3层11</t>
  </si>
  <si>
    <t>7A馆3层12</t>
  </si>
  <si>
    <t>7A馆3层13</t>
  </si>
  <si>
    <t>7A馆3层15</t>
  </si>
  <si>
    <t>7A馆3层16</t>
  </si>
  <si>
    <t>7A馆3层17</t>
  </si>
  <si>
    <t>7A馆3层18</t>
  </si>
  <si>
    <t>7A馆3层19</t>
  </si>
  <si>
    <t>7A馆3层22</t>
  </si>
  <si>
    <t>7A馆3层35</t>
  </si>
  <si>
    <t>7A馆3层36</t>
  </si>
  <si>
    <t>7A馆3层38</t>
  </si>
  <si>
    <t>7A馆3层39</t>
  </si>
  <si>
    <t>7A馆3层40</t>
  </si>
  <si>
    <t>7A馆3层41</t>
  </si>
  <si>
    <t>7A馆3层45</t>
  </si>
  <si>
    <t>7A馆3层46</t>
  </si>
  <si>
    <t>7A馆3层50</t>
  </si>
  <si>
    <t>7A馆3层53</t>
  </si>
  <si>
    <t>7A馆3层55</t>
  </si>
  <si>
    <t>7A馆3层56</t>
  </si>
  <si>
    <t>7A馆3层57</t>
  </si>
  <si>
    <t>7A馆3层58</t>
  </si>
  <si>
    <t>7A馆3层138</t>
  </si>
  <si>
    <t>7A馆3层141</t>
  </si>
  <si>
    <t>7A馆3层142</t>
  </si>
  <si>
    <t>7A馆3层145</t>
  </si>
  <si>
    <t>7A馆3层147</t>
  </si>
  <si>
    <t>7A馆4层1</t>
  </si>
  <si>
    <t>7A馆4层2</t>
  </si>
  <si>
    <t>7A馆4层3</t>
  </si>
  <si>
    <t>7A馆4层5</t>
  </si>
  <si>
    <t>7A馆4层6</t>
  </si>
  <si>
    <t>7A馆4层7</t>
  </si>
  <si>
    <t>7A馆4层8</t>
  </si>
  <si>
    <t>7A馆4层9</t>
  </si>
  <si>
    <t>7A馆4层10</t>
  </si>
  <si>
    <t>7A馆4层11</t>
  </si>
  <si>
    <t>7A馆4层12</t>
  </si>
  <si>
    <t>7A馆4层13</t>
  </si>
  <si>
    <t>7A馆4层15</t>
  </si>
  <si>
    <t>7A馆4层16</t>
  </si>
  <si>
    <t>7A馆4层17</t>
  </si>
  <si>
    <t>7A馆4层18</t>
  </si>
  <si>
    <t>7A馆4层19</t>
  </si>
  <si>
    <t>7A馆4层20</t>
  </si>
  <si>
    <t>7A馆4层21</t>
  </si>
  <si>
    <t>7A馆4层22</t>
  </si>
  <si>
    <t>7A馆4层23</t>
  </si>
  <si>
    <t>7A馆4层25</t>
  </si>
  <si>
    <t>7A馆4层26</t>
  </si>
  <si>
    <t>7A馆4层27</t>
  </si>
  <si>
    <t>7A馆4层28</t>
  </si>
  <si>
    <t>7A馆4层29</t>
  </si>
  <si>
    <t>7A馆4层30</t>
  </si>
  <si>
    <t>7A馆4层31</t>
  </si>
  <si>
    <t>7A馆4层32</t>
  </si>
  <si>
    <t>7A馆4层33</t>
  </si>
  <si>
    <t>7A馆4层35</t>
  </si>
  <si>
    <t>7A馆4层36</t>
  </si>
  <si>
    <t>7A馆4层37</t>
  </si>
  <si>
    <t>7A馆4层38</t>
  </si>
  <si>
    <t>7A馆4层39</t>
  </si>
  <si>
    <t>7A馆4层40</t>
  </si>
  <si>
    <t>7A馆4层41</t>
  </si>
  <si>
    <t>7A馆4层42</t>
  </si>
  <si>
    <t>7A馆4层43</t>
  </si>
  <si>
    <t>7A馆4层45</t>
  </si>
  <si>
    <t>7A馆4层46</t>
  </si>
  <si>
    <t>7A馆4层47</t>
  </si>
  <si>
    <t>7A馆4层48</t>
  </si>
  <si>
    <t>7A馆4层49</t>
  </si>
  <si>
    <t>7A馆4层50</t>
  </si>
  <si>
    <t>7A馆地下一层1</t>
  </si>
  <si>
    <t>7A馆地下一层2</t>
  </si>
  <si>
    <t>7A馆地下一层3</t>
  </si>
  <si>
    <t>7A馆地下一层5</t>
  </si>
  <si>
    <t>7A馆地下一层7</t>
  </si>
  <si>
    <t>7A馆地下一层8</t>
  </si>
  <si>
    <t>7A馆地下一层9</t>
  </si>
  <si>
    <t>7A馆地下一层10</t>
  </si>
  <si>
    <t>7A馆地下一层11</t>
  </si>
  <si>
    <t>7A馆地下一层12</t>
  </si>
  <si>
    <t>7A馆地下一层13</t>
  </si>
  <si>
    <t>7A馆地下一层15</t>
  </si>
  <si>
    <t>7A馆地下一层22</t>
  </si>
  <si>
    <t>7A馆地下一层23</t>
  </si>
  <si>
    <t>7A馆地下一层25</t>
  </si>
  <si>
    <t>7A馆地下一层26</t>
  </si>
  <si>
    <t>7A馆地下一层27</t>
  </si>
  <si>
    <t>7A馆地下一层28</t>
  </si>
  <si>
    <t>7A馆地下一层29</t>
  </si>
  <si>
    <t>7A馆地下一层30</t>
  </si>
  <si>
    <t>7A馆地下一层31</t>
  </si>
  <si>
    <t>7A馆地下一层36</t>
  </si>
  <si>
    <t>7A馆地下一层38</t>
  </si>
  <si>
    <t>7A馆地下一层39</t>
  </si>
  <si>
    <t>7A馆地下一层40</t>
  </si>
  <si>
    <t>7A馆地下一层41</t>
  </si>
  <si>
    <t>7A馆地下一层47</t>
  </si>
  <si>
    <t>7A馆地下一层49</t>
  </si>
  <si>
    <t>7A馆地下一层50</t>
  </si>
  <si>
    <t>7A馆地下一层51</t>
  </si>
  <si>
    <t>7A馆地下一层52</t>
  </si>
  <si>
    <t>7A馆地下一层53</t>
  </si>
  <si>
    <t>7A馆地下一层55</t>
  </si>
  <si>
    <t>7A馆地下一层56</t>
  </si>
  <si>
    <t>7A馆地下一层57</t>
  </si>
  <si>
    <t>7A馆地下一层58</t>
  </si>
  <si>
    <t>7A馆地下一层60</t>
  </si>
  <si>
    <t>7A馆地下一层61</t>
  </si>
  <si>
    <t>7A馆地下一层62</t>
  </si>
  <si>
    <t>7A馆地下一层63</t>
  </si>
  <si>
    <t>7A馆地下一层65</t>
  </si>
  <si>
    <t>7A馆地下一层66</t>
  </si>
  <si>
    <t>7A馆地下一层67</t>
  </si>
  <si>
    <t>7A馆地下一层68</t>
  </si>
  <si>
    <t>7A馆地下一层69</t>
  </si>
  <si>
    <t>7A馆地下一层70</t>
  </si>
  <si>
    <t>7A馆地下一层71</t>
  </si>
  <si>
    <t>7A馆地下一层72</t>
  </si>
  <si>
    <t>7A馆地下一层73</t>
  </si>
  <si>
    <t>7A馆地下一层75</t>
  </si>
  <si>
    <t>7A馆地下一层76</t>
  </si>
  <si>
    <t>7A馆地下一层77</t>
  </si>
  <si>
    <t>7A馆地下一层78</t>
  </si>
  <si>
    <t>7A馆地下一层79</t>
  </si>
  <si>
    <t>7A馆地下一层80</t>
  </si>
  <si>
    <t>7A馆地下一层81</t>
  </si>
  <si>
    <t>7A馆地下一层82</t>
  </si>
  <si>
    <t>7A馆地下一层83</t>
  </si>
  <si>
    <t>7A馆地下一层85</t>
  </si>
  <si>
    <t>7A馆地下一层86</t>
  </si>
  <si>
    <t>7A馆地下一层87</t>
  </si>
  <si>
    <t>7A馆地下一层88</t>
  </si>
  <si>
    <t>7A馆地下一层89</t>
  </si>
  <si>
    <t>7A馆地下一层90</t>
  </si>
  <si>
    <t>7A馆地下一层91</t>
  </si>
  <si>
    <t>7A馆地下一层92</t>
  </si>
  <si>
    <t>7A馆地下一层93</t>
  </si>
  <si>
    <t>7A馆地下一层95</t>
  </si>
  <si>
    <t>7A馆地下一层96</t>
  </si>
  <si>
    <t>7A馆地下一层97</t>
  </si>
  <si>
    <t>7A馆地下一层100</t>
  </si>
  <si>
    <t>7A馆地下一层102</t>
  </si>
  <si>
    <t>7A馆地下一层103</t>
  </si>
  <si>
    <t>7A馆地下一层105</t>
  </si>
  <si>
    <t>7A馆地下一层106</t>
  </si>
  <si>
    <t>7A馆地下一层107</t>
  </si>
  <si>
    <t>7A馆地下一层108</t>
  </si>
  <si>
    <t>7A馆地下一层109</t>
  </si>
  <si>
    <t>7A馆地下一层111</t>
  </si>
  <si>
    <t>7A馆地下一层118</t>
  </si>
  <si>
    <t>7A馆地下一层119</t>
  </si>
  <si>
    <t>7A馆地下一层120</t>
  </si>
  <si>
    <t>7A馆地下一层121</t>
  </si>
  <si>
    <t>7A馆地下一层122</t>
  </si>
  <si>
    <t>7A馆地下一层123</t>
  </si>
  <si>
    <t>7A馆地下一层125</t>
  </si>
  <si>
    <t>7A馆地下一层126</t>
  </si>
  <si>
    <t>7A馆地下一层127</t>
  </si>
  <si>
    <t>7A馆地下一层128</t>
  </si>
  <si>
    <t>7A馆地下一层129</t>
  </si>
  <si>
    <t>7A馆地下一层132</t>
  </si>
  <si>
    <t>7A馆地下一层133</t>
  </si>
  <si>
    <t>7A馆地下一层135</t>
  </si>
  <si>
    <t>7A馆地下一层136</t>
  </si>
  <si>
    <t>7A馆地下一层137</t>
  </si>
  <si>
    <t>7A馆地下一层138</t>
  </si>
  <si>
    <t>7A馆地下一层139</t>
  </si>
  <si>
    <t>7A馆地下一层140</t>
  </si>
  <si>
    <t>7A馆地下一层141</t>
  </si>
  <si>
    <t>7A馆地下一层142</t>
  </si>
  <si>
    <t>7A馆地下一层143</t>
  </si>
  <si>
    <t>7A馆地下一层145</t>
  </si>
  <si>
    <t>7A馆地下一层147</t>
  </si>
  <si>
    <t>7A馆地下一层152</t>
  </si>
  <si>
    <t>7A馆地下一层157</t>
  </si>
  <si>
    <t>7A馆地下一层160</t>
  </si>
  <si>
    <t>7A馆地下一层161</t>
  </si>
  <si>
    <t>7A馆地下一层162</t>
  </si>
  <si>
    <t>7A馆地下一层163</t>
  </si>
  <si>
    <t>7A馆地下一层165</t>
  </si>
  <si>
    <t>7A馆地下一层166</t>
  </si>
  <si>
    <t>7A馆地下一层167</t>
  </si>
  <si>
    <t>7A馆地下一层168</t>
  </si>
  <si>
    <t>7A馆地下一层169</t>
  </si>
  <si>
    <t>7A馆地下一层170</t>
  </si>
  <si>
    <t>7A馆地下一层171</t>
  </si>
  <si>
    <t>7A馆地下一层172</t>
  </si>
  <si>
    <t>7A馆地下一层173</t>
  </si>
  <si>
    <t>7A馆地下一层175</t>
  </si>
  <si>
    <t>7A馆地下一层176</t>
  </si>
  <si>
    <t>7A馆地下一层177</t>
  </si>
  <si>
    <t>7A馆地下一层178</t>
  </si>
  <si>
    <t>7A馆地下一层179</t>
  </si>
  <si>
    <t>7A馆地下一层180</t>
  </si>
  <si>
    <t>7A馆地下一层181</t>
  </si>
  <si>
    <t>7A馆地下一层182</t>
  </si>
  <si>
    <t>7A馆地下一层183</t>
  </si>
  <si>
    <t>7A馆地下一层185</t>
  </si>
  <si>
    <t>7A馆地下一层186</t>
  </si>
  <si>
    <t>7A馆地下一层187</t>
  </si>
  <si>
    <t>7A馆地下一层188</t>
  </si>
  <si>
    <t>7A馆地下一层189</t>
  </si>
  <si>
    <t>7A馆地下一层191</t>
  </si>
  <si>
    <t>7A馆地下一层192</t>
  </si>
  <si>
    <t>7A馆地下一层193</t>
  </si>
  <si>
    <t>7A馆地下一层196</t>
  </si>
  <si>
    <t>7A馆地下一层197</t>
  </si>
  <si>
    <t>7A馆地下一层198</t>
  </si>
  <si>
    <t>7A馆地下一层199</t>
  </si>
  <si>
    <t>7A馆地下一层200</t>
  </si>
  <si>
    <t>7A馆地下一层201</t>
  </si>
  <si>
    <t>7A馆地下一层210</t>
  </si>
  <si>
    <t>7A馆地下一层212</t>
  </si>
  <si>
    <t>7A馆地下一层216</t>
  </si>
  <si>
    <t>7A馆地下一层218</t>
  </si>
  <si>
    <t>7A馆地下一层219</t>
  </si>
  <si>
    <t>7A馆地下一层220</t>
  </si>
  <si>
    <t>7A馆地下一层222</t>
  </si>
  <si>
    <t>7A馆地下一层223</t>
  </si>
  <si>
    <t>7A馆地下一层225</t>
  </si>
  <si>
    <t>7A馆地下一层227</t>
  </si>
  <si>
    <t>7A馆地下一层230</t>
  </si>
  <si>
    <t>7A馆地下一层240</t>
  </si>
  <si>
    <t>7A馆地下一层241</t>
  </si>
  <si>
    <t>7A馆地下一层242</t>
  </si>
  <si>
    <t>7A馆地下一层252</t>
  </si>
  <si>
    <t>7A馆地下一层253</t>
  </si>
  <si>
    <t>7A馆地下一层255</t>
  </si>
  <si>
    <t>7A馆地下一层256</t>
  </si>
  <si>
    <t>7A馆地下一层261</t>
  </si>
  <si>
    <t>7A馆地下一层265</t>
  </si>
  <si>
    <t>7A馆地下一层266</t>
  </si>
  <si>
    <t>7A馆地下一层267</t>
  </si>
  <si>
    <t>7A馆地下一层268</t>
  </si>
  <si>
    <t>7A馆地下一层269</t>
  </si>
  <si>
    <t>7A馆地下一层270</t>
  </si>
  <si>
    <t>7A馆地下一层271</t>
  </si>
  <si>
    <t>7A馆地下一层272</t>
  </si>
  <si>
    <t>7A馆地下一层273</t>
  </si>
  <si>
    <t>7A馆地下一层275</t>
  </si>
  <si>
    <t>7A馆地下一层276</t>
  </si>
  <si>
    <t>7A馆地下一层277</t>
  </si>
  <si>
    <t>7A馆地下一层278</t>
  </si>
  <si>
    <t>7A馆地下一层279</t>
  </si>
  <si>
    <t>7A馆地下一层280</t>
  </si>
  <si>
    <t>7A馆地下一层281</t>
  </si>
  <si>
    <t>7A馆地下一层282</t>
  </si>
  <si>
    <t>7A馆地下一层283</t>
  </si>
  <si>
    <t>7A馆地下一层285</t>
  </si>
  <si>
    <t>7A馆地下一层286</t>
  </si>
  <si>
    <t>7A馆地下一层287</t>
  </si>
  <si>
    <t>7A馆地下一层288</t>
  </si>
  <si>
    <t>7A馆地下一层297</t>
  </si>
  <si>
    <t>7A馆地下一层298</t>
  </si>
  <si>
    <t>7A馆地下一层299</t>
  </si>
  <si>
    <t>7A馆地下一层306</t>
  </si>
  <si>
    <t>7A馆地下一层307</t>
  </si>
  <si>
    <t>7A馆地下一层309</t>
  </si>
  <si>
    <t>7A馆地下一层311</t>
  </si>
  <si>
    <t>7A馆地下一层312</t>
  </si>
  <si>
    <t>7A馆地下二层1</t>
  </si>
  <si>
    <t>7A馆地下二层2</t>
  </si>
  <si>
    <t>7A馆地下二层3</t>
  </si>
  <si>
    <t>7A馆地下二层5</t>
  </si>
  <si>
    <t>7A馆地下二层6</t>
  </si>
  <si>
    <t>7A馆地下二层7</t>
  </si>
  <si>
    <t>7A馆地下二层8</t>
  </si>
  <si>
    <t>7A馆地下二层9</t>
  </si>
  <si>
    <t>7A馆地下二层10</t>
  </si>
  <si>
    <t>7A馆地下二层11</t>
  </si>
  <si>
    <t>7A馆地下二层12</t>
  </si>
  <si>
    <t>7A馆地下二层13</t>
  </si>
  <si>
    <t>7A馆地下二层15</t>
  </si>
  <si>
    <t>7A馆地下二层16</t>
  </si>
  <si>
    <t>7A馆地下二层17</t>
  </si>
  <si>
    <t>7A馆地下二层18</t>
  </si>
  <si>
    <t>7A馆地下二层19</t>
  </si>
  <si>
    <t>7A馆地下二层20</t>
  </si>
  <si>
    <t>7A馆地下二层21</t>
  </si>
  <si>
    <t>7A馆地下二层22</t>
  </si>
  <si>
    <t>7A馆地下二层23</t>
  </si>
  <si>
    <t>7A馆地下二层25</t>
  </si>
  <si>
    <t>7A馆地下二层31</t>
  </si>
  <si>
    <t>7A馆地下二层32</t>
  </si>
  <si>
    <t>7A馆地下二层33</t>
  </si>
  <si>
    <t>7A馆地下二层35</t>
  </si>
  <si>
    <t>7A馆地下二层43</t>
  </si>
  <si>
    <t>7A馆地下二层45</t>
  </si>
  <si>
    <t>7A馆地下二层46</t>
  </si>
  <si>
    <t>7A馆地下二层47</t>
  </si>
  <si>
    <t>7A馆地下二层48</t>
  </si>
  <si>
    <t>7A馆地下二层49</t>
  </si>
  <si>
    <t>7A馆地下二层50</t>
  </si>
  <si>
    <t>7A馆地下二层51</t>
  </si>
  <si>
    <t>7A馆地下二层52</t>
  </si>
  <si>
    <t>7A馆地下二层53</t>
  </si>
  <si>
    <t>7A馆地下二层55</t>
  </si>
  <si>
    <t>7A馆地下二层56</t>
  </si>
  <si>
    <t>7A馆地下二层57</t>
  </si>
  <si>
    <t>7A馆地下二层58</t>
  </si>
  <si>
    <t>7A馆地下二层59</t>
  </si>
  <si>
    <t>7A馆地下二层60</t>
  </si>
  <si>
    <t>7A馆地下二层61</t>
  </si>
  <si>
    <t>7A馆地下二层63</t>
  </si>
  <si>
    <t>7A馆地下二层68</t>
  </si>
  <si>
    <t>7A馆地下二层69</t>
  </si>
  <si>
    <t>7A馆地下二层70</t>
  </si>
  <si>
    <t>7A馆地下二层71</t>
  </si>
  <si>
    <t>7A馆地下二层73</t>
  </si>
  <si>
    <t>7A馆地下二层75</t>
  </si>
  <si>
    <t>7A馆地下二层76</t>
  </si>
  <si>
    <t>7A馆地下二层77</t>
  </si>
  <si>
    <t>7A馆地下二层78</t>
  </si>
  <si>
    <t>7A馆地下二层79</t>
  </si>
  <si>
    <t>7A馆地下二层80</t>
  </si>
  <si>
    <t>7A馆地下二层82</t>
  </si>
  <si>
    <t>7A馆地下二层87</t>
  </si>
  <si>
    <t>7A馆地下二层89</t>
  </si>
  <si>
    <t>7A馆地下二层90</t>
  </si>
  <si>
    <t>7A馆地下二层91</t>
  </si>
  <si>
    <t>7A馆地下二层92</t>
  </si>
  <si>
    <t>7A馆地下二层95</t>
  </si>
  <si>
    <t>7A馆地下二层100</t>
  </si>
  <si>
    <t>7A馆地下二层102</t>
  </si>
  <si>
    <t>7A馆地下二层103</t>
  </si>
  <si>
    <t>7A馆地下二层105</t>
  </si>
  <si>
    <t>7A馆地下二层109</t>
  </si>
  <si>
    <t>7A馆地下二层110</t>
  </si>
  <si>
    <t>7A馆地下二层111</t>
  </si>
  <si>
    <t>7A馆地下二层112</t>
  </si>
  <si>
    <t>7A馆地下二层118</t>
  </si>
  <si>
    <t>7A馆地下二层119</t>
  </si>
  <si>
    <t>7A馆地下二层120</t>
  </si>
  <si>
    <t>7A馆地下二层121</t>
  </si>
  <si>
    <t>7A馆地下二层122</t>
  </si>
  <si>
    <t>7A馆地下二层123</t>
  </si>
  <si>
    <t>7A馆地下二层125</t>
  </si>
  <si>
    <t>7A馆地下二层126</t>
  </si>
  <si>
    <t>7A馆地下二层127</t>
  </si>
  <si>
    <t>7A馆地下二层128</t>
  </si>
  <si>
    <t>7A馆地下二层135</t>
  </si>
  <si>
    <t>7A馆地下二层136</t>
  </si>
  <si>
    <t>7A馆地下二层137</t>
  </si>
  <si>
    <t>7A馆地下二层138</t>
  </si>
  <si>
    <t>7A馆地下二层141</t>
  </si>
  <si>
    <t>7A馆地下二层146</t>
  </si>
  <si>
    <t>7A馆地下二层147</t>
  </si>
  <si>
    <t>7A馆地下二层148</t>
  </si>
  <si>
    <t>7A馆地下二层152</t>
  </si>
  <si>
    <t>7A馆地下二层155</t>
  </si>
  <si>
    <t>7A馆地下二层158</t>
  </si>
  <si>
    <t>7A馆地下二层159</t>
  </si>
  <si>
    <t>7A馆地下二层160</t>
  </si>
  <si>
    <t>7A馆地下二层161</t>
  </si>
  <si>
    <t>7A馆地下二层162</t>
  </si>
  <si>
    <t>7A馆地下二层165</t>
  </si>
  <si>
    <t>7A馆地下二层167</t>
  </si>
  <si>
    <t>7A馆地下二层168</t>
  </si>
  <si>
    <t>7A馆地下二层169</t>
  </si>
  <si>
    <t>7A馆地下二层182</t>
  </si>
  <si>
    <t>7A馆地下二层183</t>
  </si>
  <si>
    <t>7A馆地下二层187</t>
  </si>
  <si>
    <t>7A馆地下二层188</t>
  </si>
  <si>
    <t>7A馆地下二层240</t>
  </si>
  <si>
    <t>7A馆地下二层241</t>
  </si>
  <si>
    <t>7A馆地下二层242</t>
  </si>
  <si>
    <t>7A馆地下二层247</t>
  </si>
  <si>
    <t>7A馆地下二层262</t>
  </si>
  <si>
    <t>7A馆地下二层263</t>
  </si>
  <si>
    <t>7A馆地下二层265</t>
  </si>
  <si>
    <t>7A馆地下二层266</t>
  </si>
  <si>
    <t>7A馆地下二层267</t>
  </si>
  <si>
    <t>7A馆地下二层271</t>
  </si>
  <si>
    <t>7A馆地下二层272</t>
  </si>
  <si>
    <t>7A馆地下二层275</t>
  </si>
  <si>
    <t>7A馆地下二层277</t>
  </si>
  <si>
    <t>7A馆地下二层278</t>
  </si>
  <si>
    <t>7A馆地下二层279</t>
  </si>
  <si>
    <t>7A馆地下二层280</t>
  </si>
  <si>
    <t>7A馆地下二层282</t>
  </si>
  <si>
    <t>7A馆地下二层285</t>
  </si>
  <si>
    <t>7A馆地下二层286</t>
  </si>
  <si>
    <t>7A馆地下二层288</t>
  </si>
  <si>
    <t>7A馆地下二层289</t>
  </si>
  <si>
    <t>7A馆地下二层290</t>
  </si>
  <si>
    <t>7A馆地下二层292</t>
  </si>
  <si>
    <t>7A馆地下二层293</t>
  </si>
  <si>
    <t>7A馆地下二层295</t>
  </si>
  <si>
    <t>7A馆地下二层297</t>
  </si>
  <si>
    <t>7A馆地下二层298</t>
  </si>
  <si>
    <t>7A馆地下二层299</t>
  </si>
  <si>
    <t>7A馆地下二层300</t>
  </si>
  <si>
    <t>7A馆地下二层301</t>
  </si>
  <si>
    <t>7A馆地下二层302</t>
  </si>
  <si>
    <t>7A馆地下二层303</t>
  </si>
  <si>
    <t>7A馆地下二层331</t>
  </si>
  <si>
    <t>7A馆地下二层332</t>
  </si>
  <si>
    <t>7A馆地下二层333</t>
  </si>
  <si>
    <t>7A馆地下二层335</t>
  </si>
  <si>
    <t>7A馆地下二层336</t>
  </si>
  <si>
    <t>7A馆地下二层337</t>
  </si>
  <si>
    <t>7A馆地下二层338</t>
  </si>
  <si>
    <t>7A馆地下二层340</t>
  </si>
  <si>
    <t>7A馆地下二层341</t>
  </si>
  <si>
    <t>7A馆地下二层342</t>
  </si>
  <si>
    <t>7B馆1层1</t>
  </si>
  <si>
    <t>7B馆1层2</t>
  </si>
  <si>
    <t>7B馆1层3</t>
  </si>
  <si>
    <t>7B馆1层5</t>
  </si>
  <si>
    <t>7B馆1层6</t>
  </si>
  <si>
    <t>7B馆1层8</t>
  </si>
  <si>
    <t>7B馆1层9</t>
  </si>
  <si>
    <t>7B馆1层10</t>
  </si>
  <si>
    <t>7B馆1层12</t>
  </si>
  <si>
    <t>7B馆1层20</t>
  </si>
  <si>
    <t>7B馆1层21</t>
  </si>
  <si>
    <t>7B馆1层23</t>
  </si>
  <si>
    <t>7B馆1层25</t>
  </si>
  <si>
    <t>7B馆1层30</t>
  </si>
  <si>
    <t>7B馆1层31</t>
  </si>
  <si>
    <t>7B馆1层32</t>
  </si>
  <si>
    <t>7B馆1层35</t>
  </si>
  <si>
    <t>7B馆1层36</t>
  </si>
  <si>
    <t>7B馆1层46</t>
  </si>
  <si>
    <t>7B馆1层47</t>
  </si>
  <si>
    <t>7B馆1层49</t>
  </si>
  <si>
    <t>7B馆1层50</t>
  </si>
  <si>
    <t>7B馆1层51</t>
  </si>
  <si>
    <t>7B馆1层52</t>
  </si>
  <si>
    <t>7B馆1层55</t>
  </si>
  <si>
    <t>7B馆1层56</t>
  </si>
  <si>
    <t>7B馆1层57</t>
  </si>
  <si>
    <t>7B馆1层60</t>
  </si>
  <si>
    <t>7B馆1层67</t>
  </si>
  <si>
    <t>7B馆1层68</t>
  </si>
  <si>
    <t>7B馆1层69</t>
  </si>
  <si>
    <t>7B馆1层70</t>
  </si>
  <si>
    <t>7B馆1层72</t>
  </si>
  <si>
    <t>7B馆1层73</t>
  </si>
  <si>
    <t>7B馆1层79</t>
  </si>
  <si>
    <t>7B馆1层82</t>
  </si>
  <si>
    <t>7B馆1层87</t>
  </si>
  <si>
    <t>7B馆1层88</t>
  </si>
  <si>
    <t>7B馆1层103</t>
  </si>
  <si>
    <t>7B馆1层105</t>
  </si>
  <si>
    <t>7B馆1层106</t>
  </si>
  <si>
    <t>7B馆1层107</t>
  </si>
  <si>
    <t>7B馆1层108</t>
  </si>
  <si>
    <t>7B馆1层109</t>
  </si>
  <si>
    <t>7B馆1层112</t>
  </si>
  <si>
    <t>7B馆1层113</t>
  </si>
  <si>
    <t>7B馆1层115</t>
  </si>
  <si>
    <t>7B馆1层116</t>
  </si>
  <si>
    <t>7B馆1层117</t>
  </si>
  <si>
    <t>7B馆1层118</t>
  </si>
  <si>
    <t>7B馆1层123</t>
  </si>
  <si>
    <t>7B馆1层125</t>
  </si>
  <si>
    <t>7B馆1层126</t>
  </si>
  <si>
    <t>7B馆1层127</t>
  </si>
  <si>
    <t>7B馆1层135</t>
  </si>
  <si>
    <t>7B馆1层136</t>
  </si>
  <si>
    <t>7B馆1层137</t>
  </si>
  <si>
    <t>7B馆1层138</t>
  </si>
  <si>
    <t>7B馆1层139</t>
  </si>
  <si>
    <t>7B馆1层153</t>
  </si>
  <si>
    <t>7B馆1层162</t>
  </si>
  <si>
    <t>7B馆2层1</t>
  </si>
  <si>
    <t>7B馆2层2</t>
  </si>
  <si>
    <t>7B馆2层3</t>
  </si>
  <si>
    <t>7B馆2层7</t>
  </si>
  <si>
    <t>7B馆2层8</t>
  </si>
  <si>
    <t>7B馆2层9</t>
  </si>
  <si>
    <t>7B馆2层10</t>
  </si>
  <si>
    <t>7B馆2层11</t>
  </si>
  <si>
    <t>7B馆2层12</t>
  </si>
  <si>
    <t>7B馆2层15</t>
  </si>
  <si>
    <t>7B馆2层16</t>
  </si>
  <si>
    <t>7B馆2层17</t>
  </si>
  <si>
    <t>7B馆2层18</t>
  </si>
  <si>
    <t>7B馆2层19</t>
  </si>
  <si>
    <t>7B馆2层20</t>
  </si>
  <si>
    <t>7B馆2层21</t>
  </si>
  <si>
    <t>7B馆2层32</t>
  </si>
  <si>
    <t>7B馆2层33</t>
  </si>
  <si>
    <t>7B馆2层39</t>
  </si>
  <si>
    <t>7B馆2层40</t>
  </si>
  <si>
    <t>7B馆2层41</t>
  </si>
  <si>
    <t>7B馆2层42</t>
  </si>
  <si>
    <t>7B馆2层43</t>
  </si>
  <si>
    <t>7B馆2层45</t>
  </si>
  <si>
    <t>7B馆2层46</t>
  </si>
  <si>
    <t>7B馆2层47</t>
  </si>
  <si>
    <t>7B馆2层49</t>
  </si>
  <si>
    <t>7B馆2层50</t>
  </si>
  <si>
    <t>7B馆2层56</t>
  </si>
  <si>
    <t>7B馆2层57</t>
  </si>
  <si>
    <t>7B馆2层58</t>
  </si>
  <si>
    <t>7B馆2层60</t>
  </si>
  <si>
    <t>7B馆2层62</t>
  </si>
  <si>
    <t>7B馆2层63</t>
  </si>
  <si>
    <t>7B馆2层66</t>
  </si>
  <si>
    <t>7B馆2层67</t>
  </si>
  <si>
    <t>7B馆2层68</t>
  </si>
  <si>
    <t>7B馆2层73</t>
  </si>
  <si>
    <t>7B馆2层75</t>
  </si>
  <si>
    <t>7B馆2层76</t>
  </si>
  <si>
    <t>7B馆2层77</t>
  </si>
  <si>
    <t>7B馆2层79</t>
  </si>
  <si>
    <t>7B馆2层80</t>
  </si>
  <si>
    <t>7B馆2层85</t>
  </si>
  <si>
    <t>7B馆2层88</t>
  </si>
  <si>
    <t>7B馆2层89</t>
  </si>
  <si>
    <t>7B馆2层90</t>
  </si>
  <si>
    <t>7B馆2层91</t>
  </si>
  <si>
    <t>7B馆2层95</t>
  </si>
  <si>
    <t>7B馆2层96</t>
  </si>
  <si>
    <t>7B馆2层97</t>
  </si>
  <si>
    <t>7B馆2层98</t>
  </si>
  <si>
    <t>7B馆2层99</t>
  </si>
  <si>
    <t>7B馆2层100</t>
  </si>
  <si>
    <t>7B馆2层101</t>
  </si>
  <si>
    <t>7B馆2层102</t>
  </si>
  <si>
    <t>7B馆2层103</t>
  </si>
  <si>
    <t>7B馆2层105</t>
  </si>
  <si>
    <t>7B馆2层106</t>
  </si>
  <si>
    <t>7B馆2层107</t>
  </si>
  <si>
    <t>7B馆2层108</t>
  </si>
  <si>
    <t>7B馆2层109</t>
  </si>
  <si>
    <t>7B馆2层110</t>
  </si>
  <si>
    <t>7B馆2层111</t>
  </si>
  <si>
    <t>7B馆2层112</t>
  </si>
  <si>
    <t>7B馆2层113</t>
  </si>
  <si>
    <t>7B馆2层115</t>
  </si>
  <si>
    <t>7B馆2层116</t>
  </si>
  <si>
    <t>7B馆2层117</t>
  </si>
  <si>
    <t>7B馆2层118</t>
  </si>
  <si>
    <t>7B馆2层119</t>
  </si>
  <si>
    <t>7B馆2层120</t>
  </si>
  <si>
    <t>7B馆2层121</t>
  </si>
  <si>
    <t>7B馆2层122</t>
  </si>
  <si>
    <t>7B馆2层123</t>
  </si>
  <si>
    <t>7B馆2层125</t>
  </si>
  <si>
    <t>7B馆2层126</t>
  </si>
  <si>
    <t>7B馆2层127</t>
  </si>
  <si>
    <t>7B馆2层128</t>
  </si>
  <si>
    <t>7B馆2层129</t>
  </si>
  <si>
    <t>7B馆2层130</t>
  </si>
  <si>
    <t>7B馆2层131</t>
  </si>
  <si>
    <t>7B馆2层132</t>
  </si>
  <si>
    <t>7B馆2层136</t>
  </si>
  <si>
    <t>7B馆2层137</t>
  </si>
  <si>
    <t>7B馆2层138</t>
  </si>
  <si>
    <t>7B馆2层139</t>
  </si>
  <si>
    <t>7B馆2层140</t>
  </si>
  <si>
    <t>7B馆2层141</t>
  </si>
  <si>
    <t>7B馆2层142</t>
  </si>
  <si>
    <t>7B馆2层143</t>
  </si>
  <si>
    <t>7B馆2层145</t>
  </si>
  <si>
    <t>7B馆2层147</t>
  </si>
  <si>
    <t>7B馆2层148</t>
  </si>
  <si>
    <t>7B馆2层149</t>
  </si>
  <si>
    <t>7B馆2层150</t>
  </si>
  <si>
    <t>7B馆2层151</t>
  </si>
  <si>
    <t>7B馆2层155</t>
  </si>
  <si>
    <t>7B馆2层156</t>
  </si>
  <si>
    <t>7B馆2层157</t>
  </si>
  <si>
    <t>7B馆2层159</t>
  </si>
  <si>
    <t>7B馆2层160</t>
  </si>
  <si>
    <t>7B馆2层161</t>
  </si>
  <si>
    <t>7B馆2层162</t>
  </si>
  <si>
    <t>7B馆2层163</t>
  </si>
  <si>
    <t>7B馆2层166</t>
  </si>
  <si>
    <t>7B馆2层167</t>
  </si>
  <si>
    <t>7B馆2层168</t>
  </si>
  <si>
    <t>7B馆2层169</t>
  </si>
  <si>
    <t>7B馆2层171</t>
  </si>
  <si>
    <t>7B馆2层172</t>
  </si>
  <si>
    <t>7B馆2层173</t>
  </si>
  <si>
    <t>7B馆2层175</t>
  </si>
  <si>
    <t>7B馆2层176</t>
  </si>
  <si>
    <t>7B馆2层177</t>
  </si>
  <si>
    <t>7B馆2层178</t>
  </si>
  <si>
    <t>7B馆2层179</t>
  </si>
  <si>
    <t>7B馆2层180</t>
  </si>
  <si>
    <t>7B馆2层182</t>
  </si>
  <si>
    <t>7B馆2层183</t>
  </si>
  <si>
    <t>7B馆2层185</t>
  </si>
  <si>
    <t>7B馆2层186</t>
  </si>
  <si>
    <t>7B馆2层187</t>
  </si>
  <si>
    <t>7B馆2层189</t>
  </si>
  <si>
    <t>7B馆2层190</t>
  </si>
  <si>
    <t>7B馆2层191</t>
  </si>
  <si>
    <t>7B馆2层192</t>
  </si>
  <si>
    <t>7B馆2层193</t>
  </si>
  <si>
    <t>7B馆2层195</t>
  </si>
  <si>
    <t>7B馆2层196</t>
  </si>
  <si>
    <t>7B馆2层197</t>
  </si>
  <si>
    <t>7B馆2层198</t>
  </si>
  <si>
    <t>7B馆2层200</t>
  </si>
  <si>
    <t>7B馆2层201</t>
  </si>
  <si>
    <t>7B馆2层202</t>
  </si>
  <si>
    <t>7B馆2层203</t>
  </si>
  <si>
    <t>7B馆2层205</t>
  </si>
  <si>
    <t>7B馆2层206</t>
  </si>
  <si>
    <t>7B馆2层207</t>
  </si>
  <si>
    <t>7B馆2层208</t>
  </si>
  <si>
    <t>7B馆2层210</t>
  </si>
  <si>
    <t>7B馆2层220</t>
  </si>
  <si>
    <t>7B馆2层222</t>
  </si>
  <si>
    <t>7B馆2层225</t>
  </si>
  <si>
    <t>7B馆2层226</t>
  </si>
  <si>
    <t>7B馆2层227</t>
  </si>
  <si>
    <t>7B馆2层228</t>
  </si>
  <si>
    <t>7B馆2层229</t>
  </si>
  <si>
    <t>7B馆2层230</t>
  </si>
  <si>
    <t>7B馆2层231</t>
  </si>
  <si>
    <t>7B馆2层232</t>
  </si>
  <si>
    <t>7B馆2层233</t>
  </si>
  <si>
    <t>7B馆2层235</t>
  </si>
  <si>
    <t>7B馆2层236</t>
  </si>
  <si>
    <t>7B馆地下一层1</t>
  </si>
  <si>
    <t>7B馆地下一层2</t>
  </si>
  <si>
    <t>7B馆地下一层3</t>
  </si>
  <si>
    <t>7B馆地下一层7</t>
  </si>
  <si>
    <t>7B馆地下一层8</t>
  </si>
  <si>
    <t>7B馆地下一层9</t>
  </si>
  <si>
    <t>7B馆地下一层10</t>
  </si>
  <si>
    <t>7B馆地下一层11</t>
  </si>
  <si>
    <t>7B馆地下一层12</t>
  </si>
  <si>
    <t>7B馆地下一层13</t>
  </si>
  <si>
    <t>7B馆地下一层15</t>
  </si>
  <si>
    <t>7B馆地下一层16</t>
  </si>
  <si>
    <t>7B馆地下一层31</t>
  </si>
  <si>
    <t>7B馆地下一层32</t>
  </si>
  <si>
    <t>7B馆地下一层35</t>
  </si>
  <si>
    <t>7B馆地下一层36</t>
  </si>
  <si>
    <t>7B馆地下一层37</t>
  </si>
  <si>
    <t>7B馆地下一层38</t>
  </si>
  <si>
    <t>7B馆地下一层39</t>
  </si>
  <si>
    <t>7B馆地下一层40</t>
  </si>
  <si>
    <t>7B馆地下一层41</t>
  </si>
  <si>
    <t>7B馆地下一层45</t>
  </si>
  <si>
    <t>7B馆地下一层46</t>
  </si>
  <si>
    <t>7B馆地下一层47</t>
  </si>
  <si>
    <t>7B馆地下一层48</t>
  </si>
  <si>
    <t>7B馆地下一层49</t>
  </si>
  <si>
    <t>7B馆地下一层50</t>
  </si>
  <si>
    <t>7B馆地下一层51</t>
  </si>
  <si>
    <t>7B馆地下一层52</t>
  </si>
  <si>
    <t>7B馆地下一层53</t>
  </si>
  <si>
    <t>7B馆地下一层55</t>
  </si>
  <si>
    <t>7B馆地下一层57</t>
  </si>
  <si>
    <t>7B馆地下一层58</t>
  </si>
  <si>
    <t>7B馆地下一层59</t>
  </si>
  <si>
    <t>7B馆地下一层60</t>
  </si>
  <si>
    <t>7B馆地下一层61</t>
  </si>
  <si>
    <t>7B馆地下一层62</t>
  </si>
  <si>
    <t>7B馆地下一层66</t>
  </si>
  <si>
    <t>7B馆地下一层67</t>
  </si>
  <si>
    <t>7B馆地下一层68</t>
  </si>
  <si>
    <t>7B馆地下一层79</t>
  </si>
  <si>
    <t>7B馆地下一层80</t>
  </si>
  <si>
    <t>7B馆地下一层81</t>
  </si>
  <si>
    <t>7B馆地下一层86</t>
  </si>
  <si>
    <t>7B馆地下一层88</t>
  </si>
  <si>
    <t>7B馆地下一层90</t>
  </si>
  <si>
    <t>7B馆地下一层91</t>
  </si>
  <si>
    <t>7B馆地下一层102</t>
  </si>
  <si>
    <t>7B馆地下一层103</t>
  </si>
  <si>
    <t>7B馆地下一层115</t>
  </si>
  <si>
    <t>7B馆地下一层116</t>
  </si>
  <si>
    <t>7B馆地下一层117</t>
  </si>
  <si>
    <t>7B馆地下一层128</t>
  </si>
  <si>
    <t>7B馆地下一层129</t>
  </si>
  <si>
    <t>7B馆地下一层130</t>
  </si>
  <si>
    <t>7B馆地下一层131</t>
  </si>
  <si>
    <t>7B馆地下一层132</t>
  </si>
  <si>
    <t>7B馆地下一层133</t>
  </si>
  <si>
    <t>7B馆地下一层135</t>
  </si>
  <si>
    <t>7B馆地下一层136</t>
  </si>
  <si>
    <t>7B馆地下一层138</t>
  </si>
  <si>
    <t>7B馆地下一层139</t>
  </si>
  <si>
    <t>7B馆地下一层140</t>
  </si>
  <si>
    <t>7B馆地下一层141</t>
  </si>
  <si>
    <t>7B馆地下一层143</t>
  </si>
  <si>
    <t>7B馆地下一层145</t>
  </si>
  <si>
    <t>7B馆地下一层146</t>
  </si>
  <si>
    <t>7B馆地下一层147</t>
  </si>
  <si>
    <t>7B馆地下一层149</t>
  </si>
  <si>
    <t>7B馆地下一层150</t>
  </si>
  <si>
    <t>7B馆地下一层151</t>
  </si>
  <si>
    <t>7B馆地下一层152</t>
  </si>
  <si>
    <t>7B馆地下一层153</t>
  </si>
  <si>
    <t>7B馆地下一层155</t>
  </si>
  <si>
    <t>7B馆地下一层156</t>
  </si>
  <si>
    <t>7B馆地下一层157</t>
  </si>
  <si>
    <t>7B馆地下一层158</t>
  </si>
  <si>
    <t>7B馆地下一层160</t>
  </si>
  <si>
    <t>7B馆地下一层161</t>
  </si>
  <si>
    <t>7B馆地下一层162</t>
  </si>
  <si>
    <t>7B馆地下一层163</t>
  </si>
  <si>
    <t>7B馆地下一层166</t>
  </si>
  <si>
    <t>7B馆地下一层167</t>
  </si>
  <si>
    <t>7B馆地下一层168</t>
  </si>
  <si>
    <t>7B馆地下一层169</t>
  </si>
  <si>
    <t>7B馆地下一层170</t>
  </si>
  <si>
    <t>7B馆地下一层171</t>
  </si>
  <si>
    <t>7B馆地下一层172</t>
  </si>
  <si>
    <t>7B馆地下一层173</t>
  </si>
  <si>
    <t>7B馆地下一层175</t>
  </si>
  <si>
    <t>7B馆地下一层176</t>
  </si>
  <si>
    <t>7B馆地下一层177</t>
  </si>
  <si>
    <t>7B馆地下一层178</t>
  </si>
  <si>
    <t>7B馆地下一层179</t>
  </si>
  <si>
    <t>7B馆地下一层180</t>
  </si>
  <si>
    <t>7B馆地下一层182</t>
  </si>
  <si>
    <t>7B馆地下一层185</t>
  </si>
  <si>
    <t>7B馆地下一层186</t>
  </si>
  <si>
    <t>7B馆地下一层188</t>
  </si>
  <si>
    <t>7B馆地下一层191</t>
  </si>
  <si>
    <t>7B馆地下一层192</t>
  </si>
  <si>
    <t>7B馆地下一层196</t>
  </si>
  <si>
    <t>7B馆地下一层197</t>
  </si>
  <si>
    <t>7B馆地下一层198</t>
  </si>
  <si>
    <t>7B馆地下一层205</t>
  </si>
  <si>
    <t>7B馆地下一层206</t>
  </si>
  <si>
    <t>7B馆地下一层210</t>
  </si>
  <si>
    <t>7B馆地下一层216</t>
  </si>
  <si>
    <t>7B馆地下一层217</t>
  </si>
  <si>
    <t>7B馆地下一层218</t>
  </si>
  <si>
    <t>7B馆地下一层219</t>
  </si>
  <si>
    <t>7B馆地下一层220</t>
  </si>
  <si>
    <t>7B馆地下一层226</t>
  </si>
  <si>
    <t>7B馆地下一层227</t>
  </si>
  <si>
    <t>7B馆地下一层228</t>
  </si>
  <si>
    <t>7B馆地下一层232</t>
  </si>
  <si>
    <t>7B馆地下一层243</t>
  </si>
  <si>
    <t>7B馆地下一层245</t>
  </si>
  <si>
    <t>7B馆地下一层252</t>
  </si>
  <si>
    <t>7B馆地下一层261</t>
  </si>
  <si>
    <t>7B馆地下一层265</t>
  </si>
  <si>
    <t>7B馆地下一层266</t>
  </si>
  <si>
    <t>7B馆地下一层267</t>
  </si>
  <si>
    <t>7B馆地下一层268</t>
  </si>
  <si>
    <t>7B馆地下一层298</t>
  </si>
  <si>
    <t>7B馆地下一层303</t>
  </si>
  <si>
    <t>7B馆地下一层305</t>
  </si>
  <si>
    <t>7B馆地下一层306</t>
  </si>
  <si>
    <t>7B馆地下一层307</t>
  </si>
  <si>
    <t>7B馆地下一层316</t>
  </si>
  <si>
    <t>7B馆地下一层342</t>
  </si>
  <si>
    <t>7B馆地下一层343</t>
  </si>
  <si>
    <t>7B馆地下一层345</t>
  </si>
  <si>
    <t>7B馆地下一层346</t>
  </si>
  <si>
    <t>7B馆地下一层352</t>
  </si>
  <si>
    <t>7B馆地下一层359</t>
  </si>
  <si>
    <t>7B馆地下一层371</t>
  </si>
  <si>
    <t>7B馆地下一层397</t>
  </si>
  <si>
    <t>7B馆地下一层400</t>
  </si>
  <si>
    <t>7B馆地下一层401</t>
  </si>
  <si>
    <t>7B馆地下一层402</t>
  </si>
  <si>
    <t>7B馆地下一层403</t>
  </si>
  <si>
    <t>7B馆地下一层405</t>
  </si>
  <si>
    <t>7B馆地下一层406</t>
  </si>
  <si>
    <t>7B馆地下一层407</t>
  </si>
  <si>
    <t>7B馆地下一层408</t>
  </si>
  <si>
    <t>7B馆地下一层415</t>
  </si>
  <si>
    <t>7B馆地下一层416</t>
  </si>
  <si>
    <t>7B馆地下一层417</t>
  </si>
  <si>
    <t>7B馆地下一层418</t>
  </si>
  <si>
    <t>7B馆地下一层419</t>
  </si>
  <si>
    <t>7B馆地下一层420</t>
  </si>
  <si>
    <t>7B馆地下一层421</t>
  </si>
  <si>
    <t>7B馆地下一层422</t>
  </si>
  <si>
    <t>7B馆地下一层423</t>
  </si>
  <si>
    <t>7B馆地下一层425</t>
  </si>
  <si>
    <t>7B馆地下一层426</t>
  </si>
  <si>
    <t>7B馆地下一层430</t>
  </si>
  <si>
    <t>7B馆地下一层458</t>
  </si>
  <si>
    <t>7B馆地下二层50</t>
  </si>
  <si>
    <t>7B馆地下二层51</t>
  </si>
  <si>
    <t>7B馆地下二层156</t>
  </si>
  <si>
    <t>7B馆地下二层157</t>
  </si>
  <si>
    <t>7B馆地下二层158</t>
  </si>
  <si>
    <t>7B馆地下二层159</t>
  </si>
  <si>
    <t>7B馆地下二层160</t>
  </si>
  <si>
    <t>7B馆地下二层165</t>
  </si>
  <si>
    <t>7B馆地下二层166</t>
  </si>
  <si>
    <t>7B馆地下二层167</t>
  </si>
  <si>
    <t>7B馆地下二层168</t>
  </si>
  <si>
    <t>7B馆地下二层169</t>
  </si>
  <si>
    <t>7B馆地下二层170</t>
  </si>
  <si>
    <t>7B馆地下二层177</t>
  </si>
  <si>
    <t>7B馆地下二层178</t>
  </si>
  <si>
    <t>7B馆地下二层179</t>
  </si>
  <si>
    <t>7B馆地下二层180</t>
  </si>
  <si>
    <t>7B馆地下二层181</t>
  </si>
  <si>
    <t>7B馆地下二层182</t>
  </si>
  <si>
    <t>7B馆地下二层185</t>
  </si>
  <si>
    <t>7B馆地下二层186</t>
  </si>
  <si>
    <t>7B馆地下二层187</t>
  </si>
  <si>
    <t>7B馆地下二层188</t>
  </si>
  <si>
    <t>7B馆地下二层189</t>
  </si>
  <si>
    <t>7B馆地下二层216</t>
  </si>
  <si>
    <t>7B馆地下二层217</t>
  </si>
  <si>
    <t>7B馆地下二层218</t>
  </si>
  <si>
    <t>7B馆地下二层223</t>
  </si>
  <si>
    <t>7B馆地下二层225</t>
  </si>
  <si>
    <t>7B馆地下二层226</t>
  </si>
  <si>
    <t>7B馆地下二层227</t>
  </si>
  <si>
    <t>7B馆地下二层228</t>
  </si>
  <si>
    <t>7B馆地下二层229</t>
  </si>
  <si>
    <t>7B馆地下二层230</t>
  </si>
  <si>
    <t>7B馆地下二层231</t>
  </si>
  <si>
    <t>7B馆地下二层232</t>
  </si>
  <si>
    <t>7B馆地下二层245</t>
  </si>
  <si>
    <t>7B馆地下二层246</t>
  </si>
  <si>
    <t>7B馆地下二层247</t>
  </si>
  <si>
    <t>7B馆地下二层358</t>
  </si>
  <si>
    <t>7B馆地下二层372</t>
  </si>
  <si>
    <t>7B馆地下二层373</t>
  </si>
  <si>
    <t>7B馆地下二层375</t>
  </si>
  <si>
    <t>7B馆地下二层376</t>
  </si>
  <si>
    <t>7B馆地下二层377</t>
  </si>
  <si>
    <t>7B馆地下二层378</t>
  </si>
  <si>
    <t>7B馆地下二层379</t>
  </si>
  <si>
    <t>7B馆地下二层380</t>
  </si>
  <si>
    <t>7B馆地下二层382</t>
  </si>
  <si>
    <t>7B馆地下二层383</t>
  </si>
  <si>
    <t>7B馆地下二层385</t>
  </si>
  <si>
    <t>7B馆地下二层386</t>
  </si>
  <si>
    <t>7B馆地下二层392</t>
  </si>
  <si>
    <t>7B馆地下二层393</t>
  </si>
  <si>
    <t>7B馆地下二层396</t>
  </si>
  <si>
    <t>7B馆地下二层397</t>
  </si>
  <si>
    <t>7B馆地下二层398</t>
  </si>
  <si>
    <t>7B馆地下二层399</t>
  </si>
  <si>
    <t>7B馆地下二层400</t>
  </si>
  <si>
    <t>7B馆地下二层401</t>
  </si>
  <si>
    <t>7B馆地下二层408</t>
  </si>
  <si>
    <t>7B馆地下二层409</t>
  </si>
  <si>
    <t>7B馆地下二层410</t>
  </si>
  <si>
    <t>7B馆地下二层411</t>
  </si>
  <si>
    <t>7B馆地下二层412</t>
  </si>
  <si>
    <t>7B馆地下二层415</t>
  </si>
  <si>
    <t>7B馆地下二层416</t>
  </si>
  <si>
    <t>7B馆地下二层417</t>
  </si>
  <si>
    <t>7B馆地下二层418</t>
  </si>
  <si>
    <t>7B馆地下二层419</t>
  </si>
  <si>
    <t>7B馆地下二层420</t>
  </si>
  <si>
    <t>7B馆地下二层422</t>
  </si>
  <si>
    <t>7B馆地下二层423</t>
  </si>
  <si>
    <t>7B馆地下二层430</t>
  </si>
  <si>
    <t>7B馆地下二层431</t>
  </si>
  <si>
    <t>7B馆地下二层432</t>
  </si>
  <si>
    <t>7B馆地下二层433</t>
  </si>
  <si>
    <t>7B馆地下二层435</t>
  </si>
  <si>
    <t>7B馆地下二层436</t>
  </si>
  <si>
    <t>7B馆地下二层437</t>
  </si>
  <si>
    <t>7B馆地下二层438</t>
  </si>
  <si>
    <t>7B馆地下二层440</t>
  </si>
  <si>
    <t>7B馆地下二层442</t>
  </si>
  <si>
    <t>7B馆地下二层448</t>
  </si>
  <si>
    <t>7B馆地下二层449</t>
  </si>
  <si>
    <t>7B馆地下二层450</t>
  </si>
  <si>
    <t>7B馆地下二层456</t>
  </si>
  <si>
    <t>7B馆地下二层470</t>
  </si>
  <si>
    <t>7B馆地下二层480</t>
  </si>
  <si>
    <t>7B馆地下二层481</t>
  </si>
  <si>
    <t>7B馆地下二层482</t>
  </si>
  <si>
    <t>7B馆地下二层487</t>
  </si>
  <si>
    <t>7B馆地下二层488</t>
  </si>
  <si>
    <t>8馆1层5</t>
  </si>
  <si>
    <t>8馆1层7</t>
  </si>
  <si>
    <t>8馆1层12</t>
  </si>
  <si>
    <t>8馆1层28</t>
  </si>
  <si>
    <t>8馆1层29</t>
  </si>
  <si>
    <t>8馆1层30</t>
  </si>
  <si>
    <t>8馆1层31</t>
  </si>
  <si>
    <t>8馆1层32</t>
  </si>
  <si>
    <t>8馆1层33</t>
  </si>
  <si>
    <t>8馆1层38</t>
  </si>
  <si>
    <t>8馆1层39</t>
  </si>
  <si>
    <t>8馆1层40</t>
  </si>
  <si>
    <t>8馆1层47</t>
  </si>
  <si>
    <t>8馆1层48</t>
  </si>
  <si>
    <t>8馆1层49</t>
  </si>
  <si>
    <t>8馆1层50</t>
  </si>
  <si>
    <t>8馆1层55</t>
  </si>
  <si>
    <t>8馆1层56</t>
  </si>
  <si>
    <t>8馆1层59</t>
  </si>
  <si>
    <t>8馆1层65</t>
  </si>
  <si>
    <t>8馆1层66</t>
  </si>
  <si>
    <t>8馆1层67</t>
  </si>
  <si>
    <t>8馆1层68</t>
  </si>
  <si>
    <t>8馆1层69</t>
  </si>
  <si>
    <t>8馆1层70</t>
  </si>
  <si>
    <t>8馆1层77</t>
  </si>
  <si>
    <t>8馆1层78</t>
  </si>
  <si>
    <t>8馆1层85</t>
  </si>
  <si>
    <t>8馆1层87</t>
  </si>
  <si>
    <t>8馆1层89</t>
  </si>
  <si>
    <t>8馆1层91</t>
  </si>
  <si>
    <t>8馆1层92</t>
  </si>
  <si>
    <t>8馆1层93</t>
  </si>
  <si>
    <t>8馆1层96</t>
  </si>
  <si>
    <t>8馆1层97</t>
  </si>
  <si>
    <t>8馆1层98</t>
  </si>
  <si>
    <t>8馆地下一层12</t>
  </si>
  <si>
    <t>8馆地下一层13</t>
  </si>
  <si>
    <t>8馆地下一层15</t>
  </si>
  <si>
    <t>8馆地下一层16</t>
  </si>
  <si>
    <t>8馆地下一层19</t>
  </si>
  <si>
    <t>8馆地下一层20</t>
  </si>
  <si>
    <t>8馆地下一层22</t>
  </si>
  <si>
    <t>8馆地下一层23</t>
  </si>
  <si>
    <t>8馆地下一层25</t>
  </si>
  <si>
    <t>8馆地下一层26</t>
  </si>
  <si>
    <t>8馆地下一层27</t>
  </si>
  <si>
    <t>8馆地下一层28</t>
  </si>
  <si>
    <t>8馆地下一层29</t>
  </si>
  <si>
    <t>8馆地下一层30</t>
  </si>
  <si>
    <t>8馆地下一层31</t>
  </si>
  <si>
    <t>8馆地下一层32</t>
  </si>
  <si>
    <t>8馆地下一层37</t>
  </si>
  <si>
    <t>8馆地下一层38</t>
  </si>
  <si>
    <t>8馆地下一层71</t>
  </si>
  <si>
    <t>8馆地下一层72</t>
  </si>
  <si>
    <t>8馆地下一层77</t>
  </si>
  <si>
    <t>8馆地下一层78</t>
  </si>
  <si>
    <t>8馆地下一层81</t>
  </si>
  <si>
    <t>8馆地下一层82</t>
  </si>
  <si>
    <t>8馆地下一层83</t>
  </si>
  <si>
    <t>8馆地下一层85</t>
  </si>
  <si>
    <t>8馆地下一层86</t>
  </si>
  <si>
    <t>8馆地下一层88</t>
  </si>
  <si>
    <t>8馆地下一层89</t>
  </si>
  <si>
    <t>8馆地下一层90</t>
  </si>
  <si>
    <t>8馆地下一层91</t>
  </si>
  <si>
    <t>8馆地下一层93</t>
  </si>
  <si>
    <t>8馆地下一层95</t>
  </si>
  <si>
    <t>8馆地下一层96</t>
  </si>
  <si>
    <t>8馆地下一层112</t>
  </si>
  <si>
    <t>8馆地下一层113</t>
  </si>
  <si>
    <t>8馆地下一层117</t>
  </si>
  <si>
    <t>8馆地下一层118</t>
  </si>
  <si>
    <t>8馆地下一层119</t>
  </si>
  <si>
    <t>8馆地下一层120</t>
  </si>
  <si>
    <t>8馆地下一层122</t>
  </si>
  <si>
    <t>8馆地下一层123</t>
  </si>
  <si>
    <t>8馆地下一层125</t>
  </si>
  <si>
    <t>8馆地下一层126</t>
  </si>
  <si>
    <t>8馆地下一层127</t>
  </si>
  <si>
    <t>8馆地下一层129</t>
  </si>
  <si>
    <t>8馆地下一层132</t>
  </si>
  <si>
    <t>8馆地下一层133</t>
  </si>
  <si>
    <t>8馆地下一层135</t>
  </si>
  <si>
    <t>8馆地下一层146</t>
  </si>
  <si>
    <t>8馆地下一层147</t>
  </si>
  <si>
    <t>8馆地下一层150</t>
  </si>
  <si>
    <t>8馆地下一层151</t>
  </si>
  <si>
    <t>8馆地下一层152</t>
  </si>
  <si>
    <t>8馆地下一层155</t>
  </si>
  <si>
    <t>8馆地下一层165</t>
  </si>
  <si>
    <t>8馆地下一层166</t>
  </si>
  <si>
    <t>8馆地下一层167</t>
  </si>
  <si>
    <t>8馆地下一层168</t>
  </si>
  <si>
    <t>8馆地下一层170</t>
  </si>
  <si>
    <t>8馆地下一层171</t>
  </si>
  <si>
    <t>8馆地下一层172</t>
  </si>
  <si>
    <t>8馆地下一层173</t>
  </si>
  <si>
    <t>8馆地下一层175</t>
  </si>
  <si>
    <t>8馆地下一层178</t>
  </si>
  <si>
    <t>8馆地下一层179</t>
  </si>
  <si>
    <t>8馆地下一层180</t>
  </si>
  <si>
    <t>8馆地下二层1</t>
  </si>
  <si>
    <t>8馆地下二层5</t>
  </si>
  <si>
    <t>8馆地下二层6</t>
  </si>
  <si>
    <t>8馆地下二层12</t>
  </si>
  <si>
    <t>8馆地下二层22</t>
  </si>
  <si>
    <t>8馆地下二层36</t>
  </si>
  <si>
    <t>8馆地下二层37</t>
  </si>
  <si>
    <t>8馆地下二层38</t>
  </si>
  <si>
    <t>8馆地下二层40</t>
  </si>
  <si>
    <t>8馆地下二层49</t>
  </si>
  <si>
    <t>8馆地下二层52</t>
  </si>
  <si>
    <t>8馆地下二层58</t>
  </si>
  <si>
    <t>8馆地下二层59</t>
  </si>
  <si>
    <t>8馆地下二层60</t>
  </si>
  <si>
    <t>8馆地下二层63</t>
  </si>
  <si>
    <t>8馆地下二层66</t>
  </si>
  <si>
    <t>8馆地下二层68</t>
  </si>
  <si>
    <t>8馆地下二层69</t>
  </si>
  <si>
    <t>8馆地下二层72</t>
  </si>
  <si>
    <t>8馆地下二层75</t>
  </si>
  <si>
    <t>8馆地下二层76</t>
  </si>
  <si>
    <t>8馆地下二层77</t>
  </si>
  <si>
    <t>8馆地下二层78</t>
  </si>
  <si>
    <t>8馆地下二层79</t>
  </si>
  <si>
    <t>8馆地下二层83</t>
  </si>
  <si>
    <t>8馆地下二层85</t>
  </si>
  <si>
    <t>8馆地下二层86</t>
  </si>
  <si>
    <t>8馆地下二层87</t>
  </si>
  <si>
    <t>8馆地下二层88</t>
  </si>
  <si>
    <t>8馆地下二层89</t>
  </si>
  <si>
    <t>8馆地下二层90</t>
  </si>
  <si>
    <t>8馆地下二层99</t>
  </si>
  <si>
    <t>8馆地下二层100</t>
  </si>
  <si>
    <t>8馆地下二层101</t>
  </si>
  <si>
    <t>8馆地下二层103</t>
  </si>
  <si>
    <t>8馆地下二层117</t>
  </si>
  <si>
    <t>8馆地下二层118</t>
  </si>
  <si>
    <t>8馆地下二层119</t>
  </si>
  <si>
    <t>8馆地下二层120</t>
  </si>
  <si>
    <t>8馆地下二层121</t>
  </si>
  <si>
    <t>8馆地下二层122</t>
  </si>
  <si>
    <t>8馆地下二层125</t>
  </si>
  <si>
    <t>8馆地下二层127</t>
  </si>
  <si>
    <t>8馆地下二层128</t>
  </si>
  <si>
    <t>8馆地下二层129</t>
  </si>
  <si>
    <t>8馆地下二层131</t>
  </si>
  <si>
    <t>8馆地下二层132</t>
  </si>
  <si>
    <t>8馆地下二层133</t>
  </si>
  <si>
    <t>8馆地下二层138</t>
  </si>
  <si>
    <t>8馆地下二层141</t>
  </si>
  <si>
    <t>8馆地下二层142</t>
  </si>
  <si>
    <t>8馆地下二层152</t>
  </si>
  <si>
    <t>8馆地下二层157</t>
  </si>
  <si>
    <t>8馆地下二层160</t>
  </si>
  <si>
    <t>8馆地下二层165</t>
  </si>
  <si>
    <t>8馆地下二层166</t>
  </si>
  <si>
    <t>8馆地下二层167</t>
  </si>
  <si>
    <t>8馆地下二层169</t>
  </si>
  <si>
    <t>8馆地下二层170</t>
  </si>
  <si>
    <t>8馆地下二层172</t>
  </si>
  <si>
    <t>8馆地下二层178</t>
  </si>
  <si>
    <t>8馆地下二层179</t>
  </si>
  <si>
    <t>8馆地下二层182</t>
  </si>
  <si>
    <t>8馆地下二层183</t>
  </si>
  <si>
    <t>9馆地下一层1</t>
  </si>
  <si>
    <t>9馆地下一层2</t>
  </si>
  <si>
    <t>9馆地下一层3</t>
  </si>
  <si>
    <t>9馆地下一层5</t>
  </si>
  <si>
    <t>9馆地下一层6</t>
  </si>
  <si>
    <t>9馆地下一层8</t>
  </si>
  <si>
    <t>9馆地下一层9</t>
  </si>
  <si>
    <t>9馆地下一层10</t>
  </si>
  <si>
    <t>9馆地下一层11</t>
  </si>
  <si>
    <t>9馆地下一层13</t>
  </si>
  <si>
    <t>9馆地下一层17</t>
  </si>
  <si>
    <t>9馆地下一层19</t>
  </si>
  <si>
    <t>9馆地下一层21</t>
  </si>
  <si>
    <t>9馆地下一层23</t>
  </si>
  <si>
    <t>9馆地下一层28</t>
  </si>
  <si>
    <t>9馆地下一层32</t>
  </si>
  <si>
    <t>9馆地下一层40</t>
  </si>
  <si>
    <t>9馆地下一层41</t>
  </si>
  <si>
    <t>9馆地下一层42</t>
  </si>
  <si>
    <t>9馆地下一层43</t>
  </si>
  <si>
    <t>9馆地下一层45</t>
  </si>
  <si>
    <t>9馆地下一层46</t>
  </si>
  <si>
    <t>9馆地下一层48</t>
  </si>
  <si>
    <t>9馆地下一层49</t>
  </si>
  <si>
    <t>9馆地下一层50</t>
  </si>
  <si>
    <t>9馆地下一层53</t>
  </si>
  <si>
    <t>9馆地下一层55</t>
  </si>
  <si>
    <t>9馆地下一层56</t>
  </si>
  <si>
    <t>9馆地下一层58</t>
  </si>
  <si>
    <t>9馆地下一层59</t>
  </si>
  <si>
    <t>9馆地下一层62</t>
  </si>
  <si>
    <t>9馆地下一层63</t>
  </si>
  <si>
    <t>9馆地下一层67</t>
  </si>
  <si>
    <t>9馆地下一层68</t>
  </si>
  <si>
    <t>9馆地下一层69</t>
  </si>
  <si>
    <t>9馆地下一层76</t>
  </si>
  <si>
    <t>9馆地下一层77</t>
  </si>
  <si>
    <t>9馆地下一层78</t>
  </si>
  <si>
    <t>9馆地下一层93</t>
  </si>
  <si>
    <t>9馆地下一层97</t>
  </si>
  <si>
    <t>9馆地下一层98</t>
  </si>
  <si>
    <t>9馆地下一层99</t>
  </si>
  <si>
    <t>9馆地下一层102</t>
  </si>
  <si>
    <t>9馆地下一层107</t>
  </si>
  <si>
    <t>9馆地下一层108</t>
  </si>
  <si>
    <t>9馆地下一层109</t>
  </si>
  <si>
    <t>9馆地下一层112</t>
  </si>
  <si>
    <t>9馆地下一层131</t>
  </si>
  <si>
    <t>9馆地下一层133</t>
  </si>
  <si>
    <t>9馆地下一层145</t>
  </si>
  <si>
    <t>9馆地下一层146</t>
  </si>
  <si>
    <t>9馆地下一层150</t>
  </si>
  <si>
    <t>9馆地下一层151</t>
  </si>
  <si>
    <t>9馆地下一层165</t>
  </si>
  <si>
    <t>9馆地下一层166</t>
  </si>
  <si>
    <t>9馆地下一层169</t>
  </si>
  <si>
    <t>9馆地下一层170</t>
  </si>
  <si>
    <t>9馆地下一层171</t>
  </si>
  <si>
    <t>9馆地下一层178</t>
  </si>
  <si>
    <t>9馆地下一层209</t>
  </si>
  <si>
    <t>9馆地下一层210</t>
  </si>
  <si>
    <t>9馆地下一层212</t>
  </si>
  <si>
    <t>9馆地下一层217</t>
  </si>
  <si>
    <t>9馆地下一层229</t>
  </si>
  <si>
    <t>9馆地下二层1</t>
  </si>
  <si>
    <t>9馆地下二层2</t>
  </si>
  <si>
    <t>9馆地下二层3</t>
  </si>
  <si>
    <t>9馆地下二层12</t>
  </si>
  <si>
    <t>9馆地下二层13</t>
  </si>
  <si>
    <t>9馆地下二层15</t>
  </si>
  <si>
    <t>9馆地下二层23</t>
  </si>
  <si>
    <t>9馆地下二层25</t>
  </si>
  <si>
    <t>9馆地下二层27</t>
  </si>
  <si>
    <t>9馆地下二层28</t>
  </si>
  <si>
    <t>9馆地下二层29</t>
  </si>
  <si>
    <t>9馆地下二层30</t>
  </si>
  <si>
    <t>9馆地下二层36</t>
  </si>
  <si>
    <t>9馆地下二层41</t>
  </si>
  <si>
    <t>9馆地下二层42</t>
  </si>
  <si>
    <t>9馆地下二层43</t>
  </si>
  <si>
    <t>9馆地下二层45</t>
  </si>
  <si>
    <t>9馆地下二层52</t>
  </si>
  <si>
    <t>9馆地下二层53</t>
  </si>
  <si>
    <t>9馆地下二层55</t>
  </si>
  <si>
    <t>9馆地下二层61</t>
  </si>
  <si>
    <t>9馆地下二层62</t>
  </si>
  <si>
    <t>9馆地下二层63</t>
  </si>
  <si>
    <t>9馆地下二层72</t>
  </si>
  <si>
    <t>9馆地下二层79</t>
  </si>
  <si>
    <t>9馆地下二层80</t>
  </si>
  <si>
    <t>9馆地下二层85</t>
  </si>
  <si>
    <t>9馆地下二层87</t>
  </si>
  <si>
    <t>9馆地下二层88</t>
  </si>
  <si>
    <t>9馆地下二层91</t>
  </si>
  <si>
    <t>9馆地下二层92</t>
  </si>
  <si>
    <t>9馆地下二层93</t>
  </si>
  <si>
    <t>9馆地下二层95</t>
  </si>
  <si>
    <t>9馆地下二层96</t>
  </si>
  <si>
    <t>9馆地下二层97</t>
  </si>
  <si>
    <t>9馆地下二层98</t>
  </si>
  <si>
    <t>9馆地下二层99</t>
  </si>
  <si>
    <t>9馆地下二层100</t>
  </si>
  <si>
    <t>9馆地下二层101</t>
  </si>
  <si>
    <t>9馆地下二层102</t>
  </si>
  <si>
    <t>9馆地下二层105</t>
  </si>
  <si>
    <t>9馆地下二层109</t>
  </si>
  <si>
    <t>9馆地下二层110</t>
  </si>
  <si>
    <t>9馆地下二层111</t>
  </si>
  <si>
    <t>9馆地下二层116</t>
  </si>
  <si>
    <t>9馆地下二层131</t>
  </si>
  <si>
    <t>9馆地下二层132</t>
  </si>
  <si>
    <t>9馆地下二层137</t>
  </si>
  <si>
    <t>9馆地下二层139</t>
  </si>
  <si>
    <t>9馆地下二层142</t>
  </si>
  <si>
    <t>9馆地下二层171</t>
  </si>
  <si>
    <t>9馆地下二层173</t>
  </si>
  <si>
    <t>9馆地下二层176</t>
  </si>
  <si>
    <t>9馆地下二层180</t>
  </si>
  <si>
    <t>9馆地下二层181</t>
  </si>
  <si>
    <t>9馆地下二层182</t>
  </si>
  <si>
    <t>9馆地下二层189</t>
  </si>
  <si>
    <t>9馆地下二层198</t>
  </si>
  <si>
    <t>9馆地下二层199</t>
  </si>
  <si>
    <t>9馆地下二层200</t>
  </si>
  <si>
    <t>9馆地下二层219</t>
  </si>
  <si>
    <t>9馆地下二层220</t>
  </si>
  <si>
    <t>9馆地下二层223</t>
  </si>
  <si>
    <t>9馆地下二层225</t>
  </si>
  <si>
    <t>9馆地下二层237</t>
  </si>
  <si>
    <t>10馆1层6</t>
  </si>
  <si>
    <t>10馆1层7</t>
  </si>
  <si>
    <t>10馆1层8</t>
  </si>
  <si>
    <t>10馆1层92</t>
  </si>
  <si>
    <t>10馆1层93</t>
  </si>
  <si>
    <t>10馆1层96</t>
  </si>
  <si>
    <t>10馆1层99</t>
  </si>
  <si>
    <t>10馆地下一层69</t>
  </si>
  <si>
    <t>10馆地下一层111</t>
  </si>
  <si>
    <t>10馆地下一层112</t>
  </si>
  <si>
    <t>10馆地下一层139</t>
  </si>
  <si>
    <t>10馆地下一层140</t>
  </si>
  <si>
    <t>10馆地下一层153</t>
  </si>
  <si>
    <t>10馆地下一层189</t>
  </si>
  <si>
    <t>10馆地下一层190</t>
  </si>
  <si>
    <t>10馆地下一层219</t>
  </si>
  <si>
    <t>10馆地下一层220</t>
  </si>
  <si>
    <t>10馆地下一层221</t>
  </si>
  <si>
    <t>10馆地下一层222</t>
  </si>
  <si>
    <t>10馆地下一层223</t>
  </si>
  <si>
    <t>10馆地下一层225</t>
  </si>
  <si>
    <t>10馆地下一层226</t>
  </si>
  <si>
    <t>10馆地下一层227</t>
  </si>
  <si>
    <t>10馆地下二层21</t>
  </si>
  <si>
    <t>10馆地下二层22</t>
  </si>
  <si>
    <t>10馆地下二层40</t>
  </si>
  <si>
    <t>10馆地下二层43</t>
  </si>
  <si>
    <t>10馆地下二层55</t>
  </si>
  <si>
    <t>10馆地下二层61</t>
  </si>
  <si>
    <t>10馆地下二层62</t>
  </si>
  <si>
    <t>10馆地下二层69</t>
  </si>
  <si>
    <t>10馆地下二层70</t>
  </si>
  <si>
    <t>10馆地下二层79</t>
  </si>
  <si>
    <t>10馆地下二层93</t>
  </si>
  <si>
    <t>10馆地下二层99</t>
  </si>
  <si>
    <t>10馆地下二层100</t>
  </si>
  <si>
    <t>10馆地下二层101</t>
  </si>
  <si>
    <t>10馆地下二层112</t>
  </si>
  <si>
    <t>10馆地下二层115</t>
  </si>
  <si>
    <t>10馆地下二层116</t>
  </si>
  <si>
    <t>10馆地下二层117</t>
  </si>
  <si>
    <t>10馆地下二层120</t>
  </si>
  <si>
    <t>10馆地下二层121</t>
  </si>
  <si>
    <t>10馆地下二层122</t>
  </si>
  <si>
    <t>10馆地下二层123</t>
  </si>
  <si>
    <t>10馆地下二层125</t>
  </si>
  <si>
    <t>10馆地下二层126</t>
  </si>
  <si>
    <t>10馆地下二层127</t>
  </si>
  <si>
    <t>10馆地下二层128</t>
  </si>
  <si>
    <t>10馆地下二层129</t>
  </si>
  <si>
    <t>10馆地下二层130</t>
  </si>
  <si>
    <t>10馆地下二层131</t>
  </si>
  <si>
    <t>10馆地下二层132</t>
  </si>
  <si>
    <t>10馆地下二层140</t>
  </si>
  <si>
    <t>10馆地下二层141</t>
  </si>
  <si>
    <t>10馆地下二层142</t>
  </si>
  <si>
    <t>10馆地下二层147</t>
  </si>
  <si>
    <t>10馆地下二层148</t>
  </si>
  <si>
    <t>10馆地下二层149</t>
  </si>
  <si>
    <t>10馆地下二层151</t>
  </si>
  <si>
    <t>10馆地下二层152</t>
  </si>
  <si>
    <t>10馆地下二层153</t>
  </si>
  <si>
    <t>10馆地下二层160</t>
  </si>
  <si>
    <t>10馆地下二层161</t>
  </si>
  <si>
    <t>10馆地下二层162</t>
  </si>
  <si>
    <t>10馆地下二层163</t>
  </si>
  <si>
    <t>10馆地下二层165</t>
  </si>
  <si>
    <t>10馆地下二层166</t>
  </si>
  <si>
    <t>10馆地下二层167</t>
  </si>
  <si>
    <t>10馆地下二层168</t>
  </si>
  <si>
    <t>10馆地下二层169</t>
  </si>
  <si>
    <t>10馆地下二层173</t>
  </si>
  <si>
    <t>10馆地下二层175</t>
  </si>
  <si>
    <t>10馆地下二层176</t>
  </si>
  <si>
    <t>10馆地下二层177</t>
  </si>
  <si>
    <t>10馆地下二层178</t>
  </si>
  <si>
    <t>10馆地下二层187</t>
  </si>
  <si>
    <t>10馆地下二层192</t>
  </si>
  <si>
    <t>10馆地下二层193</t>
  </si>
  <si>
    <t>10馆地下二层199</t>
  </si>
  <si>
    <t>10馆地下二层202</t>
  </si>
  <si>
    <t>10馆地下二层203</t>
  </si>
  <si>
    <t>10馆地下二层208</t>
  </si>
  <si>
    <t>10馆地下二层209</t>
  </si>
  <si>
    <t>10馆地下二层210</t>
  </si>
  <si>
    <t>10馆地下二层211</t>
  </si>
  <si>
    <t>10馆地下二层212</t>
  </si>
  <si>
    <t>10馆地下二层213</t>
  </si>
  <si>
    <t>10馆地下二层215</t>
  </si>
  <si>
    <t>10馆地下二层218</t>
  </si>
  <si>
    <t>10馆地下二层219</t>
  </si>
  <si>
    <t>10馆地下二层223</t>
  </si>
  <si>
    <t>10馆地下二层225</t>
  </si>
  <si>
    <t>10馆地下二层229</t>
  </si>
  <si>
    <t>10馆地下二层230</t>
  </si>
  <si>
    <t>10馆地下二层231</t>
  </si>
  <si>
    <t>10馆地下二层236</t>
  </si>
  <si>
    <t>10馆地下二层237</t>
  </si>
  <si>
    <t>10馆地下二层238</t>
  </si>
  <si>
    <t>10馆地下二层242</t>
  </si>
  <si>
    <t>10馆地下二层243</t>
  </si>
  <si>
    <t>10馆地下二层246</t>
  </si>
  <si>
    <t>10馆地下二层260</t>
  </si>
  <si>
    <t>10馆地下二层261</t>
  </si>
  <si>
    <t>10馆地下二层262</t>
  </si>
  <si>
    <t>10馆地下二层263</t>
  </si>
  <si>
    <t>10馆地下二层265</t>
  </si>
  <si>
    <t>11馆1层1</t>
  </si>
  <si>
    <t>11馆1层11</t>
  </si>
  <si>
    <t>11馆1层12</t>
  </si>
  <si>
    <t>11馆1层19</t>
  </si>
  <si>
    <t>11馆1层20</t>
  </si>
  <si>
    <t>11馆1层22</t>
  </si>
  <si>
    <t>11馆1层35</t>
  </si>
  <si>
    <t>11馆1层40</t>
  </si>
  <si>
    <t>11馆1层41</t>
  </si>
  <si>
    <t>11馆1层43</t>
  </si>
  <si>
    <t>11馆1层45</t>
  </si>
  <si>
    <t>11馆1层46</t>
  </si>
  <si>
    <t>11馆1层47</t>
  </si>
  <si>
    <t>11馆1层49</t>
  </si>
  <si>
    <t>11馆1层51</t>
  </si>
  <si>
    <t>11馆1层57</t>
  </si>
  <si>
    <t>11馆1层62</t>
  </si>
  <si>
    <t>11馆1层90</t>
  </si>
  <si>
    <t>11馆1层100</t>
  </si>
  <si>
    <t>11馆1层101</t>
  </si>
  <si>
    <t>11馆1层102</t>
  </si>
  <si>
    <t>11馆1层105</t>
  </si>
  <si>
    <t>11馆1层111</t>
  </si>
  <si>
    <t>11馆1层112</t>
  </si>
  <si>
    <t>11馆1层113</t>
  </si>
  <si>
    <t>11馆1层115</t>
  </si>
  <si>
    <t>11馆1层116</t>
  </si>
  <si>
    <t>11馆1层119</t>
  </si>
  <si>
    <t>11馆1层120</t>
  </si>
  <si>
    <t>11馆1层137</t>
  </si>
  <si>
    <t>11馆1层138</t>
  </si>
  <si>
    <t>11馆1层141</t>
  </si>
  <si>
    <t>11馆1层142</t>
  </si>
  <si>
    <t>11馆1层143</t>
  </si>
  <si>
    <t>11馆1层145</t>
  </si>
  <si>
    <t>11馆1层148</t>
  </si>
  <si>
    <t>11馆1层149</t>
  </si>
  <si>
    <t>11馆地下一层1</t>
  </si>
  <si>
    <t>11馆地下一层2</t>
  </si>
  <si>
    <t>11馆地下一层3</t>
  </si>
  <si>
    <t>11馆地下一层7</t>
  </si>
  <si>
    <t>11馆地下一层8</t>
  </si>
  <si>
    <t>11馆地下一层9</t>
  </si>
  <si>
    <t>11馆地下一层12</t>
  </si>
  <si>
    <t>11馆地下一层15</t>
  </si>
  <si>
    <t>11馆地下一层18</t>
  </si>
  <si>
    <t>11馆地下一层20</t>
  </si>
  <si>
    <t>11馆地下一层42</t>
  </si>
  <si>
    <t>11馆地下一层45</t>
  </si>
  <si>
    <t>11馆地下一层48</t>
  </si>
  <si>
    <t>11馆地下一层49</t>
  </si>
  <si>
    <t>11馆地下一层50</t>
  </si>
  <si>
    <t>11馆地下一层56</t>
  </si>
  <si>
    <t>11馆地下一层57</t>
  </si>
  <si>
    <t>11馆地下一层58</t>
  </si>
  <si>
    <t>11馆地下一层59</t>
  </si>
  <si>
    <t>11馆地下一层66</t>
  </si>
  <si>
    <t>11馆地下一层79</t>
  </si>
  <si>
    <t>11馆地下一层81</t>
  </si>
  <si>
    <t>11馆地下一层82</t>
  </si>
  <si>
    <t>11馆地下一层85</t>
  </si>
  <si>
    <t>11馆地下一层88</t>
  </si>
  <si>
    <t>11馆地下一层89</t>
  </si>
  <si>
    <t>11馆地下一层90</t>
  </si>
  <si>
    <t>11馆地下一层91</t>
  </si>
  <si>
    <t>11馆地下一层92</t>
  </si>
  <si>
    <t>11馆地下一层97</t>
  </si>
  <si>
    <t>11馆地下一层98</t>
  </si>
  <si>
    <t>11馆地下一层101</t>
  </si>
  <si>
    <t>11馆地下一层107</t>
  </si>
  <si>
    <t>11馆地下一层108</t>
  </si>
  <si>
    <t>11馆地下一层109</t>
  </si>
  <si>
    <t>11馆地下一层110</t>
  </si>
  <si>
    <t>11馆地下一层116</t>
  </si>
  <si>
    <t>11馆地下一层126</t>
  </si>
  <si>
    <t>11馆地下一层128</t>
  </si>
  <si>
    <t>11馆地下一层129</t>
  </si>
  <si>
    <t>11馆地下一层130</t>
  </si>
  <si>
    <t>11馆地下一层131</t>
  </si>
  <si>
    <t>11馆地下一层132</t>
  </si>
  <si>
    <t>11馆地下一层133</t>
  </si>
  <si>
    <t>11馆地下一层135</t>
  </si>
  <si>
    <t>11馆地下一层137</t>
  </si>
  <si>
    <t>11馆地下一层138</t>
  </si>
  <si>
    <t>11馆地下一层139</t>
  </si>
  <si>
    <t>11馆地下一层141</t>
  </si>
  <si>
    <t>11馆地下一层142</t>
  </si>
  <si>
    <t>11馆地下一层143</t>
  </si>
  <si>
    <t>11馆地下一层145</t>
  </si>
  <si>
    <t>11馆地下一层147</t>
  </si>
  <si>
    <t>11馆地下一层148</t>
  </si>
  <si>
    <t>11馆地下一层149</t>
  </si>
  <si>
    <t>11馆地下一层150</t>
  </si>
  <si>
    <t>11馆地下一层151</t>
  </si>
  <si>
    <t>11馆地下一层152</t>
  </si>
  <si>
    <t>11馆地下一层153</t>
  </si>
  <si>
    <t>11馆地下一层155</t>
  </si>
  <si>
    <t>11馆地下一层156</t>
  </si>
  <si>
    <t>11馆地下一层158</t>
  </si>
  <si>
    <t>11馆地下一层159</t>
  </si>
  <si>
    <t>11馆地下一层160</t>
  </si>
  <si>
    <t>11馆地下一层161</t>
  </si>
  <si>
    <t>11馆地下一层162</t>
  </si>
  <si>
    <t>11馆地下一层165</t>
  </si>
  <si>
    <t>11馆地下一层168</t>
  </si>
  <si>
    <t>11馆地下一层169</t>
  </si>
  <si>
    <t>11馆地下二层15</t>
  </si>
  <si>
    <t>11馆地下二层16</t>
  </si>
  <si>
    <t>11馆地下二层17</t>
  </si>
  <si>
    <t>11馆地下二层18</t>
  </si>
  <si>
    <t>11馆地下二层19</t>
  </si>
  <si>
    <t>11馆地下二层21</t>
  </si>
  <si>
    <t>11馆地下二层22</t>
  </si>
  <si>
    <t>11馆地下二层23</t>
  </si>
  <si>
    <t>11馆地下二层26</t>
  </si>
  <si>
    <t>11馆地下二层27</t>
  </si>
  <si>
    <t>11馆地下二层28</t>
  </si>
  <si>
    <t>11馆地下二层29</t>
  </si>
  <si>
    <t>11馆地下二层30</t>
  </si>
  <si>
    <t>11馆地下二层31</t>
  </si>
  <si>
    <t>11馆地下二层32</t>
  </si>
  <si>
    <t>11馆地下二层33</t>
  </si>
  <si>
    <t>11馆地下二层35</t>
  </si>
  <si>
    <t>11馆地下二层36</t>
  </si>
  <si>
    <t>11馆地下二层38</t>
  </si>
  <si>
    <t>11馆地下二层39</t>
  </si>
  <si>
    <t>11馆地下二层40</t>
  </si>
  <si>
    <t>11馆地下二层41</t>
  </si>
  <si>
    <t>11馆地下二层42</t>
  </si>
  <si>
    <t>11馆地下二层43</t>
  </si>
  <si>
    <t>11馆地下二层45</t>
  </si>
  <si>
    <t>11馆地下二层57</t>
  </si>
  <si>
    <t>11馆地下二层58</t>
  </si>
  <si>
    <t>11馆地下二层71</t>
  </si>
  <si>
    <t>11馆地下二层77</t>
  </si>
  <si>
    <t>11馆地下二层79</t>
  </si>
  <si>
    <t>11馆地下二层81</t>
  </si>
  <si>
    <t>11馆地下二层82</t>
  </si>
  <si>
    <t>11馆地下二层83</t>
  </si>
  <si>
    <t>11馆地下二层90</t>
  </si>
  <si>
    <t>11馆地下二层98</t>
  </si>
  <si>
    <t>11馆地下二层99</t>
  </si>
  <si>
    <t>11馆地下二层100</t>
  </si>
  <si>
    <t>11馆地下二层101</t>
  </si>
  <si>
    <t>11馆地下二层103</t>
  </si>
  <si>
    <t>11馆地下二层105</t>
  </si>
  <si>
    <t>11馆地下二层106</t>
  </si>
  <si>
    <t>11馆地下二层123</t>
  </si>
  <si>
    <t>11馆地下二层133</t>
  </si>
  <si>
    <t>11馆地下二层135</t>
  </si>
  <si>
    <t>11馆地下二层136</t>
  </si>
  <si>
    <t>11馆地下二层138</t>
  </si>
  <si>
    <t>11馆地下二层140</t>
  </si>
  <si>
    <t>11馆地下二层141</t>
  </si>
  <si>
    <t>11馆地下二层142</t>
  </si>
  <si>
    <t>11馆地下二层143</t>
  </si>
  <si>
    <t>11馆地下二层145</t>
  </si>
  <si>
    <t>11馆地下二层146</t>
  </si>
  <si>
    <t>11馆地下二层148</t>
  </si>
  <si>
    <t>11馆地下二层151</t>
  </si>
  <si>
    <t>11馆地下二层152</t>
  </si>
  <si>
    <t>11馆地下二层153</t>
  </si>
  <si>
    <t>11馆地下二层155</t>
  </si>
  <si>
    <t>11馆地下二层156</t>
  </si>
  <si>
    <t>11馆地下二层159</t>
  </si>
  <si>
    <t>11馆地下二层160</t>
  </si>
  <si>
    <t>11馆地下二层162</t>
  </si>
  <si>
    <t>11馆地下二层165</t>
  </si>
  <si>
    <t>11馆地下二层166</t>
  </si>
  <si>
    <t>11馆地下二层168</t>
  </si>
  <si>
    <t>11馆地下二层169</t>
  </si>
  <si>
    <t>11馆地下二层192</t>
  </si>
  <si>
    <t>11馆地下二层193</t>
  </si>
  <si>
    <t>11馆地下二层195</t>
  </si>
  <si>
    <t>11馆地下二层196</t>
  </si>
  <si>
    <t>11馆地下二层207</t>
  </si>
  <si>
    <t>11馆地下二层208</t>
  </si>
  <si>
    <t>11馆地下二层209</t>
  </si>
  <si>
    <t>11馆地下二层210</t>
  </si>
  <si>
    <t>11馆地下二层211</t>
  </si>
  <si>
    <t>12馆1层1</t>
  </si>
  <si>
    <t>12馆1层2</t>
  </si>
  <si>
    <t>12馆1层3</t>
  </si>
  <si>
    <t>12馆1层5</t>
  </si>
  <si>
    <t>12馆1层8</t>
  </si>
  <si>
    <t>12馆1层11</t>
  </si>
  <si>
    <t>12馆1层13</t>
  </si>
  <si>
    <t>12馆1层16</t>
  </si>
  <si>
    <t>12馆1层23</t>
  </si>
  <si>
    <t>12馆1层25</t>
  </si>
  <si>
    <t>12馆1层27</t>
  </si>
  <si>
    <t>12馆1层28</t>
  </si>
  <si>
    <t>12馆1层29</t>
  </si>
  <si>
    <t>12馆1层31</t>
  </si>
  <si>
    <t>12馆1层35</t>
  </si>
  <si>
    <t>12馆1层37</t>
  </si>
  <si>
    <t>12馆1层39</t>
  </si>
  <si>
    <t>12馆1层40</t>
  </si>
  <si>
    <t>12馆1层41</t>
  </si>
  <si>
    <t>12馆1层42</t>
  </si>
  <si>
    <t>12馆1层46</t>
  </si>
  <si>
    <t>12馆1层47</t>
  </si>
  <si>
    <t>12馆1层50</t>
  </si>
  <si>
    <t>12馆1层51</t>
  </si>
  <si>
    <t>12馆1层53</t>
  </si>
  <si>
    <t>12馆1层55</t>
  </si>
  <si>
    <t>12馆1层59</t>
  </si>
  <si>
    <t>12馆1层60</t>
  </si>
  <si>
    <t>12馆1层61</t>
  </si>
  <si>
    <t>12馆1层63</t>
  </si>
  <si>
    <t>12馆1层71</t>
  </si>
  <si>
    <t>12馆1层72</t>
  </si>
  <si>
    <t>12馆1层73</t>
  </si>
  <si>
    <t>12馆1层75</t>
  </si>
  <si>
    <t>12馆1层76</t>
  </si>
  <si>
    <t>12馆1层77</t>
  </si>
  <si>
    <t>12馆1层78</t>
  </si>
  <si>
    <t>12馆1层79</t>
  </si>
  <si>
    <t>12馆1层80</t>
  </si>
  <si>
    <t>12馆1层81</t>
  </si>
  <si>
    <t>12馆1层82</t>
  </si>
  <si>
    <t>12馆1层83</t>
  </si>
  <si>
    <t>12馆1层85</t>
  </si>
  <si>
    <t>12馆1层87</t>
  </si>
  <si>
    <t>12馆1层88</t>
  </si>
  <si>
    <t>12馆1层89</t>
  </si>
  <si>
    <t>12馆1层91</t>
  </si>
  <si>
    <t>12馆1层92</t>
  </si>
  <si>
    <t>12馆1层93</t>
  </si>
  <si>
    <t>12馆1层95</t>
  </si>
  <si>
    <t>12馆1层96</t>
  </si>
  <si>
    <t>12馆1层97</t>
  </si>
  <si>
    <t>12馆地下一层1</t>
  </si>
  <si>
    <t>12馆地下一层8</t>
  </si>
  <si>
    <t>12馆地下一层15</t>
  </si>
  <si>
    <t>12馆地下一层16</t>
  </si>
  <si>
    <t>12馆地下一层19</t>
  </si>
  <si>
    <t>12馆地下一层20</t>
  </si>
  <si>
    <t>12馆地下一层23</t>
  </si>
  <si>
    <t>12馆地下一层26</t>
  </si>
  <si>
    <t>12馆地下一层27</t>
  </si>
  <si>
    <t>12馆地下一层37</t>
  </si>
  <si>
    <t>12馆地下一层38</t>
  </si>
  <si>
    <t>12馆地下一层42</t>
  </si>
  <si>
    <t>12馆地下一层43</t>
  </si>
  <si>
    <t>12馆地下一层46</t>
  </si>
  <si>
    <t>12馆地下一层47</t>
  </si>
  <si>
    <t>12馆地下一层52</t>
  </si>
  <si>
    <t>12馆地下一层55</t>
  </si>
  <si>
    <t>12馆地下一层60</t>
  </si>
  <si>
    <t>12馆地下一层61</t>
  </si>
  <si>
    <t>12馆地下一层62</t>
  </si>
  <si>
    <t>12馆地下一层63</t>
  </si>
  <si>
    <t>12馆地下一层65</t>
  </si>
  <si>
    <t>12馆地下一层67</t>
  </si>
  <si>
    <t>12馆地下一层68</t>
  </si>
  <si>
    <t>12馆地下一层69</t>
  </si>
  <si>
    <t>12馆地下一层70</t>
  </si>
  <si>
    <t>12馆地下一层73</t>
  </si>
  <si>
    <t>12馆地下一层75</t>
  </si>
  <si>
    <t>12馆地下一层76</t>
  </si>
  <si>
    <t>12馆地下一层77</t>
  </si>
  <si>
    <t>12馆地下一层78</t>
  </si>
  <si>
    <t>12馆地下一层79</t>
  </si>
  <si>
    <t>12馆地下一层85</t>
  </si>
  <si>
    <t>12馆地下一层86</t>
  </si>
  <si>
    <t>12馆地下一层88</t>
  </si>
  <si>
    <t>12馆地下一层89</t>
  </si>
  <si>
    <t>12馆地下一层93</t>
  </si>
  <si>
    <t>12馆地下一层100</t>
  </si>
  <si>
    <t>12馆地下一层101</t>
  </si>
  <si>
    <t>12馆地下一层105</t>
  </si>
  <si>
    <t>12馆地下一层107</t>
  </si>
  <si>
    <t>12馆地下一层110</t>
  </si>
  <si>
    <t>12馆地下一层111</t>
  </si>
  <si>
    <t>12馆地下一层115</t>
  </si>
  <si>
    <t>12馆地下一层117</t>
  </si>
  <si>
    <t>12馆地下一层119</t>
  </si>
  <si>
    <t>12馆地下一层121</t>
  </si>
  <si>
    <t>12馆地下一层122</t>
  </si>
  <si>
    <t>12馆地下一层126</t>
  </si>
  <si>
    <t>12馆地下一层127</t>
  </si>
  <si>
    <t>12馆地下一层128</t>
  </si>
  <si>
    <t>12馆地下一层129</t>
  </si>
  <si>
    <t>12馆地下一层130</t>
  </si>
  <si>
    <t>12馆地下一层132</t>
  </si>
  <si>
    <t>12馆地下一层135</t>
  </si>
  <si>
    <t>12馆地下一层136</t>
  </si>
  <si>
    <t>12馆地下一层137</t>
  </si>
  <si>
    <t>12馆地下一层138</t>
  </si>
  <si>
    <t>12馆地下一层139</t>
  </si>
  <si>
    <t>12馆地下一层140</t>
  </si>
  <si>
    <t>12馆地下一层141</t>
  </si>
  <si>
    <t>12馆地下一层142</t>
  </si>
  <si>
    <t>12馆地下一层143</t>
  </si>
  <si>
    <t>12馆地下一层151</t>
  </si>
  <si>
    <t>12馆地下一层152</t>
  </si>
  <si>
    <t>12馆地下一层153</t>
  </si>
  <si>
    <t>12馆地下一层155</t>
  </si>
  <si>
    <t>12馆地下一层157</t>
  </si>
  <si>
    <t>12馆地下一层158</t>
  </si>
  <si>
    <t>12馆地下一层159</t>
  </si>
  <si>
    <t>12馆地下一层161</t>
  </si>
  <si>
    <t>12馆地下一层162</t>
  </si>
  <si>
    <t>12馆地下一层163</t>
  </si>
  <si>
    <t>12馆地下一层165</t>
  </si>
  <si>
    <t>12馆地下一层166</t>
  </si>
  <si>
    <t>12馆地下一层167</t>
  </si>
  <si>
    <t>12馆地下一层168</t>
  </si>
  <si>
    <t>12馆地下一层169</t>
  </si>
  <si>
    <t>12馆地下一层170</t>
  </si>
  <si>
    <t>12馆地下一层175</t>
  </si>
  <si>
    <t>12馆地下一层177</t>
  </si>
  <si>
    <t>12馆地下一层178</t>
  </si>
  <si>
    <t>12馆地下一层186</t>
  </si>
  <si>
    <t>12馆地下一层195</t>
  </si>
  <si>
    <t>12馆地下一层196</t>
  </si>
  <si>
    <t>12馆地下一层198</t>
  </si>
  <si>
    <t>12馆地下一层202</t>
  </si>
  <si>
    <t>12馆地下一层207</t>
  </si>
  <si>
    <t>12馆地下一层209</t>
  </si>
  <si>
    <t>12馆地下一层210</t>
  </si>
  <si>
    <t>12馆地下一层211</t>
  </si>
  <si>
    <t>12馆地下一层212</t>
  </si>
  <si>
    <t>12馆地下一层213</t>
  </si>
  <si>
    <t>12馆地下一层215</t>
  </si>
  <si>
    <t>12馆地下一层217</t>
  </si>
  <si>
    <t>12馆地下一层218</t>
  </si>
  <si>
    <t>12馆地下一层219</t>
  </si>
  <si>
    <t>12馆地下一层220</t>
  </si>
  <si>
    <t>12馆地下一层221</t>
  </si>
  <si>
    <t>12馆地下一层222</t>
  </si>
  <si>
    <t>12馆地下一层223</t>
  </si>
  <si>
    <t>12馆地下一层226</t>
  </si>
  <si>
    <t>12馆地下一层228</t>
  </si>
  <si>
    <t>12馆地下一层230</t>
  </si>
  <si>
    <t>12馆地下一层231</t>
  </si>
  <si>
    <t>12馆地下一层232</t>
  </si>
  <si>
    <t>12馆地下一层233</t>
  </si>
  <si>
    <t>12馆地下一层238</t>
  </si>
  <si>
    <t>12馆地下一层240</t>
  </si>
  <si>
    <t>12馆地下一层241</t>
  </si>
  <si>
    <t>12馆地下一层243</t>
  </si>
  <si>
    <t>12馆地下一层245</t>
  </si>
  <si>
    <t>12馆地下一层247</t>
  </si>
  <si>
    <t>12馆地下一层248</t>
  </si>
  <si>
    <t>12馆地下一层249</t>
  </si>
  <si>
    <t>12馆地下一层250</t>
  </si>
  <si>
    <t>12馆地下一层251</t>
  </si>
  <si>
    <t>12馆地下一层252</t>
  </si>
  <si>
    <t>12馆地下一层255</t>
  </si>
  <si>
    <t>12馆地下一层256</t>
  </si>
  <si>
    <t>12馆地下一层257</t>
  </si>
  <si>
    <t>12馆地下二层5</t>
  </si>
  <si>
    <t>12馆地下二层6</t>
  </si>
  <si>
    <t>12馆地下二层20</t>
  </si>
  <si>
    <t>12馆地下二层21</t>
  </si>
  <si>
    <t>12馆地下二层26</t>
  </si>
  <si>
    <t>12馆地下二层31</t>
  </si>
  <si>
    <t>12馆地下二层45</t>
  </si>
  <si>
    <t>19450</t>
  </si>
  <si>
    <t>12馆地下二层53</t>
  </si>
  <si>
    <t>12馆地下二层59</t>
  </si>
  <si>
    <t>12馆地下二层62</t>
  </si>
  <si>
    <t>12馆地下二层63</t>
  </si>
  <si>
    <t>12馆地下二层65</t>
  </si>
  <si>
    <t>12馆地下二层66</t>
  </si>
  <si>
    <t>12馆地下二层67</t>
  </si>
  <si>
    <t>12馆地下二层68</t>
  </si>
  <si>
    <t>12馆地下二层70</t>
  </si>
  <si>
    <t>12馆地下二层71</t>
  </si>
  <si>
    <t>12馆地下二层77</t>
  </si>
  <si>
    <t>12馆地下二层78</t>
  </si>
  <si>
    <t>12馆地下二层79</t>
  </si>
  <si>
    <t>13851.60</t>
  </si>
  <si>
    <t>12馆地下二层85</t>
  </si>
  <si>
    <t>12馆地下二层86</t>
  </si>
  <si>
    <t>12馆地下二层87</t>
  </si>
  <si>
    <t>12馆地下二层88</t>
  </si>
  <si>
    <t>12馆地下二层89</t>
  </si>
  <si>
    <t>12馆地下二层97</t>
  </si>
  <si>
    <t>12馆地下二层99</t>
  </si>
  <si>
    <t>12馆地下二层101</t>
  </si>
  <si>
    <t>12馆地下二层102</t>
  </si>
  <si>
    <t>12馆地下二层103</t>
  </si>
  <si>
    <t>10897.95</t>
  </si>
  <si>
    <t>12馆地下二层106</t>
  </si>
  <si>
    <t>12馆地下二层107</t>
  </si>
  <si>
    <t>12馆地下二层108</t>
  </si>
  <si>
    <t>12馆地下二层109</t>
  </si>
  <si>
    <t>12馆地下二层110</t>
  </si>
  <si>
    <t>12馆地下二层112</t>
  </si>
  <si>
    <t>12馆地下二层115</t>
  </si>
  <si>
    <t>14576</t>
  </si>
  <si>
    <t>12馆地下二层116</t>
  </si>
  <si>
    <t>12馆地下二层118</t>
  </si>
  <si>
    <t>12馆地下二层119</t>
  </si>
  <si>
    <t>12馆地下二层121</t>
  </si>
  <si>
    <t>12馆地下二层122</t>
  </si>
  <si>
    <t>12馆地下二层123</t>
  </si>
  <si>
    <t>12馆地下二层125</t>
  </si>
  <si>
    <t>12馆地下二层126</t>
  </si>
  <si>
    <t>12馆地下二层127</t>
  </si>
  <si>
    <t>12馆地下二层128</t>
  </si>
  <si>
    <t>12馆地下二层129</t>
  </si>
  <si>
    <t>12馆地下二层130</t>
  </si>
  <si>
    <t>11407.2</t>
  </si>
  <si>
    <t>12馆地下二层131</t>
  </si>
  <si>
    <t>12馆地下二层132</t>
  </si>
  <si>
    <t>12馆地下二层133</t>
  </si>
  <si>
    <t>16092.3</t>
  </si>
  <si>
    <t>12馆地下二层135</t>
  </si>
  <si>
    <t>12馆地下二层136</t>
  </si>
  <si>
    <t>12馆地下二层137</t>
  </si>
  <si>
    <t>12馆地下二层138</t>
  </si>
  <si>
    <t>12馆地下二层139</t>
  </si>
  <si>
    <t>12馆地下二层140</t>
  </si>
  <si>
    <t>12馆地下二层141</t>
  </si>
  <si>
    <t>15662</t>
  </si>
  <si>
    <t>12馆地下二层142</t>
  </si>
  <si>
    <t>13507.25</t>
  </si>
  <si>
    <t>12馆地下二层143</t>
  </si>
  <si>
    <t>18065</t>
  </si>
  <si>
    <t>12馆地下二层145</t>
  </si>
  <si>
    <t>12馆地下二层146</t>
  </si>
  <si>
    <t>12馆地下二层147</t>
  </si>
  <si>
    <t>12馆地下二层148</t>
  </si>
  <si>
    <t>12馆地下二层149</t>
  </si>
  <si>
    <t>12馆地下二层150</t>
  </si>
  <si>
    <t>10897.96</t>
  </si>
  <si>
    <t>12馆地下二层151</t>
  </si>
  <si>
    <t>12馆地下二层152</t>
  </si>
  <si>
    <t>12馆地下二层153</t>
  </si>
  <si>
    <t>12馆地下二层156</t>
  </si>
  <si>
    <t>12馆地下二层157</t>
  </si>
  <si>
    <t>12馆地下二层158</t>
  </si>
  <si>
    <t>12馆地下二层159</t>
  </si>
  <si>
    <t>12馆地下二层160</t>
  </si>
  <si>
    <t>12馆地下二层161</t>
  </si>
  <si>
    <t>12馆地下二层162</t>
  </si>
  <si>
    <t>12馆地下二层163</t>
  </si>
  <si>
    <t>12馆地下二层165</t>
  </si>
  <si>
    <t>12馆地下二层166</t>
  </si>
  <si>
    <t>12馆地下二层169</t>
  </si>
  <si>
    <t>12馆地下二层170</t>
  </si>
  <si>
    <t>12馆地下二层171</t>
  </si>
  <si>
    <t>12馆地下二层172</t>
  </si>
  <si>
    <t>12馆地下二层173</t>
  </si>
  <si>
    <t>15980</t>
  </si>
  <si>
    <t>12馆地下二层175</t>
  </si>
  <si>
    <t>12馆地下二层176</t>
  </si>
  <si>
    <t>12馆地下二层177</t>
  </si>
  <si>
    <t>12馆地下二层178</t>
  </si>
  <si>
    <t>12馆地下二层179</t>
  </si>
  <si>
    <t>12馆地下二层180</t>
  </si>
  <si>
    <t>12馆地下二层181</t>
  </si>
  <si>
    <t>12馆地下二层182</t>
  </si>
  <si>
    <t>12馆地下二层183</t>
  </si>
  <si>
    <t>12馆地下二层185</t>
  </si>
  <si>
    <t>12馆地下二层186</t>
  </si>
  <si>
    <t>12馆地下二层187</t>
  </si>
  <si>
    <t>12馆地下二层188</t>
  </si>
  <si>
    <t>12馆地下二层189</t>
  </si>
  <si>
    <t>12馆地下二层190</t>
  </si>
  <si>
    <t>12馆地下二层191</t>
  </si>
  <si>
    <t>12馆地下二层192</t>
  </si>
  <si>
    <t>12馆地下二层193</t>
  </si>
  <si>
    <t>12馆地下二层195</t>
  </si>
  <si>
    <t>12馆地下二层196</t>
  </si>
  <si>
    <t>12馆地下二层198</t>
  </si>
  <si>
    <t>12馆地下二层199</t>
  </si>
  <si>
    <t>12馆地下二层203</t>
  </si>
  <si>
    <t>12馆地下二层205</t>
  </si>
  <si>
    <t>12馆地下二层206</t>
  </si>
  <si>
    <t>12馆地下二层207</t>
  </si>
  <si>
    <t>12馆地下二层208</t>
  </si>
  <si>
    <t>12馆地下二层209</t>
  </si>
  <si>
    <t>12馆地下二层211</t>
  </si>
  <si>
    <t>12馆地下二层212</t>
  </si>
  <si>
    <t>12馆地下二层213</t>
  </si>
  <si>
    <t>17672</t>
  </si>
  <si>
    <t>12馆地下二层216</t>
  </si>
  <si>
    <t>12馆地下二层217</t>
  </si>
  <si>
    <t>12馆地下二层218</t>
  </si>
  <si>
    <t>12馆地下二层219</t>
  </si>
  <si>
    <t>12馆地下二层220</t>
  </si>
  <si>
    <t>12馆地下二层221</t>
  </si>
  <si>
    <t>12馆地下二层222</t>
  </si>
  <si>
    <t>12馆地下二层223</t>
  </si>
  <si>
    <t>12馆地下二层225</t>
  </si>
  <si>
    <t>17120.51</t>
  </si>
  <si>
    <t>12馆地下二层226</t>
  </si>
  <si>
    <t>13980</t>
  </si>
  <si>
    <t>12馆地下二层227</t>
  </si>
  <si>
    <t>12馆地下二层228</t>
  </si>
  <si>
    <t>12馆地下二层229</t>
  </si>
  <si>
    <t>13440</t>
  </si>
  <si>
    <t>12馆地下二层230</t>
  </si>
  <si>
    <t>12馆地下二层231</t>
  </si>
  <si>
    <t>12馆地下二层232</t>
  </si>
  <si>
    <t>12馆地下二层233</t>
  </si>
  <si>
    <t>12馆地下二层235</t>
  </si>
  <si>
    <t>12馆地下二层236</t>
  </si>
  <si>
    <t>12馆地下二层237</t>
  </si>
  <si>
    <t>12馆地下二层238</t>
  </si>
  <si>
    <t>12馆地下二层241</t>
  </si>
  <si>
    <t>12馆地下二层242</t>
  </si>
  <si>
    <t>11235</t>
  </si>
  <si>
    <t>12馆地下二层243</t>
  </si>
  <si>
    <t>12馆地下二层245</t>
  </si>
  <si>
    <t>12馆地下二层246</t>
  </si>
  <si>
    <t>12馆地下二层247</t>
  </si>
  <si>
    <t>12馆地下二层248</t>
  </si>
  <si>
    <t>12馆地下二层249</t>
  </si>
  <si>
    <t>12馆地下二层250</t>
  </si>
  <si>
    <t>12馆地下二层252</t>
  </si>
  <si>
    <t>16943</t>
  </si>
  <si>
    <t>12馆地下二层253</t>
  </si>
  <si>
    <t>12馆地下二层255</t>
  </si>
  <si>
    <t>12馆地下二层256</t>
  </si>
  <si>
    <t>12馆地下二层257</t>
  </si>
  <si>
    <t>12馆地下二层258</t>
  </si>
  <si>
    <t>12馆地下二层259</t>
  </si>
  <si>
    <t>12馆地下二层263</t>
  </si>
  <si>
    <t>12馆地下二层265</t>
  </si>
  <si>
    <t>12馆地下二层266</t>
  </si>
  <si>
    <t>17809.2</t>
  </si>
  <si>
    <t>12馆地下二层267</t>
  </si>
  <si>
    <t>12馆地下二层268</t>
  </si>
  <si>
    <t>12馆地下二层269</t>
  </si>
  <si>
    <t>12馆地下二层271</t>
  </si>
  <si>
    <t>面积</t>
  </si>
  <si>
    <t>合同总价</t>
  </si>
  <si>
    <t>签订时间</t>
  </si>
  <si>
    <t>已收金额</t>
  </si>
  <si>
    <t>正常</t>
  </si>
  <si>
    <t>利嘉国际商业城12号</t>
    <phoneticPr fontId="3" type="noConversion"/>
  </si>
  <si>
    <t>售价</t>
    <phoneticPr fontId="143" type="noConversion"/>
  </si>
  <si>
    <t>层数</t>
    <phoneticPr fontId="3" type="noConversion"/>
  </si>
  <si>
    <t>销售均价（2017）</t>
    <phoneticPr fontId="143" type="noConversion"/>
  </si>
  <si>
    <t>编号</t>
    <phoneticPr fontId="143" type="noConversion"/>
  </si>
  <si>
    <t>面积</t>
    <phoneticPr fontId="143" type="noConversion"/>
  </si>
  <si>
    <t>合同总价</t>
    <phoneticPr fontId="143" type="noConversion"/>
  </si>
  <si>
    <t>签订时间</t>
    <phoneticPr fontId="143" type="noConversion"/>
  </si>
  <si>
    <t>已收金额</t>
    <phoneticPr fontId="143" type="noConversion"/>
  </si>
  <si>
    <t>合计</t>
    <phoneticPr fontId="143" type="noConversion"/>
  </si>
  <si>
    <t>1层建筑面积</t>
    <phoneticPr fontId="143" type="noConversion"/>
  </si>
  <si>
    <t>2层建筑面积</t>
    <phoneticPr fontId="143" type="noConversion"/>
  </si>
  <si>
    <t>3层建筑面积</t>
    <phoneticPr fontId="143" type="noConversion"/>
  </si>
  <si>
    <t>4层建筑面积</t>
    <phoneticPr fontId="143" type="noConversion"/>
  </si>
  <si>
    <t>5层建筑面积</t>
    <phoneticPr fontId="143" type="noConversion"/>
  </si>
  <si>
    <t>负1建筑面积</t>
    <phoneticPr fontId="143" type="noConversion"/>
  </si>
  <si>
    <t>负2建筑面积</t>
    <phoneticPr fontId="143" type="noConversion"/>
  </si>
  <si>
    <r>
      <t>4/5</t>
    </r>
    <r>
      <rPr>
        <sz val="10"/>
        <color indexed="8"/>
        <rFont val="宋体"/>
        <family val="3"/>
        <charset val="134"/>
      </rPr>
      <t>层</t>
    </r>
    <phoneticPr fontId="7" type="noConversion"/>
  </si>
  <si>
    <r>
      <t>4/5</t>
    </r>
    <r>
      <rPr>
        <b/>
        <sz val="10"/>
        <color indexed="10"/>
        <rFont val="宋体"/>
        <family val="3"/>
        <charset val="134"/>
      </rPr>
      <t>层</t>
    </r>
    <phoneticPr fontId="25" type="noConversion"/>
  </si>
  <si>
    <t>非生产用房</t>
  </si>
  <si>
    <t>否</t>
  </si>
  <si>
    <t>收益法1层</t>
  </si>
  <si>
    <t>收益法2层</t>
  </si>
  <si>
    <t>收益法3层</t>
  </si>
  <si>
    <t>收益法4.5层</t>
    <phoneticPr fontId="16" type="noConversion"/>
  </si>
  <si>
    <t>收益法-2层</t>
  </si>
  <si>
    <t>收益法-1层</t>
    <phoneticPr fontId="16" type="noConversion"/>
  </si>
  <si>
    <t>4/5层</t>
  </si>
  <si>
    <t>—1层</t>
  </si>
  <si>
    <t>—2层</t>
  </si>
  <si>
    <t>收益法1层</t>
    <phoneticPr fontId="16" type="noConversion"/>
  </si>
  <si>
    <t>典型户型修正</t>
  </si>
  <si>
    <t>典型户型修正</t>
    <phoneticPr fontId="16" type="noConversion"/>
  </si>
  <si>
    <t>收益法（汇总）</t>
  </si>
  <si>
    <t>现房</t>
  </si>
  <si>
    <t>项目局部</t>
  </si>
  <si>
    <t>收益比率</t>
  </si>
  <si>
    <t>利嘉国际商业城7A号</t>
    <phoneticPr fontId="3" type="noConversion"/>
  </si>
  <si>
    <t>押一</t>
  </si>
  <si>
    <t>不可餐饮</t>
  </si>
  <si>
    <t>郑燚</t>
  </si>
  <si>
    <t>王鹏</t>
  </si>
  <si>
    <r>
      <rPr>
        <sz val="12"/>
        <color theme="9" tint="-0.249977111117893"/>
        <rFont val="宋体"/>
        <family val="3"/>
        <charset val="134"/>
      </rPr>
      <t>仓山区盖山镇天水路</t>
    </r>
    <r>
      <rPr>
        <sz val="12"/>
        <color theme="9" tint="-0.249977111117893"/>
        <rFont val="Arial"/>
        <family val="2"/>
      </rPr>
      <t>6</t>
    </r>
    <r>
      <rPr>
        <sz val="12"/>
        <color theme="9" tint="-0.249977111117893"/>
        <rFont val="宋体"/>
        <family val="3"/>
        <charset val="134"/>
      </rPr>
      <t>号（原天水路北侧）利嘉海峡商业城（二区）</t>
    </r>
    <r>
      <rPr>
        <sz val="12"/>
        <color theme="9" tint="-0.249977111117893"/>
        <rFont val="Arial"/>
        <family val="2"/>
      </rPr>
      <t>6A#</t>
    </r>
    <r>
      <rPr>
        <sz val="12"/>
        <color theme="9" tint="-0.249977111117893"/>
        <rFont val="宋体"/>
        <family val="3"/>
        <charset val="134"/>
      </rPr>
      <t>、</t>
    </r>
    <r>
      <rPr>
        <sz val="12"/>
        <color theme="9" tint="-0.249977111117893"/>
        <rFont val="Arial"/>
        <family val="2"/>
      </rPr>
      <t>6B#</t>
    </r>
    <r>
      <rPr>
        <sz val="12"/>
        <color theme="9" tint="-0.249977111117893"/>
        <rFont val="宋体"/>
        <family val="3"/>
        <charset val="134"/>
      </rPr>
      <t>、</t>
    </r>
    <r>
      <rPr>
        <sz val="12"/>
        <color theme="9" tint="-0.249977111117893"/>
        <rFont val="Arial"/>
        <family val="2"/>
      </rPr>
      <t>7A#</t>
    </r>
    <r>
      <rPr>
        <sz val="12"/>
        <color theme="9" tint="-0.249977111117893"/>
        <rFont val="宋体"/>
        <family val="3"/>
        <charset val="134"/>
      </rPr>
      <t>、</t>
    </r>
    <r>
      <rPr>
        <sz val="12"/>
        <color theme="9" tint="-0.249977111117893"/>
        <rFont val="Arial"/>
        <family val="2"/>
      </rPr>
      <t>7B#</t>
    </r>
    <r>
      <rPr>
        <sz val="12"/>
        <color theme="9" tint="-0.249977111117893"/>
        <rFont val="宋体"/>
        <family val="3"/>
        <charset val="134"/>
      </rPr>
      <t>、</t>
    </r>
    <r>
      <rPr>
        <sz val="12"/>
        <color theme="9" tint="-0.249977111117893"/>
        <rFont val="Arial"/>
        <family val="2"/>
      </rPr>
      <t>9#</t>
    </r>
    <r>
      <rPr>
        <sz val="12"/>
        <color theme="9" tint="-0.249977111117893"/>
        <rFont val="宋体"/>
        <family val="3"/>
        <charset val="134"/>
      </rPr>
      <t>、</t>
    </r>
    <r>
      <rPr>
        <sz val="12"/>
        <color theme="9" tint="-0.249977111117893"/>
        <rFont val="Arial"/>
        <family val="2"/>
      </rPr>
      <t>11#</t>
    </r>
    <r>
      <rPr>
        <sz val="12"/>
        <color theme="9" tint="-0.249977111117893"/>
        <rFont val="宋体"/>
        <family val="3"/>
        <charset val="134"/>
      </rPr>
      <t>、</t>
    </r>
    <r>
      <rPr>
        <sz val="12"/>
        <color theme="9" tint="-0.249977111117893"/>
        <rFont val="Arial"/>
        <family val="2"/>
      </rPr>
      <t>12#</t>
    </r>
    <r>
      <rPr>
        <sz val="12"/>
        <color theme="9" tint="-0.249977111117893"/>
        <rFont val="宋体"/>
        <family val="3"/>
        <charset val="134"/>
      </rPr>
      <t>馆部分商业</t>
    </r>
    <phoneticPr fontId="6" type="noConversion"/>
  </si>
  <si>
    <t>福建省福州市</t>
    <phoneticPr fontId="6" type="noConversion"/>
  </si>
  <si>
    <r>
      <rPr>
        <sz val="11"/>
        <color indexed="8"/>
        <rFont val="宋体"/>
        <family val="3"/>
        <charset val="134"/>
      </rPr>
      <t>《福建省人民政府关于调整城镇土地使用税税额标准的通知》（闽政文〔</t>
    </r>
    <r>
      <rPr>
        <sz val="11"/>
        <color indexed="8"/>
        <rFont val="Arial"/>
        <family val="2"/>
      </rPr>
      <t>2007</t>
    </r>
    <r>
      <rPr>
        <sz val="11"/>
        <color indexed="8"/>
        <rFont val="宋体"/>
        <family val="3"/>
        <charset val="134"/>
      </rPr>
      <t>〕</t>
    </r>
    <r>
      <rPr>
        <sz val="11"/>
        <color indexed="8"/>
        <rFont val="Arial"/>
        <family val="2"/>
      </rPr>
      <t>454</t>
    </r>
    <r>
      <rPr>
        <sz val="11"/>
        <color indexed="8"/>
        <rFont val="宋体"/>
        <family val="3"/>
        <charset val="134"/>
      </rPr>
      <t>号）</t>
    </r>
    <phoneticPr fontId="3" type="noConversion"/>
  </si>
  <si>
    <r>
      <t>—1</t>
    </r>
    <r>
      <rPr>
        <sz val="11"/>
        <color indexed="8"/>
        <rFont val="宋体"/>
        <family val="3"/>
        <charset val="134"/>
      </rPr>
      <t>层</t>
    </r>
    <phoneticPr fontId="3" type="noConversion"/>
  </si>
  <si>
    <r>
      <t>—2层</t>
    </r>
    <r>
      <rPr>
        <sz val="11"/>
        <color indexed="8"/>
        <rFont val="宋体"/>
        <family val="3"/>
        <charset val="134"/>
      </rPr>
      <t/>
    </r>
    <phoneticPr fontId="3" type="noConversion"/>
  </si>
  <si>
    <t>分摊土地面积暂按容积率倒推计算</t>
    <phoneticPr fontId="3" type="noConversion"/>
  </si>
  <si>
    <t>按容积率倒推</t>
    <phoneticPr fontId="6" type="noConversion"/>
  </si>
  <si>
    <r>
      <t>S</t>
    </r>
    <r>
      <rPr>
        <sz val="11"/>
        <color theme="1"/>
        <rFont val="宋体"/>
        <family val="3"/>
        <charset val="134"/>
        <scheme val="minor"/>
      </rPr>
      <t>UMIF</t>
    </r>
    <phoneticPr fontId="143" type="noConversion"/>
  </si>
  <si>
    <t>楼层</t>
  </si>
  <si>
    <t>楼层</t>
    <phoneticPr fontId="143" type="noConversion"/>
  </si>
  <si>
    <t>1</t>
  </si>
  <si>
    <t>1</t>
    <phoneticPr fontId="143" type="noConversion"/>
  </si>
  <si>
    <t>2</t>
  </si>
  <si>
    <t>2</t>
    <phoneticPr fontId="143" type="noConversion"/>
  </si>
  <si>
    <t>3</t>
  </si>
  <si>
    <t>3</t>
    <phoneticPr fontId="143" type="noConversion"/>
  </si>
  <si>
    <t>4</t>
    <phoneticPr fontId="143" type="noConversion"/>
  </si>
  <si>
    <t>5</t>
    <phoneticPr fontId="143" type="noConversion"/>
  </si>
  <si>
    <r>
      <t>-</t>
    </r>
    <r>
      <rPr>
        <sz val="11"/>
        <color theme="1"/>
        <rFont val="宋体"/>
        <family val="3"/>
        <charset val="134"/>
        <scheme val="minor"/>
      </rPr>
      <t>1</t>
    </r>
    <phoneticPr fontId="143" type="noConversion"/>
  </si>
  <si>
    <r>
      <t>-</t>
    </r>
    <r>
      <rPr>
        <sz val="11"/>
        <color theme="1"/>
        <rFont val="宋体"/>
        <family val="3"/>
        <charset val="134"/>
        <scheme val="minor"/>
      </rPr>
      <t>2</t>
    </r>
    <phoneticPr fontId="143" type="noConversion"/>
  </si>
  <si>
    <t>合计</t>
    <phoneticPr fontId="143" type="noConversion"/>
  </si>
  <si>
    <t>SUMIF</t>
  </si>
  <si>
    <t>-1</t>
  </si>
  <si>
    <t>-2</t>
  </si>
  <si>
    <t>总价</t>
  </si>
  <si>
    <t>楼面单价</t>
  </si>
  <si>
    <t>地面单价</t>
  </si>
  <si>
    <t>COUNTIF</t>
  </si>
  <si>
    <t>COUNTIF</t>
    <phoneticPr fontId="143" type="noConversion"/>
  </si>
  <si>
    <t>套均面积</t>
  </si>
  <si>
    <t>套均面积</t>
    <phoneticPr fontId="143" type="noConversion"/>
  </si>
  <si>
    <t>4/5</t>
    <phoneticPr fontId="143" type="noConversion"/>
  </si>
  <si>
    <t>套均面积</t>
    <phoneticPr fontId="3" type="noConversion"/>
  </si>
  <si>
    <t>0-50</t>
    <phoneticPr fontId="143" type="noConversion"/>
  </si>
  <si>
    <t>50-100</t>
  </si>
  <si>
    <t>50-100</t>
    <phoneticPr fontId="143" type="noConversion"/>
  </si>
  <si>
    <t>套均面积</t>
    <phoneticPr fontId="25" type="noConversion"/>
  </si>
  <si>
    <t>估价结果</t>
    <phoneticPr fontId="25" type="noConversion"/>
  </si>
  <si>
    <t>楼面单价</t>
    <phoneticPr fontId="25" type="noConversion"/>
  </si>
  <si>
    <t>正常</t>
    <phoneticPr fontId="25" type="noConversion"/>
  </si>
  <si>
    <t>押三</t>
  </si>
  <si>
    <t>较大</t>
  </si>
  <si>
    <t>一般</t>
    <phoneticPr fontId="31" type="noConversion"/>
  </si>
  <si>
    <t>较好</t>
    <phoneticPr fontId="31" type="noConversion"/>
  </si>
  <si>
    <t>单面临街</t>
  </si>
  <si>
    <t>一般</t>
    <phoneticPr fontId="31" type="noConversion"/>
  </si>
  <si>
    <t>房地产抵押价值</t>
  </si>
  <si>
    <t>利嘉国际商业城11号</t>
    <phoneticPr fontId="3" type="noConversion"/>
  </si>
  <si>
    <t>闽（2017）福州市不动产权第9057692号</t>
  </si>
  <si>
    <t>闽（2017）福州市不动产权第9057694号</t>
  </si>
  <si>
    <t>闽（2017）福州市不动产权第9057698号</t>
  </si>
  <si>
    <t>闽（2017）福州市不动产权第9057703号</t>
  </si>
  <si>
    <t>闽（2017）福州市不动产权第9057696号</t>
  </si>
  <si>
    <t>闽（2017）福州市不动产权第9057699号</t>
  </si>
  <si>
    <t>闽（2017）福州市不动产权第9057701号</t>
  </si>
  <si>
    <t>闽（2017）福州市不动产权第9057828号</t>
  </si>
  <si>
    <t>闽（2017）福州市不动产权第9057827号</t>
  </si>
  <si>
    <t>闽（2017）福州市不动产权第9057826号</t>
  </si>
  <si>
    <t>闽（2017）福州市不动产权第9057673号</t>
  </si>
  <si>
    <t>闽（2017）福州市不动产权第9057676号</t>
  </si>
  <si>
    <t>闽（2017）福州市不动产权第9057678号</t>
  </si>
  <si>
    <t>闽（2017）福州市不动产权第9057681号</t>
  </si>
  <si>
    <t>闽（2017）福州市不动产权第9057685号</t>
  </si>
  <si>
    <t>闽（2017）福州市不动产权第9057686号</t>
  </si>
  <si>
    <t>闽（2017）福州市不动产权第9057683号</t>
  </si>
  <si>
    <t>闽（2017）福州市不动产权第9057830号</t>
  </si>
  <si>
    <t>闽（2017）福州市不动产权第9057687号</t>
  </si>
  <si>
    <t>闽（2017）福州市不动产权第9057689号</t>
  </si>
  <si>
    <t>闽（2017）福州市不动产权第9057690号</t>
  </si>
  <si>
    <t>闽（2017）福州市不动产权第9057829号</t>
  </si>
  <si>
    <t>闽（2017）福州市不动产权第9057666号</t>
  </si>
  <si>
    <t>闽（2017）福州市不动产权第9057667号</t>
  </si>
  <si>
    <t>闽（2017）福州市不动产权第9057669号</t>
  </si>
  <si>
    <t>闽（2017）福州市不动产权第9057869号</t>
  </si>
  <si>
    <t>闽（2017）福州市不动产权第9057868号</t>
  </si>
  <si>
    <t>闽（2017）福州市不动产权第9057867号</t>
  </si>
  <si>
    <t>闽（2017）福州市不动产权第9057851号</t>
  </si>
  <si>
    <t>闽（2017）福州市不动产权第9057842号</t>
  </si>
  <si>
    <t>闽（2017）福州市不动产权第9057840号</t>
  </si>
  <si>
    <t>闽（2017）福州市不动产权第9057865号</t>
  </si>
  <si>
    <t>闽（2017）福州市不动产权第9057606号</t>
  </si>
  <si>
    <t>闽（2017）福州市不动产权第9057610号</t>
  </si>
  <si>
    <t>闽（2017）福州市不动产权第9057614号</t>
  </si>
  <si>
    <t>闽（2017）福州市不动产权第9057616号</t>
  </si>
  <si>
    <t>闽（2017）福州市不动产权第9057639号</t>
  </si>
  <si>
    <t>闽（2017）福州市不动产权第9057653号</t>
  </si>
  <si>
    <t>闽（2017）福州市不动产权第9057655号</t>
  </si>
  <si>
    <t>闽（2017）福州市不动产权第9057841号</t>
  </si>
  <si>
    <t>闽（2017）福州市不动产权第9057656号</t>
  </si>
  <si>
    <t>闽（2017）福州市不动产权第9057665号</t>
  </si>
  <si>
    <t>闽（2017）福州市不动产权第9057848号</t>
  </si>
  <si>
    <t>闽（2017）福州市不动产权第9057847号</t>
  </si>
  <si>
    <t>闽（2017）福州市不动产权第9057846号</t>
  </si>
  <si>
    <t>闽（2017）福州市不动产权第9057658号</t>
  </si>
  <si>
    <t>闽（2017）福州市不动产权第9057663号</t>
  </si>
  <si>
    <t>闽（2017）福州市不动产权第9057845号</t>
  </si>
  <si>
    <t>闽（2017）福州市不动产权第9057844号</t>
  </si>
  <si>
    <t>闽（2017）福州市不动产权第9057850号</t>
  </si>
  <si>
    <t>闽（2017）福州市不动产权第9057849号</t>
  </si>
  <si>
    <t>闽（2017）福州市不动产权第9057592号</t>
  </si>
  <si>
    <t>闽（2017）福州市不动产权第9057593号</t>
  </si>
  <si>
    <t>闽（2017）福州市不动产权第9057594号</t>
  </si>
  <si>
    <t>闽（2017）福州市不动产权第9057595号</t>
  </si>
  <si>
    <t>闽（2017）福州市不动产权第9057597号</t>
  </si>
  <si>
    <t>闽（2017）福州市不动产权第9057604号</t>
  </si>
  <si>
    <t>闽（2017）福州市不动产权第9057598号</t>
  </si>
  <si>
    <t>闽（2017）福州市不动产权第9057599号</t>
  </si>
  <si>
    <t>闽（2017）福州市不动产权第9057603号</t>
  </si>
  <si>
    <t>闽（2017）福州市不动产权第9057500号</t>
  </si>
  <si>
    <t>闽（2017）福州市不动产权第9057506号</t>
  </si>
  <si>
    <t>闽（2017）福州市不动产权第9057509号</t>
  </si>
  <si>
    <t>闽（2017）福州市不动产权第9057512号</t>
  </si>
  <si>
    <t>闽（2017）福州市不动产权第9057513号</t>
  </si>
  <si>
    <t>闽（2017）福州市不动产权第9057516号</t>
  </si>
  <si>
    <t>闽（2017）福州市不动产权第9057518号</t>
  </si>
  <si>
    <t>闽（2017）福州市不动产权第9057520号</t>
  </si>
  <si>
    <t>闽（2017）福州市不动产权第9057522号</t>
  </si>
  <si>
    <t>闽（2017）福州市不动产权第9057523号</t>
  </si>
  <si>
    <t>闽（2017）福州市不动产权第9057864号</t>
  </si>
  <si>
    <t>闽（2017）福州市不动产权第9057863号</t>
  </si>
  <si>
    <t>闽（2017）福州市不动产权第9057862号</t>
  </si>
  <si>
    <t>闽（2017）福州市不动产权第9057861号</t>
  </si>
  <si>
    <t>闽（2017）福州市不动产权第9057860号</t>
  </si>
  <si>
    <t>闽（2017）福州市不动产权第9057859号</t>
  </si>
  <si>
    <t>闽（2017）福州市不动产权第9057858号</t>
  </si>
  <si>
    <t>闽（2017）福州市不动产权第9057857号</t>
  </si>
  <si>
    <t>闽（2017）福州市不动产权第9057856号</t>
  </si>
  <si>
    <t>闽（2017）福州市不动产权第9057855号</t>
  </si>
  <si>
    <t>闽（2017）福州市不动产权第9057854号</t>
  </si>
  <si>
    <t>闽（2017）福州市不动产权第9057853号</t>
  </si>
  <si>
    <t>闽（2017）福州市不动产权第9057777号</t>
  </si>
  <si>
    <t>闽（2017）福州市不动产权第9057568号</t>
  </si>
  <si>
    <t>闽（2017）福州市不动产权第9057569号</t>
  </si>
  <si>
    <t>闽（2017）福州市不动产权第9057570号</t>
  </si>
  <si>
    <t>闽（2017）福州市不动产权第9057571号</t>
  </si>
  <si>
    <t>闽（2017）福州市不动产权第9057795号</t>
  </si>
  <si>
    <t>闽（2017）福州市不动产权第9057793号</t>
  </si>
  <si>
    <t>闽（2017）福州市不动产权第9057792号</t>
  </si>
  <si>
    <t>闽（2017）福州市不动产权第9057791号</t>
  </si>
  <si>
    <t>闽（2017）福州市不动产权第9057790号</t>
  </si>
  <si>
    <t>闽（2017）福州市不动产权第9057789号</t>
  </si>
  <si>
    <t>闽（2017）福州市不动产权第9057788号</t>
  </si>
  <si>
    <t>闽（2017）福州市不动产权第9057787号</t>
  </si>
  <si>
    <t>闽（2017）福州市不动产权第9057548号</t>
  </si>
  <si>
    <t>闽（2017）福州市不动产权第9057572号</t>
  </si>
  <si>
    <t>闽（2017）福州市不动产权第9057573号</t>
  </si>
  <si>
    <t>闽（2017）福州市不动产权第9057574号</t>
  </si>
  <si>
    <t>闽（2017）福州市不动产权第9057575号</t>
  </si>
  <si>
    <t>闽（2017）福州市不动产权第9057576号</t>
  </si>
  <si>
    <t>闽（2017）福州市不动产权第9057577号</t>
  </si>
  <si>
    <t>闽（2017）福州市不动产权第9057578号</t>
  </si>
  <si>
    <t>闽（2017）福州市不动产权第9057798号</t>
  </si>
  <si>
    <t>闽（2017）福州市不动产权第9057797号</t>
  </si>
  <si>
    <t>闽（2017）福州市不动产权第9057525号</t>
  </si>
  <si>
    <t>闽（2017）福州市不动产权第9057526号</t>
  </si>
  <si>
    <t>闽（2017）福州市不动产权第9057527号</t>
  </si>
  <si>
    <t>闽（2017）福州市不动产权第9057807号</t>
  </si>
  <si>
    <t>闽（2017）福州市不动产权第9057806号</t>
  </si>
  <si>
    <t>闽（2017）福州市不动产权第9057805号</t>
  </si>
  <si>
    <t>闽（2017）福州市不动产权第9057804号</t>
  </si>
  <si>
    <t>闽（2017）福州市不动产权第9057803号</t>
  </si>
  <si>
    <t>闽（2017）福州市不动产权第9057563号</t>
  </si>
  <si>
    <t>闽（2017）福州市不动产权第9057802号</t>
  </si>
  <si>
    <t>闽（2017）福州市不动产权第9057801号</t>
  </si>
  <si>
    <t>闽（2017）福州市不动产权第9057549号</t>
  </si>
  <si>
    <t>闽（2017）福州市不动产权第9057550号</t>
  </si>
  <si>
    <t>闽（2017）福州市不动产权第9057551号</t>
  </si>
  <si>
    <t>闽（2017）福州市不动产权第9057552号</t>
  </si>
  <si>
    <t>闽（2017）福州市不动产权第9057553号</t>
  </si>
  <si>
    <t>闽（2017）福州市不动产权第9057554号</t>
  </si>
  <si>
    <t>闽（2017）福州市不动产权第9057555号</t>
  </si>
  <si>
    <t>闽（2017）福州市不动产权第9057556号</t>
  </si>
  <si>
    <t>闽（2017）福州市不动产权第9057784号</t>
  </si>
  <si>
    <t>闽（2017）福州市不动产权第9057783号</t>
  </si>
  <si>
    <t>闽（2017）福州市不动产权第9057782号</t>
  </si>
  <si>
    <t>闽（2017）福州市不动产权第9057781号</t>
  </si>
  <si>
    <t>闽（2017）福州市不动产权第9057780号</t>
  </si>
  <si>
    <t>闽（2017）福州市不动产权第9057779号</t>
  </si>
  <si>
    <t>闽（2017）福州市不动产权第9057778号</t>
  </si>
  <si>
    <t>闽（2017）福州市不动产权第9057557号</t>
  </si>
  <si>
    <t>闽（2017）福州市不动产权第9057558号</t>
  </si>
  <si>
    <t>闽（2017）福州市不动产权第9057559号</t>
  </si>
  <si>
    <t>闽（2017）福州市不动产权第9057560号</t>
  </si>
  <si>
    <t>闽（2017）福州市不动产权第9057561号</t>
  </si>
  <si>
    <t>闽（2017）福州市不动产权第9057562号</t>
  </si>
  <si>
    <t>闽（2017）福州市不动产权第9057808号</t>
  </si>
  <si>
    <t>闽（2017）福州市不动产权第9057809号</t>
  </si>
  <si>
    <t>闽（2017）福州市不动产权第9057810号</t>
  </si>
  <si>
    <t>闽（2017）福州市不动产权第9057811号</t>
  </si>
  <si>
    <t>闽（2017）福州市不动产权第9057812号</t>
  </si>
  <si>
    <t>闽（2017）福州市不动产权第9057813号</t>
  </si>
  <si>
    <t>闽（2017）福州市不动产权第9057814号</t>
  </si>
  <si>
    <t>闽（2017）福州市不动产权第9057815号</t>
  </si>
  <si>
    <t>闽（2017）福州市不动产权第9057816号</t>
  </si>
  <si>
    <t>闽（2017）福州市不动产权第9057818号</t>
  </si>
  <si>
    <t>闽（2017）福州市不动产权第9057819号</t>
  </si>
  <si>
    <t>闽（2017）福州市不动产权第9057820号</t>
  </si>
  <si>
    <t>闽（2017）福州市不动产权第9060400号</t>
  </si>
  <si>
    <t>闽（2017）福州市不动产权第9060399号</t>
  </si>
  <si>
    <t>闽（2017）福州市不动产权第9060398号</t>
  </si>
  <si>
    <t>闽（2017）福州市不动产权第9060397号</t>
  </si>
  <si>
    <t>闽（2017）福州市不动产权第9060396号</t>
  </si>
  <si>
    <t>闽（2017）福州市不动产权第9060395号</t>
  </si>
  <si>
    <t>闽（2017）福州市不动产权第9060394号</t>
  </si>
  <si>
    <t>闽（2017）福州市不动产权第9060393号</t>
  </si>
  <si>
    <t>闽（2017）福州市不动产权第9060392号</t>
  </si>
  <si>
    <t>闽（2017）福州市不动产权第9060391号</t>
  </si>
  <si>
    <t>闽（2017）福州市不动产权第9060390号</t>
  </si>
  <si>
    <t>闽（2017）福州市不动产权第9058432号</t>
  </si>
  <si>
    <t>闽（2017）福州市不动产权第9058439号</t>
  </si>
  <si>
    <t>闽（2017）福州市不动产权第9058443号</t>
  </si>
  <si>
    <t>闽（2017）福州市不动产权第9058445号</t>
  </si>
  <si>
    <t>闽（2017）福州市不动产权第9058448号</t>
  </si>
  <si>
    <t>闽（2017）福州市不动产权第9058434号</t>
  </si>
  <si>
    <t>闽（2017）福州市不动产权第9058430号</t>
  </si>
  <si>
    <t>闽（2017）福州市不动产权第9058437号</t>
  </si>
  <si>
    <t>闽（2017）福州市不动产权第9058449号</t>
  </si>
  <si>
    <t>闽（2017）福州市不动产权第9058451号</t>
  </si>
  <si>
    <t>闽（2017）福州市不动产权第9060457号</t>
  </si>
  <si>
    <t>闽（2017）福州市不动产权第9060455号</t>
  </si>
  <si>
    <t>闽（2017）福州市不动产权第9060446号</t>
  </si>
  <si>
    <t>闽（2017）福州市不动产权第9060447号</t>
  </si>
  <si>
    <t>闽（2017）福州市不动产权第9060448号</t>
  </si>
  <si>
    <t>闽（2017）福州市不动产权第9058487号</t>
  </si>
  <si>
    <t>闽（2017）福州市不动产权第9058476号</t>
  </si>
  <si>
    <t>闽（2017）福州市不动产权第9058477号</t>
  </si>
  <si>
    <t>闽（2017）福州市不动产权第9058489号</t>
  </si>
  <si>
    <t>闽（2017）福州市不动产权第9058490号</t>
  </si>
  <si>
    <t>闽（2017）福州市不动产权第9058491号</t>
  </si>
  <si>
    <t>闽（2017）福州市不动产权第9058492号</t>
  </si>
  <si>
    <t>闽（2017）福州市不动产权第9058494号</t>
  </si>
  <si>
    <t>闽（2017）福州市不动产权第9058478号</t>
  </si>
  <si>
    <t>闽（2017）福州市不动产权第9058482号</t>
  </si>
  <si>
    <t>闽（2017）福州市不动产权第9058486号</t>
  </si>
  <si>
    <t>闽（2017）福州市不动产权第9058470号</t>
  </si>
  <si>
    <t>闽（2017）福州市不动产权第9058473号</t>
  </si>
  <si>
    <t>闽（2017）福州市不动产权第9058474号</t>
  </si>
  <si>
    <t>闽（2017）福州市不动产权第9058475号</t>
  </si>
  <si>
    <t>闽（2017）福州市不动产权第9060449号</t>
  </si>
  <si>
    <t>闽（2017）福州市不动产权第9060450号</t>
  </si>
  <si>
    <t>闽（2017）福州市不动产权第9060524号</t>
  </si>
  <si>
    <t>闽（2017）福州市不动产权第9060493号</t>
  </si>
  <si>
    <t>闽（2017）福州市不动产权第9058457号</t>
  </si>
  <si>
    <t>闽（2017）福州市不动产权第9058459号</t>
  </si>
  <si>
    <t>闽（2017）福州市不动产权第9058461号</t>
  </si>
  <si>
    <t>闽（2017）福州市不动产权第9058465号</t>
  </si>
  <si>
    <t>闽（2017）福州市不动产权第9058413号</t>
  </si>
  <si>
    <t>闽（2017）福州市不动产权第9058412号</t>
  </si>
  <si>
    <t>闽（2017）福州市不动产权第9058411号</t>
  </si>
  <si>
    <t>闽（2017）福州市不动产权第9058410号</t>
  </si>
  <si>
    <t>闽（2017）福州市不动产权第9060536号</t>
  </si>
  <si>
    <t>闽（2017）福州市不动产权第9060534号</t>
  </si>
  <si>
    <t>闽（2017）福州市不动产权第9058502号</t>
  </si>
  <si>
    <t>闽（2017）福州市不动产权第9058504号</t>
  </si>
  <si>
    <t>闽（2017）福州市不动产权第9058508号</t>
  </si>
  <si>
    <t>闽（2017）福州市不动产权第9058505号</t>
  </si>
  <si>
    <t>闽（2017）福州市不动产权第9058507号</t>
  </si>
  <si>
    <t>闽（2017）福州市不动产权第9058506号</t>
  </si>
  <si>
    <t>闽（2017）福州市不动产权第9058509号</t>
  </si>
  <si>
    <t>闽（2017）福州市不动产权第9058501号</t>
  </si>
  <si>
    <t>闽（2017）福州市不动产权第9060532号</t>
  </si>
  <si>
    <t>闽（2017）福州市不动产权第9060529号</t>
  </si>
  <si>
    <t>闽（2017）福州市不动产权第9060527号</t>
  </si>
  <si>
    <t>闽（2017）福州市不动产权第9060525号</t>
  </si>
  <si>
    <t>闽（2017）福州市不动产权第9060482号</t>
  </si>
  <si>
    <t>闽（2017）福州市不动产权第9060483号</t>
  </si>
  <si>
    <t>闽（2017）福州市不动产权第9060484号</t>
  </si>
  <si>
    <t>闽（2017）福州市不动产权第9060485号</t>
  </si>
  <si>
    <t>闽（2017）福州市不动产权第9060486号</t>
  </si>
  <si>
    <t>闽（2017）福州市不动产权第9060487号</t>
  </si>
  <si>
    <t>闽（2017）福州市不动产权第9060488号</t>
  </si>
  <si>
    <t>闽（2017）福州市不动产权第9060489号</t>
  </si>
  <si>
    <t>闽（2017）福州市不动产权第9060490号</t>
  </si>
  <si>
    <t>闽（2017）福州市不动产权第9058534号</t>
  </si>
  <si>
    <t>闽（2017）福州市不动产权第9058530号</t>
  </si>
  <si>
    <t>闽（2017）福州市不动产权第9058531号</t>
  </si>
  <si>
    <t>闽（2017）福州市不动产权第9058532号</t>
  </si>
  <si>
    <t>闽（2017）福州市不动产权第9058551号</t>
  </si>
  <si>
    <t>闽（2017）福州市不动产权第9058533号</t>
  </si>
  <si>
    <t>闽（2017）福州市不动产权第9058527号</t>
  </si>
  <si>
    <t>闽（2017）福州市不动产权第9058529号</t>
  </si>
  <si>
    <t>闽（2017）福州市不动产权第9058540号</t>
  </si>
  <si>
    <t>闽（2017）福州市不动产权第9058539号</t>
  </si>
  <si>
    <t>闽（2017）福州市不动产权第9058536号</t>
  </si>
  <si>
    <t>闽（2017）福州市不动产权第9058548号</t>
  </si>
  <si>
    <t>闽（2017）福州市不动产权第9058547号</t>
  </si>
  <si>
    <t>闽（2017）福州市不动产权第9058545号</t>
  </si>
  <si>
    <t>闽（2017）福州市不动产权第9058543号</t>
  </si>
  <si>
    <t>闽（2017）福州市不动产权第9058542号</t>
  </si>
  <si>
    <t>闽（2017）福州市不动产权第9058541号</t>
  </si>
  <si>
    <t>闽（2017）福州市不动产权第9058499号</t>
  </si>
  <si>
    <t>闽（2017）福州市不动产权第9058500号</t>
  </si>
  <si>
    <t>闽（2017）福州市不动产权第9058526号</t>
  </si>
  <si>
    <t>闽（2017）福州市不动产权第9058525号</t>
  </si>
  <si>
    <t>闽（2017）福州市不动产权第9058528号</t>
  </si>
  <si>
    <t>闽（2017）福州市不动产权第9058538号</t>
  </si>
  <si>
    <t>闽（2017）福州市不动产权第9058535号</t>
  </si>
  <si>
    <t>闽（2017）福州市不动产权第9058550号</t>
  </si>
  <si>
    <t>闽（2017）福州市不动产权第9058549号</t>
  </si>
  <si>
    <t>闽（2017）福州市不动产权第9060491号</t>
  </si>
  <si>
    <t>闽（2017）福州市不动产权第9060464号</t>
  </si>
  <si>
    <t>闽（2017）福州市不动产权第9060481号</t>
  </si>
  <si>
    <t>闽（2017）福州市不动产权第9060480号</t>
  </si>
  <si>
    <t>闽（2017）福州市不动产权第9060479号</t>
  </si>
  <si>
    <t>闽（2017）福州市不动产权第9060386号</t>
  </si>
  <si>
    <t>闽（2017）福州市不动产权第9060478号</t>
  </si>
  <si>
    <t>闽（2017）福州市不动产权第9060385号</t>
  </si>
  <si>
    <t>闽（2017）福州市不动产权第9060477号</t>
  </si>
  <si>
    <t>闽（2017）福州市不动产权第9058524号</t>
  </si>
  <si>
    <t>闽（2017）福州市不动产权第9058523号</t>
  </si>
  <si>
    <t>闽（2017）福州市不动产权第9058517号</t>
  </si>
  <si>
    <t>闽（2017）福州市不动产权第9058516号</t>
  </si>
  <si>
    <t>闽（2017）福州市不动产权第9058514号</t>
  </si>
  <si>
    <t>闽（2017）福州市不动产权第9058522号</t>
  </si>
  <si>
    <t>闽（2017）福州市不动产权第9058521号</t>
  </si>
  <si>
    <t>闽（2017）福州市不动产权第9058515号</t>
  </si>
  <si>
    <t>闽（2017）福州市不动产权第9058518号</t>
  </si>
  <si>
    <t>闽（2017）福州市不动产权第9058519号</t>
  </si>
  <si>
    <t>闽（2017）福州市不动产权第9058513号</t>
  </si>
  <si>
    <t>闽（2017）福州市不动产权第9058512号</t>
  </si>
  <si>
    <t>闽（2017）福州市不动产权第9058511号</t>
  </si>
  <si>
    <t>闽（2017）福州市不动产权第9058510号</t>
  </si>
  <si>
    <t>闽（2017）福州市不动产权第9060476号</t>
  </si>
  <si>
    <t>闽（2017）福州市不动产权第9060475号</t>
  </si>
  <si>
    <t>闽（2017）福州市不动产权第9060474号</t>
  </si>
  <si>
    <t>闽（2017）福州市不动产权第9060473号</t>
  </si>
  <si>
    <t>闽（2017）福州市不动产权第9060472号</t>
  </si>
  <si>
    <t>闽（2017）福州市不动产权第9060471号</t>
  </si>
  <si>
    <t>闽（2017）福州市不动产权第9060470号</t>
  </si>
  <si>
    <t>闽（2017）福州市不动产权第9060469号</t>
  </si>
  <si>
    <t>闽（2017）福州市不动产权第9060467号</t>
  </si>
  <si>
    <t>闽（2017）福州市不动产权第9060465号</t>
  </si>
  <si>
    <t>闽（2017）福州市不动产权第9060505号</t>
  </si>
  <si>
    <t>闽（2017）福州市不动产权第9060523号</t>
  </si>
  <si>
    <t>《抵押物清单》</t>
    <phoneticPr fontId="143" type="noConversion"/>
  </si>
  <si>
    <t>《不动产权证书》证号</t>
    <phoneticPr fontId="143" type="noConversion"/>
  </si>
  <si>
    <t>房屋建筑面积（平方米）</t>
    <phoneticPr fontId="143" type="noConversion"/>
  </si>
  <si>
    <t>用途</t>
    <phoneticPr fontId="143" type="noConversion"/>
  </si>
  <si>
    <t>闽（2017）福州市不动产权第9057825号</t>
    <phoneticPr fontId="143" type="noConversion"/>
  </si>
  <si>
    <t>商业</t>
    <phoneticPr fontId="143" type="noConversion"/>
  </si>
  <si>
    <t>合计</t>
    <phoneticPr fontId="143" type="noConversion"/>
  </si>
  <si>
    <t>单价（元/平方米）</t>
    <phoneticPr fontId="143" type="noConversion"/>
  </si>
  <si>
    <t>总价（万元）</t>
    <phoneticPr fontId="143" type="noConversion"/>
  </si>
  <si>
    <t>《抵押物清单》</t>
  </si>
  <si>
    <t>《不动产权证书》证号</t>
  </si>
  <si>
    <t>房屋建筑面积（平方米）</t>
  </si>
  <si>
    <t>闽（2017）福州市不动产权第9057825号</t>
  </si>
  <si>
    <t>闽（2017）福州市不动产权第9069443号</t>
  </si>
  <si>
    <t>闽（2017）福州市不动产权第9068682号</t>
  </si>
  <si>
    <t>闽（2017）福州市不动产权第9068681号</t>
  </si>
  <si>
    <t>闽（2017）福州市不动产权第9069566号</t>
  </si>
  <si>
    <t>闽（2017）福州市不动产权第9069567号</t>
  </si>
  <si>
    <t>闽（2017）福州市不动产权第9069568号</t>
  </si>
  <si>
    <t>闽（2017）福州市不动产权第9069569号</t>
  </si>
  <si>
    <t>闽（2017）福州市不动产权第9069572号</t>
  </si>
  <si>
    <t>闽（2017）福州市不动产权第9069573号</t>
  </si>
  <si>
    <t>闽（2017）福州市不动产权第9069574号</t>
  </si>
  <si>
    <t>闽（2017）福州市不动产权第9069575号</t>
  </si>
  <si>
    <t>闽（2017）福州市不动产权第9069576号</t>
  </si>
  <si>
    <t>闽（2017）福州市不动产权第9069586号</t>
  </si>
  <si>
    <t>闽（2017）福州市不动产权第9069554号</t>
  </si>
  <si>
    <t>闽（2017）福州市不动产权第9069555号</t>
  </si>
  <si>
    <t>闽（2017）福州市不动产权第9069556号</t>
  </si>
  <si>
    <t>闽（2017）福州市不动产权第9069553号</t>
  </si>
  <si>
    <t>闽（2017）福州市不动产权第9069552号</t>
  </si>
  <si>
    <t>闽（2017）福州市不动产权第9069558号</t>
  </si>
  <si>
    <t>闽（2017）福州市不动产权第9069557号</t>
  </si>
  <si>
    <t>闽（2017）福州市不动产权第9069559号</t>
  </si>
  <si>
    <t>闽（2017）福州市不动产权第9069560号</t>
  </si>
  <si>
    <t>闽（2017）福州市不动产权第9069561号</t>
  </si>
  <si>
    <t>闽（2017）福州市不动产权第9069444号</t>
  </si>
  <si>
    <t>闽（2017）福州市不动产权第9069565号</t>
  </si>
  <si>
    <t>闽（2017）福州市不动产权第9069434号</t>
  </si>
  <si>
    <t>闽（2017）福州市不动产权第9069588号</t>
  </si>
  <si>
    <t>闽（2017）福州市不动产权第9069436号</t>
  </si>
  <si>
    <t>闽（2017）福州市不动产权第9069440号</t>
  </si>
  <si>
    <t>闽（2017）福州市不动产权第9069437号</t>
  </si>
  <si>
    <t>闽（2017）福州市不动产权第9069589号</t>
  </si>
  <si>
    <t>闽（2017）福州市不动产权第9069591号</t>
  </si>
  <si>
    <t>闽（2017）福州市不动产权第9069449号</t>
  </si>
  <si>
    <t>闽（2017）福州市不动产权第9069448号</t>
  </si>
  <si>
    <t>闽（2017）福州市不动产权第9069447号</t>
  </si>
  <si>
    <t>闽（2017）福州市不动产权第9069446号</t>
  </si>
  <si>
    <t>闽（2017）福州市不动产权第9069450号</t>
  </si>
  <si>
    <t>闽（2017）福州市不动产权第9069451号</t>
  </si>
  <si>
    <t>闽（2017）福州市不动产权第9069551号</t>
  </si>
  <si>
    <t>闽（2017）福州市不动产权第9069452号</t>
  </si>
  <si>
    <t>闽（2017）福州市不动产权第9069453号</t>
  </si>
  <si>
    <t>闽（2017）福州市不动产权第9069454号</t>
  </si>
  <si>
    <t>闽（2017）福州市不动产权第9069456号</t>
  </si>
  <si>
    <t>闽（2017）福州市不动产权第9069463号</t>
  </si>
  <si>
    <t>闽（2017）福州市不动产权第9068679号</t>
  </si>
  <si>
    <t>闽（2017）福州市不动产权第9068678号</t>
  </si>
  <si>
    <t>闽（2017）福州市不动产权第9069464号</t>
  </si>
  <si>
    <t>闽（2017）福州市不动产权第9069465号</t>
  </si>
  <si>
    <t>闽（2017）福州市不动产权第9069466号</t>
  </si>
  <si>
    <t>闽（2017）福州市不动产权第9069544号</t>
  </si>
  <si>
    <t>闽（2017）福州市不动产权第9069545号</t>
  </si>
  <si>
    <t>闽（2017）福州市不动产权第9069546号</t>
  </si>
  <si>
    <t>闽（2017）福州市不动产权第9069547号</t>
  </si>
  <si>
    <t>闽（2017）福州市不动产权第9069441号</t>
  </si>
  <si>
    <t>闽（2017）福州市不动产权第9068715号</t>
  </si>
  <si>
    <t>闽（2017）福州市不动产权第9068714号</t>
  </si>
  <si>
    <t>闽（2017）福州市不动产权第9068713号</t>
  </si>
  <si>
    <t>闽（2017）福州市不动产权第9068676号</t>
  </si>
  <si>
    <t>闽（2017）福州市不动产权第9068646号</t>
  </si>
  <si>
    <t>闽（2017）福州市不动产权第9068640号</t>
  </si>
  <si>
    <t>闽（2017）福州市不动产权第9068628号</t>
  </si>
  <si>
    <t>闽（2017）福州市不动产权第9068623号</t>
  </si>
  <si>
    <t>闽（2017）福州市不动产权第9068620号</t>
  </si>
  <si>
    <t>闽（2017）福州市不动产权第9068608号</t>
  </si>
  <si>
    <t>闽（2017）福州市不动产权第9068601号</t>
  </si>
  <si>
    <t>闽（2017）福州市不动产权第9057824号</t>
  </si>
  <si>
    <t>闽（2017）福州市不动产权第9068712号</t>
  </si>
  <si>
    <t>闽（2017）福州市不动产权第9068711号</t>
  </si>
  <si>
    <t>闽（2017）福州市不动产权第9068710号</t>
  </si>
  <si>
    <t>闽（2017）福州市不动产权第9068709号</t>
  </si>
  <si>
    <t>闽（2017）福州市不动产权第9068708号</t>
  </si>
  <si>
    <t>闽（2017）福州市不动产权第9068707号</t>
  </si>
  <si>
    <t>闽（2017）福州市不动产权第9068706号</t>
  </si>
  <si>
    <t>闽（2017）福州市不动产权第9068705号</t>
  </si>
  <si>
    <t>闽（2017）福州市不动产权第9068701号</t>
  </si>
  <si>
    <t>闽（2017）福州市不动产权第9068677号</t>
  </si>
  <si>
    <t>闽（2017）福州市不动产权第9068644号</t>
  </si>
  <si>
    <t>闽（2017）福州市不动产权第9068638号</t>
  </si>
  <si>
    <t>闽（2017）福州市不动产权第9068642号</t>
  </si>
  <si>
    <t>闽（2017）福州市不动产权第9068639号</t>
  </si>
  <si>
    <t>闽（2017）福州市不动产权第9068637号</t>
  </si>
  <si>
    <t>闽（2017）福州市不动产权第9068635号</t>
  </si>
  <si>
    <t>闽（2017）福州市不动产权第9068631号</t>
  </si>
  <si>
    <t>闽（2017）福州市不动产权第9068627号</t>
  </si>
  <si>
    <t>闽（2017）福州市不动产权第9068625号</t>
  </si>
  <si>
    <t>闽（2017）福州市不动产权第9068643号</t>
  </si>
  <si>
    <t>闽（2017）福州市不动产权第9068641号</t>
  </si>
  <si>
    <t>闽（2017）福州市不动产权第9068636号</t>
  </si>
  <si>
    <t>闽（2017）福州市不动产权第9068632号</t>
  </si>
  <si>
    <t>闽（2017）福州市不动产权第9068624号</t>
  </si>
  <si>
    <t>闽（2017）福州市不动产权第9069549号</t>
  </si>
  <si>
    <t>闽（2017）福州市不动产权第9069548号</t>
  </si>
  <si>
    <t>闽（2017）福州市不动产权第9069435号</t>
  </si>
  <si>
    <t>闽（2017）福州市不动产权第9069550号</t>
  </si>
  <si>
    <t>闽（2017）福州市不动产权第9068920号</t>
  </si>
  <si>
    <t>闽（2017）福州市不动产权第9068919号</t>
  </si>
  <si>
    <t>闽（2017）福州市不动产权第9069015号</t>
  </si>
  <si>
    <t>闽（2017）福州市不动产权第9069016号</t>
  </si>
  <si>
    <t>闽（2017）福州市不动产权第9069017号</t>
  </si>
  <si>
    <t>闽（2017）福州市不动产权第9069018号</t>
  </si>
  <si>
    <t>闽（2017）福州市不动产权第9068619号</t>
  </si>
  <si>
    <t>闽（2017）福州市不动产权第9068618号</t>
  </si>
  <si>
    <t>闽（2017）福州市不动产权第9068616号</t>
  </si>
  <si>
    <t>闽（2017）福州市不动产权第9068614号</t>
  </si>
  <si>
    <t>闽（2017）福州市不动产权第9068564号</t>
  </si>
  <si>
    <t>闽（2017）福州市不动产权第9068612号</t>
  </si>
  <si>
    <t>闽（2017）福州市不动产权第9068611号</t>
  </si>
  <si>
    <t>闽（2017）福州市不动产权第9068609号</t>
  </si>
  <si>
    <t>闽（2017）福州市不动产权第9068607号</t>
  </si>
  <si>
    <t>闽（2017）福州市不动产权第9068605号</t>
  </si>
  <si>
    <t>闽（2017）福州市不动产权第9068604号</t>
  </si>
  <si>
    <t>闽（2017）福州市不动产权第9068603号</t>
  </si>
  <si>
    <t>闽（2017）福州市不动产权第9068602号</t>
  </si>
  <si>
    <t>闽（2017）福州市不动产权第9068600号</t>
  </si>
  <si>
    <t>闽（2017）福州市不动产权第9068599号</t>
  </si>
  <si>
    <t>闽（2017）福州市不动产权第9068598号</t>
  </si>
  <si>
    <t>闽（2017）福州市不动产权第9068597号</t>
  </si>
  <si>
    <t>闽（2017）福州市不动产权第9068595号</t>
  </si>
  <si>
    <t>闽（2017）福州市不动产权第9068594号</t>
  </si>
  <si>
    <t>闽（2017）福州市不动产权第9068593号</t>
  </si>
  <si>
    <t>闽（2017）福州市不动产权第9068592号</t>
  </si>
  <si>
    <t>闽（2017）福州市不动产权第9068590号</t>
  </si>
  <si>
    <t>闽（2017）福州市不动产权第9068591号</t>
  </si>
  <si>
    <t>闽（2017）福州市不动产权第9068587号</t>
  </si>
  <si>
    <t>闽（2017）福州市不动产权第9068586号</t>
  </si>
  <si>
    <t>闽（2017）福州市不动产权第9068566号</t>
  </si>
  <si>
    <t>闽（2017）福州市不动产权第9068584号</t>
  </si>
  <si>
    <t>闽（2017）福州市不动产权第9068582号</t>
  </si>
  <si>
    <t>闽（2017）福州市不动产权第9068581号</t>
  </si>
  <si>
    <t>闽（2017）福州市不动产权第9068579号</t>
  </si>
  <si>
    <t>闽（2017）福州市不动产权第9068567号</t>
  </si>
  <si>
    <t>闽（2017）福州市不动产权第9068577号</t>
  </si>
  <si>
    <t>闽（2017）福州市不动产权第9068571号</t>
  </si>
  <si>
    <t>闽（2017）福州市不动产权第9068568号</t>
  </si>
  <si>
    <t>闽（2017）福州市不动产权第9068570号</t>
  </si>
  <si>
    <t>闽（2017）福州市不动产权第9068621号</t>
  </si>
  <si>
    <t>闽（2017）福州市不动产权第9068615号</t>
  </si>
  <si>
    <t>闽（2017）福州市不动产权第9068606号</t>
  </si>
  <si>
    <t>闽（2017）福州市不动产权第9068832号</t>
  </si>
  <si>
    <t>闽（2017）福州市不动产权第9068830号</t>
  </si>
  <si>
    <t>闽（2017）福州市不动产权第9068749号</t>
  </si>
  <si>
    <t>闽（2017）福州市不动产权第9068748号</t>
  </si>
  <si>
    <t>闽（2017）福州市不动产权第9068747号</t>
  </si>
  <si>
    <t>闽（2017）福州市不动产权第9068746号</t>
  </si>
  <si>
    <t>闽（2017）福州市不动产权第9068745号</t>
  </si>
  <si>
    <t>闽（2017）福州市不动产权第9068744号</t>
  </si>
  <si>
    <t>闽（2017）福州市不动产权第9068743号</t>
  </si>
  <si>
    <t>闽（2017）福州市不动产权第9068700号</t>
  </si>
  <si>
    <t>闽（2017）福州市不动产权第9057796号</t>
  </si>
  <si>
    <t>闽（2017）福州市不动产权第9068704号</t>
  </si>
  <si>
    <t>闽（2017）福州市不动产权第9068703号</t>
  </si>
  <si>
    <t>闽（2017）福州市不动产权第9068702号</t>
  </si>
  <si>
    <t>闽（2017）福州市不动产权第9068699号</t>
  </si>
  <si>
    <t>闽（2017）福州市不动产权第9068697号</t>
  </si>
  <si>
    <t>闽（2017）福州市不动产权第9068687号</t>
  </si>
  <si>
    <t>闽（2017）福州市不动产权第9068658号</t>
  </si>
  <si>
    <t>闽（2017）福州市不动产权第9068617号</t>
  </si>
  <si>
    <t>闽（2017）福州市不动产权第9068610号</t>
  </si>
  <si>
    <t>闽（2017）福州市不动产权第9068588号</t>
  </si>
  <si>
    <t>闽（2017）福州市不动产权第9068585号</t>
  </si>
  <si>
    <t>闽（2017）福州市不动产权第9068583号</t>
  </si>
  <si>
    <t>闽（2017）福州市不动产权第9068589号</t>
  </si>
  <si>
    <t>闽（2017）福州市不动产权第9068838号</t>
  </si>
  <si>
    <t>闽（2017）福州市不动产权第9068843号</t>
  </si>
  <si>
    <t>闽（2017）福州市不动产权第9068844号</t>
  </si>
  <si>
    <t>闽（2017）福州市不动产权第9068845号</t>
  </si>
  <si>
    <t>闽（2017）福州市不动产权第9068855号</t>
  </si>
  <si>
    <t>闽（2017）福州市不动产权第9068837号</t>
  </si>
  <si>
    <t>闽（2017）福州市不动产权第9068836号</t>
  </si>
  <si>
    <t>闽（2017）福州市不动产权第9069706号</t>
  </si>
  <si>
    <t>闽（2017）福州市不动产权第9068685号</t>
  </si>
  <si>
    <t>闽（2017）福州市不动产权第9068684号</t>
  </si>
  <si>
    <t>闽（2017）福州市不动产权第9068835号</t>
  </si>
  <si>
    <t>闽（2017）福州市不动产权第9068834号</t>
  </si>
  <si>
    <t>闽（2017）福州市不动产权第9068833号</t>
  </si>
  <si>
    <t>闽（2017）福州市不动产权第9068831号</t>
  </si>
  <si>
    <t>闽（2017）福州市不动产权第9068742号</t>
  </si>
  <si>
    <t>闽（2017）福州市不动产权第9068741号</t>
  </si>
  <si>
    <t>闽（2017）福州市不动产权第9068720号</t>
  </si>
  <si>
    <t>闽（2017）福州市不动产权第9068629号</t>
  </si>
  <si>
    <t>闽（2017）福州市不动产权第9068718号</t>
  </si>
  <si>
    <t>闽（2017）福州市不动产权第9068717号</t>
  </si>
  <si>
    <t>闽（2017）福州市不动产权第9069138号</t>
  </si>
  <si>
    <t>闽（2017）福州市不动产权第9069705号</t>
  </si>
  <si>
    <t>闽（2017）福州市不动产权第9069137号</t>
  </si>
  <si>
    <t>闽（2017）福州市不动产权第9069136号</t>
  </si>
  <si>
    <t>闽（2017）福州市不动产权第9069135号</t>
  </si>
  <si>
    <t>闽（2017）福州市不动产权第9069134号</t>
  </si>
  <si>
    <t>闽（2017）福州市不动产权第9069133号</t>
  </si>
  <si>
    <t>闽（2017）福州市不动产权第9069131号</t>
  </si>
  <si>
    <t>闽（2017）福州市不动产权第9069130号</t>
  </si>
  <si>
    <t>闽（2017）福州市不动产权第9069129号</t>
  </si>
  <si>
    <t>闽（2017）福州市不动产权第9069128号</t>
  </si>
  <si>
    <t>闽（2017）福州市不动产权第9068719号</t>
  </si>
  <si>
    <t>闽（2017）福州市不动产权第9069132号</t>
  </si>
  <si>
    <t>闽（2017）福州市不动产权第9069127号</t>
  </si>
  <si>
    <t>闽（2017）福州市不动产权第9069125号</t>
  </si>
  <si>
    <t>闽（2017）福州市不动产权第9069635号</t>
  </si>
  <si>
    <t>闽（2017）福州市不动产权第9069636号</t>
  </si>
  <si>
    <t>闽（2017）福州市不动产权第9069637号</t>
  </si>
  <si>
    <t>闽（2017）福州市不动产权第9069638号</t>
  </si>
  <si>
    <t>闽（2017）福州市不动产权第9068622号</t>
  </si>
  <si>
    <t>闽（2017）福州市不动产权第9069639号</t>
  </si>
  <si>
    <t>闽（2017）福州市不动产权第9069640号</t>
  </si>
  <si>
    <t>闽（2017）福州市不动产权第9069641号</t>
  </si>
  <si>
    <t>闽（2017）福州市不动产权第9069642号</t>
  </si>
  <si>
    <t>闽（2017）福州市不动产权第9069621号</t>
  </si>
  <si>
    <t>闽（2017）福州市不动产权第9069620号</t>
  </si>
  <si>
    <t>闽（2017）福州市不动产权第9069619号</t>
  </si>
  <si>
    <t>闽（2017）福州市不动产权第9069618号</t>
  </si>
  <si>
    <t>闽（2017）福州市不动产权第9069617号</t>
  </si>
  <si>
    <t>闽（2017）福州市不动产权第9069616号</t>
  </si>
  <si>
    <t>闽（2017）福州市不动产权第9068626号</t>
  </si>
  <si>
    <t>闽（2017）福州市不动产权第9069615号</t>
  </si>
  <si>
    <t>闽（2017）福州市不动产权第9069713号</t>
  </si>
  <si>
    <t>闽（2017）福州市不动产权第9069614号</t>
  </si>
  <si>
    <t>闽（2017）福州市不动产权第9069712号</t>
  </si>
  <si>
    <t>闽（2017）福州市不动产权第9069711号</t>
  </si>
  <si>
    <t>闽（2017）福州市不动产权第9069710号</t>
  </si>
  <si>
    <t>闽（2017）福州市不动产权第9069709号</t>
  </si>
  <si>
    <t>闽（2017）福州市不动产权第9069708号</t>
  </si>
  <si>
    <t>闽（2017）福州市不动产权第9069707号</t>
  </si>
  <si>
    <t>闽（2017）福州市不动产权第9069950号</t>
  </si>
  <si>
    <t>闽（2017）福州市不动产权第9069602号</t>
  </si>
  <si>
    <t>闽（2017）福州市不动产权第9069601号</t>
  </si>
  <si>
    <t>闽（2017）福州市不动产权第9069598号</t>
  </si>
  <si>
    <t>闽（2017）福州市不动产权第9069596号</t>
  </si>
  <si>
    <t>闽（2017）福州市不动产权第9069595号</t>
  </si>
  <si>
    <t>闽（2017）福州市不动产权第9069594号</t>
  </si>
  <si>
    <t>闽（2017）福州市不动产权第9069593号</t>
  </si>
  <si>
    <t>闽（2017）福州市不动产权第9069592号</t>
  </si>
  <si>
    <t>闽（2017）福州市不动产权第9069590号</t>
  </si>
  <si>
    <t>闽（2017）福州市不动产权第9069587号</t>
  </si>
  <si>
    <t>闽（2017）福州市不动产权第9069585号</t>
  </si>
  <si>
    <t>闽（2017）福州市不动产权第9069584号</t>
  </si>
  <si>
    <t>闽（2017）福州市不动产权第9069543号</t>
  </si>
  <si>
    <t>闽（2017）福州市不动产权第9069542号</t>
  </si>
  <si>
    <t>闽（2017）福州市不动产权第9069540号</t>
  </si>
  <si>
    <t>闽（2017）福州市不动产权第9069539号</t>
  </si>
  <si>
    <t>闽（2017）福州市不动产权第9069538号</t>
  </si>
  <si>
    <t>闽（2017）福州市不动产权第9069537号</t>
  </si>
  <si>
    <t>闽（2017）福州市不动产权第9069536号</t>
  </si>
  <si>
    <t>闽（2017）福州市不动产权第9069535号</t>
  </si>
  <si>
    <t>闽（2017）福州市不动产权第9069534号</t>
  </si>
  <si>
    <t>闽（2017）福州市不动产权第9069533号</t>
  </si>
  <si>
    <t>闽（2017）福州市不动产权第9069532号</t>
  </si>
  <si>
    <t>闽（2017）福州市不动产权第9069531号</t>
  </si>
  <si>
    <t>闽（2017）福州市不动产权第9069530号</t>
  </si>
  <si>
    <t>闽（2017）福州市不动产权第9069529号</t>
  </si>
  <si>
    <t>闽（2017）福州市不动产权第9069528号</t>
  </si>
  <si>
    <t>闽（2017）福州市不动产权第9069527号</t>
  </si>
  <si>
    <t>闽（2017）福州市不动产权第9069526号</t>
  </si>
  <si>
    <t>闽（2017）福州市不动产权第9069525号</t>
  </si>
  <si>
    <t>闽（2017）福州市不动产权第9069524号</t>
  </si>
  <si>
    <t>闽（2017）福州市不动产权第9069523号</t>
  </si>
  <si>
    <t>闽（2017）福州市不动产权第9069700号</t>
  </si>
  <si>
    <t>闽（2017）福州市不动产权第9069699号</t>
  </si>
  <si>
    <t>闽（2017）福州市不动产权第9069697号</t>
  </si>
  <si>
    <t>闽（2017）福州市不动产权第9069696号</t>
  </si>
  <si>
    <t>闽（2017）福州市不动产权第9069695号</t>
  </si>
  <si>
    <t>闽（2017）福州市不动产权第9069694号</t>
  </si>
  <si>
    <t>闽（2017）福州市不动产权第9069692号</t>
  </si>
  <si>
    <t>闽（2017）福州市不动产权第9069691号</t>
  </si>
  <si>
    <t>闽（2017）福州市不动产权第9069690号</t>
  </si>
  <si>
    <t>闽（2017）福州市不动产权第9069689号</t>
  </si>
  <si>
    <t>闽（2017）福州市不动产权第9069688号</t>
  </si>
  <si>
    <t>闽（2017）福州市不动产权第9069687号</t>
  </si>
  <si>
    <t>闽（2017）福州市不动产权第9069827号</t>
  </si>
  <si>
    <t>闽（2017）福州市不动产权第9069685号</t>
  </si>
  <si>
    <t>闽（2017）福州市不动产权第9069683号</t>
  </si>
  <si>
    <t>闽（2017）福州市不动产权第9069682号</t>
  </si>
  <si>
    <t>闽（2017）福州市不动产权第9069680号</t>
  </si>
  <si>
    <t>闽（2017）福州市不动产权第9069679号</t>
  </si>
  <si>
    <t>闽（2017）福州市不动产权第9069678号</t>
  </si>
  <si>
    <t>闽（2017）福州市不动产权第9069677号</t>
  </si>
  <si>
    <t>闽（2017）福州市不动产权第9069676号</t>
  </si>
  <si>
    <t>闽（2017）福州市不动产权第9069427号</t>
  </si>
  <si>
    <t>闽（2017）福州市不动产权第9069480号</t>
  </si>
  <si>
    <t>闽（2017）福州市不动产权第9069491号</t>
  </si>
  <si>
    <t>闽（2017）福州市不动产权第9069307号</t>
  </si>
  <si>
    <t>闽（2017）福州市不动产权第9069423号</t>
  </si>
  <si>
    <t>闽（2017）福州市不动产权第9069425号</t>
  </si>
  <si>
    <t>闽（2017）福州市不动产权第9069306号</t>
  </si>
  <si>
    <t>闽（2017）福州市不动产权第9069433号</t>
  </si>
  <si>
    <t>闽（2017）福州市不动产权第9069432号</t>
  </si>
  <si>
    <t>闽（2017）福州市不动产权第9069426号</t>
  </si>
  <si>
    <t>闽（2017）福州市不动产权第9069431号</t>
  </si>
  <si>
    <t>闽（2017）福州市不动产权第9069430号</t>
  </si>
  <si>
    <t>闽（2017）福州市不动产权第9069429号</t>
  </si>
  <si>
    <t>闽（2017）福州市不动产权第9069200号</t>
  </si>
  <si>
    <t>闽（2017）福州市不动产权第9069199号</t>
  </si>
  <si>
    <t>闽（2017）福州市不动产权第9069198号</t>
  </si>
  <si>
    <t>闽（2017）福州市不动产权第9069197号</t>
  </si>
  <si>
    <t>闽（2017）福州市不动产权第9069196号</t>
  </si>
  <si>
    <t>闽（2017）福州市不动产权第9069195号</t>
  </si>
  <si>
    <t>闽（2017）福州市不动产权第9069194号</t>
  </si>
  <si>
    <t>闽（2017）福州市不动产权第9069193号</t>
  </si>
  <si>
    <t>闽（2017）福州市不动产权第9069192号</t>
  </si>
  <si>
    <t>闽（2017）福州市不动产权第9069191号</t>
  </si>
  <si>
    <t>闽（2017）福州市不动产权第9069829号</t>
  </si>
  <si>
    <t>闽（2017）福州市不动产权第9069190号</t>
  </si>
  <si>
    <t>闽（2017）福州市不动产权第9069189号</t>
  </si>
  <si>
    <t>闽（2017）福州市不动产权第9069188号</t>
  </si>
  <si>
    <t>闽（2017）福州市不动产权第9069187号</t>
  </si>
  <si>
    <t>闽（2017）福州市不动产权第9069186号</t>
  </si>
  <si>
    <t>闽（2017）福州市不动产权第9069185号</t>
  </si>
  <si>
    <t>闽（2017）福州市不动产权第9069184号</t>
  </si>
  <si>
    <t>闽（2017）福州市不动产权第9069183号</t>
  </si>
  <si>
    <t>闽（2017）福州市不动产权第9069182号</t>
  </si>
  <si>
    <t>闽（2017）福州市不动产权第9069176号</t>
  </si>
  <si>
    <t>闽（2017）福州市不动产权第9069181号</t>
  </si>
  <si>
    <t>闽（2017）福州市不动产权第9069180号</t>
  </si>
  <si>
    <t>闽（2017）福州市不动产权第9069179号</t>
  </si>
  <si>
    <t>闽（2017）福州市不动产权第9069178号</t>
  </si>
  <si>
    <t>闽（2017）福州市不动产权第9069177号</t>
  </si>
  <si>
    <t>闽（2017）福州市不动产权第9069168号</t>
  </si>
  <si>
    <t>闽（2017）福州市不动产权第9069175号</t>
  </si>
  <si>
    <t>闽（2017）福州市不动产权第9069174号</t>
  </si>
  <si>
    <t>闽（2017）福州市不动产权第9069173号</t>
  </si>
  <si>
    <t>闽（2017）福州市不动产权第9069172号</t>
  </si>
  <si>
    <t>闽（2017）福州市不动产权第9069167号</t>
  </si>
  <si>
    <t>闽（2017）福州市不动产权第9069171号</t>
  </si>
  <si>
    <t>闽（2017）福州市不动产权第9069170号</t>
  </si>
  <si>
    <t>闽（2017）福州市不动产权第9069169号</t>
  </si>
  <si>
    <t>闽（2017）福州市不动产权第9069166号</t>
  </si>
  <si>
    <t>闽（2017）福州市不动产权第9069165号</t>
  </si>
  <si>
    <t>闽（2017）福州市不动产权第9069164号</t>
  </si>
  <si>
    <t>闽（2017）福州市不动产权第9069163号</t>
  </si>
  <si>
    <t>闽（2017）福州市不动产权第9069162号</t>
  </si>
  <si>
    <t>闽（2017）福州市不动产权第9069161号</t>
  </si>
  <si>
    <t>闽（2017）福州市不动产权第9069160号</t>
  </si>
  <si>
    <t>闽（2017）福州市不动产权第9069159号</t>
  </si>
  <si>
    <t>闽（2017）福州市不动产权第9069158号</t>
  </si>
  <si>
    <t>闽（2017）福州市不动产权第9068921号</t>
  </si>
  <si>
    <t>闽（2017）福州市不动产权第9069019号</t>
  </si>
  <si>
    <t>闽（2017）福州市不动产权第9069147号</t>
  </si>
  <si>
    <t>闽（2017）福州市不动产权第9069149号</t>
  </si>
  <si>
    <t>闽（2017）福州市不动产权第9069151号</t>
  </si>
  <si>
    <t>闽（2017）福州市不动产权第9069152号</t>
  </si>
  <si>
    <t>闽（2017）福州市不动产权第9069153号</t>
  </si>
  <si>
    <t>闽（2017）福州市不动产权第9068580号</t>
  </si>
  <si>
    <t>闽（2017）福州市不动产权第9069141号</t>
  </si>
  <si>
    <t>闽（2017）福州市不动产权第9069140号</t>
  </si>
  <si>
    <t>闽（2017）福州市不动产权第9069145号</t>
  </si>
  <si>
    <t>闽（2017）福州市不动产权第9069144号</t>
  </si>
  <si>
    <t>闽（2017）福州市不动产权第9069143号</t>
  </si>
  <si>
    <t>闽（2017）福州市不动产权第9069142号</t>
  </si>
  <si>
    <t>闽（2017）福州市不动产权第9068541号</t>
  </si>
  <si>
    <t>闽（2017）福州市不动产权第9068540号</t>
  </si>
  <si>
    <t>闽（2017）福州市不动产权第9068539号</t>
  </si>
  <si>
    <t>闽（2017）福州市不动产权第9068538号</t>
  </si>
  <si>
    <t>闽（2017）福州市不动产权第9069146号</t>
  </si>
  <si>
    <t>闽（2017）福州市不动产权第9068536号</t>
  </si>
  <si>
    <t>闽（2017）福州市不动产权第9068537号</t>
  </si>
  <si>
    <t>闽（2017）福州市不动产权第9068562号</t>
  </si>
  <si>
    <t>闽（2017）福州市不动产权第9068549号</t>
  </si>
  <si>
    <t>闽（2017）福州市不动产权第9068548号</t>
  </si>
  <si>
    <t>闽（2017）福州市不动产权第9068547号</t>
  </si>
  <si>
    <t>闽（2017）福州市不动产权第9068546号</t>
  </si>
  <si>
    <t>闽（2017）福州市不动产权第9068545号</t>
  </si>
  <si>
    <t>闽（2017）福州市不动产权第9068544号</t>
  </si>
  <si>
    <t>闽（2017）福州市不动产权第9068543号</t>
  </si>
  <si>
    <t>闽（2017）福州市不动产权第9068542号</t>
  </si>
  <si>
    <t>闽（2017）福州市不动产权第9068565号</t>
  </si>
  <si>
    <t>闽（2017）福州市不动产权第9068563号</t>
  </si>
  <si>
    <t>闽（2017）福州市不动产权第9068561号</t>
  </si>
  <si>
    <t>闽（2017）福州市不动产权第9068560号</t>
  </si>
  <si>
    <t>闽（2017）福州市不动产权第9068559号</t>
  </si>
  <si>
    <t>闽（2017）福州市不动产权第9068558号</t>
  </si>
  <si>
    <t>闽（2017）福州市不动产权第9068557号</t>
  </si>
  <si>
    <t>闽（2017）福州市不动产权第9068556号</t>
  </si>
  <si>
    <t>闽（2017）福州市不动产权第9068550号</t>
  </si>
  <si>
    <t>闽（2017）福州市不动产权第9068551号</t>
  </si>
  <si>
    <t>闽（2017）福州市不动产权第9068552号</t>
  </si>
  <si>
    <t>闽（2017）福州市不动产权第9068553号</t>
  </si>
  <si>
    <t>闽（2017）福州市不动产权第9068554号</t>
  </si>
  <si>
    <t>闽（2017）福州市不动产权第9068555号</t>
  </si>
  <si>
    <t>闽（2017）福州市不动产权第9069439号</t>
  </si>
  <si>
    <t>7A-1店面317更改</t>
    <phoneticPr fontId="14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</si>
</sst>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43" formatCode="_-* #,##0.00_-;\-* #,##0.00_-;_-* &quot;-&quot;??_-;_-@_-"/>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DBNum1][$-804]yyyy&quot;年&quot;m&quot;月&quot;d&quot;日&quot;;@"/>
    <numFmt numFmtId="191" formatCode="0_ ;[Red]\-0\ "/>
    <numFmt numFmtId="192" formatCode="yyyy/m/d;@"/>
    <numFmt numFmtId="193" formatCode="[$-F800]dddd\,\ mmmm\ dd\,\ yyyy"/>
  </numFmts>
  <fonts count="26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theme="1"/>
      <name val="宋体"/>
      <family val="3"/>
      <charset val="134"/>
      <scheme val="minor"/>
    </font>
    <font>
      <sz val="14"/>
      <color indexed="8"/>
      <name val="宋体"/>
      <family val="3"/>
      <charset val="134"/>
    </font>
    <font>
      <sz val="14"/>
      <name val="宋体"/>
      <family val="3"/>
      <charset val="134"/>
    </font>
    <font>
      <sz val="14"/>
      <color indexed="10"/>
      <name val="宋体"/>
      <family val="3"/>
      <charset val="134"/>
    </font>
    <font>
      <sz val="11"/>
      <name val="楷体_GB2312"/>
      <family val="3"/>
      <charset val="134"/>
    </font>
    <font>
      <sz val="11"/>
      <color theme="1"/>
      <name val="宋体"/>
      <family val="3"/>
      <charset val="134"/>
      <scheme val="minor"/>
    </font>
    <font>
      <sz val="10"/>
      <color rgb="FFFF0000"/>
      <name val="宋体"/>
      <family val="3"/>
      <charset val="134"/>
      <scheme val="minor"/>
    </font>
    <font>
      <b/>
      <sz val="18"/>
      <color theme="1"/>
      <name val="宋体"/>
      <family val="3"/>
      <charset val="134"/>
      <scheme val="minor"/>
    </font>
    <font>
      <sz val="10"/>
      <color indexed="8"/>
      <name val="宋体"/>
      <family val="3"/>
      <charset val="134"/>
      <scheme val="minor"/>
    </font>
    <font>
      <sz val="10"/>
      <name val="宋体"/>
      <family val="3"/>
      <charset val="134"/>
      <scheme val="minor"/>
    </font>
    <font>
      <sz val="11"/>
      <name val="宋体"/>
      <family val="3"/>
      <charset val="134"/>
      <scheme val="minor"/>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6">
    <xf numFmtId="190" fontId="0" fillId="0" borderId="0">
      <alignment vertical="center"/>
    </xf>
    <xf numFmtId="190" fontId="99" fillId="0" borderId="0">
      <alignment vertical="center"/>
    </xf>
    <xf numFmtId="190" fontId="99" fillId="0" borderId="0"/>
    <xf numFmtId="190" fontId="99" fillId="0" borderId="0">
      <alignment vertical="center"/>
    </xf>
    <xf numFmtId="190" fontId="37" fillId="0" borderId="0"/>
    <xf numFmtId="190" fontId="99" fillId="0" borderId="0">
      <alignment vertical="center"/>
    </xf>
    <xf numFmtId="190" fontId="99" fillId="0" borderId="0"/>
    <xf numFmtId="190" fontId="99" fillId="0" borderId="0">
      <alignment vertical="center"/>
    </xf>
    <xf numFmtId="190" fontId="99" fillId="0" borderId="0">
      <alignment vertical="center"/>
    </xf>
    <xf numFmtId="190" fontId="2" fillId="0" borderId="0">
      <alignment vertical="center"/>
    </xf>
    <xf numFmtId="190" fontId="99" fillId="0" borderId="0">
      <alignment vertical="center"/>
    </xf>
    <xf numFmtId="190" fontId="1" fillId="0" borderId="0">
      <alignment vertical="center"/>
    </xf>
    <xf numFmtId="190" fontId="171" fillId="0" borderId="0"/>
    <xf numFmtId="43" fontId="255" fillId="0" borderId="0" applyFont="0" applyFill="0" applyBorder="0" applyAlignment="0" applyProtection="0">
      <alignment vertical="center"/>
    </xf>
    <xf numFmtId="9" fontId="260" fillId="0" borderId="0" applyFont="0" applyFill="0" applyBorder="0" applyAlignment="0" applyProtection="0">
      <alignment vertical="center"/>
    </xf>
    <xf numFmtId="0" fontId="99" fillId="0" borderId="0">
      <alignment vertical="center"/>
    </xf>
  </cellStyleXfs>
  <cellXfs count="4023">
    <xf numFmtId="190" fontId="0" fillId="0" borderId="0" xfId="0">
      <alignment vertical="center"/>
    </xf>
    <xf numFmtId="190" fontId="12" fillId="5" borderId="24" xfId="1" applyFont="1" applyFill="1" applyBorder="1" applyAlignment="1" applyProtection="1">
      <alignment horizontal="left" vertical="center"/>
      <protection locked="0"/>
    </xf>
    <xf numFmtId="190" fontId="21" fillId="6" borderId="0" xfId="1" applyFont="1" applyFill="1" applyBorder="1" applyAlignment="1" applyProtection="1">
      <alignment vertical="center"/>
    </xf>
    <xf numFmtId="190" fontId="0" fillId="0" borderId="0" xfId="0" applyAlignment="1">
      <alignment vertical="center" wrapText="1"/>
    </xf>
    <xf numFmtId="190" fontId="103" fillId="0" borderId="1" xfId="0" applyFont="1" applyBorder="1" applyAlignment="1">
      <alignment vertical="center" wrapText="1"/>
    </xf>
    <xf numFmtId="190" fontId="103" fillId="0" borderId="1" xfId="0" applyFont="1" applyBorder="1" applyAlignment="1">
      <alignment horizontal="center" vertical="center" wrapText="1"/>
    </xf>
    <xf numFmtId="190" fontId="104" fillId="6" borderId="0" xfId="0" applyFont="1" applyFill="1" applyAlignment="1" applyProtection="1">
      <alignment horizontal="center" vertical="center"/>
    </xf>
    <xf numFmtId="190" fontId="104" fillId="6" borderId="0" xfId="0" applyFont="1" applyFill="1" applyProtection="1">
      <alignment vertical="center"/>
    </xf>
    <xf numFmtId="190" fontId="49" fillId="6" borderId="5" xfId="0" applyFont="1" applyFill="1" applyBorder="1" applyAlignment="1" applyProtection="1">
      <alignment vertical="center"/>
    </xf>
    <xf numFmtId="190" fontId="47" fillId="0" borderId="1" xfId="0" applyFont="1" applyBorder="1" applyAlignment="1" applyProtection="1">
      <alignment horizontal="center" vertical="center" wrapText="1"/>
      <protection locked="0"/>
    </xf>
    <xf numFmtId="190" fontId="47" fillId="0" borderId="1" xfId="0" applyFont="1" applyBorder="1" applyAlignment="1" applyProtection="1">
      <alignment vertical="center" wrapText="1"/>
      <protection locked="0"/>
    </xf>
    <xf numFmtId="190" fontId="50" fillId="6" borderId="1" xfId="0" applyFont="1" applyFill="1" applyBorder="1" applyAlignment="1" applyProtection="1">
      <alignment horizontal="center" vertical="center" wrapText="1"/>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19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90" fontId="50" fillId="6" borderId="1" xfId="0" applyFont="1" applyFill="1" applyBorder="1" applyAlignment="1" applyProtection="1">
      <alignment horizontal="center" vertical="center"/>
    </xf>
    <xf numFmtId="190" fontId="50" fillId="6" borderId="13" xfId="0" applyFont="1" applyFill="1" applyBorder="1" applyAlignment="1" applyProtection="1">
      <alignment horizontal="center" vertical="center"/>
    </xf>
    <xf numFmtId="190" fontId="50" fillId="6" borderId="48" xfId="0" applyFont="1" applyFill="1" applyBorder="1" applyAlignment="1" applyProtection="1">
      <alignment horizontal="center" vertical="center"/>
    </xf>
    <xf numFmtId="190" fontId="50" fillId="6" borderId="35" xfId="0" applyFont="1" applyFill="1" applyBorder="1" applyAlignment="1" applyProtection="1">
      <alignment horizontal="center" vertical="center"/>
    </xf>
    <xf numFmtId="190" fontId="50" fillId="6" borderId="2" xfId="0" applyFont="1" applyFill="1" applyBorder="1" applyAlignment="1" applyProtection="1">
      <alignment horizontal="center" vertical="center"/>
    </xf>
    <xf numFmtId="190" fontId="50" fillId="6" borderId="2"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19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19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190" fontId="47" fillId="0" borderId="0" xfId="0" applyFont="1" applyFill="1" applyBorder="1" applyAlignment="1" applyProtection="1">
      <alignment horizontal="center" vertical="center" wrapText="1"/>
      <protection locked="0"/>
    </xf>
    <xf numFmtId="176" fontId="47" fillId="6" borderId="24" xfId="0" applyNumberFormat="1" applyFont="1" applyFill="1" applyBorder="1" applyAlignment="1" applyProtection="1">
      <alignment vertical="center"/>
    </xf>
    <xf numFmtId="19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190" fontId="49" fillId="6" borderId="27" xfId="0" applyFont="1" applyFill="1" applyBorder="1" applyAlignment="1" applyProtection="1">
      <alignment vertical="center" wrapText="1"/>
    </xf>
    <xf numFmtId="190" fontId="47" fillId="6" borderId="29" xfId="0" applyFont="1" applyFill="1" applyBorder="1" applyAlignment="1" applyProtection="1">
      <alignment horizontal="center" vertical="center" wrapText="1"/>
    </xf>
    <xf numFmtId="190" fontId="47" fillId="6" borderId="10" xfId="0" applyFont="1" applyFill="1" applyBorder="1" applyAlignment="1" applyProtection="1">
      <alignment horizontal="center" vertical="center" wrapText="1"/>
    </xf>
    <xf numFmtId="190" fontId="47" fillId="6" borderId="28" xfId="0" applyFont="1" applyFill="1" applyBorder="1" applyAlignment="1" applyProtection="1">
      <alignment horizontal="center" vertical="center" wrapText="1"/>
    </xf>
    <xf numFmtId="176" fontId="47" fillId="6" borderId="25" xfId="0" applyNumberFormat="1" applyFont="1" applyFill="1" applyBorder="1" applyAlignment="1" applyProtection="1">
      <alignment horizontal="center"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190" fontId="47" fillId="0" borderId="0" xfId="0" applyFont="1" applyFill="1" applyAlignment="1" applyProtection="1">
      <alignment horizontal="center" vertical="center"/>
      <protection locked="0"/>
    </xf>
    <xf numFmtId="190" fontId="47" fillId="6" borderId="10" xfId="0" applyNumberFormat="1" applyFont="1" applyFill="1" applyBorder="1" applyAlignment="1" applyProtection="1">
      <alignment horizontal="center" vertical="center" wrapText="1"/>
    </xf>
    <xf numFmtId="190" fontId="47" fillId="6" borderId="24" xfId="0" applyNumberFormat="1" applyFont="1" applyFill="1" applyBorder="1" applyAlignment="1" applyProtection="1">
      <alignment horizontal="center" vertical="center" wrapText="1"/>
    </xf>
    <xf numFmtId="190" fontId="47" fillId="6" borderId="49" xfId="0" applyNumberFormat="1" applyFont="1" applyFill="1" applyBorder="1" applyAlignment="1" applyProtection="1">
      <alignment horizontal="center" vertical="center" wrapText="1"/>
    </xf>
    <xf numFmtId="190" fontId="50" fillId="6" borderId="5" xfId="0" applyFont="1" applyFill="1" applyBorder="1" applyAlignment="1" applyProtection="1">
      <alignment vertical="center"/>
    </xf>
    <xf numFmtId="190" fontId="104" fillId="6" borderId="10" xfId="0" applyFont="1" applyFill="1" applyBorder="1" applyAlignment="1" applyProtection="1">
      <alignment horizontal="center" vertical="center"/>
    </xf>
    <xf numFmtId="190" fontId="104" fillId="6" borderId="1" xfId="0" applyFont="1" applyFill="1" applyBorder="1" applyAlignment="1" applyProtection="1">
      <alignment horizontal="center" vertical="center"/>
    </xf>
    <xf numFmtId="190" fontId="104" fillId="6" borderId="24" xfId="0" applyFont="1" applyFill="1" applyBorder="1" applyAlignment="1" applyProtection="1">
      <alignment horizontal="center" vertical="center"/>
    </xf>
    <xf numFmtId="190" fontId="50" fillId="6" borderId="13" xfId="0" applyFont="1" applyFill="1" applyBorder="1" applyAlignment="1" applyProtection="1">
      <alignment vertical="center"/>
    </xf>
    <xf numFmtId="190" fontId="50" fillId="6" borderId="46" xfId="0" applyFont="1" applyFill="1" applyBorder="1" applyAlignment="1" applyProtection="1">
      <alignment vertical="center"/>
    </xf>
    <xf numFmtId="190" fontId="56" fillId="6" borderId="1" xfId="0" applyFont="1" applyFill="1" applyBorder="1" applyAlignment="1" applyProtection="1">
      <alignment horizontal="left" vertical="center" wrapText="1"/>
    </xf>
    <xf numFmtId="190" fontId="56" fillId="6" borderId="1" xfId="0" applyFont="1" applyFill="1" applyBorder="1" applyAlignment="1" applyProtection="1">
      <alignment horizontal="center" vertical="center" wrapText="1"/>
    </xf>
    <xf numFmtId="190" fontId="57" fillId="6" borderId="1" xfId="0"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190" fontId="56" fillId="6" borderId="32" xfId="0" applyFont="1" applyFill="1" applyBorder="1" applyAlignment="1" applyProtection="1">
      <alignment horizontal="center" vertical="center" wrapText="1"/>
    </xf>
    <xf numFmtId="190" fontId="107" fillId="6" borderId="51" xfId="1" applyFont="1" applyFill="1" applyBorder="1" applyAlignment="1" applyProtection="1">
      <alignment vertical="center"/>
    </xf>
    <xf numFmtId="190" fontId="60" fillId="6" borderId="20" xfId="1" applyFont="1" applyFill="1" applyBorder="1" applyAlignment="1" applyProtection="1">
      <alignment vertical="center"/>
    </xf>
    <xf numFmtId="190" fontId="60" fillId="6" borderId="19" xfId="1" applyFont="1" applyFill="1" applyBorder="1" applyAlignment="1" applyProtection="1">
      <alignment vertical="center"/>
    </xf>
    <xf numFmtId="190" fontId="60" fillId="6" borderId="0" xfId="1" applyFont="1" applyFill="1" applyBorder="1" applyAlignment="1" applyProtection="1">
      <alignment vertical="center"/>
    </xf>
    <xf numFmtId="190" fontId="61" fillId="3" borderId="0" xfId="0" applyFont="1" applyFill="1" applyAlignment="1" applyProtection="1">
      <alignment vertical="center"/>
      <protection locked="0"/>
    </xf>
    <xf numFmtId="19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190" fontId="60" fillId="6" borderId="13" xfId="1" applyFont="1" applyFill="1" applyBorder="1" applyAlignment="1" applyProtection="1">
      <alignment vertical="center"/>
    </xf>
    <xf numFmtId="19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190" fontId="60" fillId="3" borderId="0" xfId="0" applyFont="1" applyFill="1" applyAlignment="1" applyProtection="1">
      <alignment vertical="center"/>
      <protection locked="0"/>
    </xf>
    <xf numFmtId="190" fontId="57" fillId="6" borderId="23" xfId="1" applyFont="1" applyFill="1" applyBorder="1" applyAlignment="1" applyProtection="1">
      <alignment horizontal="left"/>
    </xf>
    <xf numFmtId="190" fontId="57" fillId="6" borderId="5" xfId="1" applyFont="1" applyFill="1" applyBorder="1" applyAlignment="1" applyProtection="1"/>
    <xf numFmtId="177" fontId="57" fillId="6" borderId="1" xfId="1" applyNumberFormat="1" applyFont="1" applyFill="1" applyBorder="1" applyAlignment="1" applyProtection="1">
      <alignment horizontal="center"/>
    </xf>
    <xf numFmtId="190" fontId="57" fillId="6" borderId="1" xfId="1" applyFont="1" applyFill="1" applyBorder="1" applyAlignment="1" applyProtection="1">
      <alignment horizontal="center"/>
    </xf>
    <xf numFmtId="190" fontId="57" fillId="6" borderId="24" xfId="1" applyFont="1" applyFill="1" applyBorder="1" applyAlignment="1" applyProtection="1">
      <alignment horizontal="left"/>
    </xf>
    <xf numFmtId="190" fontId="57" fillId="3" borderId="0" xfId="0" applyFont="1" applyFill="1" applyAlignment="1" applyProtection="1">
      <alignment vertical="center"/>
      <protection locked="0"/>
    </xf>
    <xf numFmtId="19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190" fontId="56" fillId="6" borderId="1" xfId="1" applyFont="1" applyFill="1" applyBorder="1" applyAlignment="1" applyProtection="1">
      <alignment horizontal="center"/>
    </xf>
    <xf numFmtId="19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190" fontId="57" fillId="0" borderId="0" xfId="0" applyFont="1" applyFill="1" applyAlignment="1" applyProtection="1">
      <alignment vertical="center"/>
      <protection locked="0"/>
    </xf>
    <xf numFmtId="190" fontId="62" fillId="6" borderId="5" xfId="1" applyFont="1" applyFill="1" applyBorder="1" applyAlignment="1" applyProtection="1"/>
    <xf numFmtId="177" fontId="62" fillId="6" borderId="1" xfId="1" applyNumberFormat="1" applyFont="1" applyFill="1" applyBorder="1" applyAlignment="1" applyProtection="1">
      <alignment horizontal="center"/>
    </xf>
    <xf numFmtId="190" fontId="56" fillId="6" borderId="24" xfId="1" applyFont="1" applyFill="1" applyBorder="1" applyAlignment="1" applyProtection="1">
      <alignment vertical="center" wrapText="1"/>
    </xf>
    <xf numFmtId="190" fontId="56" fillId="6" borderId="23" xfId="1" applyFont="1" applyFill="1" applyBorder="1" applyAlignment="1" applyProtection="1">
      <alignment horizontal="left"/>
    </xf>
    <xf numFmtId="190" fontId="56" fillId="6" borderId="0" xfId="1" applyFont="1" applyFill="1" applyBorder="1" applyAlignment="1" applyProtection="1">
      <alignment horizontal="center"/>
    </xf>
    <xf numFmtId="19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19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190" fontId="57" fillId="6" borderId="24" xfId="0" applyFont="1" applyFill="1" applyBorder="1" applyAlignment="1" applyProtection="1">
      <alignment vertical="center"/>
    </xf>
    <xf numFmtId="190" fontId="57" fillId="6" borderId="1" xfId="0" applyFont="1" applyFill="1" applyBorder="1" applyAlignment="1" applyProtection="1">
      <alignment horizontal="right" vertical="center"/>
    </xf>
    <xf numFmtId="19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19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190" fontId="56" fillId="6" borderId="24" xfId="0" applyFont="1" applyFill="1" applyBorder="1" applyAlignment="1" applyProtection="1">
      <alignment vertical="center"/>
    </xf>
    <xf numFmtId="190" fontId="57" fillId="6" borderId="1" xfId="0" applyFont="1" applyFill="1" applyBorder="1" applyAlignment="1" applyProtection="1">
      <alignment vertical="center"/>
    </xf>
    <xf numFmtId="190" fontId="56" fillId="6" borderId="61" xfId="0" applyFont="1" applyFill="1" applyBorder="1" applyAlignment="1" applyProtection="1">
      <alignment vertical="center" wrapText="1"/>
    </xf>
    <xf numFmtId="190" fontId="56" fillId="6" borderId="8" xfId="0" applyFont="1" applyFill="1" applyBorder="1" applyAlignment="1" applyProtection="1">
      <alignment vertical="center"/>
    </xf>
    <xf numFmtId="19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190" fontId="57" fillId="6" borderId="24" xfId="0" applyFont="1" applyFill="1" applyBorder="1" applyAlignment="1" applyProtection="1">
      <alignment vertical="center" wrapText="1"/>
    </xf>
    <xf numFmtId="19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19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19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190" fontId="56" fillId="6" borderId="24" xfId="0" applyFont="1" applyFill="1" applyBorder="1" applyAlignment="1" applyProtection="1">
      <alignment vertical="center" wrapText="1"/>
    </xf>
    <xf numFmtId="19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4"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190" fontId="56" fillId="3" borderId="0" xfId="0" applyFont="1" applyFill="1" applyAlignment="1" applyProtection="1">
      <alignment horizontal="left" vertical="center"/>
      <protection locked="0"/>
    </xf>
    <xf numFmtId="190" fontId="63" fillId="6" borderId="1" xfId="0" applyFont="1" applyFill="1" applyBorder="1" applyAlignment="1" applyProtection="1">
      <alignment horizontal="left"/>
    </xf>
    <xf numFmtId="190" fontId="61" fillId="6" borderId="1" xfId="0" applyFont="1" applyFill="1" applyBorder="1" applyAlignment="1" applyProtection="1">
      <alignment horizontal="center" vertical="center"/>
    </xf>
    <xf numFmtId="190" fontId="56" fillId="3" borderId="0" xfId="0" applyFont="1" applyFill="1" applyAlignment="1" applyProtection="1">
      <alignment horizontal="center" vertical="center"/>
      <protection locked="0"/>
    </xf>
    <xf numFmtId="19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19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19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6"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19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19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190" fontId="66" fillId="0" borderId="0" xfId="0" applyFont="1" applyFill="1" applyAlignment="1" applyProtection="1">
      <alignment vertical="center"/>
      <protection locked="0"/>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190" fontId="50" fillId="6" borderId="9" xfId="0" applyFont="1" applyFill="1" applyBorder="1" applyAlignment="1" applyProtection="1">
      <alignment horizontal="center" vertical="center"/>
    </xf>
    <xf numFmtId="190" fontId="50" fillId="6" borderId="28" xfId="0" applyFont="1" applyFill="1" applyBorder="1" applyAlignment="1" applyProtection="1">
      <alignment horizontal="right" vertical="center"/>
    </xf>
    <xf numFmtId="19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190" fontId="55" fillId="6" borderId="13" xfId="0" applyFont="1" applyFill="1" applyBorder="1" applyAlignment="1" applyProtection="1">
      <alignment vertical="center" wrapText="1"/>
    </xf>
    <xf numFmtId="190" fontId="55" fillId="6" borderId="13" xfId="0" applyFont="1" applyFill="1" applyBorder="1" applyAlignment="1" applyProtection="1">
      <alignment horizontal="center" vertical="center"/>
    </xf>
    <xf numFmtId="190" fontId="50" fillId="6" borderId="1" xfId="0" applyFont="1" applyFill="1" applyBorder="1" applyAlignment="1" applyProtection="1">
      <alignment horizontal="left" vertical="center"/>
    </xf>
    <xf numFmtId="19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190" fontId="55" fillId="6" borderId="15" xfId="0" applyFont="1" applyFill="1" applyBorder="1" applyAlignment="1" applyProtection="1">
      <alignment vertical="center" wrapText="1"/>
    </xf>
    <xf numFmtId="190" fontId="55" fillId="6" borderId="15" xfId="0" applyFont="1" applyFill="1" applyBorder="1" applyAlignment="1" applyProtection="1">
      <alignment horizontal="center" vertical="center"/>
    </xf>
    <xf numFmtId="19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190" fontId="55" fillId="6" borderId="2" xfId="0" applyFont="1" applyFill="1" applyBorder="1" applyAlignment="1" applyProtection="1">
      <alignment vertical="center" wrapText="1"/>
    </xf>
    <xf numFmtId="190" fontId="55" fillId="6" borderId="2" xfId="0" applyFont="1" applyFill="1" applyBorder="1" applyAlignment="1" applyProtection="1">
      <alignment horizontal="center" vertical="center"/>
    </xf>
    <xf numFmtId="19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19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190" fontId="55" fillId="6" borderId="1" xfId="0" applyFont="1" applyFill="1" applyBorder="1" applyAlignment="1" applyProtection="1">
      <alignment horizontal="center" vertical="center"/>
    </xf>
    <xf numFmtId="19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19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190" fontId="50" fillId="6" borderId="1" xfId="0" applyFont="1" applyFill="1" applyBorder="1" applyAlignment="1" applyProtection="1">
      <alignment vertical="center" wrapText="1"/>
    </xf>
    <xf numFmtId="190" fontId="50" fillId="6" borderId="13" xfId="0" applyFont="1" applyFill="1" applyBorder="1" applyAlignment="1" applyProtection="1">
      <alignment horizontal="left" vertical="center" wrapText="1"/>
    </xf>
    <xf numFmtId="19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19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190" fontId="50" fillId="6" borderId="1" xfId="0" applyFont="1" applyFill="1" applyBorder="1" applyAlignment="1" applyProtection="1">
      <alignment vertical="center"/>
    </xf>
    <xf numFmtId="182"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19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190" fontId="55" fillId="6" borderId="32" xfId="0" applyFont="1" applyFill="1" applyBorder="1" applyAlignment="1" applyProtection="1">
      <alignment horizontal="left" vertical="center"/>
    </xf>
    <xf numFmtId="190" fontId="55" fillId="6" borderId="32" xfId="0" applyFont="1" applyFill="1" applyBorder="1" applyAlignment="1" applyProtection="1">
      <alignment horizontal="center" vertical="center"/>
    </xf>
    <xf numFmtId="190" fontId="50" fillId="6" borderId="32" xfId="0" applyFont="1" applyFill="1" applyBorder="1" applyAlignment="1" applyProtection="1">
      <alignment vertical="center"/>
    </xf>
    <xf numFmtId="19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190" fontId="56" fillId="6" borderId="1" xfId="0" applyFont="1" applyFill="1" applyBorder="1" applyAlignment="1" applyProtection="1">
      <alignment horizontal="left"/>
    </xf>
    <xf numFmtId="185" fontId="56" fillId="6" borderId="1" xfId="0" applyNumberFormat="1" applyFont="1" applyFill="1" applyBorder="1" applyAlignment="1" applyProtection="1">
      <alignment horizontal="center"/>
    </xf>
    <xf numFmtId="19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190" fontId="108" fillId="6" borderId="1" xfId="0" applyFont="1" applyFill="1" applyBorder="1" applyAlignment="1" applyProtection="1">
      <alignment horizontal="left"/>
    </xf>
    <xf numFmtId="190" fontId="108" fillId="6" borderId="1" xfId="0" applyFont="1" applyFill="1" applyBorder="1" applyAlignment="1" applyProtection="1">
      <alignment horizontal="center"/>
    </xf>
    <xf numFmtId="190" fontId="63" fillId="6" borderId="1" xfId="0" applyFont="1" applyFill="1" applyBorder="1" applyAlignment="1" applyProtection="1">
      <alignment horizontal="center"/>
    </xf>
    <xf numFmtId="190" fontId="61" fillId="0" borderId="0" xfId="0" applyFont="1" applyFill="1" applyAlignment="1" applyProtection="1">
      <alignment horizontal="center" vertical="center"/>
      <protection locked="0"/>
    </xf>
    <xf numFmtId="190" fontId="107" fillId="6" borderId="46" xfId="0" applyFont="1" applyFill="1" applyBorder="1" applyAlignment="1" applyProtection="1">
      <alignment vertical="center"/>
    </xf>
    <xf numFmtId="190" fontId="65" fillId="6" borderId="36" xfId="0" applyFont="1" applyFill="1" applyBorder="1" applyAlignment="1" applyProtection="1">
      <alignment horizontal="right" vertical="center"/>
    </xf>
    <xf numFmtId="190" fontId="65" fillId="6" borderId="0" xfId="0" applyFont="1" applyFill="1" applyAlignment="1" applyProtection="1">
      <alignment horizontal="center" vertical="center"/>
    </xf>
    <xf numFmtId="190" fontId="66" fillId="0" borderId="0" xfId="0" applyFont="1" applyFill="1" applyBorder="1" applyAlignment="1" applyProtection="1">
      <alignment horizontal="center" vertical="center"/>
      <protection locked="0"/>
    </xf>
    <xf numFmtId="190" fontId="66" fillId="0" borderId="0" xfId="0" applyFont="1" applyFill="1" applyAlignment="1" applyProtection="1">
      <alignment horizontal="center" vertical="center"/>
      <protection locked="0"/>
    </xf>
    <xf numFmtId="190" fontId="60" fillId="6" borderId="13" xfId="0" applyFont="1" applyFill="1" applyBorder="1" applyAlignment="1" applyProtection="1">
      <alignment horizontal="right" vertical="center"/>
    </xf>
    <xf numFmtId="190" fontId="60" fillId="6" borderId="13" xfId="0" applyFont="1" applyFill="1" applyBorder="1" applyAlignment="1" applyProtection="1">
      <alignment horizontal="center" vertical="center"/>
    </xf>
    <xf numFmtId="190" fontId="53" fillId="6" borderId="16" xfId="0" applyFont="1" applyFill="1" applyBorder="1" applyAlignment="1" applyProtection="1">
      <alignment vertical="center" wrapText="1"/>
    </xf>
    <xf numFmtId="190" fontId="53" fillId="6" borderId="19" xfId="0" applyFont="1" applyFill="1" applyBorder="1" applyAlignment="1" applyProtection="1">
      <alignment vertical="center" wrapText="1"/>
    </xf>
    <xf numFmtId="190" fontId="54" fillId="0" borderId="0" xfId="0" applyFont="1" applyFill="1" applyAlignment="1" applyProtection="1">
      <alignment horizontal="center" vertical="center"/>
      <protection locked="0"/>
    </xf>
    <xf numFmtId="190" fontId="53" fillId="6" borderId="18" xfId="0" applyFont="1" applyFill="1" applyBorder="1" applyAlignment="1" applyProtection="1">
      <alignment vertical="center" wrapText="1"/>
    </xf>
    <xf numFmtId="190" fontId="53" fillId="6" borderId="0" xfId="0" applyFont="1" applyFill="1" applyBorder="1" applyAlignment="1" applyProtection="1">
      <alignment vertical="center" wrapText="1"/>
    </xf>
    <xf numFmtId="190" fontId="53" fillId="6" borderId="42" xfId="0" applyFont="1" applyFill="1" applyBorder="1" applyAlignment="1" applyProtection="1">
      <alignment vertical="center" wrapText="1"/>
    </xf>
    <xf numFmtId="190" fontId="53" fillId="6" borderId="47" xfId="0" applyFont="1" applyFill="1" applyBorder="1" applyAlignment="1" applyProtection="1">
      <alignment vertical="center" wrapText="1"/>
    </xf>
    <xf numFmtId="190" fontId="49" fillId="6" borderId="63" xfId="0" applyFont="1" applyFill="1" applyBorder="1" applyAlignment="1" applyProtection="1">
      <alignment vertical="center" wrapText="1"/>
    </xf>
    <xf numFmtId="190" fontId="49" fillId="6" borderId="64" xfId="0" applyFont="1" applyFill="1" applyBorder="1" applyAlignment="1" applyProtection="1">
      <alignment vertical="center" wrapText="1"/>
    </xf>
    <xf numFmtId="183" fontId="47" fillId="6" borderId="26" xfId="0" applyNumberFormat="1" applyFont="1" applyFill="1" applyBorder="1" applyAlignment="1" applyProtection="1">
      <alignment horizontal="center" vertical="center" wrapText="1"/>
    </xf>
    <xf numFmtId="190" fontId="47" fillId="6" borderId="67" xfId="0" applyNumberFormat="1" applyFont="1" applyFill="1" applyBorder="1" applyAlignment="1" applyProtection="1">
      <alignment horizontal="center" vertical="center" wrapText="1"/>
    </xf>
    <xf numFmtId="183" fontId="47" fillId="0" borderId="70" xfId="0" applyNumberFormat="1" applyFont="1" applyFill="1" applyBorder="1" applyAlignment="1" applyProtection="1">
      <alignment horizontal="center" vertical="center" wrapText="1"/>
      <protection locked="0"/>
    </xf>
    <xf numFmtId="19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190" fontId="49" fillId="6" borderId="40" xfId="0" applyFont="1" applyFill="1" applyBorder="1" applyAlignment="1" applyProtection="1">
      <alignment vertical="center" wrapText="1"/>
    </xf>
    <xf numFmtId="19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19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190" fontId="69" fillId="6" borderId="14" xfId="0" applyFont="1" applyFill="1" applyBorder="1" applyAlignment="1" applyProtection="1">
      <alignment vertical="center" wrapText="1"/>
    </xf>
    <xf numFmtId="19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190" fontId="47" fillId="6" borderId="5" xfId="0" applyNumberFormat="1" applyFont="1" applyFill="1" applyBorder="1" applyAlignment="1" applyProtection="1">
      <alignment horizontal="center" vertical="center" wrapText="1"/>
    </xf>
    <xf numFmtId="190" fontId="61" fillId="0" borderId="48" xfId="0" applyNumberFormat="1" applyFont="1" applyFill="1" applyBorder="1" applyAlignment="1" applyProtection="1">
      <alignment horizontal="center" vertical="center" wrapText="1"/>
      <protection locked="0"/>
    </xf>
    <xf numFmtId="190" fontId="70" fillId="0" borderId="0" xfId="0" applyFont="1" applyFill="1" applyAlignment="1" applyProtection="1">
      <alignment horizontal="center" vertical="center"/>
      <protection locked="0"/>
    </xf>
    <xf numFmtId="190" fontId="53" fillId="6" borderId="14" xfId="0" applyFont="1" applyFill="1" applyBorder="1" applyAlignment="1" applyProtection="1">
      <alignment vertical="center" wrapText="1"/>
    </xf>
    <xf numFmtId="190" fontId="47" fillId="0" borderId="23" xfId="0" applyNumberFormat="1" applyFont="1" applyFill="1" applyBorder="1" applyAlignment="1" applyProtection="1">
      <alignment horizontal="center" vertical="center" wrapText="1"/>
      <protection locked="0"/>
    </xf>
    <xf numFmtId="190" fontId="47" fillId="0" borderId="3" xfId="0" applyNumberFormat="1" applyFont="1" applyFill="1" applyBorder="1" applyAlignment="1" applyProtection="1">
      <alignment horizontal="center" vertical="center" wrapText="1"/>
      <protection locked="0"/>
    </xf>
    <xf numFmtId="190" fontId="49" fillId="6" borderId="14" xfId="0" applyFont="1" applyFill="1" applyBorder="1" applyAlignment="1" applyProtection="1">
      <alignment vertical="center" wrapText="1"/>
    </xf>
    <xf numFmtId="190" fontId="47" fillId="0" borderId="41" xfId="0" applyNumberFormat="1" applyFont="1" applyFill="1" applyBorder="1" applyAlignment="1" applyProtection="1">
      <alignment horizontal="center" vertical="center" wrapText="1"/>
      <protection locked="0"/>
    </xf>
    <xf numFmtId="190" fontId="47" fillId="6" borderId="71" xfId="0" applyNumberFormat="1" applyFont="1" applyFill="1" applyBorder="1" applyAlignment="1" applyProtection="1">
      <alignment horizontal="center" vertical="center" wrapText="1"/>
    </xf>
    <xf numFmtId="190" fontId="54" fillId="0" borderId="37" xfId="0" applyNumberFormat="1" applyFont="1" applyFill="1" applyBorder="1" applyAlignment="1" applyProtection="1">
      <alignment horizontal="center" vertical="center" wrapText="1"/>
      <protection locked="0"/>
    </xf>
    <xf numFmtId="190" fontId="54" fillId="6" borderId="24" xfId="0" applyNumberFormat="1" applyFont="1" applyFill="1" applyBorder="1" applyAlignment="1" applyProtection="1">
      <alignment horizontal="center" vertical="center" wrapText="1"/>
    </xf>
    <xf numFmtId="190" fontId="53" fillId="6" borderId="12" xfId="0" applyFont="1" applyFill="1" applyBorder="1" applyAlignment="1" applyProtection="1">
      <alignment vertical="center" wrapText="1"/>
    </xf>
    <xf numFmtId="190" fontId="54" fillId="0" borderId="38" xfId="0" applyNumberFormat="1" applyFont="1" applyFill="1" applyBorder="1" applyAlignment="1" applyProtection="1">
      <alignment horizontal="center" vertical="center" wrapText="1"/>
      <protection locked="0"/>
    </xf>
    <xf numFmtId="190" fontId="54" fillId="6" borderId="49" xfId="0" applyNumberFormat="1" applyFont="1" applyFill="1" applyBorder="1" applyAlignment="1" applyProtection="1">
      <alignment horizontal="center" vertical="center" wrapText="1"/>
    </xf>
    <xf numFmtId="190" fontId="54" fillId="6" borderId="33" xfId="0" applyNumberFormat="1" applyFont="1" applyFill="1" applyBorder="1" applyAlignment="1" applyProtection="1">
      <alignment horizontal="center" vertical="center" wrapText="1"/>
    </xf>
    <xf numFmtId="190" fontId="53" fillId="6" borderId="40" xfId="0" applyFont="1" applyFill="1" applyBorder="1" applyAlignment="1" applyProtection="1">
      <alignment vertical="center" wrapText="1"/>
    </xf>
    <xf numFmtId="19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19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190" fontId="61" fillId="0" borderId="72" xfId="0" applyNumberFormat="1" applyFont="1" applyFill="1" applyBorder="1" applyAlignment="1" applyProtection="1">
      <alignment horizontal="center" vertical="center" wrapText="1"/>
      <protection locked="0"/>
    </xf>
    <xf numFmtId="190" fontId="54" fillId="6" borderId="0" xfId="0" applyFont="1" applyFill="1" applyBorder="1" applyAlignment="1" applyProtection="1">
      <alignment horizontal="center" vertical="center"/>
    </xf>
    <xf numFmtId="190" fontId="54" fillId="2" borderId="41" xfId="0" applyNumberFormat="1" applyFont="1" applyFill="1" applyBorder="1" applyAlignment="1" applyProtection="1">
      <alignment horizontal="center" vertical="center" wrapText="1"/>
      <protection locked="0"/>
    </xf>
    <xf numFmtId="190" fontId="54" fillId="6" borderId="8" xfId="0" applyNumberFormat="1" applyFont="1" applyFill="1" applyBorder="1" applyAlignment="1" applyProtection="1">
      <alignment horizontal="center" vertical="center" wrapText="1"/>
    </xf>
    <xf numFmtId="190" fontId="54" fillId="6" borderId="4" xfId="0" applyNumberFormat="1" applyFont="1" applyFill="1" applyBorder="1" applyAlignment="1" applyProtection="1">
      <alignment horizontal="center" vertical="center" wrapText="1"/>
    </xf>
    <xf numFmtId="190" fontId="54" fillId="6" borderId="53" xfId="0" applyNumberFormat="1" applyFont="1" applyFill="1" applyBorder="1" applyAlignment="1" applyProtection="1">
      <alignment horizontal="center" vertical="center" wrapText="1"/>
    </xf>
    <xf numFmtId="19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19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190" fontId="54" fillId="6" borderId="61" xfId="0" applyNumberFormat="1" applyFont="1" applyFill="1" applyBorder="1" applyAlignment="1" applyProtection="1">
      <alignment horizontal="center" vertical="center" wrapText="1"/>
    </xf>
    <xf numFmtId="19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19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190" fontId="54" fillId="2" borderId="23" xfId="0" applyNumberFormat="1" applyFont="1" applyFill="1" applyBorder="1" applyAlignment="1" applyProtection="1">
      <alignment horizontal="center" vertical="center" wrapText="1"/>
      <protection locked="0"/>
    </xf>
    <xf numFmtId="190" fontId="54" fillId="6" borderId="5" xfId="0" applyNumberFormat="1" applyFont="1" applyFill="1" applyBorder="1" applyAlignment="1" applyProtection="1">
      <alignment horizontal="center" vertical="center" wrapText="1"/>
    </xf>
    <xf numFmtId="19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19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190" fontId="53" fillId="6" borderId="40" xfId="0" applyFont="1" applyFill="1" applyBorder="1" applyAlignment="1" applyProtection="1">
      <alignment vertical="center" textRotation="255" wrapText="1"/>
    </xf>
    <xf numFmtId="190" fontId="54" fillId="6" borderId="10" xfId="0" applyNumberFormat="1" applyFont="1" applyFill="1" applyBorder="1" applyAlignment="1" applyProtection="1">
      <alignment horizontal="center" vertical="center" wrapText="1"/>
    </xf>
    <xf numFmtId="190" fontId="72" fillId="6" borderId="14" xfId="0" applyFont="1" applyFill="1" applyBorder="1" applyAlignment="1" applyProtection="1">
      <alignment vertical="center" textRotation="255" wrapText="1"/>
    </xf>
    <xf numFmtId="190" fontId="47" fillId="0" borderId="37" xfId="0" applyNumberFormat="1" applyFont="1" applyFill="1" applyBorder="1" applyAlignment="1" applyProtection="1">
      <alignment horizontal="center" vertical="center" wrapText="1"/>
      <protection locked="0"/>
    </xf>
    <xf numFmtId="190" fontId="52" fillId="0" borderId="0" xfId="0" applyFont="1" applyFill="1" applyBorder="1" applyAlignment="1" applyProtection="1">
      <alignment horizontal="center" vertical="center"/>
      <protection locked="0"/>
    </xf>
    <xf numFmtId="190" fontId="52" fillId="0" borderId="0" xfId="0" applyFont="1" applyFill="1" applyAlignment="1" applyProtection="1">
      <alignment horizontal="center" vertical="center"/>
      <protection locked="0"/>
    </xf>
    <xf numFmtId="190" fontId="53" fillId="6" borderId="14" xfId="0" applyFont="1" applyFill="1" applyBorder="1" applyAlignment="1" applyProtection="1">
      <alignment vertical="center" textRotation="255" wrapText="1"/>
    </xf>
    <xf numFmtId="19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190" fontId="54" fillId="0" borderId="3" xfId="0" applyNumberFormat="1" applyFont="1" applyFill="1" applyBorder="1" applyAlignment="1" applyProtection="1">
      <alignment horizontal="center" vertical="center" wrapText="1"/>
      <protection locked="0"/>
    </xf>
    <xf numFmtId="19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190" fontId="53" fillId="6" borderId="21" xfId="0" applyFont="1" applyFill="1" applyBorder="1" applyAlignment="1" applyProtection="1">
      <alignment vertical="center" wrapText="1"/>
    </xf>
    <xf numFmtId="190" fontId="73" fillId="3" borderId="20" xfId="0" applyFont="1" applyFill="1" applyBorder="1" applyAlignment="1" applyProtection="1">
      <alignment vertical="center" wrapText="1"/>
      <protection locked="0"/>
    </xf>
    <xf numFmtId="190" fontId="73" fillId="6" borderId="20" xfId="0" applyFont="1" applyFill="1" applyBorder="1" applyAlignment="1" applyProtection="1">
      <alignment vertical="center" wrapText="1"/>
    </xf>
    <xf numFmtId="190" fontId="73" fillId="3" borderId="51" xfId="0" applyFont="1" applyFill="1" applyBorder="1" applyAlignment="1" applyProtection="1">
      <alignment vertical="center" wrapText="1"/>
      <protection locked="0"/>
    </xf>
    <xf numFmtId="19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5" fontId="53" fillId="6" borderId="38" xfId="0" applyNumberFormat="1" applyFont="1" applyFill="1" applyBorder="1" applyAlignment="1" applyProtection="1">
      <alignment vertical="center" wrapText="1"/>
    </xf>
    <xf numFmtId="190" fontId="53" fillId="6" borderId="68" xfId="0" applyFont="1" applyFill="1" applyBorder="1" applyAlignment="1" applyProtection="1">
      <alignment vertical="center" wrapText="1"/>
    </xf>
    <xf numFmtId="185" fontId="53" fillId="6" borderId="52" xfId="0" applyNumberFormat="1" applyFont="1" applyFill="1" applyBorder="1" applyAlignment="1" applyProtection="1">
      <alignment vertical="center" wrapText="1"/>
    </xf>
    <xf numFmtId="19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5" fontId="53" fillId="6" borderId="47" xfId="0" applyNumberFormat="1" applyFont="1" applyFill="1" applyBorder="1" applyAlignment="1" applyProtection="1">
      <alignment vertical="center" wrapText="1"/>
    </xf>
    <xf numFmtId="188"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190" fontId="53" fillId="6" borderId="1" xfId="0" applyFont="1" applyFill="1" applyBorder="1" applyAlignment="1" applyProtection="1">
      <alignment horizontal="left" vertical="center"/>
    </xf>
    <xf numFmtId="19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190" fontId="53" fillId="6" borderId="3" xfId="0" applyFont="1" applyFill="1" applyBorder="1" applyAlignment="1" applyProtection="1">
      <alignment horizontal="center" vertical="center" wrapText="1"/>
    </xf>
    <xf numFmtId="190" fontId="71" fillId="0" borderId="0" xfId="0" applyFont="1" applyFill="1" applyAlignment="1" applyProtection="1">
      <alignment horizontal="center" vertical="center"/>
      <protection locked="0"/>
    </xf>
    <xf numFmtId="19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190" fontId="49" fillId="6" borderId="16" xfId="0" applyNumberFormat="1" applyFont="1" applyFill="1" applyBorder="1" applyAlignment="1" applyProtection="1">
      <alignment vertical="center" wrapText="1"/>
    </xf>
    <xf numFmtId="19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190" fontId="49" fillId="6" borderId="18" xfId="0" applyNumberFormat="1" applyFont="1" applyFill="1" applyBorder="1" applyAlignment="1" applyProtection="1">
      <alignment vertical="center" wrapText="1"/>
    </xf>
    <xf numFmtId="190" fontId="49" fillId="6" borderId="35" xfId="0" applyNumberFormat="1" applyFont="1" applyFill="1" applyBorder="1" applyAlignment="1" applyProtection="1">
      <alignment vertical="center" wrapText="1"/>
    </xf>
    <xf numFmtId="190" fontId="47" fillId="0" borderId="22" xfId="0" applyNumberFormat="1" applyFont="1" applyFill="1" applyBorder="1" applyAlignment="1" applyProtection="1">
      <alignment horizontal="center" vertical="center" wrapText="1"/>
      <protection locked="0"/>
    </xf>
    <xf numFmtId="190" fontId="47" fillId="0" borderId="13" xfId="0" applyNumberFormat="1" applyFont="1" applyFill="1" applyBorder="1" applyAlignment="1" applyProtection="1">
      <alignment horizontal="center" vertical="center" wrapText="1"/>
      <protection locked="0"/>
    </xf>
    <xf numFmtId="190" fontId="47" fillId="0" borderId="46" xfId="0" applyNumberFormat="1" applyFont="1" applyFill="1" applyBorder="1" applyAlignment="1" applyProtection="1">
      <alignment horizontal="center" vertical="center" wrapText="1"/>
      <protection locked="0"/>
    </xf>
    <xf numFmtId="190" fontId="47" fillId="0" borderId="61" xfId="0" applyNumberFormat="1" applyFont="1" applyFill="1" applyBorder="1" applyAlignment="1" applyProtection="1">
      <alignment horizontal="center" vertical="center" wrapText="1"/>
      <protection locked="0"/>
    </xf>
    <xf numFmtId="190" fontId="49" fillId="6" borderId="42" xfId="0" applyNumberFormat="1" applyFont="1" applyFill="1" applyBorder="1" applyAlignment="1" applyProtection="1">
      <alignment vertical="center"/>
    </xf>
    <xf numFmtId="190" fontId="49" fillId="6" borderId="73" xfId="0" applyNumberFormat="1" applyFont="1" applyFill="1" applyBorder="1" applyAlignment="1" applyProtection="1">
      <alignment vertical="center" wrapText="1"/>
    </xf>
    <xf numFmtId="190" fontId="47" fillId="0" borderId="73" xfId="0" applyNumberFormat="1" applyFont="1" applyFill="1" applyBorder="1" applyAlignment="1" applyProtection="1">
      <alignment horizontal="center" vertical="center" wrapText="1"/>
      <protection locked="0"/>
    </xf>
    <xf numFmtId="190" fontId="47" fillId="0" borderId="74" xfId="0" applyNumberFormat="1" applyFont="1" applyFill="1" applyBorder="1" applyAlignment="1" applyProtection="1">
      <alignment horizontal="center" vertical="center" wrapText="1"/>
      <protection locked="0"/>
    </xf>
    <xf numFmtId="190" fontId="47" fillId="0" borderId="75" xfId="0" applyNumberFormat="1" applyFont="1" applyFill="1" applyBorder="1" applyAlignment="1" applyProtection="1">
      <alignment horizontal="center" vertical="center" wrapText="1"/>
      <protection locked="0"/>
    </xf>
    <xf numFmtId="190" fontId="47" fillId="0" borderId="76" xfId="0" applyNumberFormat="1" applyFont="1" applyFill="1" applyBorder="1" applyAlignment="1" applyProtection="1">
      <alignment horizontal="center" vertical="center" wrapText="1"/>
      <protection locked="0"/>
    </xf>
    <xf numFmtId="190" fontId="49" fillId="6" borderId="58" xfId="0" applyNumberFormat="1" applyFont="1" applyFill="1" applyBorder="1" applyAlignment="1" applyProtection="1">
      <alignment vertical="center" wrapText="1"/>
    </xf>
    <xf numFmtId="190" fontId="47" fillId="6" borderId="7" xfId="0" applyNumberFormat="1" applyFont="1" applyFill="1" applyBorder="1" applyAlignment="1" applyProtection="1">
      <alignment horizontal="center" vertical="center" wrapText="1"/>
    </xf>
    <xf numFmtId="190" fontId="47" fillId="0" borderId="2" xfId="0" applyNumberFormat="1" applyFont="1" applyFill="1" applyBorder="1" applyAlignment="1" applyProtection="1">
      <alignment horizontal="center" vertical="center" wrapText="1"/>
      <protection locked="0"/>
    </xf>
    <xf numFmtId="190" fontId="47" fillId="0" borderId="2" xfId="0" applyNumberFormat="1" applyFont="1" applyFill="1" applyBorder="1" applyAlignment="1" applyProtection="1">
      <alignment horizontal="left" vertical="center" wrapText="1"/>
      <protection locked="0"/>
    </xf>
    <xf numFmtId="190" fontId="47" fillId="0" borderId="8" xfId="0" applyNumberFormat="1" applyFont="1" applyFill="1" applyBorder="1" applyAlignment="1" applyProtection="1">
      <alignment horizontal="center" vertical="center" wrapText="1"/>
      <protection locked="0"/>
    </xf>
    <xf numFmtId="190" fontId="104" fillId="0" borderId="0" xfId="0" applyFont="1" applyFill="1" applyBorder="1" applyAlignment="1" applyProtection="1">
      <alignment vertical="center"/>
      <protection locked="0"/>
    </xf>
    <xf numFmtId="190" fontId="53" fillId="6" borderId="40" xfId="0" applyNumberFormat="1" applyFont="1" applyFill="1" applyBorder="1" applyAlignment="1" applyProtection="1">
      <alignment vertical="center" wrapText="1"/>
    </xf>
    <xf numFmtId="190" fontId="47" fillId="6" borderId="17" xfId="0" applyNumberFormat="1" applyFont="1" applyFill="1" applyBorder="1" applyAlignment="1" applyProtection="1">
      <alignment horizontal="center" vertical="center" wrapText="1"/>
    </xf>
    <xf numFmtId="190" fontId="54" fillId="6" borderId="9" xfId="0" applyNumberFormat="1" applyFont="1" applyFill="1" applyBorder="1" applyAlignment="1" applyProtection="1">
      <alignment horizontal="center" vertical="center" wrapText="1"/>
    </xf>
    <xf numFmtId="190" fontId="54" fillId="0" borderId="9" xfId="0" applyNumberFormat="1" applyFont="1" applyFill="1" applyBorder="1" applyAlignment="1" applyProtection="1">
      <alignment horizontal="center" vertical="center" wrapText="1"/>
      <protection locked="0"/>
    </xf>
    <xf numFmtId="190" fontId="71" fillId="0" borderId="9" xfId="0" applyNumberFormat="1" applyFont="1" applyFill="1" applyBorder="1" applyAlignment="1" applyProtection="1">
      <alignment horizontal="center" vertical="center" wrapText="1"/>
      <protection locked="0"/>
    </xf>
    <xf numFmtId="190" fontId="71" fillId="0" borderId="9" xfId="0" applyNumberFormat="1" applyFont="1" applyFill="1" applyBorder="1" applyAlignment="1" applyProtection="1">
      <alignment horizontal="left" vertical="center" wrapText="1"/>
      <protection locked="0"/>
    </xf>
    <xf numFmtId="190" fontId="71" fillId="0" borderId="10" xfId="0" applyNumberFormat="1" applyFont="1" applyFill="1" applyBorder="1" applyAlignment="1" applyProtection="1">
      <alignment horizontal="center" vertical="center" wrapText="1"/>
      <protection locked="0"/>
    </xf>
    <xf numFmtId="190" fontId="53" fillId="6" borderId="14" xfId="0" applyNumberFormat="1" applyFont="1" applyFill="1" applyBorder="1" applyAlignment="1" applyProtection="1">
      <alignment vertical="center" wrapText="1"/>
    </xf>
    <xf numFmtId="190" fontId="52" fillId="6" borderId="77" xfId="0" applyNumberFormat="1" applyFont="1" applyFill="1" applyBorder="1" applyAlignment="1" applyProtection="1">
      <alignment horizontal="center" vertical="center" wrapText="1"/>
    </xf>
    <xf numFmtId="190" fontId="54" fillId="0" borderId="78" xfId="0" applyNumberFormat="1" applyFont="1" applyFill="1" applyBorder="1" applyAlignment="1" applyProtection="1">
      <alignment horizontal="center" vertical="center" wrapText="1"/>
      <protection locked="0"/>
    </xf>
    <xf numFmtId="190" fontId="54" fillId="0" borderId="79" xfId="0" applyNumberFormat="1" applyFont="1" applyFill="1" applyBorder="1" applyAlignment="1" applyProtection="1">
      <alignment horizontal="center" vertical="center" wrapText="1"/>
      <protection locked="0"/>
    </xf>
    <xf numFmtId="190" fontId="47" fillId="6" borderId="57" xfId="0" applyNumberFormat="1" applyFont="1" applyFill="1" applyBorder="1" applyAlignment="1" applyProtection="1">
      <alignment horizontal="center" vertical="center" wrapText="1"/>
    </xf>
    <xf numFmtId="190" fontId="54" fillId="6" borderId="44" xfId="0" applyNumberFormat="1" applyFont="1" applyFill="1" applyBorder="1" applyAlignment="1" applyProtection="1">
      <alignment horizontal="center" vertical="center" wrapText="1"/>
    </xf>
    <xf numFmtId="190" fontId="71" fillId="6" borderId="44" xfId="0" applyNumberFormat="1" applyFont="1" applyFill="1" applyBorder="1" applyAlignment="1" applyProtection="1">
      <alignment horizontal="center" vertical="center" wrapText="1"/>
    </xf>
    <xf numFmtId="190" fontId="71" fillId="6" borderId="44" xfId="0" applyNumberFormat="1" applyFont="1" applyFill="1" applyBorder="1" applyAlignment="1" applyProtection="1">
      <alignment horizontal="left" vertical="center" wrapText="1"/>
    </xf>
    <xf numFmtId="190" fontId="71" fillId="6" borderId="45" xfId="0" applyNumberFormat="1" applyFont="1" applyFill="1" applyBorder="1" applyAlignment="1" applyProtection="1">
      <alignment horizontal="center" vertical="center" wrapText="1"/>
    </xf>
    <xf numFmtId="190" fontId="47" fillId="6" borderId="77" xfId="0" applyNumberFormat="1" applyFont="1" applyFill="1" applyBorder="1" applyAlignment="1" applyProtection="1">
      <alignment horizontal="center" vertical="center" wrapText="1"/>
    </xf>
    <xf numFmtId="190" fontId="54" fillId="6" borderId="78" xfId="0" applyNumberFormat="1" applyFont="1" applyFill="1" applyBorder="1" applyAlignment="1" applyProtection="1">
      <alignment horizontal="center" vertical="center" wrapText="1"/>
    </xf>
    <xf numFmtId="190" fontId="54" fillId="6" borderId="79" xfId="0" applyNumberFormat="1" applyFont="1" applyFill="1" applyBorder="1" applyAlignment="1" applyProtection="1">
      <alignment horizontal="center" vertical="center" wrapText="1"/>
    </xf>
    <xf numFmtId="190" fontId="47" fillId="6" borderId="15" xfId="0" applyNumberFormat="1" applyFont="1" applyFill="1" applyBorder="1" applyAlignment="1" applyProtection="1">
      <alignment horizontal="center" vertical="center" wrapText="1"/>
    </xf>
    <xf numFmtId="190" fontId="54" fillId="6" borderId="2" xfId="0" applyNumberFormat="1" applyFont="1" applyFill="1" applyBorder="1" applyAlignment="1" applyProtection="1">
      <alignment horizontal="center" vertical="center" wrapText="1"/>
    </xf>
    <xf numFmtId="190" fontId="52" fillId="6" borderId="15" xfId="0" applyNumberFormat="1" applyFont="1" applyFill="1" applyBorder="1" applyAlignment="1" applyProtection="1">
      <alignment horizontal="center" vertical="center" wrapText="1"/>
    </xf>
    <xf numFmtId="190" fontId="54" fillId="0" borderId="1" xfId="0" applyNumberFormat="1" applyFont="1" applyFill="1" applyBorder="1" applyAlignment="1" applyProtection="1">
      <alignment horizontal="center" vertical="center" wrapText="1"/>
      <protection locked="0"/>
    </xf>
    <xf numFmtId="190" fontId="71" fillId="0" borderId="1" xfId="0" applyNumberFormat="1" applyFont="1" applyFill="1" applyBorder="1" applyAlignment="1" applyProtection="1">
      <alignment horizontal="center" vertical="center" wrapText="1"/>
      <protection locked="0"/>
    </xf>
    <xf numFmtId="190" fontId="71" fillId="0" borderId="1" xfId="0" applyNumberFormat="1" applyFont="1" applyFill="1" applyBorder="1" applyAlignment="1" applyProtection="1">
      <alignment horizontal="left" vertical="center" wrapText="1"/>
      <protection locked="0"/>
    </xf>
    <xf numFmtId="190" fontId="71" fillId="0" borderId="24" xfId="0" applyNumberFormat="1" applyFont="1" applyFill="1" applyBorder="1" applyAlignment="1" applyProtection="1">
      <alignment horizontal="center" vertical="center" wrapText="1"/>
      <protection locked="0"/>
    </xf>
    <xf numFmtId="190" fontId="72" fillId="6" borderId="14" xfId="0" applyNumberFormat="1" applyFont="1" applyFill="1" applyBorder="1" applyAlignment="1" applyProtection="1">
      <alignment vertical="center" wrapText="1"/>
    </xf>
    <xf numFmtId="190" fontId="47" fillId="0" borderId="44" xfId="0" applyNumberFormat="1" applyFont="1" applyFill="1" applyBorder="1" applyAlignment="1" applyProtection="1">
      <alignment horizontal="center" vertical="center" wrapText="1"/>
      <protection locked="0"/>
    </xf>
    <xf numFmtId="190" fontId="52" fillId="0" borderId="44" xfId="0" applyNumberFormat="1" applyFont="1" applyFill="1" applyBorder="1" applyAlignment="1" applyProtection="1">
      <alignment horizontal="center" vertical="center" wrapText="1"/>
      <protection locked="0"/>
    </xf>
    <xf numFmtId="190" fontId="52" fillId="0" borderId="44" xfId="0" applyNumberFormat="1" applyFont="1" applyFill="1" applyBorder="1" applyAlignment="1" applyProtection="1">
      <alignment horizontal="left" vertical="center" wrapText="1"/>
      <protection locked="0"/>
    </xf>
    <xf numFmtId="190" fontId="52" fillId="0" borderId="45" xfId="0" applyNumberFormat="1" applyFont="1" applyFill="1" applyBorder="1" applyAlignment="1" applyProtection="1">
      <alignment horizontal="center" vertical="center" wrapText="1"/>
      <protection locked="0"/>
    </xf>
    <xf numFmtId="19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19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190" fontId="52" fillId="0" borderId="78" xfId="0" applyNumberFormat="1" applyFont="1" applyFill="1" applyBorder="1" applyAlignment="1" applyProtection="1">
      <alignment horizontal="center" vertical="center" wrapText="1"/>
      <protection locked="0"/>
    </xf>
    <xf numFmtId="190" fontId="52" fillId="0" borderId="79" xfId="0" applyNumberFormat="1" applyFont="1" applyFill="1" applyBorder="1" applyAlignment="1" applyProtection="1">
      <alignment horizontal="center" vertical="center" wrapText="1"/>
      <protection locked="0"/>
    </xf>
    <xf numFmtId="190" fontId="52" fillId="0" borderId="2" xfId="0" applyNumberFormat="1" applyFont="1" applyFill="1" applyBorder="1" applyAlignment="1" applyProtection="1">
      <alignment horizontal="center" vertical="center" wrapText="1"/>
      <protection locked="0"/>
    </xf>
    <xf numFmtId="190" fontId="52" fillId="0" borderId="2" xfId="0" applyNumberFormat="1" applyFont="1" applyFill="1" applyBorder="1" applyAlignment="1" applyProtection="1">
      <alignment horizontal="left" vertical="center" wrapText="1"/>
      <protection locked="0"/>
    </xf>
    <xf numFmtId="190" fontId="52" fillId="0" borderId="8" xfId="0" applyNumberFormat="1" applyFont="1" applyFill="1" applyBorder="1" applyAlignment="1" applyProtection="1">
      <alignment horizontal="center" vertical="center" wrapText="1"/>
      <protection locked="0"/>
    </xf>
    <xf numFmtId="190" fontId="52" fillId="0" borderId="0" xfId="0" applyFont="1" applyFill="1" applyBorder="1" applyAlignment="1" applyProtection="1">
      <alignment vertical="center" wrapText="1"/>
      <protection locked="0"/>
    </xf>
    <xf numFmtId="190" fontId="72" fillId="6" borderId="12" xfId="0" applyNumberFormat="1" applyFont="1" applyFill="1" applyBorder="1" applyAlignment="1" applyProtection="1">
      <alignment vertical="center" wrapText="1"/>
    </xf>
    <xf numFmtId="190" fontId="47" fillId="6" borderId="74" xfId="0" applyNumberFormat="1" applyFont="1" applyFill="1" applyBorder="1" applyAlignment="1" applyProtection="1">
      <alignment horizontal="center" vertical="center" wrapText="1"/>
    </xf>
    <xf numFmtId="190" fontId="47" fillId="0" borderId="32" xfId="0" applyNumberFormat="1" applyFont="1" applyFill="1" applyBorder="1" applyAlignment="1" applyProtection="1">
      <alignment horizontal="center" vertical="center" wrapText="1"/>
      <protection locked="0"/>
    </xf>
    <xf numFmtId="190" fontId="52" fillId="0" borderId="32" xfId="0" applyNumberFormat="1" applyFont="1" applyFill="1" applyBorder="1" applyAlignment="1" applyProtection="1">
      <alignment horizontal="center" vertical="center" wrapText="1"/>
      <protection locked="0"/>
    </xf>
    <xf numFmtId="190" fontId="52" fillId="0" borderId="49" xfId="0" applyNumberFormat="1" applyFont="1" applyFill="1" applyBorder="1" applyAlignment="1" applyProtection="1">
      <alignment horizontal="center" vertical="center" wrapText="1"/>
      <protection locked="0"/>
    </xf>
    <xf numFmtId="190" fontId="47" fillId="6" borderId="9" xfId="0" applyNumberFormat="1" applyFont="1" applyFill="1" applyBorder="1" applyAlignment="1" applyProtection="1">
      <alignment horizontal="center" vertical="center" wrapText="1"/>
    </xf>
    <xf numFmtId="190" fontId="71" fillId="6" borderId="9" xfId="0" applyNumberFormat="1" applyFont="1" applyFill="1" applyBorder="1" applyAlignment="1" applyProtection="1">
      <alignment horizontal="center" vertical="center" wrapText="1"/>
    </xf>
    <xf numFmtId="190" fontId="71" fillId="6" borderId="9" xfId="0" applyNumberFormat="1" applyFont="1" applyFill="1" applyBorder="1" applyAlignment="1" applyProtection="1">
      <alignment horizontal="left" vertical="center" wrapText="1"/>
    </xf>
    <xf numFmtId="190" fontId="71" fillId="6" borderId="10" xfId="0" applyNumberFormat="1" applyFont="1" applyFill="1" applyBorder="1" applyAlignment="1" applyProtection="1">
      <alignment horizontal="center" vertical="center" wrapText="1"/>
    </xf>
    <xf numFmtId="190" fontId="47" fillId="0" borderId="0" xfId="0" applyFont="1" applyFill="1" applyBorder="1" applyAlignment="1" applyProtection="1">
      <alignment vertical="center" wrapText="1"/>
      <protection locked="0"/>
    </xf>
    <xf numFmtId="190" fontId="47" fillId="6" borderId="44" xfId="0" applyNumberFormat="1" applyFont="1" applyFill="1" applyBorder="1" applyAlignment="1" applyProtection="1">
      <alignment horizontal="center" vertical="center" wrapText="1"/>
    </xf>
    <xf numFmtId="190" fontId="49" fillId="6" borderId="14" xfId="0" applyNumberFormat="1" applyFont="1" applyFill="1" applyBorder="1" applyAlignment="1" applyProtection="1">
      <alignment vertical="center" wrapText="1"/>
    </xf>
    <xf numFmtId="190" fontId="47" fillId="0" borderId="44" xfId="0" applyNumberFormat="1" applyFont="1" applyFill="1" applyBorder="1" applyAlignment="1" applyProtection="1">
      <alignment horizontal="left" vertical="center" wrapText="1"/>
      <protection locked="0"/>
    </xf>
    <xf numFmtId="190" fontId="47" fillId="0" borderId="45" xfId="0" applyNumberFormat="1" applyFont="1" applyFill="1" applyBorder="1" applyAlignment="1" applyProtection="1">
      <alignment horizontal="center" vertical="center" wrapText="1"/>
      <protection locked="0"/>
    </xf>
    <xf numFmtId="190" fontId="47" fillId="6" borderId="78" xfId="0" applyNumberFormat="1" applyFont="1" applyFill="1" applyBorder="1" applyAlignment="1" applyProtection="1">
      <alignment horizontal="center" vertical="center" wrapText="1"/>
    </xf>
    <xf numFmtId="190" fontId="54" fillId="0" borderId="44" xfId="0" applyNumberFormat="1" applyFont="1" applyFill="1" applyBorder="1" applyAlignment="1" applyProtection="1">
      <alignment horizontal="center" vertical="center" wrapText="1"/>
      <protection locked="0"/>
    </xf>
    <xf numFmtId="190" fontId="71" fillId="0" borderId="44" xfId="0" applyNumberFormat="1" applyFont="1" applyFill="1" applyBorder="1" applyAlignment="1" applyProtection="1">
      <alignment horizontal="center" vertical="center" wrapText="1"/>
      <protection locked="0"/>
    </xf>
    <xf numFmtId="190" fontId="71" fillId="0" borderId="44" xfId="0" applyNumberFormat="1" applyFont="1" applyFill="1" applyBorder="1" applyAlignment="1" applyProtection="1">
      <alignment horizontal="left" vertical="center" wrapText="1"/>
      <protection locked="0"/>
    </xf>
    <xf numFmtId="190" fontId="71" fillId="0" borderId="45" xfId="0" applyNumberFormat="1" applyFont="1" applyFill="1" applyBorder="1" applyAlignment="1" applyProtection="1">
      <alignment horizontal="center" vertical="center" wrapText="1"/>
      <protection locked="0"/>
    </xf>
    <xf numFmtId="190" fontId="54" fillId="0" borderId="2" xfId="0" applyNumberFormat="1" applyFont="1" applyFill="1" applyBorder="1" applyAlignment="1" applyProtection="1">
      <alignment horizontal="center" vertical="center" wrapText="1"/>
      <protection locked="0"/>
    </xf>
    <xf numFmtId="190" fontId="71" fillId="0" borderId="2" xfId="0" applyNumberFormat="1" applyFont="1" applyFill="1" applyBorder="1" applyAlignment="1" applyProtection="1">
      <alignment horizontal="center" vertical="center" wrapText="1"/>
      <protection locked="0"/>
    </xf>
    <xf numFmtId="190" fontId="71" fillId="0" borderId="2" xfId="0" applyNumberFormat="1" applyFont="1" applyFill="1" applyBorder="1" applyAlignment="1" applyProtection="1">
      <alignment horizontal="left" vertical="center" wrapText="1"/>
      <protection locked="0"/>
    </xf>
    <xf numFmtId="190" fontId="71" fillId="0" borderId="8" xfId="0" applyNumberFormat="1" applyFont="1" applyFill="1" applyBorder="1" applyAlignment="1" applyProtection="1">
      <alignment horizontal="center" vertical="center" wrapText="1"/>
      <protection locked="0"/>
    </xf>
    <xf numFmtId="190" fontId="54" fillId="0" borderId="32" xfId="0" applyNumberFormat="1" applyFont="1" applyFill="1" applyBorder="1" applyAlignment="1" applyProtection="1">
      <alignment horizontal="center" vertical="center" wrapText="1"/>
      <protection locked="0"/>
    </xf>
    <xf numFmtId="190" fontId="54" fillId="0" borderId="49" xfId="0" applyNumberFormat="1" applyFont="1" applyFill="1" applyBorder="1" applyAlignment="1" applyProtection="1">
      <alignment horizontal="center" vertical="center" wrapText="1"/>
      <protection locked="0"/>
    </xf>
    <xf numFmtId="190" fontId="72" fillId="6" borderId="14" xfId="0" applyNumberFormat="1" applyFont="1" applyFill="1" applyBorder="1" applyAlignment="1" applyProtection="1">
      <alignment vertical="center" textRotation="255" wrapText="1"/>
    </xf>
    <xf numFmtId="190" fontId="47" fillId="6" borderId="58" xfId="0" applyNumberFormat="1" applyFont="1" applyFill="1" applyBorder="1" applyAlignment="1" applyProtection="1">
      <alignment horizontal="center" vertical="center"/>
    </xf>
    <xf numFmtId="190" fontId="47" fillId="0" borderId="1" xfId="0" applyNumberFormat="1" applyFont="1" applyFill="1" applyBorder="1" applyAlignment="1" applyProtection="1">
      <alignment horizontal="center" vertical="center" wrapText="1"/>
      <protection locked="0"/>
    </xf>
    <xf numFmtId="190" fontId="52" fillId="0" borderId="1" xfId="0" applyNumberFormat="1" applyFont="1" applyFill="1" applyBorder="1" applyAlignment="1" applyProtection="1">
      <alignment horizontal="center" vertical="center" wrapText="1"/>
      <protection locked="0"/>
    </xf>
    <xf numFmtId="190" fontId="52" fillId="0" borderId="1" xfId="0" applyNumberFormat="1" applyFont="1" applyFill="1" applyBorder="1" applyAlignment="1" applyProtection="1">
      <alignment horizontal="left" vertical="center" wrapText="1"/>
      <protection locked="0"/>
    </xf>
    <xf numFmtId="190" fontId="52" fillId="0" borderId="24" xfId="0" applyNumberFormat="1" applyFont="1" applyFill="1" applyBorder="1" applyAlignment="1" applyProtection="1">
      <alignment horizontal="center" vertical="center" wrapText="1"/>
      <protection locked="0"/>
    </xf>
    <xf numFmtId="190" fontId="53" fillId="6" borderId="14" xfId="0" applyNumberFormat="1" applyFont="1" applyFill="1" applyBorder="1" applyAlignment="1" applyProtection="1">
      <alignment vertical="center" textRotation="255" wrapText="1"/>
    </xf>
    <xf numFmtId="190" fontId="52" fillId="6" borderId="44" xfId="0" applyNumberFormat="1" applyFont="1" applyFill="1" applyBorder="1" applyAlignment="1" applyProtection="1">
      <alignment horizontal="center" vertical="center" wrapText="1"/>
    </xf>
    <xf numFmtId="190" fontId="52" fillId="6" borderId="44" xfId="0" applyNumberFormat="1" applyFont="1" applyFill="1" applyBorder="1" applyAlignment="1" applyProtection="1">
      <alignment horizontal="left" vertical="center" wrapText="1"/>
    </xf>
    <xf numFmtId="190" fontId="52" fillId="6" borderId="45" xfId="0" applyNumberFormat="1" applyFont="1" applyFill="1" applyBorder="1" applyAlignment="1" applyProtection="1">
      <alignment horizontal="center" vertical="center" wrapText="1"/>
    </xf>
    <xf numFmtId="190" fontId="47" fillId="6" borderId="1" xfId="0" applyNumberFormat="1" applyFont="1" applyFill="1" applyBorder="1" applyAlignment="1" applyProtection="1">
      <alignment horizontal="center" vertical="center" wrapText="1"/>
    </xf>
    <xf numFmtId="190" fontId="52" fillId="6" borderId="1" xfId="0" applyNumberFormat="1" applyFont="1" applyFill="1" applyBorder="1" applyAlignment="1" applyProtection="1">
      <alignment horizontal="center" vertical="center" wrapText="1"/>
    </xf>
    <xf numFmtId="190" fontId="52" fillId="6" borderId="1" xfId="0" applyNumberFormat="1" applyFont="1" applyFill="1" applyBorder="1" applyAlignment="1" applyProtection="1">
      <alignment horizontal="left" vertical="center" wrapText="1"/>
    </xf>
    <xf numFmtId="190" fontId="52" fillId="6" borderId="24" xfId="0" applyNumberFormat="1" applyFont="1" applyFill="1" applyBorder="1" applyAlignment="1" applyProtection="1">
      <alignment horizontal="center" vertical="center" wrapText="1"/>
    </xf>
    <xf numFmtId="190" fontId="52" fillId="6" borderId="78" xfId="0" applyNumberFormat="1" applyFont="1" applyFill="1" applyBorder="1" applyAlignment="1" applyProtection="1">
      <alignment horizontal="center" vertical="center" wrapText="1"/>
    </xf>
    <xf numFmtId="190" fontId="52" fillId="6" borderId="79" xfId="0" applyNumberFormat="1" applyFont="1" applyFill="1" applyBorder="1" applyAlignment="1" applyProtection="1">
      <alignment horizontal="center" vertical="center" wrapText="1"/>
    </xf>
    <xf numFmtId="185" fontId="60" fillId="6" borderId="13" xfId="0" applyNumberFormat="1" applyFont="1" applyFill="1" applyBorder="1" applyAlignment="1" applyProtection="1">
      <alignment horizontal="right" vertical="center"/>
    </xf>
    <xf numFmtId="188" fontId="47" fillId="6" borderId="3" xfId="0" applyNumberFormat="1" applyFont="1" applyFill="1" applyBorder="1" applyAlignment="1" applyProtection="1">
      <alignment horizontal="center" vertical="center" wrapText="1"/>
    </xf>
    <xf numFmtId="190" fontId="47" fillId="6" borderId="3" xfId="0" applyNumberFormat="1" applyFont="1" applyFill="1" applyBorder="1" applyAlignment="1" applyProtection="1">
      <alignment horizontal="center" vertical="center" wrapText="1"/>
    </xf>
    <xf numFmtId="190" fontId="61" fillId="0" borderId="3" xfId="0" applyNumberFormat="1" applyFont="1" applyFill="1" applyBorder="1" applyAlignment="1" applyProtection="1">
      <alignment horizontal="center" vertical="center" wrapText="1"/>
      <protection locked="0"/>
    </xf>
    <xf numFmtId="190" fontId="61" fillId="6" borderId="3" xfId="0" applyNumberFormat="1" applyFont="1" applyFill="1" applyBorder="1" applyAlignment="1" applyProtection="1">
      <alignment horizontal="center" vertical="center" wrapText="1"/>
    </xf>
    <xf numFmtId="190" fontId="61" fillId="0" borderId="11" xfId="0" applyNumberFormat="1" applyFont="1" applyFill="1" applyBorder="1" applyAlignment="1" applyProtection="1">
      <alignment horizontal="center" vertical="center" wrapText="1"/>
      <protection locked="0"/>
    </xf>
    <xf numFmtId="190" fontId="61" fillId="6" borderId="41" xfId="0" applyNumberFormat="1" applyFont="1" applyFill="1" applyBorder="1" applyAlignment="1" applyProtection="1">
      <alignment horizontal="center" vertical="center" wrapText="1"/>
    </xf>
    <xf numFmtId="190" fontId="54" fillId="2" borderId="37" xfId="0" applyNumberFormat="1" applyFont="1" applyFill="1" applyBorder="1" applyAlignment="1" applyProtection="1">
      <alignment horizontal="center" vertical="center" wrapText="1"/>
      <protection locked="0"/>
    </xf>
    <xf numFmtId="188" fontId="54" fillId="3" borderId="3" xfId="0" applyNumberFormat="1" applyFont="1" applyFill="1" applyBorder="1" applyAlignment="1" applyProtection="1">
      <alignment horizontal="center" vertical="center"/>
      <protection locked="0"/>
    </xf>
    <xf numFmtId="188" fontId="54" fillId="3" borderId="3" xfId="0" applyNumberFormat="1" applyFont="1" applyFill="1" applyBorder="1" applyAlignment="1" applyProtection="1">
      <alignment horizontal="center" vertical="center" wrapText="1"/>
      <protection locked="0"/>
    </xf>
    <xf numFmtId="188" fontId="54" fillId="3" borderId="1" xfId="0" applyNumberFormat="1" applyFont="1" applyFill="1" applyBorder="1" applyAlignment="1" applyProtection="1">
      <alignment horizontal="center" vertical="center" wrapText="1"/>
      <protection locked="0"/>
    </xf>
    <xf numFmtId="190" fontId="47" fillId="6" borderId="45" xfId="0" applyNumberFormat="1" applyFont="1" applyFill="1" applyBorder="1" applyAlignment="1" applyProtection="1">
      <alignment horizontal="center" vertical="center" wrapText="1"/>
    </xf>
    <xf numFmtId="190" fontId="54" fillId="0" borderId="15" xfId="0" applyNumberFormat="1" applyFont="1" applyFill="1" applyBorder="1" applyAlignment="1" applyProtection="1">
      <alignment horizontal="center" vertical="center" wrapText="1"/>
      <protection locked="0"/>
    </xf>
    <xf numFmtId="190" fontId="71" fillId="0" borderId="15" xfId="0" applyNumberFormat="1" applyFont="1" applyFill="1" applyBorder="1" applyAlignment="1" applyProtection="1">
      <alignment horizontal="center" vertical="center" wrapText="1"/>
      <protection locked="0"/>
    </xf>
    <xf numFmtId="190" fontId="71" fillId="0" borderId="15" xfId="0" applyNumberFormat="1" applyFont="1" applyFill="1" applyBorder="1" applyAlignment="1" applyProtection="1">
      <alignment horizontal="left" vertical="center" wrapText="1"/>
      <protection locked="0"/>
    </xf>
    <xf numFmtId="190" fontId="71" fillId="0" borderId="53" xfId="0" applyNumberFormat="1" applyFont="1" applyFill="1" applyBorder="1" applyAlignment="1" applyProtection="1">
      <alignment horizontal="center" vertical="center" wrapText="1"/>
      <protection locked="0"/>
    </xf>
    <xf numFmtId="190" fontId="47" fillId="0" borderId="12" xfId="0" applyNumberFormat="1" applyFont="1" applyFill="1" applyBorder="1" applyAlignment="1" applyProtection="1">
      <alignment horizontal="center" vertical="center" wrapText="1"/>
      <protection locked="0"/>
    </xf>
    <xf numFmtId="190" fontId="47" fillId="6" borderId="62" xfId="0" applyFont="1" applyFill="1" applyBorder="1" applyAlignment="1" applyProtection="1">
      <alignment horizontal="center" vertical="center" wrapText="1"/>
    </xf>
    <xf numFmtId="190" fontId="54" fillId="6" borderId="56" xfId="0" applyFont="1" applyFill="1" applyBorder="1" applyAlignment="1" applyProtection="1">
      <alignment horizontal="center" vertical="center"/>
    </xf>
    <xf numFmtId="190" fontId="47" fillId="6" borderId="61" xfId="0" applyFont="1" applyFill="1" applyBorder="1" applyAlignment="1" applyProtection="1">
      <alignment horizontal="center" vertical="center" wrapText="1"/>
    </xf>
    <xf numFmtId="190" fontId="47" fillId="6" borderId="8" xfId="0" applyFont="1" applyFill="1" applyBorder="1" applyAlignment="1" applyProtection="1">
      <alignment horizontal="center" vertical="center" wrapText="1"/>
    </xf>
    <xf numFmtId="190" fontId="47" fillId="6" borderId="53" xfId="0" applyFont="1" applyFill="1" applyBorder="1" applyAlignment="1" applyProtection="1">
      <alignment horizontal="center" vertical="center" wrapText="1"/>
    </xf>
    <xf numFmtId="190" fontId="54" fillId="2" borderId="54" xfId="0" applyNumberFormat="1" applyFont="1" applyFill="1" applyBorder="1" applyAlignment="1" applyProtection="1">
      <alignment horizontal="center" vertical="center" wrapText="1"/>
      <protection locked="0"/>
    </xf>
    <xf numFmtId="190" fontId="47" fillId="0" borderId="49" xfId="0" applyFont="1" applyFill="1" applyBorder="1" applyAlignment="1" applyProtection="1">
      <alignment horizontal="center" vertical="center" wrapText="1"/>
      <protection locked="0"/>
    </xf>
    <xf numFmtId="190" fontId="54" fillId="6" borderId="57" xfId="0" applyNumberFormat="1" applyFont="1" applyFill="1" applyBorder="1" applyAlignment="1" applyProtection="1">
      <alignment horizontal="center" vertical="center" wrapText="1"/>
    </xf>
    <xf numFmtId="19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190" fontId="47" fillId="6" borderId="22" xfId="0" applyNumberFormat="1" applyFont="1" applyFill="1" applyBorder="1" applyAlignment="1" applyProtection="1">
      <alignment horizontal="center" vertical="center" wrapText="1"/>
    </xf>
    <xf numFmtId="190" fontId="47" fillId="6" borderId="20" xfId="0" applyFont="1" applyFill="1" applyBorder="1" applyAlignment="1" applyProtection="1">
      <alignment horizontal="center" vertical="center" wrapText="1"/>
    </xf>
    <xf numFmtId="190" fontId="69" fillId="6" borderId="80" xfId="0" applyFont="1" applyFill="1" applyBorder="1" applyAlignment="1" applyProtection="1">
      <alignment vertical="center" wrapText="1"/>
    </xf>
    <xf numFmtId="190" fontId="47" fillId="6" borderId="54" xfId="0" applyFont="1" applyFill="1" applyBorder="1" applyAlignment="1" applyProtection="1">
      <alignment horizontal="center" vertical="center" wrapText="1"/>
    </xf>
    <xf numFmtId="190" fontId="53" fillId="6" borderId="80" xfId="0" applyFont="1" applyFill="1" applyBorder="1" applyAlignment="1" applyProtection="1">
      <alignment vertical="center" wrapText="1"/>
    </xf>
    <xf numFmtId="190" fontId="47" fillId="0" borderId="36" xfId="0" applyFont="1" applyFill="1" applyBorder="1" applyAlignment="1" applyProtection="1">
      <alignment horizontal="center" vertical="center" wrapText="1"/>
      <protection locked="0"/>
    </xf>
    <xf numFmtId="190" fontId="49" fillId="6" borderId="80" xfId="0" applyFont="1" applyFill="1" applyBorder="1" applyAlignment="1" applyProtection="1">
      <alignment vertical="center" wrapText="1"/>
    </xf>
    <xf numFmtId="190" fontId="53" fillId="6" borderId="81" xfId="0" applyFont="1" applyFill="1" applyBorder="1" applyAlignment="1" applyProtection="1">
      <alignment vertical="center" wrapText="1"/>
    </xf>
    <xf numFmtId="190" fontId="54" fillId="6" borderId="53" xfId="0" applyFont="1" applyFill="1" applyBorder="1" applyAlignment="1" applyProtection="1">
      <alignment horizontal="center" vertical="center"/>
    </xf>
    <xf numFmtId="190" fontId="47" fillId="0" borderId="61" xfId="0" applyFont="1" applyFill="1" applyBorder="1" applyAlignment="1" applyProtection="1">
      <alignment horizontal="center" vertical="center" wrapText="1"/>
      <protection locked="0"/>
    </xf>
    <xf numFmtId="190" fontId="49" fillId="6" borderId="18" xfId="0" applyFont="1" applyFill="1" applyBorder="1" applyAlignment="1" applyProtection="1">
      <alignment vertical="center" wrapText="1"/>
    </xf>
    <xf numFmtId="190" fontId="47" fillId="6" borderId="76" xfId="0" applyNumberFormat="1" applyFont="1" applyFill="1" applyBorder="1" applyAlignment="1" applyProtection="1">
      <alignment horizontal="center" vertical="center" wrapText="1"/>
    </xf>
    <xf numFmtId="190" fontId="47" fillId="6" borderId="75" xfId="0" applyNumberFormat="1" applyFont="1" applyFill="1" applyBorder="1" applyAlignment="1" applyProtection="1">
      <alignment horizontal="center" vertical="center" wrapText="1"/>
    </xf>
    <xf numFmtId="190" fontId="53" fillId="6" borderId="16" xfId="0" applyFont="1" applyFill="1" applyBorder="1" applyAlignment="1" applyProtection="1">
      <alignment vertical="center" textRotation="255" wrapText="1"/>
    </xf>
    <xf numFmtId="190" fontId="72" fillId="6" borderId="18" xfId="0" applyFont="1" applyFill="1" applyBorder="1" applyAlignment="1" applyProtection="1">
      <alignment vertical="center" textRotation="255" wrapText="1"/>
    </xf>
    <xf numFmtId="19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190" fontId="53" fillId="6" borderId="18" xfId="0" applyFont="1" applyFill="1" applyBorder="1" applyAlignment="1" applyProtection="1">
      <alignment vertical="center" textRotation="255" wrapText="1"/>
    </xf>
    <xf numFmtId="190" fontId="47" fillId="2" borderId="37" xfId="0" applyNumberFormat="1" applyFont="1" applyFill="1" applyBorder="1" applyAlignment="1" applyProtection="1">
      <alignment horizontal="center" vertical="center" wrapText="1"/>
      <protection locked="0"/>
    </xf>
    <xf numFmtId="190" fontId="49" fillId="6" borderId="18" xfId="0" applyFont="1" applyFill="1" applyBorder="1" applyAlignment="1" applyProtection="1">
      <alignment vertical="center" textRotation="255" wrapText="1"/>
    </xf>
    <xf numFmtId="190" fontId="53" fillId="6" borderId="42" xfId="0" applyFont="1" applyFill="1" applyBorder="1" applyAlignment="1" applyProtection="1">
      <alignment vertical="center" textRotation="255" wrapText="1"/>
    </xf>
    <xf numFmtId="19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190" fontId="47" fillId="6" borderId="53" xfId="0" applyNumberFormat="1" applyFont="1" applyFill="1" applyBorder="1" applyAlignment="1" applyProtection="1">
      <alignment horizontal="center" vertical="center" wrapText="1"/>
    </xf>
    <xf numFmtId="190" fontId="47" fillId="6" borderId="58" xfId="0" applyNumberFormat="1" applyFont="1" applyFill="1" applyBorder="1" applyAlignment="1" applyProtection="1">
      <alignment horizontal="center" vertical="center" wrapText="1"/>
    </xf>
    <xf numFmtId="190" fontId="54" fillId="6" borderId="28" xfId="0" applyNumberFormat="1" applyFont="1" applyFill="1" applyBorder="1" applyAlignment="1" applyProtection="1">
      <alignment horizontal="center" vertical="center" wrapText="1"/>
    </xf>
    <xf numFmtId="190" fontId="71" fillId="6" borderId="15" xfId="0" applyNumberFormat="1" applyFont="1" applyFill="1" applyBorder="1" applyAlignment="1" applyProtection="1">
      <alignment horizontal="center" vertical="center" wrapText="1"/>
    </xf>
    <xf numFmtId="190" fontId="71" fillId="6" borderId="15" xfId="0" applyNumberFormat="1" applyFont="1" applyFill="1" applyBorder="1" applyAlignment="1" applyProtection="1">
      <alignment horizontal="left" vertical="center" wrapText="1"/>
    </xf>
    <xf numFmtId="19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190" fontId="64" fillId="6" borderId="3" xfId="0" applyNumberFormat="1" applyFont="1" applyFill="1" applyBorder="1" applyAlignment="1" applyProtection="1">
      <alignment horizontal="center" vertical="center" wrapText="1"/>
    </xf>
    <xf numFmtId="190" fontId="64" fillId="0" borderId="3" xfId="0" applyNumberFormat="1" applyFont="1" applyFill="1" applyBorder="1" applyAlignment="1" applyProtection="1">
      <alignment horizontal="center" vertical="center" wrapText="1"/>
      <protection locked="0"/>
    </xf>
    <xf numFmtId="190" fontId="54" fillId="0" borderId="23" xfId="0" applyNumberFormat="1" applyFont="1" applyFill="1" applyBorder="1" applyAlignment="1" applyProtection="1">
      <alignment horizontal="center" vertical="center" wrapText="1"/>
      <protection locked="0"/>
    </xf>
    <xf numFmtId="190" fontId="54" fillId="6" borderId="18" xfId="0" applyFont="1" applyFill="1" applyBorder="1" applyAlignment="1" applyProtection="1">
      <alignment horizontal="center" vertical="center"/>
    </xf>
    <xf numFmtId="190" fontId="72" fillId="6" borderId="42" xfId="0" applyFont="1" applyFill="1" applyBorder="1" applyAlignment="1" applyProtection="1">
      <alignment vertical="center" textRotation="255" wrapText="1"/>
    </xf>
    <xf numFmtId="190" fontId="54" fillId="0" borderId="13" xfId="0" applyNumberFormat="1" applyFont="1" applyFill="1" applyBorder="1" applyAlignment="1" applyProtection="1">
      <alignment horizontal="center" vertical="center" wrapText="1"/>
      <protection locked="0"/>
    </xf>
    <xf numFmtId="190" fontId="54" fillId="0" borderId="25" xfId="0" applyNumberFormat="1" applyFont="1" applyFill="1" applyBorder="1" applyAlignment="1" applyProtection="1">
      <alignment horizontal="center" vertical="center" wrapText="1"/>
      <protection locked="0"/>
    </xf>
    <xf numFmtId="190" fontId="54" fillId="0" borderId="6" xfId="0" applyNumberFormat="1" applyFont="1" applyFill="1" applyBorder="1" applyAlignment="1" applyProtection="1">
      <alignment horizontal="center" vertical="center" wrapText="1"/>
      <protection locked="0"/>
    </xf>
    <xf numFmtId="190" fontId="52" fillId="6" borderId="49" xfId="0" applyNumberFormat="1" applyFont="1" applyFill="1" applyBorder="1" applyAlignment="1" applyProtection="1">
      <alignment horizontal="center" vertical="center" wrapText="1"/>
    </xf>
    <xf numFmtId="190" fontId="74" fillId="6" borderId="3" xfId="0" applyNumberFormat="1" applyFont="1" applyFill="1" applyBorder="1" applyAlignment="1" applyProtection="1">
      <alignment horizontal="center" vertical="center" wrapText="1"/>
    </xf>
    <xf numFmtId="19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190" fontId="54" fillId="6" borderId="9" xfId="0" applyFont="1" applyFill="1" applyBorder="1" applyAlignment="1" applyProtection="1">
      <alignment horizontal="center" vertical="center"/>
    </xf>
    <xf numFmtId="190" fontId="54" fillId="6" borderId="10" xfId="0" applyFont="1" applyFill="1" applyBorder="1" applyAlignment="1" applyProtection="1">
      <alignment horizontal="center" vertical="center"/>
    </xf>
    <xf numFmtId="190" fontId="56" fillId="6" borderId="23" xfId="0" applyFont="1" applyFill="1" applyBorder="1" applyAlignment="1" applyProtection="1"/>
    <xf numFmtId="185" fontId="56" fillId="6" borderId="1" xfId="1" applyNumberFormat="1" applyFont="1" applyFill="1" applyBorder="1" applyAlignment="1" applyProtection="1">
      <alignment horizontal="center"/>
    </xf>
    <xf numFmtId="19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190" fontId="75" fillId="0" borderId="0" xfId="0" applyFont="1" applyFill="1" applyAlignment="1" applyProtection="1">
      <alignment horizontal="center" vertical="center"/>
      <protection locked="0"/>
    </xf>
    <xf numFmtId="19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190" fontId="57" fillId="6" borderId="25" xfId="1" applyFont="1" applyFill="1" applyBorder="1" applyAlignment="1" applyProtection="1"/>
    <xf numFmtId="19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190" fontId="47" fillId="6" borderId="44" xfId="0" applyNumberFormat="1" applyFont="1" applyFill="1" applyBorder="1" applyAlignment="1" applyProtection="1">
      <alignment horizontal="left" vertical="center" wrapText="1"/>
    </xf>
    <xf numFmtId="190" fontId="54" fillId="0" borderId="61" xfId="0" applyNumberFormat="1" applyFont="1" applyFill="1" applyBorder="1" applyAlignment="1" applyProtection="1">
      <alignment horizontal="center" vertical="center" wrapText="1"/>
      <protection locked="0"/>
    </xf>
    <xf numFmtId="190" fontId="52" fillId="6" borderId="74" xfId="0" applyNumberFormat="1" applyFont="1" applyFill="1" applyBorder="1" applyAlignment="1" applyProtection="1">
      <alignment horizontal="center" vertical="center" wrapText="1"/>
    </xf>
    <xf numFmtId="190" fontId="54" fillId="0" borderId="66" xfId="0" applyNumberFormat="1" applyFont="1" applyFill="1" applyBorder="1" applyAlignment="1" applyProtection="1">
      <alignment horizontal="center" vertical="center" wrapText="1"/>
      <protection locked="0"/>
    </xf>
    <xf numFmtId="190" fontId="56" fillId="0" borderId="0" xfId="0" applyFont="1" applyFill="1" applyAlignment="1" applyProtection="1">
      <alignment horizontal="center" vertical="center"/>
      <protection locked="0"/>
    </xf>
    <xf numFmtId="190" fontId="56" fillId="6" borderId="25" xfId="0" applyNumberFormat="1" applyFont="1" applyFill="1" applyBorder="1" applyAlignment="1" applyProtection="1">
      <alignment horizontal="center" vertical="center" wrapText="1"/>
    </xf>
    <xf numFmtId="190" fontId="104" fillId="0" borderId="0" xfId="0" applyFont="1" applyProtection="1">
      <alignment vertical="center"/>
    </xf>
    <xf numFmtId="190" fontId="50" fillId="6" borderId="0" xfId="0" applyFont="1" applyFill="1" applyAlignment="1" applyProtection="1">
      <alignment vertical="center"/>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190" fontId="57" fillId="6" borderId="0" xfId="0" applyFont="1" applyFill="1" applyBorder="1" applyAlignment="1" applyProtection="1">
      <alignment horizontal="left" vertical="center"/>
    </xf>
    <xf numFmtId="190" fontId="63" fillId="6" borderId="0" xfId="0" applyFont="1" applyFill="1" applyBorder="1" applyAlignment="1" applyProtection="1">
      <alignment horizontal="center" vertical="center"/>
    </xf>
    <xf numFmtId="190" fontId="50" fillId="6" borderId="0" xfId="0" applyFont="1" applyFill="1" applyBorder="1" applyAlignment="1" applyProtection="1">
      <alignment vertical="center"/>
    </xf>
    <xf numFmtId="19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190" fontId="50" fillId="6" borderId="0" xfId="0" applyFont="1" applyFill="1" applyAlignment="1" applyProtection="1">
      <alignment horizontal="left" vertical="center"/>
    </xf>
    <xf numFmtId="19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190" fontId="68" fillId="6" borderId="36" xfId="0" applyFont="1" applyFill="1" applyBorder="1" applyAlignment="1" applyProtection="1">
      <alignment vertical="center"/>
    </xf>
    <xf numFmtId="190" fontId="65" fillId="6" borderId="36" xfId="0" applyFont="1" applyFill="1" applyBorder="1" applyAlignment="1" applyProtection="1">
      <alignment vertical="center"/>
    </xf>
    <xf numFmtId="188"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190" fontId="65" fillId="6" borderId="36" xfId="0" applyFont="1" applyFill="1" applyBorder="1" applyAlignment="1" applyProtection="1">
      <alignment horizontal="center" vertical="center"/>
    </xf>
    <xf numFmtId="190" fontId="54" fillId="6" borderId="0" xfId="0" applyFont="1" applyFill="1" applyAlignment="1" applyProtection="1">
      <alignment horizontal="center" vertical="center"/>
    </xf>
    <xf numFmtId="19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190" fontId="59" fillId="6" borderId="0" xfId="0" applyFont="1" applyFill="1" applyBorder="1" applyAlignment="1" applyProtection="1"/>
    <xf numFmtId="190" fontId="54" fillId="6" borderId="0" xfId="0" applyFont="1" applyFill="1" applyBorder="1" applyAlignment="1" applyProtection="1"/>
    <xf numFmtId="190" fontId="54" fillId="6" borderId="0" xfId="0" applyFont="1" applyFill="1" applyBorder="1" applyAlignment="1" applyProtection="1">
      <alignment horizontal="center"/>
    </xf>
    <xf numFmtId="188"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190" fontId="65" fillId="6" borderId="0" xfId="0" applyFont="1" applyFill="1" applyBorder="1" applyAlignment="1" applyProtection="1">
      <alignment horizontal="center" vertical="center"/>
    </xf>
    <xf numFmtId="190" fontId="66" fillId="6" borderId="0" xfId="0" applyFont="1" applyFill="1" applyBorder="1" applyAlignment="1" applyProtection="1">
      <alignment horizontal="center" vertical="center"/>
    </xf>
    <xf numFmtId="187"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190" fontId="47" fillId="6" borderId="15" xfId="0" applyFont="1" applyFill="1" applyBorder="1" applyAlignment="1" applyProtection="1">
      <alignment horizontal="center" vertical="center"/>
    </xf>
    <xf numFmtId="190" fontId="47" fillId="6" borderId="1" xfId="0" applyNumberFormat="1" applyFont="1" applyFill="1" applyBorder="1" applyAlignment="1" applyProtection="1">
      <alignment horizontal="center" vertical="center"/>
    </xf>
    <xf numFmtId="187"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190" fontId="52" fillId="6" borderId="1" xfId="0" applyFont="1" applyFill="1" applyBorder="1" applyAlignment="1" applyProtection="1">
      <alignment horizontal="center" vertical="center" wrapText="1"/>
    </xf>
    <xf numFmtId="187"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190" fontId="52" fillId="6" borderId="15" xfId="0" applyFont="1" applyFill="1" applyBorder="1" applyAlignment="1" applyProtection="1">
      <alignment horizontal="center" vertical="center"/>
    </xf>
    <xf numFmtId="190" fontId="52" fillId="6" borderId="1" xfId="0" applyFont="1" applyFill="1" applyBorder="1" applyAlignment="1" applyProtection="1">
      <alignment horizontal="center" vertical="center"/>
    </xf>
    <xf numFmtId="190" fontId="54" fillId="6" borderId="2" xfId="0" applyFont="1" applyFill="1" applyBorder="1" applyAlignment="1" applyProtection="1">
      <alignment vertical="center" textRotation="255" wrapText="1"/>
    </xf>
    <xf numFmtId="190" fontId="66" fillId="6" borderId="0" xfId="0" applyFont="1" applyFill="1" applyAlignment="1" applyProtection="1">
      <alignment horizontal="center" vertical="center"/>
    </xf>
    <xf numFmtId="188" fontId="54" fillId="6" borderId="3" xfId="0" applyNumberFormat="1" applyFont="1" applyFill="1" applyBorder="1" applyAlignment="1" applyProtection="1">
      <alignment horizontal="center" vertical="center"/>
    </xf>
    <xf numFmtId="188" fontId="54" fillId="6" borderId="3" xfId="0" applyNumberFormat="1" applyFont="1" applyFill="1" applyBorder="1" applyAlignment="1" applyProtection="1">
      <alignment horizontal="center" vertical="center" wrapText="1"/>
    </xf>
    <xf numFmtId="188" fontId="54" fillId="6" borderId="1" xfId="0" applyNumberFormat="1" applyFont="1" applyFill="1" applyBorder="1" applyAlignment="1" applyProtection="1">
      <alignment horizontal="center" vertical="center" wrapText="1"/>
    </xf>
    <xf numFmtId="190" fontId="65" fillId="6" borderId="60" xfId="0" applyFont="1" applyFill="1" applyBorder="1" applyAlignment="1" applyProtection="1">
      <alignment horizontal="center" vertical="center"/>
    </xf>
    <xf numFmtId="190" fontId="56" fillId="6" borderId="0" xfId="0" applyFont="1" applyFill="1" applyAlignment="1" applyProtection="1"/>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190" fontId="66" fillId="7" borderId="0" xfId="0" applyFont="1" applyFill="1" applyAlignment="1" applyProtection="1">
      <alignment vertical="center"/>
      <protection locked="0"/>
    </xf>
    <xf numFmtId="190" fontId="56" fillId="7" borderId="0" xfId="0" applyFont="1" applyFill="1" applyAlignment="1" applyProtection="1">
      <alignment horizontal="center" vertical="center"/>
      <protection locked="0"/>
    </xf>
    <xf numFmtId="190" fontId="50" fillId="7" borderId="0" xfId="0" applyFont="1" applyFill="1" applyAlignment="1" applyProtection="1">
      <alignment horizontal="center" vertical="center"/>
      <protection locked="0"/>
    </xf>
    <xf numFmtId="190" fontId="64" fillId="6" borderId="3" xfId="0" applyNumberFormat="1" applyFont="1" applyFill="1" applyBorder="1" applyAlignment="1" applyProtection="1">
      <alignment horizontal="center" vertical="center" wrapText="1"/>
      <protection locked="0"/>
    </xf>
    <xf numFmtId="190" fontId="0" fillId="6" borderId="0" xfId="0" applyFill="1" applyProtection="1">
      <alignment vertical="center"/>
    </xf>
    <xf numFmtId="190" fontId="115" fillId="6" borderId="20" xfId="0" applyFont="1" applyFill="1" applyBorder="1" applyAlignment="1" applyProtection="1">
      <alignment vertical="center"/>
    </xf>
    <xf numFmtId="190" fontId="115" fillId="6" borderId="21" xfId="0" applyFont="1" applyFill="1" applyBorder="1" applyAlignment="1" applyProtection="1">
      <alignment horizontal="center" vertical="center"/>
    </xf>
    <xf numFmtId="190" fontId="0" fillId="0" borderId="0" xfId="0" applyProtection="1">
      <alignment vertical="center"/>
    </xf>
    <xf numFmtId="190" fontId="113" fillId="6" borderId="23" xfId="0" applyFont="1" applyFill="1" applyBorder="1" applyAlignment="1" applyProtection="1">
      <alignment horizontal="center" vertical="center" wrapText="1"/>
    </xf>
    <xf numFmtId="190" fontId="113" fillId="6" borderId="1" xfId="0" applyFont="1" applyFill="1" applyBorder="1" applyAlignment="1" applyProtection="1">
      <alignment horizontal="center" vertical="center" wrapText="1"/>
    </xf>
    <xf numFmtId="19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19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190" fontId="0" fillId="6" borderId="18" xfId="0" applyFill="1" applyBorder="1" applyProtection="1">
      <alignment vertical="center"/>
    </xf>
    <xf numFmtId="190" fontId="100" fillId="6" borderId="0" xfId="0" applyFont="1" applyFill="1" applyProtection="1">
      <alignment vertical="center"/>
    </xf>
    <xf numFmtId="190" fontId="0" fillId="6" borderId="40" xfId="0" applyFill="1" applyBorder="1" applyAlignment="1" applyProtection="1">
      <alignment horizontal="center" vertical="center"/>
    </xf>
    <xf numFmtId="190" fontId="0" fillId="6" borderId="17" xfId="0" applyFill="1" applyBorder="1" applyAlignment="1" applyProtection="1">
      <alignment horizontal="center" vertical="center"/>
    </xf>
    <xf numFmtId="190" fontId="0" fillId="6" borderId="62" xfId="0" applyFill="1" applyBorder="1" applyAlignment="1" applyProtection="1">
      <alignment horizontal="center" vertical="center"/>
    </xf>
    <xf numFmtId="190" fontId="116" fillId="6" borderId="23" xfId="0" applyFont="1" applyFill="1" applyBorder="1" applyAlignment="1" applyProtection="1">
      <alignment horizontal="center" vertical="center" wrapText="1"/>
    </xf>
    <xf numFmtId="190" fontId="116" fillId="6" borderId="1" xfId="0" applyFont="1" applyFill="1" applyBorder="1" applyAlignment="1" applyProtection="1">
      <alignment horizontal="center" vertical="center" wrapText="1"/>
    </xf>
    <xf numFmtId="190" fontId="100" fillId="6" borderId="19" xfId="0" applyFont="1" applyFill="1" applyBorder="1" applyProtection="1">
      <alignment vertical="center"/>
    </xf>
    <xf numFmtId="190" fontId="117" fillId="6" borderId="28" xfId="0" applyFont="1" applyFill="1" applyBorder="1" applyAlignment="1" applyProtection="1">
      <alignment horizontal="center" vertical="center"/>
    </xf>
    <xf numFmtId="190" fontId="100" fillId="6" borderId="18" xfId="0" applyFont="1" applyFill="1" applyBorder="1" applyProtection="1">
      <alignment vertical="center"/>
    </xf>
    <xf numFmtId="190" fontId="117" fillId="6" borderId="32" xfId="0" applyFont="1" applyFill="1" applyBorder="1" applyAlignment="1" applyProtection="1">
      <alignment horizontal="center" vertical="center"/>
    </xf>
    <xf numFmtId="190" fontId="117" fillId="6" borderId="33" xfId="0" applyFont="1" applyFill="1" applyBorder="1" applyAlignment="1" applyProtection="1">
      <alignment horizontal="center" vertical="center"/>
    </xf>
    <xf numFmtId="190" fontId="116" fillId="6" borderId="40" xfId="0" applyFont="1" applyFill="1" applyBorder="1" applyAlignment="1" applyProtection="1">
      <alignment vertical="center" wrapText="1"/>
    </xf>
    <xf numFmtId="190" fontId="116" fillId="6" borderId="9" xfId="0" applyFont="1" applyFill="1" applyBorder="1" applyAlignment="1" applyProtection="1">
      <alignment horizontal="center" vertical="center" wrapText="1"/>
    </xf>
    <xf numFmtId="190" fontId="116" fillId="6" borderId="28" xfId="0" applyFont="1" applyFill="1" applyBorder="1" applyAlignment="1" applyProtection="1">
      <alignment horizontal="center" vertical="center" wrapText="1"/>
    </xf>
    <xf numFmtId="190" fontId="116" fillId="6" borderId="4" xfId="0" applyFont="1" applyFill="1" applyBorder="1" applyAlignment="1" applyProtection="1">
      <alignment horizontal="center" vertical="center" wrapText="1"/>
    </xf>
    <xf numFmtId="190" fontId="116" fillId="6" borderId="2" xfId="0" applyFont="1" applyFill="1" applyBorder="1" applyAlignment="1" applyProtection="1">
      <alignment horizontal="center" vertical="center" wrapText="1"/>
    </xf>
    <xf numFmtId="190" fontId="116" fillId="6" borderId="74" xfId="0" applyFont="1" applyFill="1" applyBorder="1" applyAlignment="1" applyProtection="1">
      <alignment horizontal="center" vertical="center" wrapText="1"/>
    </xf>
    <xf numFmtId="190" fontId="116" fillId="6" borderId="32" xfId="0" applyFont="1" applyFill="1" applyBorder="1" applyAlignment="1" applyProtection="1">
      <alignment horizontal="center" vertical="center" wrapText="1"/>
    </xf>
    <xf numFmtId="190" fontId="118" fillId="6" borderId="33" xfId="0" applyFont="1" applyFill="1" applyBorder="1" applyProtection="1">
      <alignment vertical="center"/>
    </xf>
    <xf numFmtId="190" fontId="116" fillId="6" borderId="5" xfId="0" applyFont="1" applyFill="1" applyBorder="1" applyAlignment="1" applyProtection="1">
      <alignment horizontal="center" vertical="center" wrapText="1"/>
    </xf>
    <xf numFmtId="190" fontId="118" fillId="6" borderId="5" xfId="0" applyFont="1" applyFill="1" applyBorder="1" applyProtection="1">
      <alignment vertical="center"/>
    </xf>
    <xf numFmtId="190" fontId="116" fillId="6" borderId="26" xfId="0" applyFont="1" applyFill="1" applyBorder="1" applyAlignment="1" applyProtection="1">
      <alignment vertical="center" wrapText="1"/>
    </xf>
    <xf numFmtId="190" fontId="116" fillId="6" borderId="33" xfId="0" applyFont="1" applyFill="1" applyBorder="1" applyAlignment="1" applyProtection="1">
      <alignment horizontal="center" vertical="center" wrapText="1"/>
    </xf>
    <xf numFmtId="190" fontId="0" fillId="6" borderId="5" xfId="0" applyFill="1" applyBorder="1" applyProtection="1">
      <alignment vertical="center"/>
    </xf>
    <xf numFmtId="190" fontId="0" fillId="6" borderId="1" xfId="0" applyFill="1" applyBorder="1" applyProtection="1">
      <alignment vertical="center"/>
    </xf>
    <xf numFmtId="190" fontId="0" fillId="6" borderId="28" xfId="0" applyFill="1" applyBorder="1" applyProtection="1">
      <alignment vertical="center"/>
    </xf>
    <xf numFmtId="190" fontId="0" fillId="6" borderId="0" xfId="0" applyFill="1" applyAlignment="1" applyProtection="1">
      <alignment horizontal="center" vertical="center"/>
    </xf>
    <xf numFmtId="190" fontId="0" fillId="6" borderId="40" xfId="0" applyFill="1" applyBorder="1" applyAlignment="1" applyProtection="1">
      <alignment horizontal="right" vertical="center"/>
    </xf>
    <xf numFmtId="19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19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19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190" fontId="113" fillId="6" borderId="6" xfId="0" applyFont="1" applyFill="1" applyBorder="1" applyAlignment="1" applyProtection="1">
      <alignment horizontal="center" vertical="center" wrapText="1"/>
    </xf>
    <xf numFmtId="190" fontId="113" fillId="6" borderId="9" xfId="0" applyFont="1" applyFill="1" applyBorder="1" applyAlignment="1" applyProtection="1">
      <alignment horizontal="center" vertical="center" wrapText="1"/>
    </xf>
    <xf numFmtId="190" fontId="113" fillId="6" borderId="10" xfId="0" applyFont="1" applyFill="1" applyBorder="1" applyAlignment="1" applyProtection="1">
      <alignment horizontal="center" vertical="center" wrapText="1"/>
    </xf>
    <xf numFmtId="190" fontId="113" fillId="6" borderId="24" xfId="0" applyFont="1" applyFill="1" applyBorder="1" applyAlignment="1" applyProtection="1">
      <alignment horizontal="center" vertical="center" wrapText="1"/>
    </xf>
    <xf numFmtId="190" fontId="113" fillId="6" borderId="11" xfId="0" applyFont="1" applyFill="1" applyBorder="1" applyAlignment="1" applyProtection="1">
      <alignment horizontal="center" vertical="center" wrapText="1"/>
    </xf>
    <xf numFmtId="190" fontId="113" fillId="6" borderId="61" xfId="0" applyFont="1" applyFill="1" applyBorder="1" applyAlignment="1" applyProtection="1">
      <alignment horizontal="center" vertical="center" wrapText="1"/>
    </xf>
    <xf numFmtId="190" fontId="0" fillId="6" borderId="1" xfId="0" applyFill="1" applyBorder="1" applyAlignment="1" applyProtection="1">
      <alignment horizontal="center" vertical="center"/>
    </xf>
    <xf numFmtId="190" fontId="119" fillId="6" borderId="60" xfId="0" applyFont="1" applyFill="1" applyBorder="1" applyAlignment="1" applyProtection="1">
      <alignment vertical="center"/>
    </xf>
    <xf numFmtId="190" fontId="119" fillId="6" borderId="0" xfId="0" applyFont="1" applyFill="1" applyBorder="1" applyAlignment="1" applyProtection="1">
      <alignment vertical="center"/>
    </xf>
    <xf numFmtId="190" fontId="0" fillId="0" borderId="0" xfId="0" applyAlignment="1" applyProtection="1">
      <alignment horizontal="center" vertical="center"/>
    </xf>
    <xf numFmtId="190" fontId="113" fillId="6" borderId="5" xfId="0" applyFont="1" applyFill="1" applyBorder="1" applyAlignment="1" applyProtection="1">
      <alignment horizontal="center" vertical="center" wrapText="1"/>
    </xf>
    <xf numFmtId="190" fontId="113" fillId="6" borderId="3" xfId="0" applyFont="1" applyFill="1" applyBorder="1" applyAlignment="1" applyProtection="1">
      <alignment horizontal="center" vertical="center" wrapText="1"/>
    </xf>
    <xf numFmtId="190" fontId="113" fillId="6" borderId="0" xfId="0" applyFont="1" applyFill="1" applyBorder="1" applyAlignment="1" applyProtection="1">
      <alignment horizontal="center" vertical="center" wrapText="1"/>
    </xf>
    <xf numFmtId="190" fontId="113" fillId="6" borderId="1" xfId="0" applyFont="1" applyFill="1" applyBorder="1" applyAlignment="1" applyProtection="1">
      <alignment horizontal="center" vertical="center"/>
    </xf>
    <xf numFmtId="190" fontId="113" fillId="6" borderId="5" xfId="0" applyFont="1" applyFill="1" applyBorder="1" applyAlignment="1" applyProtection="1">
      <alignment horizontal="left" vertical="center"/>
    </xf>
    <xf numFmtId="190" fontId="113" fillId="6" borderId="3" xfId="0" applyFont="1" applyFill="1" applyBorder="1" applyAlignment="1" applyProtection="1">
      <alignment horizontal="left" vertical="center"/>
    </xf>
    <xf numFmtId="190" fontId="113" fillId="6" borderId="0" xfId="0" applyFont="1" applyFill="1" applyBorder="1" applyAlignment="1" applyProtection="1">
      <alignment vertical="center"/>
    </xf>
    <xf numFmtId="190" fontId="113" fillId="6" borderId="0" xfId="0" applyFont="1" applyFill="1" applyBorder="1" applyAlignment="1" applyProtection="1">
      <alignment horizontal="center" vertical="center"/>
    </xf>
    <xf numFmtId="190" fontId="0" fillId="0" borderId="0" xfId="0" applyAlignment="1" applyProtection="1">
      <alignment vertical="center"/>
    </xf>
    <xf numFmtId="190" fontId="113" fillId="0" borderId="36" xfId="0" applyFont="1" applyBorder="1" applyAlignment="1" applyProtection="1">
      <alignment vertical="center"/>
    </xf>
    <xf numFmtId="190" fontId="113" fillId="0" borderId="0" xfId="0" applyFont="1" applyBorder="1" applyAlignment="1" applyProtection="1">
      <alignment vertical="center"/>
    </xf>
    <xf numFmtId="190" fontId="113" fillId="6" borderId="4" xfId="0" applyFont="1" applyFill="1" applyBorder="1" applyAlignment="1" applyProtection="1">
      <alignment vertical="center" wrapText="1"/>
    </xf>
    <xf numFmtId="190" fontId="113" fillId="6" borderId="2" xfId="0" applyFont="1" applyFill="1" applyBorder="1" applyAlignment="1" applyProtection="1">
      <alignment vertical="center" wrapText="1"/>
    </xf>
    <xf numFmtId="190" fontId="113" fillId="6" borderId="7" xfId="0" applyFont="1" applyFill="1" applyBorder="1" applyAlignment="1" applyProtection="1">
      <alignment vertical="center" wrapText="1"/>
    </xf>
    <xf numFmtId="190" fontId="113" fillId="6" borderId="2" xfId="0" applyFont="1" applyFill="1" applyBorder="1" applyAlignment="1" applyProtection="1">
      <alignment horizontal="center" vertical="center"/>
    </xf>
    <xf numFmtId="19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190" fontId="81" fillId="0" borderId="60" xfId="3" applyNumberFormat="1" applyFont="1" applyBorder="1" applyAlignment="1" applyProtection="1">
      <alignment vertical="center"/>
    </xf>
    <xf numFmtId="19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190" fontId="82" fillId="6" borderId="1" xfId="3" applyNumberFormat="1" applyFont="1" applyFill="1" applyBorder="1" applyAlignment="1" applyProtection="1">
      <alignment horizontal="center" vertical="center"/>
    </xf>
    <xf numFmtId="190" fontId="82" fillId="6" borderId="1" xfId="3" applyNumberFormat="1" applyFont="1" applyFill="1" applyBorder="1" applyAlignment="1" applyProtection="1">
      <alignment horizontal="center" vertical="center" wrapText="1"/>
    </xf>
    <xf numFmtId="190" fontId="82" fillId="6" borderId="15" xfId="3" applyNumberFormat="1" applyFont="1" applyFill="1" applyBorder="1" applyAlignment="1" applyProtection="1">
      <alignment horizontal="center" vertical="center"/>
    </xf>
    <xf numFmtId="190" fontId="56" fillId="6" borderId="15" xfId="0" applyNumberFormat="1" applyFont="1" applyFill="1" applyBorder="1" applyAlignment="1" applyProtection="1">
      <alignment horizontal="center" vertical="center" wrapText="1"/>
    </xf>
    <xf numFmtId="190" fontId="56" fillId="6" borderId="17" xfId="0" applyNumberFormat="1" applyFont="1" applyFill="1" applyBorder="1" applyAlignment="1" applyProtection="1">
      <alignment horizontal="center" vertical="center" wrapText="1"/>
    </xf>
    <xf numFmtId="190" fontId="120" fillId="6" borderId="19" xfId="0" applyNumberFormat="1" applyFont="1" applyFill="1" applyBorder="1" applyAlignment="1" applyProtection="1">
      <alignment horizontal="center" vertical="center" wrapText="1"/>
    </xf>
    <xf numFmtId="190" fontId="121" fillId="6" borderId="1" xfId="3" applyNumberFormat="1" applyFont="1" applyFill="1" applyBorder="1" applyAlignment="1" applyProtection="1">
      <alignment horizontal="center" vertical="center"/>
    </xf>
    <xf numFmtId="190" fontId="0" fillId="0" borderId="0" xfId="0" applyNumberFormat="1" applyFont="1" applyProtection="1">
      <alignment vertical="center"/>
    </xf>
    <xf numFmtId="190" fontId="56" fillId="6" borderId="16" xfId="0" applyNumberFormat="1" applyFont="1" applyFill="1" applyBorder="1" applyAlignment="1" applyProtection="1">
      <alignment vertical="center" wrapText="1"/>
    </xf>
    <xf numFmtId="190" fontId="56" fillId="6" borderId="23" xfId="0" applyNumberFormat="1" applyFont="1" applyFill="1" applyBorder="1" applyAlignment="1" applyProtection="1">
      <alignment horizontal="center" vertical="center" wrapText="1"/>
    </xf>
    <xf numFmtId="190" fontId="120" fillId="6" borderId="1" xfId="0" applyNumberFormat="1" applyFont="1" applyFill="1" applyBorder="1" applyAlignment="1" applyProtection="1">
      <alignment horizontal="center" vertical="center" wrapText="1"/>
    </xf>
    <xf numFmtId="190" fontId="120" fillId="6" borderId="24" xfId="0" applyNumberFormat="1" applyFont="1" applyFill="1" applyBorder="1" applyAlignment="1" applyProtection="1">
      <alignment horizontal="center" vertical="center" wrapText="1"/>
    </xf>
    <xf numFmtId="190" fontId="120" fillId="6" borderId="32" xfId="0" applyNumberFormat="1" applyFont="1" applyFill="1" applyBorder="1" applyAlignment="1" applyProtection="1">
      <alignment horizontal="center" vertical="center" wrapText="1"/>
    </xf>
    <xf numFmtId="19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190" fontId="53" fillId="6" borderId="36" xfId="0" applyFont="1" applyFill="1" applyBorder="1" applyAlignment="1" applyProtection="1">
      <alignment horizontal="center" vertical="center"/>
    </xf>
    <xf numFmtId="190" fontId="57" fillId="6" borderId="34" xfId="0" applyFont="1" applyFill="1" applyBorder="1" applyAlignment="1" applyProtection="1">
      <alignment horizontal="center" vertical="center"/>
    </xf>
    <xf numFmtId="190" fontId="57" fillId="6" borderId="28" xfId="0" applyNumberFormat="1" applyFont="1" applyFill="1" applyBorder="1" applyAlignment="1" applyProtection="1">
      <alignment horizontal="center" vertical="center" wrapText="1"/>
    </xf>
    <xf numFmtId="190" fontId="56" fillId="6" borderId="2" xfId="0" applyFont="1" applyFill="1" applyBorder="1" applyAlignment="1" applyProtection="1">
      <alignment horizontal="center" vertical="center" wrapText="1"/>
    </xf>
    <xf numFmtId="19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190" fontId="56" fillId="6" borderId="13" xfId="0" applyFont="1" applyFill="1" applyBorder="1" applyAlignment="1" applyProtection="1">
      <alignment horizontal="center" vertical="center" wrapText="1"/>
    </xf>
    <xf numFmtId="190" fontId="56" fillId="6" borderId="15" xfId="0" applyFont="1" applyFill="1" applyBorder="1" applyAlignment="1" applyProtection="1">
      <alignment horizontal="center" vertical="center" wrapText="1"/>
    </xf>
    <xf numFmtId="190" fontId="56" fillId="6" borderId="53" xfId="0" applyFont="1" applyFill="1" applyBorder="1" applyAlignment="1" applyProtection="1">
      <alignment horizontal="center" vertical="center" wrapText="1"/>
    </xf>
    <xf numFmtId="190" fontId="53" fillId="6" borderId="34" xfId="0" applyFont="1" applyFill="1" applyBorder="1" applyAlignment="1" applyProtection="1">
      <alignment horizontal="center" vertical="center" wrapText="1"/>
    </xf>
    <xf numFmtId="186"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190" fontId="105" fillId="6" borderId="67" xfId="0" applyFont="1" applyFill="1" applyBorder="1" applyAlignment="1" applyProtection="1">
      <alignment horizontal="center" vertical="center" wrapText="1"/>
    </xf>
    <xf numFmtId="186" fontId="53" fillId="6" borderId="17" xfId="0" applyNumberFormat="1" applyFont="1" applyFill="1" applyBorder="1" applyAlignment="1" applyProtection="1">
      <alignment horizontal="center" vertical="center" wrapText="1"/>
    </xf>
    <xf numFmtId="190" fontId="57" fillId="6" borderId="20" xfId="0" applyFont="1" applyFill="1" applyBorder="1" applyAlignment="1" applyProtection="1">
      <alignment horizontal="center" vertical="center" wrapText="1"/>
    </xf>
    <xf numFmtId="190" fontId="57" fillId="6" borderId="15" xfId="0" applyFont="1" applyFill="1" applyBorder="1" applyAlignment="1" applyProtection="1">
      <alignment horizontal="center" vertical="center" wrapText="1"/>
    </xf>
    <xf numFmtId="190" fontId="57" fillId="6" borderId="32" xfId="0" applyFont="1" applyFill="1" applyBorder="1" applyAlignment="1" applyProtection="1">
      <alignment horizontal="center" vertical="center" wrapText="1"/>
    </xf>
    <xf numFmtId="19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190" fontId="56" fillId="6" borderId="29" xfId="0" applyFont="1" applyFill="1" applyBorder="1" applyAlignment="1" applyProtection="1">
      <alignment horizontal="center" vertical="center" wrapText="1"/>
    </xf>
    <xf numFmtId="190" fontId="56" fillId="6" borderId="62" xfId="0" applyFont="1" applyFill="1" applyBorder="1" applyAlignment="1" applyProtection="1">
      <alignment horizontal="center" vertical="center" wrapText="1"/>
    </xf>
    <xf numFmtId="190" fontId="54" fillId="6" borderId="9" xfId="0" applyFont="1" applyFill="1" applyBorder="1" applyAlignment="1" applyProtection="1">
      <alignment horizontal="center" vertical="center" wrapText="1"/>
    </xf>
    <xf numFmtId="190" fontId="54" fillId="6" borderId="24" xfId="0" applyFont="1" applyFill="1" applyBorder="1" applyAlignment="1" applyProtection="1">
      <alignment horizontal="center" vertical="center" wrapText="1"/>
    </xf>
    <xf numFmtId="190" fontId="113" fillId="6" borderId="1" xfId="0" applyFont="1" applyFill="1" applyBorder="1" applyAlignment="1" applyProtection="1">
      <alignment horizontal="center" vertical="center"/>
    </xf>
    <xf numFmtId="190" fontId="75" fillId="6" borderId="0" xfId="0" applyFont="1" applyFill="1" applyAlignment="1" applyProtection="1">
      <alignment horizontal="center" vertical="center"/>
      <protection locked="0"/>
    </xf>
    <xf numFmtId="190" fontId="105" fillId="6" borderId="1" xfId="0" applyFont="1" applyFill="1" applyBorder="1" applyAlignment="1" applyProtection="1">
      <alignment horizontal="center" vertical="center"/>
    </xf>
    <xf numFmtId="19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190" fontId="56" fillId="0" borderId="9" xfId="0" applyFont="1" applyFill="1" applyBorder="1" applyAlignment="1" applyProtection="1">
      <alignment horizontal="center" vertical="center" wrapText="1"/>
      <protection locked="0"/>
    </xf>
    <xf numFmtId="190" fontId="56" fillId="0" borderId="32" xfId="0" applyFont="1" applyFill="1" applyBorder="1" applyAlignment="1" applyProtection="1">
      <alignment horizontal="center" vertical="center" wrapText="1"/>
      <protection locked="0"/>
    </xf>
    <xf numFmtId="19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190" fontId="62" fillId="6" borderId="23" xfId="1" applyFont="1" applyFill="1" applyBorder="1" applyAlignment="1" applyProtection="1">
      <alignment horizontal="right"/>
    </xf>
    <xf numFmtId="190" fontId="56" fillId="6" borderId="23" xfId="0" applyFont="1" applyFill="1" applyBorder="1" applyAlignment="1" applyProtection="1">
      <alignment horizontal="center" vertical="center"/>
    </xf>
    <xf numFmtId="190" fontId="50" fillId="3" borderId="0" xfId="0" applyFont="1" applyFill="1" applyAlignment="1" applyProtection="1">
      <alignment vertical="center"/>
      <protection locked="0"/>
    </xf>
    <xf numFmtId="190" fontId="48" fillId="6" borderId="51" xfId="0" applyFont="1" applyFill="1" applyBorder="1" applyAlignment="1" applyProtection="1">
      <alignment vertical="center"/>
    </xf>
    <xf numFmtId="190" fontId="48" fillId="6" borderId="20" xfId="0" applyFont="1" applyFill="1" applyBorder="1" applyAlignment="1" applyProtection="1">
      <alignment vertical="center"/>
    </xf>
    <xf numFmtId="190" fontId="48" fillId="6" borderId="21" xfId="0" applyFont="1" applyFill="1" applyBorder="1" applyAlignment="1" applyProtection="1">
      <alignment vertical="center"/>
    </xf>
    <xf numFmtId="190" fontId="64" fillId="7" borderId="0" xfId="0" applyFont="1" applyFill="1" applyAlignment="1" applyProtection="1">
      <alignment vertical="center"/>
      <protection locked="0"/>
    </xf>
    <xf numFmtId="190" fontId="49" fillId="6" borderId="23" xfId="0" applyFont="1" applyFill="1" applyBorder="1" applyAlignment="1" applyProtection="1">
      <alignment horizontal="center" vertical="center"/>
    </xf>
    <xf numFmtId="190" fontId="49" fillId="6" borderId="46" xfId="0" applyFont="1" applyFill="1" applyBorder="1" applyAlignment="1" applyProtection="1">
      <alignment vertical="center"/>
    </xf>
    <xf numFmtId="190" fontId="49" fillId="7" borderId="0" xfId="0" applyFont="1" applyFill="1" applyAlignment="1" applyProtection="1">
      <alignment vertical="center"/>
      <protection locked="0"/>
    </xf>
    <xf numFmtId="19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5" fontId="50" fillId="0" borderId="1" xfId="0" applyNumberFormat="1" applyFont="1" applyFill="1" applyBorder="1" applyAlignment="1" applyProtection="1">
      <alignment horizontal="center" vertical="center"/>
      <protection locked="0"/>
    </xf>
    <xf numFmtId="185" fontId="50" fillId="0" borderId="24" xfId="0" applyNumberFormat="1" applyFont="1" applyFill="1" applyBorder="1" applyAlignment="1" applyProtection="1">
      <alignment horizontal="center" vertical="center"/>
      <protection locked="0"/>
    </xf>
    <xf numFmtId="190" fontId="50" fillId="7" borderId="0" xfId="0" applyFont="1" applyFill="1" applyAlignment="1" applyProtection="1">
      <alignment vertical="center"/>
      <protection locked="0"/>
    </xf>
    <xf numFmtId="190" fontId="50" fillId="0" borderId="0" xfId="0" applyFont="1" applyFill="1" applyAlignment="1" applyProtection="1">
      <alignment vertical="center"/>
      <protection locked="0"/>
    </xf>
    <xf numFmtId="185" fontId="49" fillId="6" borderId="1" xfId="0" applyNumberFormat="1" applyFont="1" applyFill="1" applyBorder="1" applyAlignment="1" applyProtection="1">
      <alignment horizontal="center" vertical="center"/>
    </xf>
    <xf numFmtId="190" fontId="49" fillId="6" borderId="1" xfId="0" applyFont="1" applyFill="1" applyBorder="1" applyAlignment="1" applyProtection="1">
      <alignment horizontal="center" vertical="center"/>
    </xf>
    <xf numFmtId="190" fontId="49" fillId="6" borderId="54" xfId="0" applyFont="1" applyFill="1" applyBorder="1" applyAlignment="1" applyProtection="1">
      <alignment vertical="center"/>
    </xf>
    <xf numFmtId="190" fontId="49" fillId="6" borderId="48" xfId="0" applyFont="1" applyFill="1" applyBorder="1" applyAlignment="1" applyProtection="1">
      <alignment vertical="center"/>
    </xf>
    <xf numFmtId="190" fontId="47" fillId="7" borderId="0" xfId="0" applyFont="1" applyFill="1" applyAlignment="1" applyProtection="1">
      <alignment vertical="center"/>
      <protection locked="0"/>
    </xf>
    <xf numFmtId="190" fontId="50" fillId="6" borderId="23" xfId="1" applyFont="1" applyFill="1" applyBorder="1" applyAlignment="1" applyProtection="1">
      <alignment horizontal="right" vertical="center"/>
    </xf>
    <xf numFmtId="19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19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19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190" fontId="50" fillId="6" borderId="54" xfId="0" applyFont="1" applyFill="1" applyBorder="1" applyAlignment="1" applyProtection="1">
      <alignment vertical="center"/>
    </xf>
    <xf numFmtId="190" fontId="50" fillId="6" borderId="48" xfId="0" applyFont="1" applyFill="1" applyBorder="1" applyAlignment="1" applyProtection="1">
      <alignment vertical="center"/>
    </xf>
    <xf numFmtId="190" fontId="50" fillId="6" borderId="54" xfId="0" applyFont="1" applyFill="1" applyBorder="1" applyAlignment="1" applyProtection="1">
      <alignment horizontal="left" vertical="center"/>
    </xf>
    <xf numFmtId="19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19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19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190" fontId="47" fillId="6" borderId="5" xfId="0" applyFont="1" applyFill="1" applyBorder="1" applyAlignment="1" applyProtection="1">
      <alignment vertical="center"/>
    </xf>
    <xf numFmtId="190" fontId="47" fillId="6" borderId="54" xfId="0" applyFont="1" applyFill="1" applyBorder="1" applyAlignment="1" applyProtection="1">
      <alignment vertical="center"/>
    </xf>
    <xf numFmtId="190" fontId="47" fillId="6" borderId="48" xfId="0" applyFont="1" applyFill="1" applyBorder="1" applyAlignment="1" applyProtection="1">
      <alignment vertical="center"/>
    </xf>
    <xf numFmtId="190" fontId="50" fillId="6" borderId="1" xfId="1" applyFont="1" applyFill="1" applyBorder="1" applyAlignment="1" applyProtection="1">
      <alignment horizontal="left" vertical="center"/>
    </xf>
    <xf numFmtId="190" fontId="51" fillId="3" borderId="0" xfId="0" applyFont="1" applyFill="1" applyAlignment="1" applyProtection="1">
      <alignment vertical="center"/>
      <protection locked="0"/>
    </xf>
    <xf numFmtId="190" fontId="50" fillId="6" borderId="5" xfId="1" applyFont="1" applyFill="1" applyBorder="1" applyAlignment="1" applyProtection="1">
      <alignment horizontal="left" vertical="center"/>
    </xf>
    <xf numFmtId="185" fontId="50" fillId="3" borderId="0" xfId="0" applyNumberFormat="1" applyFont="1" applyFill="1" applyAlignment="1" applyProtection="1">
      <alignment horizontal="center" vertical="center"/>
      <protection locked="0"/>
    </xf>
    <xf numFmtId="185" fontId="49" fillId="6" borderId="28" xfId="0" applyNumberFormat="1" applyFont="1" applyFill="1" applyBorder="1" applyAlignment="1" applyProtection="1">
      <alignment horizontal="center" vertical="center"/>
    </xf>
    <xf numFmtId="185" fontId="105" fillId="0" borderId="13" xfId="0" applyNumberFormat="1" applyFont="1" applyFill="1" applyBorder="1" applyAlignment="1" applyProtection="1">
      <alignment horizontal="center" vertical="center"/>
      <protection locked="0"/>
    </xf>
    <xf numFmtId="185" fontId="50" fillId="0" borderId="13" xfId="0" applyNumberFormat="1" applyFont="1" applyFill="1" applyBorder="1" applyAlignment="1" applyProtection="1">
      <alignment horizontal="center" vertical="center"/>
      <protection locked="0"/>
    </xf>
    <xf numFmtId="185" fontId="50" fillId="0" borderId="61" xfId="0" applyNumberFormat="1" applyFont="1" applyFill="1" applyBorder="1" applyAlignment="1" applyProtection="1">
      <alignment horizontal="center" vertical="center"/>
      <protection locked="0"/>
    </xf>
    <xf numFmtId="190" fontId="49" fillId="6" borderId="42" xfId="0" applyFont="1" applyFill="1" applyBorder="1" applyAlignment="1" applyProtection="1">
      <alignment vertical="center"/>
    </xf>
    <xf numFmtId="190" fontId="49" fillId="6" borderId="47" xfId="0" applyFont="1" applyFill="1" applyBorder="1" applyAlignment="1" applyProtection="1">
      <alignment vertical="center"/>
    </xf>
    <xf numFmtId="185" fontId="48" fillId="6" borderId="74" xfId="0" applyNumberFormat="1" applyFont="1" applyFill="1" applyBorder="1" applyAlignment="1" applyProtection="1">
      <alignment horizontal="center" vertical="center"/>
    </xf>
    <xf numFmtId="190" fontId="48" fillId="6" borderId="75" xfId="0" applyFont="1" applyFill="1" applyBorder="1" applyAlignment="1" applyProtection="1">
      <alignment vertical="center"/>
    </xf>
    <xf numFmtId="190" fontId="49" fillId="6" borderId="43" xfId="0" applyFont="1" applyFill="1" applyBorder="1" applyAlignment="1" applyProtection="1">
      <alignment vertical="center"/>
    </xf>
    <xf numFmtId="19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19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190" fontId="53" fillId="6" borderId="15" xfId="0" applyFont="1" applyFill="1" applyBorder="1" applyAlignment="1" applyProtection="1">
      <alignment horizontal="center" vertical="center" wrapText="1"/>
    </xf>
    <xf numFmtId="190" fontId="123" fillId="0" borderId="0" xfId="5" applyFont="1">
      <alignment vertical="center"/>
    </xf>
    <xf numFmtId="190" fontId="99" fillId="0" borderId="0" xfId="5">
      <alignment vertical="center"/>
    </xf>
    <xf numFmtId="190" fontId="123" fillId="0" borderId="0" xfId="5" applyFont="1" applyAlignment="1">
      <alignment vertical="top" wrapText="1"/>
    </xf>
    <xf numFmtId="190" fontId="100" fillId="0" borderId="0" xfId="5" applyFont="1" applyAlignment="1">
      <alignment horizontal="right" vertical="center"/>
    </xf>
    <xf numFmtId="14" fontId="124" fillId="0" borderId="0" xfId="5" applyNumberFormat="1" applyFont="1" applyAlignment="1">
      <alignment horizontal="left" vertical="center"/>
    </xf>
    <xf numFmtId="190" fontId="101" fillId="0" borderId="0" xfId="5" applyFont="1">
      <alignment vertical="center"/>
    </xf>
    <xf numFmtId="190" fontId="125" fillId="5" borderId="13" xfId="5" applyFont="1" applyFill="1" applyBorder="1" applyAlignment="1">
      <alignment vertical="center"/>
    </xf>
    <xf numFmtId="190" fontId="126" fillId="0" borderId="1" xfId="5" applyFont="1" applyBorder="1" applyAlignment="1">
      <alignment horizontal="right" vertical="center"/>
    </xf>
    <xf numFmtId="190" fontId="126" fillId="0" borderId="1" xfId="5" applyFont="1" applyFill="1" applyBorder="1" applyAlignment="1">
      <alignment horizontal="right" vertical="center"/>
    </xf>
    <xf numFmtId="183" fontId="126" fillId="0" borderId="13" xfId="5" applyNumberFormat="1" applyFont="1" applyFill="1" applyBorder="1" applyAlignment="1">
      <alignment horizontal="right" vertical="center"/>
    </xf>
    <xf numFmtId="190" fontId="99" fillId="0" borderId="0" xfId="5" applyFill="1">
      <alignment vertical="center"/>
    </xf>
    <xf numFmtId="190" fontId="127" fillId="0" borderId="0" xfId="5" applyFont="1">
      <alignment vertical="center"/>
    </xf>
    <xf numFmtId="190" fontId="125" fillId="0" borderId="1" xfId="5" applyFont="1" applyFill="1" applyBorder="1" applyAlignment="1">
      <alignment vertical="center"/>
    </xf>
    <xf numFmtId="190" fontId="128" fillId="0" borderId="0" xfId="5" applyFont="1">
      <alignment vertical="center"/>
    </xf>
    <xf numFmtId="190" fontId="128" fillId="0" borderId="1" xfId="5" applyFont="1" applyBorder="1">
      <alignment vertical="center"/>
    </xf>
    <xf numFmtId="190" fontId="100" fillId="0" borderId="1" xfId="5" applyFont="1" applyBorder="1">
      <alignment vertical="center"/>
    </xf>
    <xf numFmtId="183" fontId="126" fillId="0" borderId="1" xfId="5" applyNumberFormat="1" applyFont="1" applyFill="1" applyBorder="1" applyAlignment="1">
      <alignment horizontal="right" vertical="center"/>
    </xf>
    <xf numFmtId="14" fontId="99" fillId="0" borderId="0" xfId="5" applyNumberFormat="1">
      <alignment vertical="center"/>
    </xf>
    <xf numFmtId="190" fontId="62" fillId="6" borderId="1" xfId="1" applyNumberFormat="1" applyFont="1" applyFill="1" applyBorder="1" applyAlignment="1" applyProtection="1"/>
    <xf numFmtId="190" fontId="50" fillId="6" borderId="1" xfId="1" applyNumberFormat="1" applyFont="1" applyFill="1" applyBorder="1" applyAlignment="1" applyProtection="1">
      <alignment horizontal="center" vertical="center"/>
    </xf>
    <xf numFmtId="190" fontId="56" fillId="6" borderId="1" xfId="1" applyNumberFormat="1" applyFont="1" applyFill="1" applyBorder="1" applyAlignment="1" applyProtection="1">
      <alignment horizontal="center"/>
    </xf>
    <xf numFmtId="190" fontId="56" fillId="6" borderId="1" xfId="0" applyNumberFormat="1" applyFont="1" applyFill="1" applyBorder="1" applyProtection="1">
      <alignment vertical="center"/>
    </xf>
    <xf numFmtId="190" fontId="57" fillId="6" borderId="1" xfId="1" applyNumberFormat="1" applyFont="1" applyFill="1" applyBorder="1" applyAlignment="1" applyProtection="1">
      <alignment horizontal="center"/>
    </xf>
    <xf numFmtId="190" fontId="48" fillId="0" borderId="2" xfId="7" applyFont="1" applyFill="1" applyBorder="1" applyAlignment="1" applyProtection="1">
      <alignment horizontal="center" vertical="center" wrapText="1"/>
    </xf>
    <xf numFmtId="190" fontId="48" fillId="0" borderId="1" xfId="7" applyFont="1" applyFill="1" applyBorder="1" applyAlignment="1" applyProtection="1">
      <alignment horizontal="center" vertical="center" wrapText="1"/>
    </xf>
    <xf numFmtId="190" fontId="64" fillId="0" borderId="1" xfId="7" applyFont="1" applyFill="1" applyBorder="1" applyAlignment="1" applyProtection="1">
      <alignment horizontal="center" vertical="center" wrapText="1"/>
    </xf>
    <xf numFmtId="190" fontId="48" fillId="0" borderId="3" xfId="7" applyFont="1" applyFill="1" applyBorder="1" applyAlignment="1" applyProtection="1">
      <alignment horizontal="center" vertical="center" wrapText="1"/>
    </xf>
    <xf numFmtId="190" fontId="64" fillId="0" borderId="1" xfId="0" applyFont="1" applyFill="1" applyBorder="1" applyAlignment="1" applyProtection="1">
      <alignment horizontal="center" vertical="center" wrapText="1"/>
    </xf>
    <xf numFmtId="190" fontId="64" fillId="0" borderId="3" xfId="7" applyFont="1" applyFill="1" applyBorder="1" applyAlignment="1" applyProtection="1">
      <alignment horizontal="center" vertical="center" wrapText="1"/>
    </xf>
    <xf numFmtId="190" fontId="64" fillId="0" borderId="78" xfId="7" applyFont="1" applyFill="1" applyBorder="1" applyAlignment="1" applyProtection="1">
      <alignment horizontal="center" vertical="center" wrapText="1"/>
    </xf>
    <xf numFmtId="181" fontId="55" fillId="6" borderId="59" xfId="0" applyNumberFormat="1" applyFont="1" applyFill="1" applyBorder="1" applyAlignment="1" applyProtection="1">
      <alignment horizontal="center" vertical="center"/>
    </xf>
    <xf numFmtId="190" fontId="129" fillId="6" borderId="0" xfId="0" applyFont="1" applyFill="1" applyAlignment="1" applyProtection="1">
      <alignment horizontal="center" vertical="center"/>
    </xf>
    <xf numFmtId="183" fontId="126" fillId="0" borderId="1" xfId="0" applyNumberFormat="1" applyFont="1" applyFill="1" applyBorder="1" applyAlignment="1">
      <alignment horizontal="right" vertical="center"/>
    </xf>
    <xf numFmtId="190" fontId="117" fillId="6" borderId="40" xfId="0" applyFont="1" applyFill="1" applyBorder="1" applyAlignment="1" applyProtection="1">
      <alignment vertical="center" wrapText="1"/>
    </xf>
    <xf numFmtId="190" fontId="117" fillId="6" borderId="13" xfId="0" applyFont="1" applyFill="1" applyBorder="1" applyAlignment="1" applyProtection="1">
      <alignment horizontal="center" vertical="center"/>
    </xf>
    <xf numFmtId="19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19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19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19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190" fontId="104" fillId="6" borderId="28" xfId="0" applyNumberFormat="1" applyFont="1" applyFill="1" applyBorder="1" applyProtection="1">
      <alignment vertical="center"/>
    </xf>
    <xf numFmtId="190" fontId="104" fillId="6" borderId="5" xfId="0" applyNumberFormat="1" applyFont="1" applyFill="1" applyBorder="1" applyProtection="1">
      <alignment vertical="center"/>
    </xf>
    <xf numFmtId="19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190" fontId="61" fillId="6" borderId="41" xfId="0" applyFont="1" applyFill="1" applyBorder="1" applyAlignment="1" applyProtection="1">
      <alignment horizontal="center" vertical="center"/>
    </xf>
    <xf numFmtId="190" fontId="61" fillId="0" borderId="2" xfId="0" applyFont="1" applyBorder="1" applyAlignment="1" applyProtection="1">
      <alignment horizontal="center" vertical="center"/>
      <protection locked="0"/>
    </xf>
    <xf numFmtId="190" fontId="61" fillId="0" borderId="4" xfId="0" applyFont="1" applyBorder="1" applyAlignment="1" applyProtection="1">
      <alignment horizontal="center" vertical="center"/>
      <protection locked="0"/>
    </xf>
    <xf numFmtId="190" fontId="61" fillId="0" borderId="94" xfId="0" applyFont="1" applyFill="1" applyBorder="1" applyAlignment="1" applyProtection="1">
      <alignment horizontal="center" vertical="center"/>
      <protection locked="0"/>
    </xf>
    <xf numFmtId="190" fontId="61" fillId="0" borderId="8" xfId="0" applyFont="1" applyBorder="1" applyAlignment="1" applyProtection="1">
      <alignment horizontal="center" vertical="center"/>
      <protection locked="0"/>
    </xf>
    <xf numFmtId="186" fontId="61" fillId="6" borderId="8" xfId="0" applyNumberFormat="1" applyFont="1" applyFill="1" applyBorder="1" applyAlignment="1" applyProtection="1">
      <alignment horizontal="center" vertical="center"/>
    </xf>
    <xf numFmtId="190" fontId="61" fillId="6" borderId="23" xfId="0" applyFont="1" applyFill="1" applyBorder="1" applyAlignment="1" applyProtection="1">
      <alignment horizontal="center" vertical="center"/>
    </xf>
    <xf numFmtId="190" fontId="61" fillId="0" borderId="1" xfId="0" applyFont="1" applyBorder="1" applyAlignment="1" applyProtection="1">
      <alignment horizontal="center" vertical="center"/>
      <protection locked="0"/>
    </xf>
    <xf numFmtId="190" fontId="61" fillId="0" borderId="5" xfId="0" applyFont="1" applyBorder="1" applyAlignment="1" applyProtection="1">
      <alignment horizontal="center" vertical="center"/>
      <protection locked="0"/>
    </xf>
    <xf numFmtId="190" fontId="61" fillId="0" borderId="93" xfId="0" applyFont="1" applyFill="1" applyBorder="1" applyAlignment="1" applyProtection="1">
      <alignment horizontal="center" vertical="center"/>
      <protection locked="0"/>
    </xf>
    <xf numFmtId="190" fontId="61" fillId="0" borderId="24" xfId="0" applyFont="1" applyBorder="1" applyAlignment="1" applyProtection="1">
      <alignment horizontal="center" vertical="center"/>
      <protection locked="0"/>
    </xf>
    <xf numFmtId="19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190" fontId="104" fillId="0" borderId="93" xfId="0" applyFont="1" applyFill="1" applyBorder="1" applyAlignment="1" applyProtection="1">
      <alignment horizontal="center" vertical="center"/>
      <protection locked="0"/>
    </xf>
    <xf numFmtId="190" fontId="61" fillId="6" borderId="32" xfId="0" applyFont="1" applyFill="1" applyBorder="1" applyAlignment="1" applyProtection="1">
      <alignment horizontal="center" vertical="center"/>
    </xf>
    <xf numFmtId="190" fontId="61" fillId="6" borderId="47" xfId="0" applyFont="1" applyFill="1" applyBorder="1" applyAlignment="1" applyProtection="1">
      <alignment horizontal="center" vertical="center"/>
    </xf>
    <xf numFmtId="19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190" fontId="75" fillId="6" borderId="1" xfId="0" applyFont="1" applyFill="1" applyBorder="1" applyAlignment="1" applyProtection="1">
      <alignment horizontal="center" vertical="center"/>
    </xf>
    <xf numFmtId="188"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190" fontId="54" fillId="6" borderId="28" xfId="0" applyFont="1" applyFill="1" applyBorder="1" applyAlignment="1" applyProtection="1">
      <alignment horizontal="center" vertical="center"/>
    </xf>
    <xf numFmtId="190" fontId="105" fillId="6" borderId="24" xfId="0" applyFont="1" applyFill="1" applyBorder="1" applyAlignment="1" applyProtection="1">
      <alignment horizontal="center" vertical="center"/>
    </xf>
    <xf numFmtId="190" fontId="75" fillId="5" borderId="23" xfId="0" applyFont="1" applyFill="1" applyBorder="1" applyAlignment="1" applyProtection="1">
      <alignment horizontal="center" vertical="center"/>
      <protection locked="0"/>
    </xf>
    <xf numFmtId="190" fontId="105" fillId="6" borderId="49" xfId="0" applyFont="1" applyFill="1" applyBorder="1" applyAlignment="1" applyProtection="1">
      <alignment horizontal="center" vertical="center"/>
    </xf>
    <xf numFmtId="190" fontId="105" fillId="6" borderId="86" xfId="0" applyFont="1" applyFill="1" applyBorder="1" applyAlignment="1" applyProtection="1">
      <alignment horizontal="center" vertical="center"/>
    </xf>
    <xf numFmtId="190" fontId="105" fillId="0" borderId="86" xfId="0" applyFont="1" applyFill="1" applyBorder="1" applyAlignment="1" applyProtection="1">
      <alignment horizontal="center" vertical="center"/>
      <protection locked="0"/>
    </xf>
    <xf numFmtId="190" fontId="105" fillId="0" borderId="97" xfId="0" applyFont="1" applyFill="1" applyBorder="1" applyAlignment="1" applyProtection="1">
      <alignment horizontal="center" vertical="center"/>
      <protection locked="0"/>
    </xf>
    <xf numFmtId="190" fontId="75" fillId="6" borderId="32" xfId="0" applyFont="1" applyFill="1" applyBorder="1" applyAlignment="1" applyProtection="1">
      <alignment horizontal="center" vertical="center"/>
    </xf>
    <xf numFmtId="190" fontId="54" fillId="0" borderId="58" xfId="0" applyFont="1" applyFill="1" applyBorder="1" applyAlignment="1" applyProtection="1">
      <alignment horizontal="center" vertical="center"/>
      <protection locked="0"/>
    </xf>
    <xf numFmtId="190" fontId="60" fillId="6" borderId="0" xfId="0" applyFont="1" applyFill="1" applyBorder="1" applyAlignment="1" applyProtection="1">
      <alignment vertical="center"/>
      <protection locked="0"/>
    </xf>
    <xf numFmtId="190" fontId="65" fillId="6" borderId="0" xfId="0" applyFont="1" applyFill="1" applyBorder="1" applyAlignment="1" applyProtection="1">
      <alignment vertical="center"/>
      <protection locked="0"/>
    </xf>
    <xf numFmtId="190" fontId="68" fillId="6" borderId="0" xfId="0" applyFont="1" applyFill="1" applyBorder="1" applyAlignment="1" applyProtection="1">
      <alignment vertical="center"/>
      <protection locked="0"/>
    </xf>
    <xf numFmtId="188"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19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19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190" fontId="47" fillId="6" borderId="0" xfId="0" applyFont="1" applyFill="1" applyBorder="1" applyAlignment="1" applyProtection="1">
      <alignment horizontal="center" vertical="center"/>
      <protection locked="0"/>
    </xf>
    <xf numFmtId="19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190" fontId="70" fillId="6" borderId="0" xfId="0" applyFont="1" applyFill="1" applyBorder="1" applyAlignment="1" applyProtection="1">
      <alignment horizontal="center" vertical="center"/>
      <protection locked="0"/>
    </xf>
    <xf numFmtId="19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19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190" fontId="52" fillId="6" borderId="0" xfId="0" applyFont="1" applyFill="1" applyBorder="1" applyAlignment="1" applyProtection="1">
      <alignment horizontal="center" vertical="center"/>
      <protection locked="0"/>
    </xf>
    <xf numFmtId="19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190" fontId="54" fillId="6" borderId="0" xfId="0" applyFont="1" applyFill="1" applyAlignment="1" applyProtection="1">
      <alignment horizontal="center" vertical="center"/>
      <protection locked="0"/>
    </xf>
    <xf numFmtId="19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8"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190" fontId="47" fillId="6" borderId="0" xfId="0" applyNumberFormat="1" applyFont="1" applyFill="1" applyBorder="1" applyAlignment="1" applyProtection="1">
      <alignment horizontal="center" vertical="center" wrapText="1"/>
      <protection locked="0"/>
    </xf>
    <xf numFmtId="190" fontId="71" fillId="6" borderId="0" xfId="0" applyNumberFormat="1" applyFont="1" applyFill="1" applyBorder="1" applyAlignment="1" applyProtection="1">
      <alignment horizontal="center" vertical="center" wrapText="1"/>
      <protection locked="0"/>
    </xf>
    <xf numFmtId="190" fontId="54" fillId="6" borderId="0" xfId="0" applyNumberFormat="1" applyFont="1" applyFill="1" applyBorder="1" applyAlignment="1" applyProtection="1">
      <alignment horizontal="center" vertical="center" wrapText="1"/>
      <protection locked="0"/>
    </xf>
    <xf numFmtId="190" fontId="52" fillId="6" borderId="0" xfId="0" applyNumberFormat="1" applyFont="1" applyFill="1" applyBorder="1" applyAlignment="1" applyProtection="1">
      <alignment horizontal="center" vertical="center" wrapText="1"/>
      <protection locked="0"/>
    </xf>
    <xf numFmtId="190" fontId="54" fillId="0" borderId="0" xfId="0" applyFont="1" applyFill="1" applyAlignment="1" applyProtection="1">
      <alignment horizontal="center" vertical="center"/>
    </xf>
    <xf numFmtId="188"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190" fontId="56" fillId="6" borderId="0" xfId="0" applyFont="1" applyFill="1" applyAlignment="1" applyProtection="1">
      <protection locked="0"/>
    </xf>
    <xf numFmtId="190" fontId="54" fillId="6" borderId="0" xfId="0" applyFont="1" applyFill="1" applyBorder="1" applyAlignment="1" applyProtection="1">
      <protection locked="0"/>
    </xf>
    <xf numFmtId="188"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190" fontId="47" fillId="0" borderId="43" xfId="0" applyNumberFormat="1" applyFont="1" applyFill="1" applyBorder="1" applyAlignment="1" applyProtection="1">
      <alignment horizontal="center" vertical="center" wrapText="1"/>
      <protection locked="0"/>
    </xf>
    <xf numFmtId="19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190" fontId="55" fillId="6" borderId="13" xfId="0" applyFont="1" applyFill="1" applyBorder="1" applyAlignment="1" applyProtection="1">
      <alignment vertical="center" wrapText="1"/>
      <protection locked="0"/>
    </xf>
    <xf numFmtId="190" fontId="50" fillId="6" borderId="13" xfId="0" applyFont="1" applyFill="1" applyBorder="1" applyAlignment="1" applyProtection="1">
      <alignment vertical="center"/>
      <protection locked="0"/>
    </xf>
    <xf numFmtId="19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190" fontId="55" fillId="6" borderId="15" xfId="0" applyFont="1" applyFill="1" applyBorder="1" applyAlignment="1" applyProtection="1">
      <alignment vertical="center" wrapText="1"/>
      <protection locked="0"/>
    </xf>
    <xf numFmtId="19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190" fontId="55" fillId="6" borderId="2" xfId="0" applyFont="1" applyFill="1" applyBorder="1" applyAlignment="1" applyProtection="1">
      <alignment vertical="center" wrapText="1"/>
      <protection locked="0"/>
    </xf>
    <xf numFmtId="19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190" fontId="55" fillId="6" borderId="1" xfId="0" applyFont="1" applyFill="1" applyBorder="1" applyAlignment="1" applyProtection="1">
      <alignment horizontal="left" vertical="center"/>
      <protection locked="0"/>
    </xf>
    <xf numFmtId="190" fontId="55" fillId="6" borderId="1" xfId="0" applyFont="1" applyFill="1" applyBorder="1" applyAlignment="1" applyProtection="1">
      <alignment horizontal="center" vertical="center"/>
      <protection locked="0"/>
    </xf>
    <xf numFmtId="190" fontId="50" fillId="6" borderId="5" xfId="0" applyFont="1" applyFill="1" applyBorder="1" applyAlignment="1" applyProtection="1">
      <alignment horizontal="left" vertical="center"/>
      <protection locked="0"/>
    </xf>
    <xf numFmtId="190" fontId="50" fillId="6" borderId="54" xfId="0" applyFont="1" applyFill="1" applyBorder="1" applyAlignment="1" applyProtection="1">
      <alignment horizontal="center" vertical="center"/>
      <protection locked="0"/>
    </xf>
    <xf numFmtId="190" fontId="50" fillId="6" borderId="48" xfId="0" applyFont="1" applyFill="1" applyBorder="1" applyAlignment="1" applyProtection="1">
      <alignment horizontal="center" vertical="center"/>
      <protection locked="0"/>
    </xf>
    <xf numFmtId="190" fontId="50" fillId="6" borderId="5" xfId="0" applyFont="1" applyFill="1" applyBorder="1" applyAlignment="1" applyProtection="1">
      <alignment horizontal="left" vertical="center" wrapText="1"/>
      <protection locked="0"/>
    </xf>
    <xf numFmtId="190" fontId="50" fillId="6" borderId="1" xfId="0" applyFont="1" applyFill="1" applyBorder="1" applyAlignment="1" applyProtection="1">
      <alignment horizontal="left" vertical="center" wrapText="1"/>
      <protection locked="0"/>
    </xf>
    <xf numFmtId="190" fontId="50" fillId="6" borderId="13" xfId="0" applyFont="1" applyFill="1" applyBorder="1" applyAlignment="1" applyProtection="1">
      <alignment horizontal="left" vertical="center" wrapText="1"/>
      <protection locked="0"/>
    </xf>
    <xf numFmtId="190" fontId="50" fillId="6" borderId="2" xfId="0" applyFont="1" applyFill="1" applyBorder="1" applyAlignment="1" applyProtection="1">
      <alignment horizontal="left" vertical="center" wrapText="1"/>
      <protection locked="0"/>
    </xf>
    <xf numFmtId="190" fontId="55" fillId="6" borderId="1" xfId="0" applyFont="1" applyFill="1" applyBorder="1" applyAlignment="1" applyProtection="1">
      <alignment horizontal="left" vertical="center" wrapText="1"/>
      <protection locked="0"/>
    </xf>
    <xf numFmtId="190" fontId="50" fillId="6" borderId="54" xfId="0" applyFont="1" applyFill="1" applyBorder="1" applyAlignment="1" applyProtection="1">
      <alignment horizontal="center" vertical="center" wrapText="1"/>
      <protection locked="0"/>
    </xf>
    <xf numFmtId="190" fontId="50" fillId="6" borderId="48" xfId="0" applyFont="1" applyFill="1" applyBorder="1" applyAlignment="1" applyProtection="1">
      <alignment horizontal="center" vertical="center" wrapText="1"/>
      <protection locked="0"/>
    </xf>
    <xf numFmtId="19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190" fontId="55" fillId="6" borderId="32" xfId="0" applyFont="1" applyFill="1" applyBorder="1" applyAlignment="1" applyProtection="1">
      <alignment horizontal="left" vertical="center"/>
      <protection locked="0"/>
    </xf>
    <xf numFmtId="190" fontId="50" fillId="6" borderId="32" xfId="0" applyFont="1" applyFill="1" applyBorder="1" applyAlignment="1" applyProtection="1">
      <alignment vertical="center"/>
      <protection locked="0"/>
    </xf>
    <xf numFmtId="19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190" fontId="50" fillId="6" borderId="17" xfId="0" applyFont="1" applyFill="1" applyBorder="1" applyAlignment="1" applyProtection="1">
      <alignment horizontal="center" vertical="center"/>
      <protection locked="0"/>
    </xf>
    <xf numFmtId="190" fontId="55" fillId="6" borderId="58" xfId="0" applyFont="1" applyFill="1" applyBorder="1" applyAlignment="1" applyProtection="1">
      <alignment vertical="center" wrapText="1"/>
      <protection locked="0"/>
    </xf>
    <xf numFmtId="190" fontId="55" fillId="6" borderId="58" xfId="0" applyFont="1" applyFill="1" applyBorder="1" applyAlignment="1" applyProtection="1">
      <alignment horizontal="center" vertical="center"/>
      <protection locked="0"/>
    </xf>
    <xf numFmtId="19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190" fontId="135" fillId="0" borderId="1" xfId="5" applyFont="1" applyBorder="1">
      <alignment vertical="center"/>
    </xf>
    <xf numFmtId="183" fontId="135" fillId="0" borderId="1" xfId="0" applyNumberFormat="1" applyFont="1" applyFill="1" applyBorder="1" applyAlignment="1">
      <alignment horizontal="right" vertical="center"/>
    </xf>
    <xf numFmtId="176" fontId="47" fillId="6" borderId="1" xfId="0" applyNumberFormat="1" applyFont="1" applyFill="1" applyBorder="1" applyProtection="1">
      <alignment vertical="center"/>
    </xf>
    <xf numFmtId="190" fontId="47" fillId="6" borderId="6" xfId="0" applyFont="1" applyFill="1" applyBorder="1" applyAlignment="1" applyProtection="1">
      <alignment horizontal="center" vertical="center" wrapText="1"/>
    </xf>
    <xf numFmtId="190" fontId="47" fillId="6" borderId="9" xfId="0" applyFont="1" applyFill="1" applyBorder="1" applyAlignment="1" applyProtection="1">
      <alignment horizontal="center" vertical="center" wrapText="1"/>
    </xf>
    <xf numFmtId="190" fontId="105" fillId="6" borderId="1" xfId="0" applyFont="1" applyFill="1" applyBorder="1" applyAlignment="1" applyProtection="1">
      <alignment horizontal="left" vertical="center" wrapText="1"/>
      <protection locked="0"/>
    </xf>
    <xf numFmtId="19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81" fontId="55" fillId="0" borderId="24" xfId="0" applyNumberFormat="1" applyFont="1" applyFill="1" applyBorder="1" applyAlignment="1" applyProtection="1">
      <alignment horizontal="center" vertical="center"/>
      <protection locked="0"/>
    </xf>
    <xf numFmtId="190" fontId="50" fillId="6" borderId="46" xfId="0" applyFont="1" applyFill="1" applyBorder="1" applyAlignment="1" applyProtection="1">
      <alignment vertical="center"/>
      <protection locked="0"/>
    </xf>
    <xf numFmtId="190" fontId="50" fillId="6" borderId="7" xfId="0" applyFont="1" applyFill="1" applyBorder="1" applyAlignment="1" applyProtection="1">
      <alignment horizontal="left" vertical="center"/>
      <protection locked="0"/>
    </xf>
    <xf numFmtId="190" fontId="55" fillId="6" borderId="8" xfId="0" applyFont="1" applyFill="1" applyBorder="1" applyAlignment="1" applyProtection="1">
      <alignment horizontal="center" vertical="center"/>
    </xf>
    <xf numFmtId="190" fontId="50" fillId="6" borderId="29" xfId="0" applyFont="1" applyFill="1" applyBorder="1" applyAlignment="1" applyProtection="1">
      <alignment horizontal="right" vertical="center"/>
      <protection locked="0"/>
    </xf>
    <xf numFmtId="190" fontId="50" fillId="6" borderId="31" xfId="0" applyFont="1" applyFill="1" applyBorder="1" applyAlignment="1" applyProtection="1">
      <alignment horizontal="center" vertical="center"/>
      <protection locked="0"/>
    </xf>
    <xf numFmtId="190" fontId="57" fillId="7" borderId="24" xfId="0" applyFont="1" applyFill="1" applyBorder="1" applyAlignment="1" applyProtection="1">
      <alignment horizontal="center" vertical="center"/>
      <protection locked="0"/>
    </xf>
    <xf numFmtId="190" fontId="61" fillId="6" borderId="0" xfId="0" applyFont="1" applyFill="1" applyAlignment="1" applyProtection="1">
      <alignment horizontal="center" vertical="center"/>
    </xf>
    <xf numFmtId="19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190" fontId="12" fillId="6" borderId="24" xfId="0" applyFont="1" applyFill="1" applyBorder="1" applyAlignment="1" applyProtection="1">
      <alignment vertical="center"/>
    </xf>
    <xf numFmtId="19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190" fontId="50" fillId="6" borderId="15" xfId="0" applyFont="1" applyFill="1" applyBorder="1" applyAlignment="1" applyProtection="1">
      <alignment horizontal="center" vertical="center"/>
    </xf>
    <xf numFmtId="190" fontId="50" fillId="6" borderId="4" xfId="0" applyFont="1" applyFill="1" applyBorder="1" applyAlignment="1" applyProtection="1">
      <alignment horizontal="right" vertical="center"/>
    </xf>
    <xf numFmtId="19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190" fontId="55" fillId="6" borderId="22" xfId="0" applyFont="1" applyFill="1" applyBorder="1" applyAlignment="1" applyProtection="1">
      <alignment horizontal="center" vertical="center"/>
    </xf>
    <xf numFmtId="190" fontId="55" fillId="6" borderId="0" xfId="0" applyFont="1" applyFill="1" applyBorder="1" applyAlignment="1" applyProtection="1">
      <alignment horizontal="center" vertical="center"/>
    </xf>
    <xf numFmtId="19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9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19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190" fontId="19" fillId="0" borderId="24" xfId="0" applyFont="1" applyFill="1" applyBorder="1" applyAlignment="1">
      <alignment horizontal="center" vertical="center"/>
    </xf>
    <xf numFmtId="19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190" fontId="84" fillId="0" borderId="24" xfId="0" applyFont="1" applyFill="1" applyBorder="1" applyAlignment="1">
      <alignment horizontal="center" vertical="center"/>
    </xf>
    <xf numFmtId="190" fontId="37" fillId="0" borderId="1" xfId="0" applyFont="1" applyFill="1" applyBorder="1" applyAlignment="1">
      <alignment horizontal="center" vertical="center"/>
    </xf>
    <xf numFmtId="190" fontId="0" fillId="0" borderId="1" xfId="0" applyFill="1" applyBorder="1" applyAlignment="1">
      <alignment vertical="center"/>
    </xf>
    <xf numFmtId="190" fontId="145" fillId="0" borderId="24" xfId="0" applyFont="1" applyFill="1" applyBorder="1" applyAlignment="1">
      <alignment horizontal="center" vertical="center"/>
    </xf>
    <xf numFmtId="190" fontId="130" fillId="0" borderId="1" xfId="0" applyFont="1" applyFill="1" applyBorder="1" applyAlignment="1">
      <alignment horizontal="center" vertical="center" wrapText="1"/>
    </xf>
    <xf numFmtId="190" fontId="37" fillId="0" borderId="1" xfId="0" applyFont="1" applyFill="1" applyBorder="1" applyAlignment="1">
      <alignment vertical="center"/>
    </xf>
    <xf numFmtId="190" fontId="130" fillId="0" borderId="24" xfId="0" applyFont="1" applyFill="1" applyBorder="1" applyAlignment="1">
      <alignment horizontal="center" vertical="center"/>
    </xf>
    <xf numFmtId="19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19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190" fontId="84" fillId="0" borderId="49" xfId="0" applyFont="1" applyFill="1" applyBorder="1" applyAlignment="1">
      <alignment horizontal="center" vertical="center"/>
    </xf>
    <xf numFmtId="190" fontId="145" fillId="11" borderId="1" xfId="0" applyFont="1" applyFill="1" applyBorder="1" applyAlignment="1">
      <alignment vertical="center"/>
    </xf>
    <xf numFmtId="190" fontId="19" fillId="0" borderId="1" xfId="0" applyFont="1" applyBorder="1" applyAlignment="1">
      <alignment horizontal="center"/>
    </xf>
    <xf numFmtId="19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19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190" fontId="55" fillId="6" borderId="2" xfId="0" applyFont="1" applyFill="1" applyBorder="1" applyAlignment="1" applyProtection="1">
      <alignment horizontal="left" vertical="center"/>
    </xf>
    <xf numFmtId="19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190" fontId="55" fillId="0" borderId="78" xfId="0" applyFont="1" applyFill="1" applyBorder="1" applyAlignment="1" applyProtection="1">
      <alignment horizontal="center" vertical="center"/>
      <protection locked="0"/>
    </xf>
    <xf numFmtId="19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190" fontId="50" fillId="6" borderId="4" xfId="0" applyFont="1" applyFill="1" applyBorder="1" applyAlignment="1" applyProtection="1">
      <alignment horizontal="left" vertical="center"/>
    </xf>
    <xf numFmtId="19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190" fontId="50" fillId="6" borderId="78" xfId="0" applyFont="1" applyFill="1" applyBorder="1" applyAlignment="1" applyProtection="1">
      <alignment horizontal="left" vertical="center"/>
    </xf>
    <xf numFmtId="190" fontId="50" fillId="6" borderId="78" xfId="0" applyFont="1" applyFill="1" applyBorder="1" applyAlignment="1" applyProtection="1">
      <alignment horizontal="center" vertical="center"/>
    </xf>
    <xf numFmtId="19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190" fontId="55" fillId="6" borderId="2" xfId="0" applyFont="1" applyFill="1" applyBorder="1" applyAlignment="1" applyProtection="1">
      <alignment horizontal="left" vertical="center" wrapText="1"/>
    </xf>
    <xf numFmtId="190" fontId="50" fillId="6" borderId="4" xfId="0" applyFont="1" applyFill="1" applyBorder="1" applyAlignment="1" applyProtection="1">
      <alignment horizontal="left" vertical="center" wrapText="1"/>
    </xf>
    <xf numFmtId="190" fontId="50" fillId="6" borderId="60" xfId="0" applyFont="1" applyFill="1" applyBorder="1" applyAlignment="1" applyProtection="1">
      <alignment horizontal="center" vertical="center" wrapText="1"/>
    </xf>
    <xf numFmtId="190" fontId="50" fillId="6" borderId="71" xfId="0" applyFont="1" applyFill="1" applyBorder="1" applyAlignment="1" applyProtection="1">
      <alignment horizontal="center" vertical="center" wrapText="1"/>
    </xf>
    <xf numFmtId="19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190" fontId="50" fillId="6" borderId="85" xfId="0" applyFont="1" applyFill="1" applyBorder="1" applyAlignment="1" applyProtection="1">
      <alignment horizontal="left" vertical="center"/>
    </xf>
    <xf numFmtId="19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6"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19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190" fontId="50" fillId="6" borderId="5" xfId="0" applyFont="1" applyFill="1" applyBorder="1" applyAlignment="1" applyProtection="1">
      <alignment horizontal="center" vertical="center"/>
      <protection locked="0"/>
    </xf>
    <xf numFmtId="190" fontId="50" fillId="6" borderId="5" xfId="0" applyFont="1" applyFill="1" applyBorder="1" applyAlignment="1" applyProtection="1">
      <alignment horizontal="right" vertical="center"/>
      <protection locked="0"/>
    </xf>
    <xf numFmtId="190" fontId="55" fillId="6" borderId="46" xfId="0" applyFont="1" applyFill="1" applyBorder="1" applyAlignment="1" applyProtection="1">
      <alignment horizontal="center" vertical="center"/>
    </xf>
    <xf numFmtId="19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9" fontId="56" fillId="6" borderId="24" xfId="0" applyNumberFormat="1" applyFont="1" applyFill="1" applyBorder="1" applyAlignment="1" applyProtection="1">
      <alignment horizontal="center" vertical="center" wrapText="1"/>
    </xf>
    <xf numFmtId="190" fontId="56" fillId="7" borderId="0" xfId="0" applyFont="1" applyFill="1" applyAlignment="1" applyProtection="1">
      <alignment vertical="center" wrapText="1"/>
      <protection locked="0"/>
    </xf>
    <xf numFmtId="190" fontId="56" fillId="7" borderId="0" xfId="0" applyFont="1" applyFill="1" applyAlignment="1" applyProtection="1">
      <alignment horizontal="center" vertical="center" wrapText="1"/>
      <protection locked="0"/>
    </xf>
    <xf numFmtId="19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19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190" fontId="54" fillId="7" borderId="0" xfId="0" applyFont="1" applyFill="1" applyAlignment="1" applyProtection="1">
      <alignment vertical="center" wrapText="1"/>
      <protection locked="0"/>
    </xf>
    <xf numFmtId="19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190" fontId="57" fillId="6" borderId="1" xfId="0" applyNumberFormat="1" applyFont="1" applyFill="1" applyBorder="1" applyAlignment="1" applyProtection="1">
      <alignment horizontal="center" vertical="center"/>
    </xf>
    <xf numFmtId="190" fontId="56" fillId="6" borderId="1" xfId="0" applyNumberFormat="1" applyFont="1" applyFill="1" applyBorder="1" applyAlignment="1" applyProtection="1">
      <alignment horizontal="center" vertical="center"/>
    </xf>
    <xf numFmtId="190" fontId="54" fillId="6" borderId="45" xfId="0" applyNumberFormat="1" applyFont="1" applyFill="1" applyBorder="1" applyAlignment="1" applyProtection="1">
      <alignment horizontal="center" vertical="center" wrapText="1"/>
    </xf>
    <xf numFmtId="190" fontId="61" fillId="6" borderId="14" xfId="0" applyNumberFormat="1" applyFont="1" applyFill="1" applyBorder="1" applyAlignment="1" applyProtection="1">
      <alignment horizontal="center" vertical="center" wrapText="1"/>
    </xf>
    <xf numFmtId="190" fontId="47" fillId="6" borderId="58" xfId="0" applyFont="1" applyFill="1" applyBorder="1" applyAlignment="1" applyProtection="1">
      <alignment horizontal="center" vertical="center" wrapText="1"/>
    </xf>
    <xf numFmtId="190" fontId="52" fillId="6" borderId="53" xfId="0" applyNumberFormat="1" applyFont="1" applyFill="1" applyBorder="1" applyAlignment="1" applyProtection="1">
      <alignment horizontal="center" vertical="center" wrapText="1"/>
    </xf>
    <xf numFmtId="190" fontId="47" fillId="0" borderId="5" xfId="0" applyFont="1" applyFill="1" applyBorder="1" applyAlignment="1" applyProtection="1">
      <alignment horizontal="center" vertical="center" wrapText="1"/>
      <protection locked="0"/>
    </xf>
    <xf numFmtId="190" fontId="54" fillId="0" borderId="5" xfId="0" applyFont="1" applyFill="1" applyBorder="1" applyAlignment="1" applyProtection="1">
      <alignment horizontal="center" vertical="center"/>
      <protection locked="0"/>
    </xf>
    <xf numFmtId="190" fontId="52" fillId="0" borderId="33" xfId="0" applyFont="1" applyFill="1" applyBorder="1" applyAlignment="1" applyProtection="1">
      <alignment horizontal="center" vertical="center"/>
      <protection locked="0"/>
    </xf>
    <xf numFmtId="190" fontId="54" fillId="6" borderId="37" xfId="0" applyNumberFormat="1" applyFont="1" applyFill="1" applyBorder="1" applyAlignment="1" applyProtection="1">
      <alignment horizontal="center" vertical="center" wrapText="1"/>
    </xf>
    <xf numFmtId="190" fontId="148" fillId="3" borderId="3" xfId="0" applyFont="1" applyFill="1" applyBorder="1" applyAlignment="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190" fontId="53" fillId="6" borderId="51" xfId="0" applyNumberFormat="1" applyFont="1" applyFill="1" applyBorder="1" applyAlignment="1" applyProtection="1">
      <alignment horizontal="right" vertical="center" wrapText="1"/>
    </xf>
    <xf numFmtId="190" fontId="53" fillId="6" borderId="21" xfId="0" applyNumberFormat="1" applyFont="1" applyFill="1" applyBorder="1" applyAlignment="1" applyProtection="1">
      <alignment vertical="center" wrapText="1"/>
    </xf>
    <xf numFmtId="190" fontId="73" fillId="3" borderId="20" xfId="0" applyNumberFormat="1" applyFont="1" applyFill="1" applyBorder="1" applyAlignment="1" applyProtection="1">
      <alignment vertical="center" wrapText="1"/>
      <protection locked="0"/>
    </xf>
    <xf numFmtId="190" fontId="73" fillId="6" borderId="20" xfId="0" applyNumberFormat="1" applyFont="1" applyFill="1" applyBorder="1" applyAlignment="1" applyProtection="1">
      <alignment vertical="center" wrapText="1"/>
    </xf>
    <xf numFmtId="190" fontId="73" fillId="3" borderId="51" xfId="0" applyNumberFormat="1" applyFont="1" applyFill="1" applyBorder="1" applyAlignment="1" applyProtection="1">
      <alignment vertical="center" wrapText="1"/>
      <protection locked="0"/>
    </xf>
    <xf numFmtId="190" fontId="73" fillId="6" borderId="21" xfId="0" applyNumberFormat="1" applyFont="1" applyFill="1" applyBorder="1" applyAlignment="1" applyProtection="1">
      <alignment vertical="center" wrapText="1"/>
    </xf>
    <xf numFmtId="190" fontId="53" fillId="6" borderId="38" xfId="0" applyNumberFormat="1" applyFont="1" applyFill="1" applyBorder="1" applyAlignment="1" applyProtection="1">
      <alignment vertical="center" wrapText="1"/>
    </xf>
    <xf numFmtId="190" fontId="53" fillId="6" borderId="68" xfId="0" applyNumberFormat="1" applyFont="1" applyFill="1" applyBorder="1" applyAlignment="1" applyProtection="1">
      <alignment vertical="center" wrapText="1"/>
    </xf>
    <xf numFmtId="190" fontId="53" fillId="6" borderId="52" xfId="0" applyNumberFormat="1" applyFont="1" applyFill="1" applyBorder="1" applyAlignment="1" applyProtection="1">
      <alignment vertical="center" wrapText="1"/>
    </xf>
    <xf numFmtId="190" fontId="53" fillId="6" borderId="47" xfId="0" applyNumberFormat="1" applyFont="1" applyFill="1" applyBorder="1" applyAlignment="1" applyProtection="1">
      <alignment vertical="center" wrapText="1"/>
      <protection locked="0"/>
    </xf>
    <xf numFmtId="190" fontId="53" fillId="6" borderId="47" xfId="0" applyNumberFormat="1" applyFont="1" applyFill="1" applyBorder="1" applyAlignment="1" applyProtection="1">
      <alignment vertical="center" wrapText="1"/>
    </xf>
    <xf numFmtId="190" fontId="60" fillId="6" borderId="2" xfId="0" applyFont="1" applyFill="1" applyBorder="1" applyAlignment="1" applyProtection="1">
      <alignment horizontal="right" vertical="center"/>
    </xf>
    <xf numFmtId="190" fontId="65" fillId="6" borderId="58" xfId="0" applyFont="1" applyFill="1" applyBorder="1" applyAlignment="1" applyProtection="1">
      <alignment horizontal="center" vertical="center"/>
    </xf>
    <xf numFmtId="190" fontId="54" fillId="6" borderId="58" xfId="0" applyFont="1" applyFill="1" applyBorder="1" applyAlignment="1" applyProtection="1">
      <alignment horizontal="center" vertical="center"/>
      <protection locked="0"/>
    </xf>
    <xf numFmtId="190" fontId="71" fillId="6" borderId="58" xfId="0" applyFont="1" applyFill="1" applyBorder="1" applyAlignment="1" applyProtection="1">
      <alignment horizontal="center" vertical="center"/>
      <protection locked="0"/>
    </xf>
    <xf numFmtId="19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190" fontId="59" fillId="6" borderId="0" xfId="0" applyFont="1" applyFill="1" applyBorder="1" applyAlignment="1" applyProtection="1">
      <protection locked="0"/>
    </xf>
    <xf numFmtId="190" fontId="54" fillId="6" borderId="0" xfId="0" applyFont="1" applyFill="1" applyBorder="1" applyAlignment="1" applyProtection="1">
      <alignment horizontal="center"/>
      <protection locked="0"/>
    </xf>
    <xf numFmtId="190" fontId="104" fillId="6" borderId="58" xfId="0" applyFont="1" applyFill="1" applyBorder="1" applyAlignment="1" applyProtection="1">
      <alignment vertical="center"/>
      <protection locked="0"/>
    </xf>
    <xf numFmtId="19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190" fontId="47" fillId="6" borderId="58" xfId="0" applyFont="1" applyFill="1" applyBorder="1" applyAlignment="1" applyProtection="1">
      <alignment horizontal="center" vertical="center" wrapText="1"/>
      <protection locked="0"/>
    </xf>
    <xf numFmtId="19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190" fontId="52" fillId="6" borderId="0" xfId="0" applyFont="1" applyFill="1" applyAlignment="1" applyProtection="1">
      <alignment horizontal="center" vertical="center"/>
      <protection locked="0"/>
    </xf>
    <xf numFmtId="19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190" fontId="47" fillId="6" borderId="58" xfId="0" applyFont="1" applyFill="1" applyBorder="1" applyAlignment="1" applyProtection="1">
      <alignment vertical="center" wrapText="1"/>
      <protection locked="0"/>
    </xf>
    <xf numFmtId="19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190" fontId="60" fillId="6" borderId="5" xfId="1" applyFont="1" applyFill="1" applyBorder="1" applyAlignment="1" applyProtection="1">
      <alignment horizontal="right" vertical="center"/>
    </xf>
    <xf numFmtId="190" fontId="108" fillId="0" borderId="0" xfId="9" applyFont="1">
      <alignment vertical="center"/>
    </xf>
    <xf numFmtId="190" fontId="108" fillId="0" borderId="0" xfId="9" applyFont="1" applyAlignment="1">
      <alignment horizontal="center" vertical="center"/>
    </xf>
    <xf numFmtId="190" fontId="108" fillId="0" borderId="120" xfId="9" applyFont="1" applyBorder="1">
      <alignment vertical="center"/>
    </xf>
    <xf numFmtId="190" fontId="102" fillId="6" borderId="120" xfId="10" applyFont="1" applyFill="1" applyBorder="1" applyAlignment="1" applyProtection="1">
      <alignment horizontal="center" vertical="center"/>
    </xf>
    <xf numFmtId="190" fontId="22" fillId="6" borderId="120" xfId="10" applyFont="1" applyFill="1" applyBorder="1" applyAlignment="1" applyProtection="1">
      <alignment horizontal="center" vertical="center"/>
    </xf>
    <xf numFmtId="190" fontId="108" fillId="0" borderId="121" xfId="9" applyFont="1" applyBorder="1" applyAlignment="1">
      <alignment vertical="center"/>
    </xf>
    <xf numFmtId="190" fontId="108" fillId="0" borderId="120" xfId="9" applyFont="1" applyBorder="1" applyAlignment="1">
      <alignment vertical="center"/>
    </xf>
    <xf numFmtId="190" fontId="108" fillId="0" borderId="120" xfId="9" applyFont="1" applyBorder="1" applyAlignment="1">
      <alignment horizontal="center" vertical="center"/>
    </xf>
    <xf numFmtId="190" fontId="108" fillId="0" borderId="0" xfId="9" applyFont="1" applyFill="1">
      <alignment vertical="center"/>
    </xf>
    <xf numFmtId="190" fontId="104" fillId="0" borderId="0" xfId="10" applyFont="1" applyFill="1" applyAlignment="1" applyProtection="1">
      <alignment horizontal="center" vertical="center"/>
    </xf>
    <xf numFmtId="190" fontId="22" fillId="0" borderId="0" xfId="10" applyFont="1" applyFill="1" applyAlignment="1" applyProtection="1">
      <alignment horizontal="center" vertical="center"/>
    </xf>
    <xf numFmtId="190" fontId="108" fillId="0" borderId="122" xfId="9" applyFont="1" applyFill="1" applyBorder="1" applyAlignment="1">
      <alignment horizontal="center" vertical="center"/>
    </xf>
    <xf numFmtId="190" fontId="108" fillId="0" borderId="0" xfId="9" applyFont="1" applyFill="1" applyBorder="1" applyAlignment="1">
      <alignment horizontal="center" vertical="center"/>
    </xf>
    <xf numFmtId="190" fontId="108" fillId="0" borderId="0" xfId="9" applyFont="1" applyFill="1" applyAlignment="1">
      <alignment horizontal="center" vertical="center"/>
    </xf>
    <xf numFmtId="19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190" fontId="152" fillId="12" borderId="124" xfId="9" applyFont="1" applyFill="1" applyBorder="1" applyAlignment="1" applyProtection="1">
      <alignment horizontal="center" vertical="center" wrapText="1"/>
    </xf>
    <xf numFmtId="190" fontId="152" fillId="12" borderId="125" xfId="9" applyFont="1" applyFill="1" applyBorder="1" applyAlignment="1" applyProtection="1">
      <alignment horizontal="center" vertical="center" wrapText="1"/>
    </xf>
    <xf numFmtId="190" fontId="152" fillId="13" borderId="127" xfId="9" applyFont="1" applyFill="1" applyBorder="1" applyAlignment="1" applyProtection="1">
      <alignment horizontal="center" vertical="center" wrapText="1"/>
    </xf>
    <xf numFmtId="190" fontId="152" fillId="12" borderId="127" xfId="9" applyFont="1" applyFill="1" applyBorder="1" applyAlignment="1" applyProtection="1">
      <alignment horizontal="center" vertical="center" wrapText="1"/>
    </xf>
    <xf numFmtId="190" fontId="153" fillId="14" borderId="0" xfId="9" applyFont="1" applyFill="1">
      <alignment vertical="center"/>
    </xf>
    <xf numFmtId="10" fontId="153" fillId="14" borderId="129" xfId="9" applyNumberFormat="1" applyFont="1" applyFill="1" applyBorder="1" applyAlignment="1">
      <alignment vertical="center"/>
    </xf>
    <xf numFmtId="190" fontId="154" fillId="14" borderId="0" xfId="9" applyFont="1" applyFill="1">
      <alignment vertical="center"/>
    </xf>
    <xf numFmtId="10" fontId="105" fillId="14" borderId="0" xfId="9" applyNumberFormat="1" applyFont="1" applyFill="1" applyAlignment="1">
      <alignment horizontal="center" vertical="center"/>
    </xf>
    <xf numFmtId="185" fontId="108" fillId="12" borderId="124" xfId="9" applyNumberFormat="1" applyFont="1" applyFill="1" applyBorder="1" applyAlignment="1">
      <alignment horizontal="center" vertical="center" wrapText="1"/>
    </xf>
    <xf numFmtId="185" fontId="108" fillId="12" borderId="130" xfId="9" applyNumberFormat="1" applyFont="1" applyFill="1" applyBorder="1" applyAlignment="1">
      <alignment horizontal="center" vertical="center" wrapText="1"/>
    </xf>
    <xf numFmtId="19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5" fontId="105" fillId="0" borderId="0" xfId="9" applyNumberFormat="1" applyFont="1" applyAlignment="1">
      <alignment horizontal="center" vertical="center"/>
    </xf>
    <xf numFmtId="190" fontId="152" fillId="13" borderId="131" xfId="9" applyFont="1" applyFill="1" applyBorder="1" applyAlignment="1" applyProtection="1">
      <alignment horizontal="center" vertical="center" wrapText="1"/>
    </xf>
    <xf numFmtId="19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190" fontId="152" fillId="12" borderId="133" xfId="9" applyFont="1" applyFill="1" applyBorder="1" applyAlignment="1" applyProtection="1">
      <alignment horizontal="center" vertical="center" wrapText="1"/>
    </xf>
    <xf numFmtId="19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190" fontId="105" fillId="0" borderId="122" xfId="9" applyFont="1" applyBorder="1">
      <alignment vertical="center"/>
    </xf>
    <xf numFmtId="190" fontId="152" fillId="13" borderId="124" xfId="9" applyFont="1" applyFill="1" applyBorder="1" applyAlignment="1" applyProtection="1">
      <alignment horizontal="center" vertical="center" wrapText="1"/>
    </xf>
    <xf numFmtId="19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5" fontId="108" fillId="12" borderId="127" xfId="9" applyNumberFormat="1" applyFont="1" applyFill="1" applyBorder="1" applyAlignment="1">
      <alignment horizontal="center" vertical="center" wrapText="1"/>
    </xf>
    <xf numFmtId="185" fontId="108" fillId="12" borderId="136" xfId="9" applyNumberFormat="1" applyFont="1" applyFill="1" applyBorder="1" applyAlignment="1">
      <alignment horizontal="center" vertical="center" wrapText="1"/>
    </xf>
    <xf numFmtId="190" fontId="105" fillId="13" borderId="124" xfId="9" applyFont="1" applyFill="1" applyBorder="1" applyAlignment="1" applyProtection="1">
      <alignment horizontal="center" vertical="center" wrapText="1"/>
    </xf>
    <xf numFmtId="19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5" fontId="105" fillId="5" borderId="0" xfId="9" applyNumberFormat="1" applyFont="1" applyFill="1" applyAlignment="1">
      <alignment horizontal="center" vertical="center"/>
    </xf>
    <xf numFmtId="190" fontId="105" fillId="5" borderId="127" xfId="9" applyFont="1" applyFill="1" applyBorder="1" applyAlignment="1" applyProtection="1">
      <alignment horizontal="center" vertical="center" wrapText="1"/>
    </xf>
    <xf numFmtId="190" fontId="105" fillId="5" borderId="131" xfId="9" applyFont="1" applyFill="1" applyBorder="1" applyAlignment="1" applyProtection="1">
      <alignment horizontal="center" vertical="center" wrapText="1"/>
    </xf>
    <xf numFmtId="19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190" fontId="130" fillId="5" borderId="0" xfId="9" applyFont="1" applyFill="1">
      <alignment vertical="center"/>
    </xf>
    <xf numFmtId="190" fontId="105" fillId="5" borderId="0" xfId="9" applyNumberFormat="1" applyFont="1" applyFill="1" applyAlignment="1">
      <alignment horizontal="center" vertical="center"/>
    </xf>
    <xf numFmtId="190" fontId="105" fillId="12" borderId="133" xfId="9" applyFont="1" applyFill="1" applyBorder="1" applyAlignment="1" applyProtection="1">
      <alignment horizontal="center" vertical="center" wrapText="1"/>
    </xf>
    <xf numFmtId="190" fontId="105" fillId="12" borderId="134" xfId="9" applyFont="1" applyFill="1" applyBorder="1" applyAlignment="1" applyProtection="1">
      <alignment horizontal="center" vertical="center" wrapText="1"/>
    </xf>
    <xf numFmtId="14" fontId="105" fillId="0" borderId="0" xfId="9" applyNumberFormat="1" applyFont="1">
      <alignment vertical="center"/>
    </xf>
    <xf numFmtId="190" fontId="130" fillId="0" borderId="0" xfId="9" applyFont="1">
      <alignment vertical="center"/>
    </xf>
    <xf numFmtId="190" fontId="105" fillId="0" borderId="0" xfId="9" applyNumberFormat="1" applyFont="1" applyAlignment="1">
      <alignment horizontal="center" vertical="center"/>
    </xf>
    <xf numFmtId="185" fontId="108" fillId="12" borderId="133" xfId="9" applyNumberFormat="1" applyFont="1" applyFill="1" applyBorder="1" applyAlignment="1">
      <alignment horizontal="center" vertical="center" wrapText="1"/>
    </xf>
    <xf numFmtId="185" fontId="108" fillId="12" borderId="137" xfId="9" applyNumberFormat="1" applyFont="1" applyFill="1" applyBorder="1" applyAlignment="1">
      <alignment horizontal="center" vertical="center" wrapText="1"/>
    </xf>
    <xf numFmtId="185" fontId="105" fillId="14" borderId="0" xfId="9" applyNumberFormat="1" applyFont="1" applyFill="1" applyAlignment="1">
      <alignment horizontal="center" vertical="center"/>
    </xf>
    <xf numFmtId="185" fontId="105" fillId="0" borderId="47" xfId="9" applyNumberFormat="1" applyFont="1" applyBorder="1" applyAlignment="1">
      <alignment horizontal="center" vertical="center"/>
    </xf>
    <xf numFmtId="190" fontId="152" fillId="13" borderId="138" xfId="9" applyFont="1" applyFill="1" applyBorder="1" applyAlignment="1" applyProtection="1">
      <alignment horizontal="center" vertical="center" wrapText="1"/>
    </xf>
    <xf numFmtId="190" fontId="152" fillId="13" borderId="139" xfId="9" applyFont="1" applyFill="1" applyBorder="1" applyAlignment="1" applyProtection="1">
      <alignment horizontal="center" vertical="center" wrapText="1"/>
    </xf>
    <xf numFmtId="19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190" fontId="152" fillId="12" borderId="141" xfId="9" applyFont="1" applyFill="1" applyBorder="1" applyAlignment="1" applyProtection="1">
      <alignment horizontal="center" vertical="center" wrapText="1"/>
    </xf>
    <xf numFmtId="19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190" fontId="108" fillId="13" borderId="143" xfId="9" applyFont="1" applyFill="1" applyBorder="1" applyAlignment="1">
      <alignment horizontal="center" vertical="center" wrapText="1"/>
    </xf>
    <xf numFmtId="19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190" fontId="152" fillId="13" borderId="133" xfId="9" applyFont="1" applyFill="1" applyBorder="1" applyAlignment="1" applyProtection="1">
      <alignment horizontal="center" vertical="center" wrapText="1"/>
    </xf>
    <xf numFmtId="190" fontId="108" fillId="12" borderId="133" xfId="9" applyFont="1" applyFill="1" applyBorder="1" applyAlignment="1">
      <alignment horizontal="center" vertical="center" wrapText="1"/>
    </xf>
    <xf numFmtId="19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19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190" fontId="105" fillId="5" borderId="122" xfId="9" applyFont="1" applyFill="1" applyBorder="1">
      <alignment vertical="center"/>
    </xf>
    <xf numFmtId="178" fontId="105" fillId="5" borderId="0" xfId="9" applyNumberFormat="1" applyFont="1" applyFill="1" applyAlignment="1">
      <alignment horizontal="center" vertical="center"/>
    </xf>
    <xf numFmtId="190" fontId="108" fillId="12" borderId="145" xfId="9" applyFont="1" applyFill="1" applyBorder="1" applyAlignment="1">
      <alignment horizontal="center" vertical="center" wrapText="1"/>
    </xf>
    <xf numFmtId="190" fontId="108" fillId="12" borderId="146" xfId="9" applyFont="1" applyFill="1" applyBorder="1" applyAlignment="1">
      <alignment horizontal="center" vertical="center" wrapText="1"/>
    </xf>
    <xf numFmtId="190" fontId="108" fillId="12" borderId="147" xfId="9" applyFont="1" applyFill="1" applyBorder="1" applyAlignment="1">
      <alignment horizontal="center" vertical="center" wrapText="1"/>
    </xf>
    <xf numFmtId="190" fontId="138" fillId="0" borderId="0" xfId="9" applyFont="1">
      <alignment vertical="center"/>
    </xf>
    <xf numFmtId="190" fontId="120" fillId="0" borderId="0" xfId="9" applyFont="1">
      <alignment vertical="center"/>
    </xf>
    <xf numFmtId="19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190" fontId="152" fillId="13" borderId="148" xfId="9" applyFont="1" applyFill="1" applyBorder="1" applyAlignment="1">
      <alignment horizontal="center" vertical="center" wrapText="1"/>
    </xf>
    <xf numFmtId="190" fontId="152" fillId="13" borderId="124" xfId="9" applyFont="1" applyFill="1" applyBorder="1" applyAlignment="1">
      <alignment horizontal="center" vertical="center" wrapText="1"/>
    </xf>
    <xf numFmtId="190" fontId="152" fillId="12" borderId="149" xfId="9" applyFont="1" applyFill="1" applyBorder="1" applyAlignment="1">
      <alignment horizontal="center" vertical="center" wrapText="1"/>
    </xf>
    <xf numFmtId="190" fontId="152" fillId="12" borderId="127" xfId="9" applyFont="1" applyFill="1" applyBorder="1" applyAlignment="1">
      <alignment horizontal="center" vertical="center" wrapText="1"/>
    </xf>
    <xf numFmtId="190" fontId="152" fillId="13" borderId="149" xfId="9" applyFont="1" applyFill="1" applyBorder="1" applyAlignment="1">
      <alignment horizontal="center" vertical="center" wrapText="1"/>
    </xf>
    <xf numFmtId="190" fontId="152" fillId="13" borderId="127" xfId="9" applyFont="1" applyFill="1" applyBorder="1" applyAlignment="1">
      <alignment horizontal="center" vertical="center" wrapText="1"/>
    </xf>
    <xf numFmtId="190" fontId="152" fillId="12" borderId="150" xfId="9" applyFont="1" applyFill="1" applyBorder="1" applyAlignment="1">
      <alignment horizontal="center" vertical="center" wrapText="1"/>
    </xf>
    <xf numFmtId="19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190" fontId="54" fillId="6" borderId="47" xfId="8" applyFont="1" applyFill="1" applyBorder="1" applyAlignment="1" applyProtection="1">
      <alignment vertical="center" wrapText="1"/>
      <protection locked="0"/>
    </xf>
    <xf numFmtId="190" fontId="47" fillId="6" borderId="22" xfId="0" applyNumberFormat="1" applyFont="1" applyFill="1" applyBorder="1" applyAlignment="1" applyProtection="1">
      <alignment horizontal="center" vertical="center" wrapText="1"/>
      <protection locked="0"/>
    </xf>
    <xf numFmtId="190" fontId="47" fillId="0" borderId="5" xfId="0" applyNumberFormat="1" applyFont="1" applyFill="1" applyBorder="1" applyAlignment="1" applyProtection="1">
      <alignment horizontal="center" vertical="center" wrapText="1"/>
      <protection locked="0"/>
    </xf>
    <xf numFmtId="190" fontId="47" fillId="0" borderId="48" xfId="0" applyNumberFormat="1" applyFont="1" applyFill="1" applyBorder="1" applyAlignment="1" applyProtection="1">
      <alignment horizontal="center" vertical="center" wrapText="1"/>
      <protection locked="0"/>
    </xf>
    <xf numFmtId="19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190" fontId="47" fillId="6" borderId="30" xfId="0" applyNumberFormat="1" applyFont="1" applyFill="1" applyBorder="1" applyAlignment="1" applyProtection="1">
      <alignment horizontal="center" vertical="center" wrapText="1"/>
    </xf>
    <xf numFmtId="190" fontId="54" fillId="6" borderId="13" xfId="0" applyNumberFormat="1" applyFont="1" applyFill="1" applyBorder="1" applyAlignment="1" applyProtection="1">
      <alignment horizontal="center" vertical="center" wrapText="1"/>
      <protection locked="0"/>
    </xf>
    <xf numFmtId="189" fontId="47" fillId="6" borderId="30" xfId="0" applyNumberFormat="1" applyFont="1" applyFill="1" applyBorder="1" applyAlignment="1" applyProtection="1">
      <alignment horizontal="center" vertical="center" wrapText="1"/>
    </xf>
    <xf numFmtId="189" fontId="47" fillId="6" borderId="9" xfId="0" applyNumberFormat="1" applyFont="1" applyFill="1" applyBorder="1" applyAlignment="1" applyProtection="1">
      <alignment horizontal="center" vertical="center" wrapText="1"/>
    </xf>
    <xf numFmtId="189" fontId="47" fillId="6" borderId="39" xfId="0" applyNumberFormat="1" applyFont="1" applyFill="1" applyBorder="1" applyAlignment="1" applyProtection="1">
      <alignment horizontal="center" vertical="center" wrapText="1"/>
    </xf>
    <xf numFmtId="190" fontId="50" fillId="0" borderId="54" xfId="0" applyFont="1" applyFill="1" applyBorder="1" applyAlignment="1" applyProtection="1">
      <alignment vertical="center"/>
      <protection locked="0"/>
    </xf>
    <xf numFmtId="190" fontId="50" fillId="6" borderId="36" xfId="0" applyFont="1" applyFill="1" applyBorder="1" applyAlignment="1" applyProtection="1">
      <alignment vertical="center"/>
    </xf>
    <xf numFmtId="190" fontId="50" fillId="6" borderId="60" xfId="0" applyFont="1" applyFill="1" applyBorder="1" applyAlignment="1" applyProtection="1">
      <alignment horizontal="left" vertical="center"/>
    </xf>
    <xf numFmtId="190" fontId="48" fillId="5" borderId="3" xfId="1" applyFont="1" applyFill="1" applyBorder="1" applyAlignment="1" applyProtection="1">
      <alignment vertical="center"/>
    </xf>
    <xf numFmtId="190" fontId="50" fillId="6" borderId="0" xfId="0" applyFont="1" applyFill="1" applyAlignment="1" applyProtection="1">
      <alignment vertical="center"/>
      <protection locked="0"/>
    </xf>
    <xf numFmtId="190" fontId="48" fillId="5" borderId="5" xfId="1" applyFont="1" applyFill="1" applyBorder="1" applyAlignment="1" applyProtection="1">
      <alignment horizontal="left" vertical="center"/>
      <protection locked="0"/>
    </xf>
    <xf numFmtId="190" fontId="65" fillId="0" borderId="32" xfId="0" applyFont="1" applyFill="1" applyBorder="1" applyAlignment="1" applyProtection="1">
      <alignment vertical="center"/>
      <protection locked="0"/>
    </xf>
    <xf numFmtId="190" fontId="157" fillId="0" borderId="0" xfId="11" applyFont="1" applyBorder="1" applyAlignment="1" applyProtection="1">
      <alignment vertical="center" wrapText="1"/>
    </xf>
    <xf numFmtId="190" fontId="132" fillId="0" borderId="78" xfId="0" applyFont="1" applyBorder="1" applyAlignment="1" applyProtection="1">
      <alignment horizontal="left" vertical="center"/>
    </xf>
    <xf numFmtId="190" fontId="157" fillId="0" borderId="78" xfId="11" applyFont="1" applyBorder="1" applyAlignment="1" applyProtection="1">
      <alignment horizontal="left" vertical="center" wrapText="1"/>
    </xf>
    <xf numFmtId="190" fontId="157" fillId="0" borderId="87" xfId="0" applyFont="1" applyBorder="1" applyProtection="1">
      <alignment vertical="center"/>
    </xf>
    <xf numFmtId="190" fontId="157" fillId="0" borderId="44" xfId="11" applyFont="1" applyBorder="1" applyAlignment="1" applyProtection="1">
      <alignment vertical="center" wrapText="1"/>
    </xf>
    <xf numFmtId="190" fontId="157" fillId="0" borderId="44" xfId="0" applyFont="1" applyBorder="1" applyAlignment="1" applyProtection="1">
      <alignment horizontal="left" vertical="center"/>
    </xf>
    <xf numFmtId="190" fontId="157" fillId="0" borderId="83" xfId="0" applyFont="1" applyBorder="1" applyProtection="1">
      <alignment vertical="center"/>
    </xf>
    <xf numFmtId="190" fontId="157" fillId="0" borderId="1" xfId="11" applyFont="1" applyBorder="1" applyAlignment="1" applyProtection="1">
      <alignment vertical="center" wrapText="1"/>
    </xf>
    <xf numFmtId="190" fontId="157" fillId="0" borderId="1" xfId="0" applyFont="1" applyBorder="1" applyAlignment="1" applyProtection="1">
      <alignment horizontal="left" vertical="center"/>
    </xf>
    <xf numFmtId="190" fontId="157" fillId="0" borderId="0" xfId="0" applyFont="1" applyBorder="1" applyProtection="1">
      <alignment vertical="center"/>
    </xf>
    <xf numFmtId="190" fontId="157" fillId="0" borderId="78" xfId="11" applyFont="1" applyBorder="1" applyAlignment="1" applyProtection="1">
      <alignment vertical="center" wrapText="1"/>
    </xf>
    <xf numFmtId="190" fontId="157" fillId="0" borderId="78" xfId="0" applyFont="1" applyBorder="1" applyAlignment="1" applyProtection="1">
      <alignment horizontal="left" vertical="center"/>
    </xf>
    <xf numFmtId="190" fontId="157" fillId="0" borderId="78" xfId="0" applyNumberFormat="1" applyFont="1" applyBorder="1" applyAlignment="1" applyProtection="1">
      <alignment horizontal="left" vertical="center"/>
    </xf>
    <xf numFmtId="19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190" fontId="157" fillId="0" borderId="0" xfId="0" applyFont="1" applyProtection="1">
      <alignment vertical="center"/>
    </xf>
    <xf numFmtId="14" fontId="157" fillId="0" borderId="1" xfId="0" applyNumberFormat="1" applyFont="1" applyBorder="1" applyAlignment="1" applyProtection="1">
      <alignment horizontal="left" vertical="center"/>
    </xf>
    <xf numFmtId="190" fontId="157" fillId="0" borderId="0" xfId="0" applyFont="1" applyAlignment="1" applyProtection="1">
      <alignment horizontal="left" vertical="center"/>
    </xf>
    <xf numFmtId="190" fontId="61" fillId="6" borderId="1" xfId="8" applyFont="1" applyFill="1" applyBorder="1" applyAlignment="1" applyProtection="1">
      <alignment horizontal="center" vertical="center" wrapText="1"/>
    </xf>
    <xf numFmtId="190" fontId="61" fillId="0" borderId="1" xfId="8" applyFont="1" applyFill="1" applyBorder="1" applyAlignment="1" applyProtection="1">
      <alignment horizontal="center" vertical="center" wrapText="1"/>
      <protection locked="0"/>
    </xf>
    <xf numFmtId="19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190" fontId="56" fillId="6" borderId="0" xfId="8" applyFont="1" applyFill="1" applyAlignment="1" applyProtection="1">
      <alignment vertical="center" wrapText="1"/>
      <protection locked="0"/>
    </xf>
    <xf numFmtId="190" fontId="56" fillId="6" borderId="0" xfId="8" applyFont="1" applyFill="1" applyAlignment="1" applyProtection="1">
      <alignment horizontal="center" vertical="center" wrapText="1"/>
      <protection locked="0"/>
    </xf>
    <xf numFmtId="190" fontId="56" fillId="7" borderId="0" xfId="8" applyFont="1" applyFill="1" applyAlignment="1" applyProtection="1">
      <alignment horizontal="center" vertical="center" wrapText="1"/>
    </xf>
    <xf numFmtId="190" fontId="56" fillId="0" borderId="0" xfId="8" applyFont="1" applyAlignment="1" applyProtection="1">
      <alignment horizontal="center" vertical="center" wrapText="1"/>
    </xf>
    <xf numFmtId="190" fontId="105" fillId="6" borderId="1" xfId="8" applyFont="1" applyFill="1" applyBorder="1" applyAlignment="1" applyProtection="1">
      <alignment horizontal="center" vertical="center"/>
    </xf>
    <xf numFmtId="185"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6" fontId="120" fillId="6" borderId="1" xfId="8" applyNumberFormat="1" applyFont="1" applyFill="1" applyBorder="1" applyAlignment="1" applyProtection="1">
      <alignment horizontal="center" vertical="center" wrapText="1"/>
    </xf>
    <xf numFmtId="190" fontId="56" fillId="6" borderId="1" xfId="8" applyFont="1" applyFill="1" applyBorder="1" applyAlignment="1" applyProtection="1">
      <alignment horizontal="center" vertical="center" wrapText="1"/>
    </xf>
    <xf numFmtId="190" fontId="56" fillId="6" borderId="1" xfId="8" applyNumberFormat="1" applyFont="1" applyFill="1" applyBorder="1" applyAlignment="1" applyProtection="1">
      <alignment horizontal="center" vertical="center" wrapText="1"/>
    </xf>
    <xf numFmtId="190" fontId="105" fillId="6" borderId="1" xfId="8" applyFont="1" applyFill="1" applyBorder="1" applyAlignment="1" applyProtection="1">
      <alignment vertical="center" wrapText="1"/>
    </xf>
    <xf numFmtId="190" fontId="60" fillId="6" borderId="2" xfId="1" applyFont="1" applyFill="1" applyBorder="1" applyAlignment="1" applyProtection="1">
      <alignment vertical="center"/>
    </xf>
    <xf numFmtId="190" fontId="107" fillId="6" borderId="85" xfId="0" applyFont="1" applyFill="1" applyBorder="1" applyAlignment="1" applyProtection="1">
      <alignment vertical="center"/>
    </xf>
    <xf numFmtId="190" fontId="65" fillId="2" borderId="88" xfId="0" applyFont="1" applyFill="1" applyBorder="1" applyAlignment="1" applyProtection="1">
      <alignment horizontal="right" vertical="center"/>
      <protection locked="0"/>
    </xf>
    <xf numFmtId="190" fontId="65" fillId="6" borderId="87" xfId="0" applyFont="1" applyFill="1" applyBorder="1" applyAlignment="1" applyProtection="1">
      <alignment horizontal="center" vertical="center"/>
    </xf>
    <xf numFmtId="190" fontId="65" fillId="2" borderId="88" xfId="0" applyFont="1" applyFill="1" applyBorder="1" applyAlignment="1" applyProtection="1">
      <alignment vertical="center"/>
      <protection locked="0"/>
    </xf>
    <xf numFmtId="190" fontId="65" fillId="6" borderId="88" xfId="0" applyFont="1" applyFill="1" applyBorder="1" applyAlignment="1" applyProtection="1">
      <alignment vertical="center"/>
      <protection locked="0"/>
    </xf>
    <xf numFmtId="190" fontId="68" fillId="6" borderId="88" xfId="0" applyFont="1" applyFill="1" applyBorder="1" applyAlignment="1" applyProtection="1">
      <alignment vertical="center"/>
      <protection locked="0"/>
    </xf>
    <xf numFmtId="188"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190" fontId="65" fillId="6" borderId="88" xfId="0" applyFont="1" applyFill="1" applyBorder="1" applyAlignment="1" applyProtection="1">
      <alignment horizontal="center" vertical="center"/>
      <protection locked="0"/>
    </xf>
    <xf numFmtId="190" fontId="65" fillId="6" borderId="104" xfId="0" applyFont="1" applyFill="1" applyBorder="1" applyAlignment="1" applyProtection="1">
      <alignment horizontal="center" vertical="center"/>
    </xf>
    <xf numFmtId="190" fontId="66" fillId="6" borderId="87" xfId="0" applyFont="1" applyFill="1" applyBorder="1" applyAlignment="1" applyProtection="1">
      <alignment horizontal="center" vertical="center"/>
    </xf>
    <xf numFmtId="190" fontId="66" fillId="0" borderId="87" xfId="0" applyFont="1" applyFill="1" applyBorder="1" applyAlignment="1" applyProtection="1">
      <alignment horizontal="center" vertical="center"/>
      <protection locked="0"/>
    </xf>
    <xf numFmtId="190" fontId="65" fillId="6" borderId="88" xfId="0" applyFont="1" applyFill="1" applyBorder="1" applyAlignment="1" applyProtection="1">
      <alignment vertical="center"/>
    </xf>
    <xf numFmtId="190" fontId="68" fillId="6" borderId="88" xfId="0" applyFont="1" applyFill="1" applyBorder="1" applyAlignment="1" applyProtection="1">
      <alignment vertical="center"/>
    </xf>
    <xf numFmtId="188"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190" fontId="65" fillId="6" borderId="88" xfId="0" applyFont="1" applyFill="1" applyBorder="1" applyAlignment="1" applyProtection="1">
      <alignment horizontal="center" vertical="center"/>
    </xf>
    <xf numFmtId="190" fontId="0" fillId="0" borderId="0" xfId="0" applyAlignment="1"/>
    <xf numFmtId="190" fontId="100" fillId="6" borderId="0" xfId="0" applyFont="1" applyFill="1" applyAlignment="1"/>
    <xf numFmtId="190" fontId="84" fillId="6" borderId="0" xfId="2" applyFont="1" applyFill="1"/>
    <xf numFmtId="190" fontId="19" fillId="6" borderId="0" xfId="2" applyFont="1" applyFill="1"/>
    <xf numFmtId="190" fontId="19" fillId="6" borderId="6" xfId="2" applyFont="1" applyFill="1" applyBorder="1"/>
    <xf numFmtId="190" fontId="130" fillId="6" borderId="9" xfId="2" applyFont="1" applyFill="1" applyBorder="1" applyAlignment="1">
      <alignment horizontal="center" vertical="center" wrapText="1"/>
    </xf>
    <xf numFmtId="190" fontId="19" fillId="6" borderId="10" xfId="2" applyFont="1" applyFill="1" applyBorder="1" applyAlignment="1">
      <alignment horizontal="center"/>
    </xf>
    <xf numFmtId="190" fontId="130" fillId="6" borderId="6" xfId="2" applyFont="1" applyFill="1" applyBorder="1" applyAlignment="1">
      <alignment horizontal="center" vertical="center" wrapText="1"/>
    </xf>
    <xf numFmtId="190" fontId="19" fillId="6" borderId="9" xfId="2" applyNumberFormat="1" applyFont="1" applyFill="1" applyBorder="1" applyAlignment="1">
      <alignment horizontal="center"/>
    </xf>
    <xf numFmtId="190" fontId="19" fillId="0" borderId="0" xfId="2" applyFont="1"/>
    <xf numFmtId="190" fontId="19" fillId="6" borderId="23" xfId="2" applyFont="1" applyFill="1" applyBorder="1"/>
    <xf numFmtId="190" fontId="130" fillId="6" borderId="1" xfId="2" applyFont="1" applyFill="1" applyBorder="1" applyAlignment="1">
      <alignment horizontal="center" vertical="center" wrapText="1"/>
    </xf>
    <xf numFmtId="190" fontId="19" fillId="6" borderId="24" xfId="2" applyFont="1" applyFill="1" applyBorder="1" applyAlignment="1">
      <alignment horizontal="center"/>
    </xf>
    <xf numFmtId="190" fontId="130" fillId="6" borderId="23" xfId="2" applyFont="1" applyFill="1" applyBorder="1" applyAlignment="1">
      <alignment horizontal="center" vertical="center" wrapText="1"/>
    </xf>
    <xf numFmtId="190" fontId="19" fillId="6" borderId="1" xfId="2" applyNumberFormat="1" applyFont="1" applyFill="1" applyBorder="1" applyAlignment="1">
      <alignment horizontal="center"/>
    </xf>
    <xf numFmtId="190" fontId="19" fillId="6" borderId="25" xfId="2" applyFont="1" applyFill="1" applyBorder="1"/>
    <xf numFmtId="190" fontId="130" fillId="6" borderId="32" xfId="2" applyFont="1" applyFill="1" applyBorder="1" applyAlignment="1">
      <alignment horizontal="center" vertical="center" wrapText="1"/>
    </xf>
    <xf numFmtId="190" fontId="19" fillId="6" borderId="49" xfId="2" applyFont="1" applyFill="1" applyBorder="1" applyAlignment="1">
      <alignment horizontal="center"/>
    </xf>
    <xf numFmtId="190" fontId="130" fillId="6" borderId="25" xfId="2" applyFont="1" applyFill="1" applyBorder="1" applyAlignment="1">
      <alignment horizontal="center" vertical="center" wrapText="1"/>
    </xf>
    <xf numFmtId="190" fontId="19" fillId="6" borderId="32" xfId="2" applyNumberFormat="1" applyFont="1" applyFill="1" applyBorder="1" applyAlignment="1">
      <alignment horizontal="center"/>
    </xf>
    <xf numFmtId="190" fontId="19" fillId="6" borderId="0" xfId="2" applyNumberFormat="1" applyFont="1" applyFill="1" applyAlignment="1">
      <alignment horizontal="center"/>
    </xf>
    <xf numFmtId="190" fontId="19" fillId="6" borderId="0" xfId="2" applyFont="1" applyFill="1" applyAlignment="1">
      <alignment horizontal="right"/>
    </xf>
    <xf numFmtId="14" fontId="19" fillId="6" borderId="0" xfId="2" applyNumberFormat="1" applyFont="1" applyFill="1" applyAlignment="1">
      <alignment horizontal="center"/>
    </xf>
    <xf numFmtId="190" fontId="162" fillId="6" borderId="0" xfId="2" applyNumberFormat="1" applyFont="1" applyFill="1" applyAlignment="1">
      <alignment horizontal="center"/>
    </xf>
    <xf numFmtId="190" fontId="163" fillId="6" borderId="0" xfId="2" applyFont="1" applyFill="1" applyAlignment="1">
      <alignment horizontal="left"/>
    </xf>
    <xf numFmtId="14" fontId="162" fillId="6" borderId="0" xfId="2" applyNumberFormat="1" applyFont="1" applyFill="1" applyAlignment="1">
      <alignment horizontal="center"/>
    </xf>
    <xf numFmtId="190" fontId="162" fillId="6" borderId="0" xfId="2" applyFont="1" applyFill="1"/>
    <xf numFmtId="190" fontId="162" fillId="0" borderId="0" xfId="2" applyFont="1"/>
    <xf numFmtId="190" fontId="162" fillId="0" borderId="0" xfId="0" applyFont="1" applyAlignment="1"/>
    <xf numFmtId="190" fontId="164" fillId="6" borderId="0" xfId="2" applyFont="1" applyFill="1"/>
    <xf numFmtId="190" fontId="165" fillId="6" borderId="0" xfId="2" applyFont="1" applyFill="1"/>
    <xf numFmtId="190" fontId="164" fillId="0" borderId="0" xfId="2" applyFont="1"/>
    <xf numFmtId="190" fontId="130" fillId="6" borderId="0" xfId="2" applyFont="1" applyFill="1" applyAlignment="1"/>
    <xf numFmtId="190" fontId="145" fillId="6" borderId="13" xfId="2" applyFont="1" applyFill="1" applyBorder="1" applyAlignment="1">
      <alignment horizontal="center" vertical="center"/>
    </xf>
    <xf numFmtId="190" fontId="145" fillId="6" borderId="13" xfId="2" applyFont="1" applyFill="1" applyBorder="1" applyAlignment="1">
      <alignment vertical="center"/>
    </xf>
    <xf numFmtId="190" fontId="145" fillId="6" borderId="5" xfId="2" applyFont="1" applyFill="1" applyBorder="1" applyAlignment="1">
      <alignment vertical="center"/>
    </xf>
    <xf numFmtId="190" fontId="145" fillId="6" borderId="3" xfId="2" applyFont="1" applyFill="1" applyBorder="1" applyAlignment="1">
      <alignment vertical="center"/>
    </xf>
    <xf numFmtId="190" fontId="145" fillId="6" borderId="54" xfId="2" applyFont="1" applyFill="1" applyBorder="1" applyAlignment="1">
      <alignment vertical="center"/>
    </xf>
    <xf numFmtId="190" fontId="130" fillId="0" borderId="0" xfId="2" applyFont="1" applyAlignment="1"/>
    <xf numFmtId="190" fontId="130" fillId="6" borderId="0" xfId="2" applyFont="1" applyFill="1"/>
    <xf numFmtId="190" fontId="145" fillId="6" borderId="2" xfId="2" applyFont="1" applyFill="1" applyBorder="1" applyAlignment="1">
      <alignment horizontal="center" vertical="center" wrapText="1"/>
    </xf>
    <xf numFmtId="190" fontId="145" fillId="6" borderId="2" xfId="2" applyFont="1" applyFill="1" applyBorder="1" applyAlignment="1">
      <alignment vertical="center" wrapText="1"/>
    </xf>
    <xf numFmtId="190" fontId="19" fillId="6" borderId="1" xfId="2" applyFont="1" applyFill="1" applyBorder="1"/>
    <xf numFmtId="190" fontId="145" fillId="6" borderId="1" xfId="2" applyFont="1" applyFill="1" applyBorder="1" applyAlignment="1">
      <alignment horizontal="center" vertical="center" wrapText="1"/>
    </xf>
    <xf numFmtId="190" fontId="130" fillId="0" borderId="0" xfId="2" applyFont="1"/>
    <xf numFmtId="190" fontId="167" fillId="6" borderId="0" xfId="2" applyFont="1" applyFill="1" applyAlignment="1">
      <alignment vertical="center"/>
    </xf>
    <xf numFmtId="190" fontId="167" fillId="6" borderId="1" xfId="2" applyFont="1" applyFill="1" applyBorder="1" applyAlignment="1">
      <alignment horizontal="left" vertical="center" wrapText="1"/>
    </xf>
    <xf numFmtId="192" fontId="167" fillId="6" borderId="1" xfId="2" applyNumberFormat="1" applyFont="1" applyFill="1" applyBorder="1" applyAlignment="1">
      <alignment horizontal="center" vertical="center" wrapText="1"/>
    </xf>
    <xf numFmtId="19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190" fontId="167" fillId="5" borderId="0" xfId="2" applyFont="1" applyFill="1" applyAlignment="1">
      <alignment vertical="center"/>
    </xf>
    <xf numFmtId="190" fontId="168" fillId="0" borderId="0" xfId="0" applyFont="1" applyAlignment="1"/>
    <xf numFmtId="19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9"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19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190" fontId="147" fillId="6" borderId="87" xfId="2" applyFont="1" applyFill="1" applyBorder="1"/>
    <xf numFmtId="14" fontId="147" fillId="6" borderId="78" xfId="2" applyNumberFormat="1" applyFont="1" applyFill="1" applyBorder="1" applyAlignment="1" applyProtection="1">
      <alignment horizontal="center"/>
    </xf>
    <xf numFmtId="19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190" fontId="147" fillId="0" borderId="87" xfId="2" applyFont="1" applyBorder="1"/>
    <xf numFmtId="190" fontId="114" fillId="0" borderId="87" xfId="0" applyFont="1" applyBorder="1" applyAlignment="1"/>
    <xf numFmtId="190" fontId="114" fillId="0" borderId="0" xfId="0" applyFont="1" applyAlignment="1"/>
    <xf numFmtId="190" fontId="145" fillId="6" borderId="78" xfId="2" applyFont="1" applyFill="1" applyBorder="1" applyAlignment="1">
      <alignment horizontal="center"/>
    </xf>
    <xf numFmtId="177" fontId="145" fillId="6" borderId="87" xfId="2" applyNumberFormat="1" applyFont="1" applyFill="1" applyBorder="1" applyAlignment="1">
      <alignment horizontal="center"/>
    </xf>
    <xf numFmtId="190" fontId="126" fillId="0" borderId="1" xfId="5" applyFont="1" applyFill="1" applyBorder="1">
      <alignment vertical="center"/>
    </xf>
    <xf numFmtId="190" fontId="126" fillId="0" borderId="1" xfId="5" applyFont="1" applyFill="1" applyBorder="1" applyAlignment="1">
      <alignment horizontal="left" vertical="center"/>
    </xf>
    <xf numFmtId="190" fontId="105" fillId="6" borderId="13" xfId="0" applyNumberFormat="1" applyFont="1" applyFill="1" applyBorder="1" applyAlignment="1" applyProtection="1">
      <alignment horizontal="center" vertical="center" wrapText="1"/>
    </xf>
    <xf numFmtId="19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19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190" fontId="152" fillId="14" borderId="127" xfId="9" applyFont="1" applyFill="1" applyBorder="1" applyAlignment="1" applyProtection="1">
      <alignment horizontal="center" vertical="center" wrapText="1"/>
    </xf>
    <xf numFmtId="190" fontId="108" fillId="14" borderId="0" xfId="9" applyFont="1" applyFill="1">
      <alignment vertical="center"/>
    </xf>
    <xf numFmtId="190" fontId="108" fillId="14" borderId="0" xfId="9" applyFont="1" applyFill="1" applyAlignment="1">
      <alignment horizontal="center" vertical="center"/>
    </xf>
    <xf numFmtId="190" fontId="108" fillId="14" borderId="122" xfId="9" applyFont="1" applyFill="1" applyBorder="1" applyAlignment="1">
      <alignment horizontal="center" vertical="center"/>
    </xf>
    <xf numFmtId="190" fontId="61" fillId="6" borderId="10" xfId="0" applyFont="1" applyFill="1" applyBorder="1" applyAlignment="1" applyProtection="1">
      <alignment horizontal="center" vertical="center" wrapText="1"/>
    </xf>
    <xf numFmtId="190" fontId="61" fillId="6" borderId="49" xfId="0" applyFont="1" applyFill="1" applyBorder="1" applyAlignment="1" applyProtection="1">
      <alignment horizontal="center" vertical="center" wrapText="1"/>
    </xf>
    <xf numFmtId="190" fontId="170" fillId="0" borderId="0" xfId="0" applyFont="1">
      <alignment vertical="center"/>
    </xf>
    <xf numFmtId="9" fontId="178" fillId="0" borderId="1" xfId="0" applyNumberFormat="1" applyFont="1" applyFill="1" applyBorder="1" applyAlignment="1">
      <alignment horizontal="center" vertical="center"/>
    </xf>
    <xf numFmtId="190" fontId="104" fillId="6" borderId="9" xfId="0" applyNumberFormat="1" applyFont="1" applyFill="1" applyBorder="1" applyAlignment="1" applyProtection="1">
      <alignment horizontal="center" vertical="center" wrapText="1"/>
    </xf>
    <xf numFmtId="19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177" fontId="120" fillId="0" borderId="1" xfId="8" applyNumberFormat="1" applyFont="1" applyFill="1" applyBorder="1" applyAlignment="1" applyProtection="1">
      <alignment horizontal="center" vertical="center"/>
      <protection locked="0"/>
    </xf>
    <xf numFmtId="190" fontId="185" fillId="0" borderId="1" xfId="0" applyFont="1" applyBorder="1" applyAlignment="1">
      <alignment horizontal="right" vertical="center"/>
    </xf>
    <xf numFmtId="190" fontId="185" fillId="0" borderId="1" xfId="0" applyFont="1" applyBorder="1" applyAlignment="1">
      <alignment horizontal="left" vertical="center" wrapText="1"/>
    </xf>
    <xf numFmtId="190" fontId="185" fillId="0" borderId="1" xfId="0" applyFont="1" applyBorder="1" applyAlignment="1">
      <alignment vertical="center"/>
    </xf>
    <xf numFmtId="190" fontId="185" fillId="0" borderId="1" xfId="0" applyFont="1" applyBorder="1" applyAlignment="1">
      <alignment horizontal="center" vertical="center"/>
    </xf>
    <xf numFmtId="190" fontId="185" fillId="0" borderId="1" xfId="0" applyFont="1" applyBorder="1" applyAlignment="1">
      <alignment vertical="center" wrapText="1"/>
    </xf>
    <xf numFmtId="190" fontId="185" fillId="0" borderId="5" xfId="0" applyFont="1" applyBorder="1" applyAlignment="1">
      <alignment vertical="center"/>
    </xf>
    <xf numFmtId="190" fontId="185" fillId="0" borderId="54" xfId="0" applyFont="1" applyBorder="1" applyAlignment="1">
      <alignment vertical="center"/>
    </xf>
    <xf numFmtId="190" fontId="185" fillId="0" borderId="3" xfId="0" applyFont="1" applyBorder="1" applyAlignment="1">
      <alignment vertical="center"/>
    </xf>
    <xf numFmtId="190" fontId="182" fillId="0" borderId="0" xfId="0" applyFont="1" applyAlignment="1">
      <alignment vertical="center"/>
    </xf>
    <xf numFmtId="190" fontId="183" fillId="0" borderId="0" xfId="0" applyFont="1" applyAlignment="1">
      <alignment vertical="center"/>
    </xf>
    <xf numFmtId="190" fontId="184" fillId="0" borderId="0" xfId="0" applyFont="1" applyAlignment="1">
      <alignment vertical="center"/>
    </xf>
    <xf numFmtId="190" fontId="176" fillId="0" borderId="1" xfId="0" applyFont="1" applyBorder="1" applyAlignment="1">
      <alignment horizontal="right" vertical="center" wrapText="1"/>
    </xf>
    <xf numFmtId="190" fontId="105" fillId="0" borderId="1" xfId="0" applyFont="1" applyBorder="1" applyAlignment="1">
      <alignment horizontal="right" vertical="center"/>
    </xf>
    <xf numFmtId="190" fontId="186" fillId="6" borderId="32" xfId="0" applyFont="1" applyFill="1" applyBorder="1" applyAlignment="1" applyProtection="1">
      <alignment horizontal="center" vertical="center"/>
    </xf>
    <xf numFmtId="19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190" fontId="105" fillId="0" borderId="0" xfId="9" applyFont="1" applyFill="1">
      <alignment vertical="center"/>
    </xf>
    <xf numFmtId="185" fontId="153" fillId="14" borderId="0" xfId="9" applyNumberFormat="1" applyFont="1" applyFill="1" applyAlignment="1">
      <alignment horizontal="center" vertical="center"/>
    </xf>
    <xf numFmtId="190" fontId="50" fillId="6" borderId="54" xfId="0" applyFont="1" applyFill="1" applyBorder="1" applyAlignment="1" applyProtection="1">
      <alignment horizontal="left" vertical="center" wrapText="1"/>
    </xf>
    <xf numFmtId="190" fontId="47" fillId="6" borderId="1" xfId="0" applyFont="1" applyFill="1" applyBorder="1" applyAlignment="1" applyProtection="1">
      <alignment horizontal="center" vertical="center" wrapText="1"/>
    </xf>
    <xf numFmtId="190" fontId="50" fillId="6" borderId="1" xfId="0" applyFont="1" applyFill="1" applyBorder="1" applyAlignment="1" applyProtection="1">
      <alignment horizontal="left" vertical="center" wrapText="1"/>
    </xf>
    <xf numFmtId="190" fontId="50" fillId="6" borderId="5" xfId="0" applyFont="1" applyFill="1" applyBorder="1" applyAlignment="1" applyProtection="1">
      <alignment horizontal="left" vertical="center" wrapText="1"/>
    </xf>
    <xf numFmtId="190" fontId="57" fillId="6" borderId="9" xfId="0" applyFont="1" applyFill="1" applyBorder="1" applyAlignment="1" applyProtection="1">
      <alignment horizontal="center" vertical="center" wrapText="1"/>
    </xf>
    <xf numFmtId="190" fontId="50" fillId="6" borderId="5" xfId="0" applyFont="1" applyFill="1" applyBorder="1" applyAlignment="1" applyProtection="1">
      <alignment horizontal="center" vertical="center" wrapText="1"/>
    </xf>
    <xf numFmtId="190" fontId="50" fillId="6" borderId="54" xfId="0" applyFont="1" applyFill="1" applyBorder="1" applyAlignment="1" applyProtection="1">
      <alignment horizontal="center" vertical="center" wrapText="1"/>
    </xf>
    <xf numFmtId="190" fontId="50" fillId="6" borderId="3" xfId="0" applyFont="1" applyFill="1" applyBorder="1" applyAlignment="1" applyProtection="1">
      <alignment horizontal="center" vertical="center" wrapText="1"/>
    </xf>
    <xf numFmtId="190" fontId="105" fillId="6" borderId="2" xfId="0" applyFont="1" applyFill="1" applyBorder="1" applyAlignment="1" applyProtection="1">
      <alignment horizontal="center" vertical="center" wrapText="1"/>
    </xf>
    <xf numFmtId="190" fontId="105" fillId="6" borderId="1" xfId="0" applyFont="1" applyFill="1" applyBorder="1" applyAlignment="1" applyProtection="1">
      <alignment horizontal="center" vertical="center" wrapText="1"/>
    </xf>
    <xf numFmtId="190" fontId="54" fillId="6" borderId="1" xfId="0" applyFont="1" applyFill="1" applyBorder="1" applyAlignment="1" applyProtection="1">
      <alignment horizontal="center" vertical="center" wrapText="1"/>
    </xf>
    <xf numFmtId="190" fontId="54" fillId="6" borderId="1" xfId="0" applyNumberFormat="1" applyFont="1" applyFill="1" applyBorder="1" applyAlignment="1" applyProtection="1">
      <alignment horizontal="center" vertical="center"/>
    </xf>
    <xf numFmtId="190" fontId="54" fillId="6" borderId="5" xfId="0" applyFont="1" applyFill="1" applyBorder="1" applyAlignment="1" applyProtection="1">
      <alignment horizontal="center" vertical="center" wrapText="1"/>
    </xf>
    <xf numFmtId="190" fontId="54" fillId="6" borderId="15" xfId="0" applyFont="1" applyFill="1" applyBorder="1" applyAlignment="1" applyProtection="1">
      <alignment horizontal="center" vertical="center"/>
    </xf>
    <xf numFmtId="190" fontId="54" fillId="6" borderId="1" xfId="0" applyFont="1" applyFill="1" applyBorder="1" applyAlignment="1" applyProtection="1">
      <alignment horizontal="center" vertical="center"/>
    </xf>
    <xf numFmtId="190" fontId="56" fillId="6" borderId="3" xfId="8" applyFont="1" applyFill="1" applyBorder="1" applyAlignment="1" applyProtection="1">
      <alignment horizontal="center" vertical="center" wrapText="1"/>
      <protection locked="0"/>
    </xf>
    <xf numFmtId="190" fontId="50" fillId="6" borderId="5" xfId="0" applyFont="1" applyFill="1" applyBorder="1" applyAlignment="1" applyProtection="1">
      <alignment horizontal="center" vertical="center"/>
    </xf>
    <xf numFmtId="190" fontId="50" fillId="6" borderId="54" xfId="0" applyFont="1" applyFill="1" applyBorder="1" applyAlignment="1" applyProtection="1">
      <alignment horizontal="center" vertical="center"/>
    </xf>
    <xf numFmtId="190" fontId="50" fillId="6" borderId="3" xfId="0" applyFont="1" applyFill="1" applyBorder="1" applyAlignment="1" applyProtection="1">
      <alignment horizontal="center" vertical="center"/>
    </xf>
    <xf numFmtId="19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190" fontId="56" fillId="6" borderId="13" xfId="0" applyFont="1" applyFill="1" applyBorder="1" applyAlignment="1" applyProtection="1">
      <alignment vertical="center"/>
    </xf>
    <xf numFmtId="190" fontId="50" fillId="6" borderId="22" xfId="0" applyFont="1" applyFill="1" applyBorder="1" applyAlignment="1" applyProtection="1">
      <alignment vertical="center" wrapText="1"/>
    </xf>
    <xf numFmtId="190" fontId="50" fillId="6" borderId="22" xfId="0" applyFont="1" applyFill="1" applyBorder="1" applyAlignment="1" applyProtection="1">
      <alignment vertical="center"/>
    </xf>
    <xf numFmtId="190" fontId="188" fillId="6" borderId="1" xfId="0" applyFont="1" applyFill="1" applyBorder="1" applyAlignment="1" applyProtection="1">
      <alignment horizontal="right" vertical="center" wrapText="1"/>
    </xf>
    <xf numFmtId="190" fontId="50" fillId="6" borderId="119" xfId="0" applyFont="1" applyFill="1" applyBorder="1" applyAlignment="1" applyProtection="1">
      <alignment vertical="center" wrapText="1"/>
    </xf>
    <xf numFmtId="190" fontId="50" fillId="2" borderId="1" xfId="0" applyFont="1" applyFill="1" applyBorder="1" applyAlignment="1" applyProtection="1">
      <alignment horizontal="left" vertical="center" wrapText="1"/>
      <protection locked="0"/>
    </xf>
    <xf numFmtId="190" fontId="55" fillId="6" borderId="46" xfId="0" applyFont="1" applyFill="1" applyBorder="1" applyAlignment="1" applyProtection="1">
      <alignment vertical="center" wrapText="1"/>
      <protection locked="0"/>
    </xf>
    <xf numFmtId="190" fontId="50" fillId="6" borderId="1" xfId="0" applyFont="1" applyFill="1" applyBorder="1" applyAlignment="1" applyProtection="1">
      <protection locked="0"/>
    </xf>
    <xf numFmtId="19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190" fontId="80" fillId="6" borderId="13" xfId="0" applyFont="1" applyFill="1" applyBorder="1" applyAlignment="1" applyProtection="1">
      <alignment vertical="center"/>
    </xf>
    <xf numFmtId="19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190" fontId="56" fillId="6" borderId="0" xfId="0" applyFont="1" applyFill="1" applyAlignment="1" applyProtection="1">
      <alignment horizontal="center" vertical="center"/>
    </xf>
    <xf numFmtId="19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190" fontId="56" fillId="7" borderId="0" xfId="0" applyFont="1" applyFill="1" applyAlignment="1" applyProtection="1">
      <alignment vertical="center"/>
      <protection locked="0"/>
    </xf>
    <xf numFmtId="190" fontId="57" fillId="6" borderId="1" xfId="1" applyFont="1" applyFill="1" applyBorder="1" applyAlignment="1" applyProtection="1">
      <alignment vertical="center"/>
    </xf>
    <xf numFmtId="190" fontId="55" fillId="6" borderId="1" xfId="0" applyFont="1" applyFill="1" applyBorder="1" applyAlignment="1" applyProtection="1">
      <alignment horizontal="right" vertical="center"/>
    </xf>
    <xf numFmtId="19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190" fontId="57" fillId="6" borderId="32" xfId="1" applyFont="1" applyFill="1" applyBorder="1" applyAlignment="1" applyProtection="1">
      <alignment vertical="center"/>
    </xf>
    <xf numFmtId="190" fontId="55" fillId="6" borderId="32" xfId="0" applyFont="1" applyFill="1" applyBorder="1" applyAlignment="1" applyProtection="1">
      <alignment horizontal="right" vertical="center"/>
    </xf>
    <xf numFmtId="190" fontId="56" fillId="7" borderId="0" xfId="0" applyFont="1" applyFill="1" applyAlignment="1" applyProtection="1">
      <alignment vertical="center"/>
    </xf>
    <xf numFmtId="190" fontId="50" fillId="6" borderId="60" xfId="0" applyFont="1" applyFill="1" applyBorder="1" applyAlignment="1" applyProtection="1">
      <alignment vertical="center"/>
    </xf>
    <xf numFmtId="190" fontId="50" fillId="6" borderId="71" xfId="0" applyFont="1" applyFill="1" applyBorder="1" applyAlignment="1" applyProtection="1">
      <alignment vertical="center"/>
    </xf>
    <xf numFmtId="190" fontId="51" fillId="7" borderId="0" xfId="0" applyFont="1" applyFill="1" applyAlignment="1" applyProtection="1">
      <alignment vertical="center"/>
    </xf>
    <xf numFmtId="190" fontId="50" fillId="6" borderId="88" xfId="0" applyFont="1" applyFill="1" applyBorder="1" applyAlignment="1" applyProtection="1">
      <alignment vertical="center"/>
    </xf>
    <xf numFmtId="190" fontId="50" fillId="6" borderId="90" xfId="0" applyFont="1" applyFill="1" applyBorder="1" applyAlignment="1" applyProtection="1">
      <alignment vertical="center"/>
    </xf>
    <xf numFmtId="190" fontId="51" fillId="7" borderId="0" xfId="0" applyFont="1" applyFill="1" applyAlignment="1" applyProtection="1">
      <alignment vertical="center"/>
      <protection locked="0"/>
    </xf>
    <xf numFmtId="190" fontId="51" fillId="0" borderId="0" xfId="0" applyFont="1" applyFill="1" applyAlignment="1" applyProtection="1">
      <alignment vertical="center"/>
      <protection locked="0"/>
    </xf>
    <xf numFmtId="190" fontId="105" fillId="6" borderId="0" xfId="0" applyFont="1" applyFill="1" applyAlignment="1" applyProtection="1"/>
    <xf numFmtId="190" fontId="57" fillId="6" borderId="0" xfId="0" applyFont="1" applyFill="1" applyBorder="1" applyAlignment="1" applyProtection="1">
      <alignment horizontal="left" vertical="center"/>
      <protection locked="0"/>
    </xf>
    <xf numFmtId="190" fontId="63" fillId="6" borderId="0" xfId="0" applyFont="1" applyFill="1" applyBorder="1" applyAlignment="1" applyProtection="1">
      <alignment horizontal="center" vertical="center"/>
      <protection locked="0"/>
    </xf>
    <xf numFmtId="190" fontId="105" fillId="6" borderId="0" xfId="0" applyFont="1" applyFill="1" applyAlignment="1" applyProtection="1">
      <alignment horizontal="left"/>
    </xf>
    <xf numFmtId="190" fontId="55" fillId="6" borderId="0" xfId="0" applyFont="1" applyFill="1" applyAlignment="1" applyProtection="1">
      <alignment horizontal="left"/>
    </xf>
    <xf numFmtId="190" fontId="55" fillId="6" borderId="0" xfId="0" applyFont="1" applyFill="1" applyAlignment="1" applyProtection="1"/>
    <xf numFmtId="190" fontId="56" fillId="6" borderId="0" xfId="0" applyFont="1" applyFill="1" applyAlignment="1" applyProtection="1">
      <alignment horizontal="left" vertical="center"/>
    </xf>
    <xf numFmtId="190" fontId="50" fillId="7" borderId="0" xfId="0" applyFont="1" applyFill="1" applyAlignment="1" applyProtection="1">
      <protection locked="0"/>
    </xf>
    <xf numFmtId="190" fontId="50" fillId="7" borderId="0" xfId="0" applyFont="1" applyFill="1" applyAlignment="1" applyProtection="1">
      <alignment horizontal="center"/>
      <protection locked="0"/>
    </xf>
    <xf numFmtId="190" fontId="56" fillId="7" borderId="0" xfId="0" applyFont="1" applyFill="1" applyAlignment="1" applyProtection="1">
      <alignment horizontal="left" vertical="center"/>
      <protection locked="0"/>
    </xf>
    <xf numFmtId="190" fontId="148" fillId="6" borderId="0" xfId="0" applyFont="1" applyFill="1" applyAlignment="1" applyProtection="1">
      <alignment vertical="center"/>
    </xf>
    <xf numFmtId="190" fontId="148" fillId="7" borderId="0" xfId="0" applyFont="1" applyFill="1" applyAlignment="1" applyProtection="1">
      <protection locked="0"/>
    </xf>
    <xf numFmtId="190" fontId="56" fillId="6" borderId="16" xfId="0" applyFont="1" applyFill="1" applyBorder="1" applyAlignment="1" applyProtection="1">
      <alignment horizontal="center" vertical="center"/>
    </xf>
    <xf numFmtId="190" fontId="50" fillId="6" borderId="31" xfId="0" applyFont="1" applyFill="1" applyBorder="1" applyAlignment="1" applyProtection="1"/>
    <xf numFmtId="190" fontId="148" fillId="7" borderId="63" xfId="0" applyFont="1" applyFill="1" applyBorder="1" applyAlignment="1" applyProtection="1">
      <alignment vertical="center"/>
      <protection locked="0"/>
    </xf>
    <xf numFmtId="190" fontId="56" fillId="7" borderId="64" xfId="0" applyFont="1" applyFill="1" applyBorder="1" applyAlignment="1" applyProtection="1">
      <alignment vertical="center"/>
      <protection locked="0"/>
    </xf>
    <xf numFmtId="190" fontId="56" fillId="7" borderId="65" xfId="0" applyFont="1" applyFill="1" applyBorder="1" applyAlignment="1" applyProtection="1">
      <alignment horizontal="left" vertical="center"/>
      <protection locked="0"/>
    </xf>
    <xf numFmtId="190" fontId="108" fillId="6" borderId="82" xfId="0" applyFont="1" applyFill="1" applyBorder="1" applyAlignment="1" applyProtection="1">
      <alignment horizontal="center" vertical="center"/>
    </xf>
    <xf numFmtId="190" fontId="105" fillId="6" borderId="82" xfId="0" applyFont="1" applyFill="1" applyBorder="1" applyAlignment="1" applyProtection="1">
      <alignment vertical="center" wrapText="1"/>
    </xf>
    <xf numFmtId="190" fontId="105" fillId="6" borderId="65" xfId="0" applyFont="1" applyFill="1" applyBorder="1" applyAlignment="1" applyProtection="1">
      <alignment vertical="center"/>
    </xf>
    <xf numFmtId="190" fontId="105" fillId="6" borderId="65" xfId="0" applyFont="1" applyFill="1" applyBorder="1" applyAlignment="1" applyProtection="1">
      <alignment vertical="center" wrapText="1"/>
    </xf>
    <xf numFmtId="190" fontId="56" fillId="6" borderId="6" xfId="0" applyFont="1" applyFill="1" applyBorder="1" applyAlignment="1" applyProtection="1">
      <alignment vertical="center"/>
    </xf>
    <xf numFmtId="190" fontId="56" fillId="5" borderId="10" xfId="0" applyFont="1" applyFill="1" applyBorder="1" applyAlignment="1" applyProtection="1">
      <alignment horizontal="center" vertical="center"/>
      <protection locked="0"/>
    </xf>
    <xf numFmtId="190" fontId="56" fillId="6" borderId="6" xfId="0" applyFont="1" applyFill="1" applyBorder="1" applyAlignment="1" applyProtection="1">
      <alignment horizontal="left" vertical="center"/>
      <protection locked="0"/>
    </xf>
    <xf numFmtId="190" fontId="56" fillId="6" borderId="10" xfId="0" applyFont="1" applyFill="1" applyBorder="1" applyAlignment="1" applyProtection="1">
      <alignment horizontal="center" vertical="center"/>
    </xf>
    <xf numFmtId="190" fontId="105" fillId="6" borderId="81" xfId="0" applyFont="1" applyFill="1" applyBorder="1" applyAlignment="1" applyProtection="1">
      <alignment vertical="center" wrapText="1"/>
    </xf>
    <xf numFmtId="190" fontId="105" fillId="6" borderId="43" xfId="0" applyFont="1" applyFill="1" applyBorder="1" applyAlignment="1" applyProtection="1">
      <alignment vertical="center"/>
    </xf>
    <xf numFmtId="190" fontId="105" fillId="6" borderId="43" xfId="0" applyFont="1" applyFill="1" applyBorder="1" applyAlignment="1" applyProtection="1">
      <alignment vertical="center" wrapText="1"/>
    </xf>
    <xf numFmtId="190" fontId="56" fillId="6" borderId="23" xfId="0" applyFont="1" applyFill="1" applyBorder="1" applyAlignment="1" applyProtection="1">
      <alignment vertical="center"/>
    </xf>
    <xf numFmtId="190" fontId="105" fillId="5" borderId="24" xfId="0" applyFont="1" applyFill="1" applyBorder="1" applyAlignment="1" applyProtection="1">
      <alignment horizontal="center"/>
      <protection locked="0"/>
    </xf>
    <xf numFmtId="190" fontId="105" fillId="6" borderId="23" xfId="0" applyFont="1" applyFill="1" applyBorder="1" applyAlignment="1" applyProtection="1">
      <alignment horizontal="left"/>
      <protection locked="0"/>
    </xf>
    <xf numFmtId="190" fontId="56" fillId="6" borderId="24" xfId="0" applyFont="1" applyFill="1" applyBorder="1" applyAlignment="1" applyProtection="1">
      <alignment horizontal="center" vertical="center"/>
    </xf>
    <xf numFmtId="190" fontId="56" fillId="7" borderId="0" xfId="0" applyFont="1" applyFill="1" applyBorder="1" applyAlignment="1" applyProtection="1">
      <alignment vertical="center"/>
      <protection locked="0"/>
    </xf>
    <xf numFmtId="190" fontId="56" fillId="7" borderId="24" xfId="0" applyFont="1" applyFill="1" applyBorder="1" applyAlignment="1" applyProtection="1">
      <alignment horizontal="center" vertical="center"/>
      <protection locked="0"/>
    </xf>
    <xf numFmtId="190" fontId="56" fillId="0" borderId="24" xfId="0" applyFont="1" applyFill="1" applyBorder="1" applyAlignment="1" applyProtection="1">
      <alignment horizontal="center" vertical="center"/>
      <protection locked="0"/>
    </xf>
    <xf numFmtId="190" fontId="105" fillId="6" borderId="81" xfId="0" applyFont="1" applyFill="1" applyBorder="1" applyAlignment="1" applyProtection="1">
      <alignment horizontal="right" vertical="center" wrapText="1"/>
    </xf>
    <xf numFmtId="190" fontId="105" fillId="6" borderId="24" xfId="0" applyFont="1" applyFill="1" applyBorder="1" applyAlignment="1" applyProtection="1">
      <alignment horizontal="center"/>
    </xf>
    <xf numFmtId="19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190" fontId="56" fillId="6" borderId="24" xfId="0" applyNumberFormat="1" applyFont="1" applyFill="1" applyBorder="1" applyAlignment="1" applyProtection="1">
      <alignment horizontal="center" vertical="center"/>
    </xf>
    <xf numFmtId="190" fontId="56" fillId="6" borderId="23" xfId="0" applyFont="1" applyFill="1" applyBorder="1" applyAlignment="1" applyProtection="1">
      <alignment vertical="center"/>
      <protection locked="0"/>
    </xf>
    <xf numFmtId="191" fontId="56" fillId="6" borderId="24" xfId="0" applyNumberFormat="1" applyFont="1" applyFill="1" applyBorder="1" applyAlignment="1" applyProtection="1">
      <alignment horizontal="center" vertical="center"/>
    </xf>
    <xf numFmtId="190" fontId="56" fillId="7" borderId="7" xfId="0" applyFont="1" applyFill="1" applyBorder="1" applyAlignment="1" applyProtection="1">
      <alignment vertical="center" wrapText="1"/>
      <protection locked="0"/>
    </xf>
    <xf numFmtId="19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190" fontId="56" fillId="6" borderId="26" xfId="0" applyFont="1" applyFill="1" applyBorder="1" applyAlignment="1" applyProtection="1">
      <alignment vertical="center" wrapText="1"/>
    </xf>
    <xf numFmtId="190" fontId="56" fillId="6" borderId="84" xfId="0" applyFont="1" applyFill="1" applyBorder="1" applyAlignment="1" applyProtection="1">
      <alignment horizontal="center" vertical="center"/>
    </xf>
    <xf numFmtId="190" fontId="56" fillId="6" borderId="48" xfId="0" applyFont="1" applyFill="1" applyBorder="1" applyAlignment="1" applyProtection="1">
      <alignment vertical="center"/>
      <protection locked="0"/>
    </xf>
    <xf numFmtId="190" fontId="120" fillId="6" borderId="0" xfId="0" applyFont="1" applyFill="1" applyAlignment="1" applyProtection="1">
      <alignment vertical="center"/>
      <protection locked="0"/>
    </xf>
    <xf numFmtId="190" fontId="120" fillId="6" borderId="47" xfId="0" applyFont="1" applyFill="1" applyBorder="1" applyAlignment="1" applyProtection="1">
      <alignment vertical="center" wrapText="1"/>
    </xf>
    <xf numFmtId="19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190" fontId="57" fillId="6" borderId="16" xfId="0" applyFont="1" applyFill="1" applyBorder="1" applyAlignment="1" applyProtection="1">
      <alignment horizontal="center" vertical="center"/>
    </xf>
    <xf numFmtId="190" fontId="56" fillId="5" borderId="21" xfId="0" applyFont="1" applyFill="1" applyBorder="1" applyAlignment="1" applyProtection="1">
      <alignment horizontal="center" vertical="center"/>
      <protection locked="0"/>
    </xf>
    <xf numFmtId="190" fontId="56" fillId="6" borderId="1" xfId="0" applyFont="1" applyFill="1" applyBorder="1" applyAlignment="1" applyProtection="1">
      <alignment vertical="center"/>
      <protection locked="0"/>
    </xf>
    <xf numFmtId="190" fontId="56" fillId="6" borderId="54" xfId="0" applyFont="1" applyFill="1" applyBorder="1" applyAlignment="1" applyProtection="1">
      <alignment vertical="center"/>
      <protection locked="0"/>
    </xf>
    <xf numFmtId="190" fontId="56" fillId="6" borderId="41" xfId="0" applyFont="1" applyFill="1" applyBorder="1" applyAlignment="1" applyProtection="1">
      <alignment vertical="center" wrapText="1"/>
    </xf>
    <xf numFmtId="190" fontId="56" fillId="5" borderId="0" xfId="0" applyFont="1" applyFill="1" applyBorder="1" applyAlignment="1" applyProtection="1">
      <alignment horizontal="center" vertical="center"/>
      <protection locked="0"/>
    </xf>
    <xf numFmtId="190" fontId="56" fillId="6" borderId="18" xfId="0" applyFont="1" applyFill="1" applyBorder="1" applyAlignment="1" applyProtection="1">
      <alignment vertical="center"/>
      <protection locked="0"/>
    </xf>
    <xf numFmtId="190" fontId="56" fillId="6" borderId="4" xfId="0" applyFont="1" applyFill="1" applyBorder="1" applyAlignment="1" applyProtection="1">
      <alignment vertical="center"/>
      <protection locked="0"/>
    </xf>
    <xf numFmtId="190" fontId="56" fillId="6" borderId="60" xfId="0" applyFont="1" applyFill="1" applyBorder="1" applyAlignment="1" applyProtection="1">
      <alignment vertical="center"/>
      <protection locked="0"/>
    </xf>
    <xf numFmtId="190" fontId="56" fillId="6" borderId="71" xfId="0" applyFont="1" applyFill="1" applyBorder="1" applyAlignment="1" applyProtection="1">
      <alignment vertical="center"/>
      <protection locked="0"/>
    </xf>
    <xf numFmtId="190" fontId="56" fillId="6" borderId="23" xfId="0" applyFont="1" applyFill="1" applyBorder="1" applyAlignment="1" applyProtection="1">
      <alignment vertical="center" wrapText="1"/>
    </xf>
    <xf numFmtId="19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190" fontId="56" fillId="6" borderId="49" xfId="0" applyFont="1" applyFill="1" applyBorder="1" applyAlignment="1" applyProtection="1">
      <alignment horizontal="center" vertical="center"/>
    </xf>
    <xf numFmtId="190" fontId="57" fillId="6" borderId="25" xfId="0" applyFont="1" applyFill="1" applyBorder="1" applyAlignment="1" applyProtection="1">
      <alignment horizontal="center" vertical="center"/>
    </xf>
    <xf numFmtId="190" fontId="56" fillId="6" borderId="0" xfId="0" applyFont="1" applyFill="1" applyAlignment="1" applyProtection="1">
      <alignment vertical="center"/>
      <protection locked="0"/>
    </xf>
    <xf numFmtId="190" fontId="56" fillId="6" borderId="1" xfId="0" applyFont="1" applyFill="1" applyBorder="1" applyAlignment="1"/>
    <xf numFmtId="190" fontId="56" fillId="6" borderId="1" xfId="0" applyFont="1" applyFill="1" applyBorder="1" applyAlignment="1">
      <alignment horizontal="center"/>
    </xf>
    <xf numFmtId="19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1" fontId="105" fillId="6" borderId="43" xfId="0" applyNumberFormat="1" applyFont="1" applyFill="1" applyBorder="1" applyAlignment="1" applyProtection="1">
      <alignment vertical="center" wrapText="1"/>
    </xf>
    <xf numFmtId="190" fontId="176" fillId="6" borderId="43" xfId="0" applyFont="1" applyFill="1" applyBorder="1" applyAlignment="1" applyProtection="1">
      <alignment vertical="center"/>
    </xf>
    <xf numFmtId="190" fontId="56" fillId="0" borderId="0" xfId="0" applyFont="1" applyFill="1" applyAlignment="1" applyProtection="1">
      <alignment horizontal="left" vertical="center"/>
      <protection locked="0"/>
    </xf>
    <xf numFmtId="19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190" fontId="57" fillId="6" borderId="0" xfId="0" applyFont="1" applyFill="1" applyBorder="1" applyAlignment="1" applyProtection="1">
      <alignment vertical="center"/>
    </xf>
    <xf numFmtId="190" fontId="50" fillId="6" borderId="0" xfId="0" applyFont="1" applyFill="1" applyAlignment="1" applyProtection="1"/>
    <xf numFmtId="190" fontId="50" fillId="6" borderId="0" xfId="0" applyFont="1" applyFill="1" applyAlignment="1" applyProtection="1">
      <protection locked="0"/>
    </xf>
    <xf numFmtId="190" fontId="188" fillId="6" borderId="3" xfId="0" applyFont="1" applyFill="1" applyBorder="1" applyAlignment="1" applyProtection="1">
      <alignment horizontal="right" vertical="center" wrapText="1"/>
    </xf>
    <xf numFmtId="190" fontId="204" fillId="0" borderId="0" xfId="5" applyFont="1">
      <alignment vertical="center"/>
    </xf>
    <xf numFmtId="190" fontId="99" fillId="0" borderId="0" xfId="0" applyFont="1" applyProtection="1">
      <alignment vertical="center"/>
      <protection locked="0"/>
    </xf>
    <xf numFmtId="190" fontId="213" fillId="0" borderId="0" xfId="0" applyFont="1" applyBorder="1" applyAlignment="1">
      <alignment horizontal="center" vertical="center"/>
    </xf>
    <xf numFmtId="190" fontId="104" fillId="0" borderId="0" xfId="0" applyFont="1">
      <alignment vertical="center"/>
    </xf>
    <xf numFmtId="190" fontId="104" fillId="0" borderId="0" xfId="0" applyFont="1" applyBorder="1">
      <alignment vertical="center"/>
    </xf>
    <xf numFmtId="190" fontId="214" fillId="0" borderId="0" xfId="0" applyFont="1" applyAlignment="1">
      <alignment vertical="center"/>
    </xf>
    <xf numFmtId="190" fontId="139" fillId="0" borderId="0" xfId="0" applyFont="1" applyAlignment="1">
      <alignment vertical="center" wrapText="1"/>
    </xf>
    <xf numFmtId="190" fontId="215" fillId="0" borderId="0" xfId="0" applyFont="1">
      <alignment vertical="center"/>
    </xf>
    <xf numFmtId="190" fontId="216" fillId="0" borderId="0" xfId="0" applyFont="1">
      <alignment vertical="center"/>
    </xf>
    <xf numFmtId="190" fontId="217" fillId="0" borderId="0" xfId="0" applyFont="1" applyAlignment="1" applyProtection="1">
      <alignment vertical="center" wrapText="1"/>
      <protection locked="0"/>
    </xf>
    <xf numFmtId="190" fontId="139" fillId="0" borderId="0" xfId="0" applyFont="1" applyFill="1" applyAlignment="1">
      <alignment vertical="center" wrapText="1"/>
    </xf>
    <xf numFmtId="190" fontId="214" fillId="0" borderId="0" xfId="0" applyFont="1">
      <alignment vertical="center"/>
    </xf>
    <xf numFmtId="183" fontId="139" fillId="0" borderId="0" xfId="0" applyNumberFormat="1" applyFont="1" applyAlignment="1">
      <alignment horizontal="left" vertical="center"/>
    </xf>
    <xf numFmtId="190" fontId="139" fillId="0" borderId="0" xfId="0" applyFont="1">
      <alignment vertical="center"/>
    </xf>
    <xf numFmtId="190" fontId="218" fillId="5" borderId="0" xfId="0" applyFont="1" applyFill="1" applyProtection="1">
      <alignment vertical="center"/>
      <protection locked="0"/>
    </xf>
    <xf numFmtId="190" fontId="104" fillId="0" borderId="0" xfId="0" applyFont="1" applyProtection="1">
      <alignment vertical="center"/>
      <protection locked="0"/>
    </xf>
    <xf numFmtId="190" fontId="214" fillId="0" borderId="0" xfId="7" applyFont="1" applyProtection="1">
      <alignment vertical="center"/>
    </xf>
    <xf numFmtId="190" fontId="104" fillId="0" borderId="0" xfId="7" applyFont="1" applyProtection="1">
      <alignment vertical="center"/>
    </xf>
    <xf numFmtId="190" fontId="104" fillId="0" borderId="0" xfId="7" applyFont="1">
      <alignment vertical="center"/>
    </xf>
    <xf numFmtId="190" fontId="214" fillId="0" borderId="0" xfId="7" applyFont="1" applyAlignment="1" applyProtection="1">
      <alignment horizontal="center" vertical="center"/>
    </xf>
    <xf numFmtId="190" fontId="132" fillId="0" borderId="2" xfId="7" applyFont="1" applyFill="1" applyBorder="1" applyAlignment="1" applyProtection="1">
      <alignment horizontal="left" vertical="center" wrapText="1"/>
    </xf>
    <xf numFmtId="190" fontId="133" fillId="0" borderId="1" xfId="7" applyFont="1" applyFill="1" applyBorder="1" applyAlignment="1" applyProtection="1">
      <alignment horizontal="left" vertical="center" wrapText="1"/>
    </xf>
    <xf numFmtId="190" fontId="221" fillId="0" borderId="1" xfId="7" applyFont="1" applyFill="1" applyBorder="1" applyAlignment="1" applyProtection="1">
      <alignment horizontal="left" vertical="center" wrapText="1"/>
    </xf>
    <xf numFmtId="190" fontId="64" fillId="0" borderId="5" xfId="7" applyFont="1" applyFill="1" applyBorder="1" applyAlignment="1" applyProtection="1">
      <alignment vertical="center" wrapText="1"/>
    </xf>
    <xf numFmtId="190" fontId="110" fillId="0" borderId="1" xfId="7" applyFont="1" applyFill="1" applyBorder="1" applyAlignment="1" applyProtection="1">
      <alignment horizontal="left" vertical="center" wrapText="1"/>
    </xf>
    <xf numFmtId="190" fontId="132" fillId="0" borderId="1" xfId="7" applyFont="1" applyFill="1" applyBorder="1" applyAlignment="1" applyProtection="1">
      <alignment horizontal="left" vertical="center" wrapText="1"/>
    </xf>
    <xf numFmtId="190" fontId="222" fillId="0" borderId="1" xfId="7" applyFont="1" applyBorder="1" applyAlignment="1">
      <alignment horizontal="center" vertical="center"/>
    </xf>
    <xf numFmtId="190" fontId="133" fillId="0" borderId="78" xfId="7" applyFont="1" applyFill="1" applyBorder="1" applyAlignment="1" applyProtection="1">
      <alignment horizontal="left" vertical="center" wrapText="1"/>
    </xf>
    <xf numFmtId="190" fontId="105" fillId="0" borderId="0" xfId="7" applyFont="1" applyProtection="1">
      <alignment vertical="center"/>
    </xf>
    <xf numFmtId="190" fontId="104" fillId="0" borderId="0" xfId="7" applyFont="1" applyProtection="1">
      <alignment vertical="center"/>
      <protection locked="0"/>
    </xf>
    <xf numFmtId="190" fontId="139" fillId="0" borderId="0" xfId="7" applyFont="1" applyProtection="1">
      <alignment vertical="center"/>
      <protection locked="0"/>
    </xf>
    <xf numFmtId="190" fontId="64" fillId="0" borderId="1" xfId="0" applyFont="1" applyFill="1" applyBorder="1" applyAlignment="1" applyProtection="1">
      <alignment horizontal="left" vertical="center" wrapText="1"/>
    </xf>
    <xf numFmtId="190" fontId="139" fillId="0" borderId="0" xfId="0" applyFont="1" applyProtection="1">
      <alignment vertical="center"/>
      <protection locked="0"/>
    </xf>
    <xf numFmtId="190" fontId="99" fillId="0" borderId="0" xfId="0" applyFont="1" applyProtection="1">
      <alignment vertical="center"/>
    </xf>
    <xf numFmtId="190" fontId="211" fillId="0" borderId="0" xfId="0" applyFont="1" applyBorder="1" applyAlignment="1" applyProtection="1">
      <alignment horizontal="left" vertical="center"/>
    </xf>
    <xf numFmtId="190" fontId="229"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190" fontId="139" fillId="0" borderId="0" xfId="0" applyFont="1" applyBorder="1" applyAlignment="1" applyProtection="1">
      <alignment horizontal="center" vertical="center" wrapText="1"/>
    </xf>
    <xf numFmtId="190" fontId="229" fillId="0" borderId="60" xfId="0" applyFont="1" applyBorder="1" applyAlignment="1" applyProtection="1">
      <alignment horizontal="justify" vertical="center" wrapText="1"/>
    </xf>
    <xf numFmtId="190" fontId="229" fillId="0" borderId="0" xfId="0" applyFont="1" applyBorder="1" applyAlignment="1" applyProtection="1">
      <alignment horizontal="right" vertical="center" wrapText="1"/>
    </xf>
    <xf numFmtId="190" fontId="229" fillId="0" borderId="54" xfId="0" applyFont="1" applyBorder="1" applyAlignment="1" applyProtection="1">
      <alignment horizontal="justify" vertical="center" wrapText="1"/>
    </xf>
    <xf numFmtId="190" fontId="230" fillId="0" borderId="0" xfId="0" applyFont="1" applyBorder="1" applyAlignment="1" applyProtection="1">
      <alignment horizontal="center" vertical="center" wrapText="1"/>
      <protection locked="0"/>
    </xf>
    <xf numFmtId="190" fontId="214" fillId="0" borderId="0" xfId="0" applyFont="1" applyBorder="1" applyAlignment="1" applyProtection="1">
      <alignment horizontal="left" vertical="center"/>
    </xf>
    <xf numFmtId="190" fontId="104" fillId="0" borderId="0" xfId="0" applyFont="1" applyAlignment="1" applyProtection="1">
      <alignment vertical="center" wrapText="1"/>
      <protection locked="0"/>
    </xf>
    <xf numFmtId="190" fontId="139" fillId="0" borderId="0" xfId="0" applyFont="1" applyAlignment="1">
      <alignment horizontal="right" vertical="center"/>
    </xf>
    <xf numFmtId="190" fontId="99" fillId="0" borderId="0" xfId="0" applyFont="1" applyBorder="1" applyProtection="1">
      <alignment vertical="center"/>
      <protection locked="0"/>
    </xf>
    <xf numFmtId="190" fontId="212" fillId="0" borderId="0" xfId="0" applyFont="1" applyBorder="1" applyProtection="1">
      <alignment vertical="center"/>
      <protection locked="0"/>
    </xf>
    <xf numFmtId="190" fontId="233" fillId="0" borderId="0" xfId="0" applyFont="1" applyProtection="1">
      <alignment vertical="center"/>
    </xf>
    <xf numFmtId="190" fontId="212" fillId="0" borderId="0" xfId="0" applyFont="1" applyProtection="1">
      <alignment vertical="center"/>
    </xf>
    <xf numFmtId="190" fontId="220" fillId="0" borderId="1" xfId="0" applyFont="1" applyBorder="1" applyAlignment="1" applyProtection="1">
      <alignment horizontal="center" vertical="center" wrapText="1"/>
    </xf>
    <xf numFmtId="190" fontId="99" fillId="0" borderId="0" xfId="0" applyFont="1" applyAlignment="1" applyProtection="1">
      <alignment horizontal="left" vertical="center"/>
    </xf>
    <xf numFmtId="190" fontId="220" fillId="0" borderId="0" xfId="0" applyFont="1" applyProtection="1">
      <alignment vertical="center"/>
    </xf>
    <xf numFmtId="190" fontId="220" fillId="2" borderId="1" xfId="0" applyFont="1" applyFill="1" applyBorder="1" applyAlignment="1" applyProtection="1">
      <alignment horizontal="center" vertical="center" wrapText="1"/>
    </xf>
    <xf numFmtId="190" fontId="220" fillId="6" borderId="1" xfId="0" applyFont="1" applyFill="1" applyBorder="1" applyAlignment="1" applyProtection="1">
      <alignment horizontal="center" vertical="center" wrapText="1"/>
    </xf>
    <xf numFmtId="190" fontId="236" fillId="4" borderId="1" xfId="0" applyFont="1" applyFill="1" applyBorder="1" applyAlignment="1" applyProtection="1">
      <alignment horizontal="center" vertical="center"/>
    </xf>
    <xf numFmtId="190" fontId="237" fillId="0" borderId="1" xfId="0" applyFont="1" applyFill="1" applyBorder="1" applyAlignment="1" applyProtection="1">
      <alignment horizontal="center" vertical="center"/>
    </xf>
    <xf numFmtId="190" fontId="235" fillId="0" borderId="0" xfId="0" applyFont="1" applyProtection="1">
      <alignment vertical="center"/>
    </xf>
    <xf numFmtId="190" fontId="124" fillId="0" borderId="1" xfId="0" applyFont="1" applyBorder="1" applyAlignment="1" applyProtection="1">
      <alignment horizontal="center" vertical="center"/>
    </xf>
    <xf numFmtId="190" fontId="99" fillId="0" borderId="1" xfId="0" applyFont="1" applyBorder="1" applyAlignment="1" applyProtection="1">
      <alignment horizontal="left" vertical="center"/>
    </xf>
    <xf numFmtId="190" fontId="99" fillId="8" borderId="5" xfId="0" applyFont="1" applyFill="1" applyBorder="1" applyAlignment="1" applyProtection="1">
      <alignment vertical="center"/>
    </xf>
    <xf numFmtId="190" fontId="99" fillId="7" borderId="54" xfId="0" applyFont="1" applyFill="1" applyBorder="1" applyAlignment="1" applyProtection="1">
      <alignment vertical="center"/>
    </xf>
    <xf numFmtId="190" fontId="99" fillId="7" borderId="3" xfId="0" applyFont="1" applyFill="1" applyBorder="1" applyAlignment="1" applyProtection="1">
      <alignment vertical="center"/>
    </xf>
    <xf numFmtId="190" fontId="238" fillId="0" borderId="0" xfId="0" applyFont="1" applyProtection="1">
      <alignment vertical="center"/>
    </xf>
    <xf numFmtId="190" fontId="235" fillId="0" borderId="0" xfId="0" applyFont="1" applyAlignment="1" applyProtection="1">
      <alignment horizontal="left" vertical="center"/>
    </xf>
    <xf numFmtId="176" fontId="235" fillId="0" borderId="0" xfId="0" applyNumberFormat="1" applyFont="1" applyAlignment="1" applyProtection="1">
      <alignment horizontal="left" vertical="center"/>
    </xf>
    <xf numFmtId="190" fontId="235" fillId="6" borderId="35" xfId="0" applyFont="1" applyFill="1" applyBorder="1" applyAlignment="1" applyProtection="1">
      <alignment horizontal="center" vertical="center" wrapText="1"/>
    </xf>
    <xf numFmtId="190" fontId="99" fillId="6" borderId="15" xfId="0" applyFont="1" applyFill="1" applyBorder="1" applyAlignment="1" applyProtection="1">
      <alignment horizontal="center" vertical="center" wrapText="1"/>
    </xf>
    <xf numFmtId="190" fontId="99" fillId="6" borderId="0" xfId="0" applyFont="1" applyFill="1" applyBorder="1" applyAlignment="1" applyProtection="1">
      <alignment horizontal="center" vertical="center" wrapText="1"/>
    </xf>
    <xf numFmtId="190" fontId="99" fillId="6" borderId="0" xfId="0" applyFont="1" applyFill="1" applyAlignment="1" applyProtection="1">
      <alignment horizontal="center" vertical="center" wrapText="1"/>
    </xf>
    <xf numFmtId="190" fontId="235" fillId="6" borderId="0" xfId="0" applyFont="1" applyFill="1" applyAlignment="1" applyProtection="1">
      <alignment horizontal="center" vertical="center" wrapText="1"/>
    </xf>
    <xf numFmtId="190" fontId="235" fillId="6" borderId="0" xfId="0" applyNumberFormat="1" applyFont="1" applyFill="1" applyBorder="1" applyAlignment="1" applyProtection="1">
      <alignment horizontal="center" vertical="center" wrapText="1"/>
    </xf>
    <xf numFmtId="190" fontId="99" fillId="0" borderId="0" xfId="0" applyFont="1" applyAlignment="1" applyProtection="1">
      <alignment horizontal="center" vertical="center" wrapText="1"/>
    </xf>
    <xf numFmtId="190" fontId="99" fillId="0" borderId="1" xfId="0" applyFont="1" applyBorder="1" applyAlignment="1" applyProtection="1">
      <alignment horizontal="left" vertical="center"/>
      <protection locked="0"/>
    </xf>
    <xf numFmtId="190" fontId="99" fillId="6" borderId="0" xfId="0" applyFont="1" applyFill="1" applyBorder="1" applyAlignment="1" applyProtection="1">
      <alignment horizontal="center" vertical="center"/>
      <protection locked="0"/>
    </xf>
    <xf numFmtId="190" fontId="99" fillId="6" borderId="0" xfId="0" applyFont="1" applyFill="1" applyAlignment="1" applyProtection="1">
      <alignment horizontal="center" vertical="center"/>
    </xf>
    <xf numFmtId="190" fontId="235" fillId="0" borderId="1" xfId="0" applyFont="1" applyBorder="1" applyAlignment="1" applyProtection="1">
      <alignment horizontal="left" vertical="center"/>
      <protection locked="0"/>
    </xf>
    <xf numFmtId="190" fontId="99" fillId="6" borderId="0" xfId="0" applyFont="1" applyFill="1" applyAlignment="1" applyProtection="1">
      <alignment horizontal="center" vertical="center"/>
      <protection locked="0"/>
    </xf>
    <xf numFmtId="190" fontId="99" fillId="6" borderId="0" xfId="0" applyFont="1" applyFill="1" applyProtection="1">
      <alignment vertical="center"/>
    </xf>
    <xf numFmtId="190" fontId="235" fillId="6" borderId="0" xfId="0" applyFont="1" applyFill="1" applyBorder="1" applyAlignment="1" applyProtection="1">
      <alignment horizontal="center" vertical="center"/>
      <protection locked="0"/>
    </xf>
    <xf numFmtId="190" fontId="99" fillId="6" borderId="0" xfId="0" applyFont="1" applyFill="1" applyBorder="1" applyAlignment="1" applyProtection="1">
      <alignment horizontal="left" vertical="center"/>
    </xf>
    <xf numFmtId="190" fontId="99" fillId="6" borderId="0" xfId="0" applyFont="1" applyFill="1" applyAlignment="1" applyProtection="1">
      <alignment horizontal="left" vertical="center"/>
    </xf>
    <xf numFmtId="190" fontId="99" fillId="6" borderId="0" xfId="0" applyFont="1" applyFill="1" applyBorder="1" applyAlignment="1" applyProtection="1">
      <alignment horizontal="center" vertical="center"/>
    </xf>
    <xf numFmtId="190" fontId="99" fillId="0" borderId="0" xfId="0" applyFont="1" applyBorder="1" applyAlignment="1" applyProtection="1">
      <alignment horizontal="center" vertical="center"/>
    </xf>
    <xf numFmtId="190" fontId="47" fillId="6" borderId="0" xfId="0" applyFont="1" applyFill="1" applyAlignment="1" applyProtection="1">
      <alignment horizontal="center" vertical="center" wrapText="1"/>
    </xf>
    <xf numFmtId="190" fontId="50" fillId="6" borderId="58" xfId="0" applyFont="1" applyFill="1" applyBorder="1" applyAlignment="1" applyProtection="1">
      <alignment horizontal="center" vertical="center" wrapText="1"/>
    </xf>
    <xf numFmtId="190" fontId="47" fillId="0" borderId="5" xfId="0" applyFont="1" applyBorder="1" applyAlignment="1" applyProtection="1">
      <alignment horizontal="center" vertical="center" wrapText="1"/>
      <protection locked="0"/>
    </xf>
    <xf numFmtId="190" fontId="47" fillId="0" borderId="0" xfId="0" applyFont="1" applyAlignment="1" applyProtection="1">
      <alignment horizontal="center" vertical="center" wrapText="1"/>
    </xf>
    <xf numFmtId="190" fontId="109" fillId="6" borderId="0" xfId="0" applyFont="1" applyFill="1" applyAlignment="1" applyProtection="1">
      <alignment horizontal="left" vertical="center"/>
    </xf>
    <xf numFmtId="190" fontId="50" fillId="6" borderId="0" xfId="0" applyFont="1" applyFill="1" applyAlignment="1" applyProtection="1">
      <alignment horizontal="center" vertical="center" wrapText="1"/>
    </xf>
    <xf numFmtId="190" fontId="50" fillId="6" borderId="0" xfId="0" applyFont="1" applyFill="1" applyBorder="1" applyAlignment="1" applyProtection="1">
      <alignment horizontal="center" vertical="center"/>
    </xf>
    <xf numFmtId="190" fontId="50" fillId="6" borderId="0" xfId="0" applyFont="1" applyFill="1" applyBorder="1" applyAlignment="1" applyProtection="1">
      <alignment horizontal="center" vertical="center" wrapText="1"/>
    </xf>
    <xf numFmtId="190" fontId="50" fillId="0" borderId="0" xfId="0" applyFont="1" applyAlignment="1" applyProtection="1">
      <alignment horizontal="center" vertical="center" wrapText="1"/>
    </xf>
    <xf numFmtId="190" fontId="50" fillId="2" borderId="1" xfId="0" applyFont="1" applyFill="1" applyBorder="1" applyAlignment="1" applyProtection="1">
      <alignment horizontal="center" vertical="center" wrapText="1"/>
      <protection locked="0"/>
    </xf>
    <xf numFmtId="19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19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190" fontId="50" fillId="6" borderId="46" xfId="0" applyFont="1" applyFill="1" applyBorder="1" applyAlignment="1" applyProtection="1">
      <alignment horizontal="left" vertical="center"/>
    </xf>
    <xf numFmtId="190" fontId="50" fillId="6" borderId="36" xfId="0" applyFont="1" applyFill="1" applyBorder="1" applyAlignment="1" applyProtection="1">
      <alignment horizontal="center" vertical="center" wrapText="1"/>
    </xf>
    <xf numFmtId="190" fontId="50" fillId="6" borderId="36" xfId="0" applyFont="1" applyFill="1" applyBorder="1" applyAlignment="1" applyProtection="1">
      <alignment horizontal="center" vertical="center"/>
    </xf>
    <xf numFmtId="190" fontId="50" fillId="6" borderId="58" xfId="0" applyFont="1" applyFill="1" applyBorder="1" applyAlignment="1" applyProtection="1">
      <alignment horizontal="center" vertical="center"/>
    </xf>
    <xf numFmtId="19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19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190" fontId="51" fillId="6" borderId="36" xfId="0" applyFont="1" applyFill="1" applyBorder="1" applyAlignment="1" applyProtection="1">
      <alignment horizontal="center" vertical="center"/>
    </xf>
    <xf numFmtId="19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190" fontId="50" fillId="2" borderId="4" xfId="0" applyFont="1" applyFill="1" applyBorder="1" applyAlignment="1" applyProtection="1">
      <alignment horizontal="left" vertical="center"/>
      <protection locked="0"/>
    </xf>
    <xf numFmtId="190" fontId="51" fillId="6" borderId="54" xfId="0" applyFont="1" applyFill="1" applyBorder="1" applyAlignment="1" applyProtection="1">
      <alignment horizontal="left" vertical="center"/>
    </xf>
    <xf numFmtId="19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190" fontId="51" fillId="6" borderId="60" xfId="0" applyFont="1" applyFill="1" applyBorder="1" applyAlignment="1" applyProtection="1">
      <alignment horizontal="center" vertical="center"/>
    </xf>
    <xf numFmtId="190" fontId="50" fillId="2" borderId="5" xfId="0" applyFont="1" applyFill="1" applyBorder="1" applyAlignment="1" applyProtection="1">
      <alignment horizontal="left" vertical="center"/>
      <protection locked="0"/>
    </xf>
    <xf numFmtId="19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190" fontId="50" fillId="6" borderId="7" xfId="0" applyFont="1" applyFill="1" applyBorder="1" applyAlignment="1" applyProtection="1">
      <alignment horizontal="center" vertical="center"/>
    </xf>
    <xf numFmtId="190" fontId="50" fillId="2" borderId="54" xfId="0" applyFont="1" applyFill="1" applyBorder="1" applyAlignment="1" applyProtection="1">
      <alignment horizontal="left" vertical="center"/>
      <protection locked="0"/>
    </xf>
    <xf numFmtId="190" fontId="51" fillId="6" borderId="3" xfId="0" applyFont="1" applyFill="1" applyBorder="1" applyAlignment="1" applyProtection="1">
      <alignment horizontal="left" vertical="center"/>
    </xf>
    <xf numFmtId="190" fontId="120" fillId="6" borderId="5" xfId="0" applyFont="1" applyFill="1" applyBorder="1" applyAlignment="1" applyProtection="1">
      <alignment horizontal="left" vertical="center"/>
    </xf>
    <xf numFmtId="190" fontId="243" fillId="6" borderId="3" xfId="0" applyFont="1" applyFill="1" applyBorder="1" applyAlignment="1" applyProtection="1">
      <alignment horizontal="right" vertical="center"/>
    </xf>
    <xf numFmtId="19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19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190" fontId="50" fillId="0" borderId="4" xfId="0" applyFont="1" applyBorder="1" applyAlignment="1" applyProtection="1">
      <alignment horizontal="center" vertical="center" wrapText="1"/>
      <protection locked="0"/>
    </xf>
    <xf numFmtId="190" fontId="47" fillId="5" borderId="2" xfId="0" applyFont="1" applyFill="1" applyBorder="1" applyAlignment="1" applyProtection="1">
      <alignment horizontal="center" vertical="center" wrapText="1"/>
      <protection locked="0"/>
    </xf>
    <xf numFmtId="190" fontId="47" fillId="0" borderId="4" xfId="0" applyFont="1" applyBorder="1" applyAlignment="1" applyProtection="1">
      <alignment horizontal="center" vertical="center" wrapText="1"/>
      <protection locked="0"/>
    </xf>
    <xf numFmtId="19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190" fontId="47" fillId="0" borderId="0" xfId="0" applyFont="1" applyFill="1" applyAlignment="1" applyProtection="1">
      <alignment horizontal="center" vertical="center" wrapText="1"/>
    </xf>
    <xf numFmtId="190" fontId="52" fillId="0" borderId="0" xfId="0" applyFont="1" applyAlignment="1" applyProtection="1">
      <alignment horizontal="center" vertical="center" wrapText="1"/>
    </xf>
    <xf numFmtId="190" fontId="52" fillId="0" borderId="0" xfId="0" applyFont="1" applyAlignment="1" applyProtection="1">
      <alignment horizontal="center" vertical="center"/>
    </xf>
    <xf numFmtId="176" fontId="53" fillId="6" borderId="1" xfId="1" applyNumberFormat="1"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176" fontId="49" fillId="6" borderId="10" xfId="1" applyNumberFormat="1"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176" fontId="47" fillId="0" borderId="0" xfId="0" applyNumberFormat="1" applyFont="1" applyProtection="1">
      <alignment vertical="center"/>
      <protection locked="0"/>
    </xf>
    <xf numFmtId="190" fontId="47" fillId="6" borderId="64" xfId="0" applyFont="1" applyFill="1" applyBorder="1" applyAlignment="1" applyProtection="1">
      <alignment horizontal="center" vertical="center"/>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190" fontId="126" fillId="0" borderId="5" xfId="5" applyFont="1" applyBorder="1" applyAlignment="1">
      <alignment horizontal="right" vertical="center"/>
    </xf>
    <xf numFmtId="190" fontId="126" fillId="0" borderId="5" xfId="5" applyNumberFormat="1" applyFont="1" applyFill="1" applyBorder="1" applyAlignment="1">
      <alignment horizontal="right" vertical="center"/>
    </xf>
    <xf numFmtId="190" fontId="126" fillId="0" borderId="5" xfId="5" applyFont="1" applyFill="1" applyBorder="1" applyAlignment="1">
      <alignment horizontal="left" vertical="center"/>
    </xf>
    <xf numFmtId="190" fontId="126" fillId="0" borderId="154" xfId="5" applyFont="1" applyBorder="1" applyAlignment="1">
      <alignment vertical="center"/>
    </xf>
    <xf numFmtId="190" fontId="126" fillId="0" borderId="154" xfId="5" applyFont="1" applyFill="1" applyBorder="1">
      <alignment vertical="center"/>
    </xf>
    <xf numFmtId="190" fontId="126" fillId="0" borderId="154" xfId="5" applyFont="1" applyFill="1" applyBorder="1" applyAlignment="1">
      <alignment horizontal="left" vertical="center"/>
    </xf>
    <xf numFmtId="183" fontId="126" fillId="0" borderId="5" xfId="5" applyNumberFormat="1" applyFont="1" applyFill="1" applyBorder="1" applyAlignment="1">
      <alignment horizontal="right" vertical="center"/>
    </xf>
    <xf numFmtId="14" fontId="128" fillId="0" borderId="5" xfId="5" applyNumberFormat="1" applyFont="1" applyBorder="1">
      <alignment vertical="center"/>
    </xf>
    <xf numFmtId="190" fontId="126" fillId="0" borderId="154" xfId="5" applyFont="1" applyFill="1" applyBorder="1" applyAlignment="1">
      <alignment horizontal="right" vertical="center"/>
    </xf>
    <xf numFmtId="190" fontId="128" fillId="0" borderId="154" xfId="5" applyFont="1" applyBorder="1">
      <alignment vertical="center"/>
    </xf>
    <xf numFmtId="190" fontId="223" fillId="7" borderId="102" xfId="0" applyFont="1" applyFill="1" applyBorder="1" applyAlignment="1" applyProtection="1">
      <alignment horizontal="center" vertical="center" wrapText="1"/>
      <protection locked="0"/>
    </xf>
    <xf numFmtId="190" fontId="223" fillId="7" borderId="102" xfId="0" applyNumberFormat="1" applyFont="1" applyFill="1" applyBorder="1" applyAlignment="1" applyProtection="1">
      <alignment horizontal="center" vertical="center" wrapText="1"/>
      <protection locked="0"/>
    </xf>
    <xf numFmtId="190" fontId="223" fillId="7" borderId="103" xfId="0" applyFont="1" applyFill="1" applyBorder="1" applyAlignment="1" applyProtection="1">
      <alignment horizontal="center" vertical="center" wrapText="1"/>
      <protection locked="0"/>
    </xf>
    <xf numFmtId="190" fontId="245" fillId="7" borderId="0" xfId="0" applyNumberFormat="1" applyFont="1" applyFill="1" applyAlignment="1" applyProtection="1">
      <alignment horizontal="center" vertical="center"/>
      <protection locked="0"/>
    </xf>
    <xf numFmtId="190" fontId="245" fillId="7" borderId="0" xfId="0" applyFont="1" applyFill="1" applyAlignment="1" applyProtection="1">
      <alignment horizontal="center" vertical="center"/>
      <protection locked="0"/>
    </xf>
    <xf numFmtId="190" fontId="245" fillId="0" borderId="0" xfId="0" applyFont="1" applyAlignment="1" applyProtection="1">
      <alignment horizontal="center" vertical="center"/>
      <protection locked="0"/>
    </xf>
    <xf numFmtId="190" fontId="49" fillId="6" borderId="63" xfId="0" applyFont="1" applyFill="1" applyBorder="1" applyAlignment="1" applyProtection="1">
      <alignment horizontal="center" vertical="center" wrapText="1"/>
    </xf>
    <xf numFmtId="190" fontId="49" fillId="6" borderId="34" xfId="0" applyFont="1" applyFill="1" applyBorder="1" applyAlignment="1" applyProtection="1">
      <alignment horizontal="right" vertical="center" wrapText="1"/>
    </xf>
    <xf numFmtId="190" fontId="49" fillId="6" borderId="65" xfId="0" applyFont="1" applyFill="1" applyBorder="1" applyAlignment="1" applyProtection="1">
      <alignment horizontal="center" vertical="center"/>
    </xf>
    <xf numFmtId="190" fontId="49" fillId="6" borderId="0" xfId="0" applyFont="1" applyFill="1" applyBorder="1" applyAlignment="1" applyProtection="1">
      <alignment horizontal="right" vertical="center" wrapText="1"/>
    </xf>
    <xf numFmtId="190" fontId="49" fillId="6" borderId="63" xfId="0" applyFont="1" applyFill="1" applyBorder="1" applyAlignment="1" applyProtection="1">
      <alignment horizontal="right" vertical="center" wrapText="1"/>
    </xf>
    <xf numFmtId="190" fontId="47" fillId="7" borderId="0" xfId="0" applyFont="1" applyFill="1" applyAlignment="1" applyProtection="1">
      <alignment horizontal="center" vertical="center"/>
      <protection locked="0"/>
    </xf>
    <xf numFmtId="190" fontId="47" fillId="0" borderId="0" xfId="0" applyFont="1" applyAlignment="1" applyProtection="1">
      <alignment horizontal="center" vertical="center"/>
      <protection locked="0"/>
    </xf>
    <xf numFmtId="49" fontId="179"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190" fontId="47" fillId="6" borderId="7" xfId="0" applyFont="1" applyFill="1" applyBorder="1" applyAlignment="1" applyProtection="1">
      <alignment horizontal="center" vertical="center" wrapText="1"/>
    </xf>
    <xf numFmtId="190" fontId="179" fillId="0" borderId="8" xfId="0" applyNumberFormat="1" applyFont="1" applyFill="1" applyBorder="1" applyAlignment="1" applyProtection="1">
      <alignment horizontal="center" vertical="center" wrapText="1"/>
      <protection locked="0"/>
    </xf>
    <xf numFmtId="49" fontId="179"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190" fontId="179" fillId="0" borderId="24" xfId="0" applyFont="1" applyBorder="1" applyAlignment="1" applyProtection="1">
      <alignment horizontal="center" vertical="center" wrapText="1"/>
      <protection locked="0"/>
    </xf>
    <xf numFmtId="19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190" fontId="47" fillId="6" borderId="66" xfId="0" applyFont="1" applyFill="1" applyBorder="1" applyAlignment="1" applyProtection="1">
      <alignment horizontal="center" vertical="center" wrapText="1"/>
    </xf>
    <xf numFmtId="190" fontId="179" fillId="0" borderId="49" xfId="0" applyNumberFormat="1" applyFont="1" applyFill="1" applyBorder="1" applyAlignment="1" applyProtection="1">
      <alignment horizontal="center" vertical="center" wrapText="1"/>
      <protection locked="0"/>
    </xf>
    <xf numFmtId="190" fontId="49" fillId="6" borderId="12" xfId="0" applyFont="1" applyFill="1" applyBorder="1" applyAlignment="1" applyProtection="1">
      <alignment vertical="center" wrapText="1"/>
    </xf>
    <xf numFmtId="190" fontId="47" fillId="6" borderId="32" xfId="0" applyFont="1" applyFill="1" applyBorder="1" applyAlignment="1" applyProtection="1">
      <alignment horizontal="center" vertical="center" wrapText="1"/>
    </xf>
    <xf numFmtId="190" fontId="179" fillId="0" borderId="49" xfId="0" applyFont="1" applyBorder="1" applyAlignment="1" applyProtection="1">
      <alignment horizontal="center" vertical="center"/>
      <protection locked="0"/>
    </xf>
    <xf numFmtId="190" fontId="47" fillId="7" borderId="0" xfId="0" applyFont="1" applyFill="1" applyBorder="1" applyAlignment="1" applyProtection="1">
      <alignment horizontal="center" vertical="center" wrapText="1"/>
      <protection locked="0"/>
    </xf>
    <xf numFmtId="19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190" fontId="49" fillId="6" borderId="0" xfId="0" applyFont="1" applyFill="1" applyBorder="1" applyAlignment="1" applyProtection="1">
      <alignment horizontal="center" vertical="center" wrapText="1"/>
      <protection locked="0"/>
    </xf>
    <xf numFmtId="190" fontId="46" fillId="6" borderId="0" xfId="0" applyFont="1" applyFill="1" applyBorder="1" applyAlignment="1" applyProtection="1">
      <alignment horizontal="center" vertical="center"/>
    </xf>
    <xf numFmtId="190" fontId="223" fillId="7" borderId="0" xfId="0" applyFont="1" applyFill="1" applyBorder="1" applyAlignment="1" applyProtection="1">
      <alignment horizontal="center" vertical="center" wrapText="1"/>
      <protection locked="0"/>
    </xf>
    <xf numFmtId="190" fontId="223" fillId="7" borderId="0" xfId="0" applyNumberFormat="1" applyFont="1" applyFill="1" applyBorder="1" applyAlignment="1" applyProtection="1">
      <alignment horizontal="center" vertical="center" wrapText="1"/>
      <protection locked="0"/>
    </xf>
    <xf numFmtId="190" fontId="223" fillId="7" borderId="35" xfId="0" applyNumberFormat="1" applyFont="1" applyFill="1" applyBorder="1" applyAlignment="1" applyProtection="1">
      <alignment horizontal="center" vertical="center" wrapText="1"/>
      <protection locked="0"/>
    </xf>
    <xf numFmtId="190" fontId="245" fillId="7" borderId="0" xfId="0" applyFont="1" applyFill="1" applyAlignment="1" applyProtection="1">
      <alignment horizontal="center" vertical="center" wrapText="1"/>
      <protection locked="0"/>
    </xf>
    <xf numFmtId="190" fontId="245" fillId="7" borderId="0" xfId="0" applyNumberFormat="1" applyFont="1" applyFill="1" applyAlignment="1" applyProtection="1">
      <alignment horizontal="center" vertical="center" wrapText="1"/>
      <protection locked="0"/>
    </xf>
    <xf numFmtId="190" fontId="46" fillId="6" borderId="105" xfId="0" applyFont="1" applyFill="1" applyBorder="1" applyAlignment="1" applyProtection="1">
      <alignment horizontal="center" vertical="center"/>
    </xf>
    <xf numFmtId="190" fontId="49" fillId="6" borderId="0" xfId="0" applyFont="1" applyFill="1" applyBorder="1" applyAlignment="1" applyProtection="1">
      <alignment horizontal="right" vertical="center" wrapText="1"/>
      <protection locked="0"/>
    </xf>
    <xf numFmtId="190" fontId="47" fillId="7" borderId="0" xfId="0" applyFont="1" applyFill="1" applyAlignment="1" applyProtection="1">
      <alignment horizontal="center" vertical="center" wrapText="1"/>
      <protection locked="0"/>
    </xf>
    <xf numFmtId="190" fontId="47" fillId="7" borderId="0" xfId="0" applyNumberFormat="1" applyFont="1" applyFill="1" applyAlignment="1" applyProtection="1">
      <alignment horizontal="center" vertical="center" wrapText="1"/>
      <protection locked="0"/>
    </xf>
    <xf numFmtId="190" fontId="47" fillId="7" borderId="0" xfId="0" applyNumberFormat="1" applyFont="1" applyFill="1" applyAlignment="1" applyProtection="1">
      <alignment horizontal="center" vertical="center"/>
      <protection locked="0"/>
    </xf>
    <xf numFmtId="190" fontId="49" fillId="6" borderId="16" xfId="0" applyFont="1" applyFill="1" applyBorder="1" applyAlignment="1" applyProtection="1">
      <alignment horizontal="center" vertical="center" wrapText="1"/>
    </xf>
    <xf numFmtId="190" fontId="49" fillId="6" borderId="16" xfId="0" applyFont="1" applyFill="1" applyBorder="1" applyAlignment="1" applyProtection="1">
      <alignment horizontal="right" vertical="center" wrapText="1"/>
    </xf>
    <xf numFmtId="190" fontId="49" fillId="6" borderId="31" xfId="0" applyFont="1" applyFill="1" applyBorder="1" applyAlignment="1" applyProtection="1">
      <alignment horizontal="center" vertical="center" wrapText="1"/>
    </xf>
    <xf numFmtId="19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19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190" fontId="47" fillId="6" borderId="23" xfId="0" applyFont="1" applyFill="1" applyBorder="1" applyAlignment="1" applyProtection="1">
      <alignment horizontal="center" vertical="center" wrapText="1"/>
    </xf>
    <xf numFmtId="19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190" fontId="47" fillId="6" borderId="25" xfId="0" applyFont="1" applyFill="1" applyBorder="1" applyAlignment="1" applyProtection="1">
      <alignment horizontal="center" vertical="center" wrapText="1"/>
    </xf>
    <xf numFmtId="190" fontId="47" fillId="0" borderId="49" xfId="0" applyNumberFormat="1" applyFont="1" applyFill="1" applyBorder="1" applyAlignment="1" applyProtection="1">
      <alignment horizontal="center" vertical="center" wrapText="1"/>
      <protection locked="0"/>
    </xf>
    <xf numFmtId="190" fontId="49" fillId="6" borderId="81" xfId="0" applyFont="1" applyFill="1" applyBorder="1" applyAlignment="1" applyProtection="1">
      <alignment vertical="center" wrapText="1"/>
    </xf>
    <xf numFmtId="190" fontId="47" fillId="6" borderId="0" xfId="0" applyFont="1" applyFill="1" applyAlignment="1" applyProtection="1">
      <alignment horizontal="center" vertical="center" wrapText="1"/>
      <protection locked="0"/>
    </xf>
    <xf numFmtId="190" fontId="47" fillId="6" borderId="0" xfId="0" applyNumberFormat="1" applyFont="1" applyFill="1" applyAlignment="1" applyProtection="1">
      <alignment horizontal="center" vertical="center" wrapText="1"/>
      <protection locked="0"/>
    </xf>
    <xf numFmtId="190" fontId="47" fillId="0" borderId="0" xfId="0" applyFont="1" applyFill="1" applyAlignment="1" applyProtection="1">
      <alignment horizontal="center" vertical="center" wrapText="1"/>
      <protection locked="0"/>
    </xf>
    <xf numFmtId="190" fontId="47" fillId="0" borderId="0" xfId="0" applyFont="1" applyAlignment="1" applyProtection="1">
      <alignment horizontal="center" vertical="center" wrapText="1"/>
      <protection locked="0"/>
    </xf>
    <xf numFmtId="190" fontId="47" fillId="0" borderId="0" xfId="0" applyNumberFormat="1" applyFont="1" applyFill="1" applyAlignment="1" applyProtection="1">
      <alignment horizontal="center" vertical="center" wrapText="1"/>
      <protection locked="0"/>
    </xf>
    <xf numFmtId="10" fontId="56" fillId="6" borderId="0" xfId="0" applyNumberFormat="1" applyFont="1" applyFill="1" applyBorder="1" applyAlignment="1" applyProtection="1">
      <alignment horizontal="center" vertical="center" wrapText="1"/>
    </xf>
    <xf numFmtId="190" fontId="57" fillId="5" borderId="5" xfId="1" applyFont="1" applyFill="1" applyBorder="1" applyAlignment="1" applyProtection="1">
      <alignment vertical="center"/>
      <protection locked="0"/>
    </xf>
    <xf numFmtId="190" fontId="60" fillId="6" borderId="3" xfId="1" applyFont="1" applyFill="1" applyBorder="1" applyAlignment="1" applyProtection="1">
      <alignment vertical="center"/>
    </xf>
    <xf numFmtId="190" fontId="60" fillId="5" borderId="1" xfId="1" applyFont="1" applyFill="1" applyBorder="1" applyAlignment="1" applyProtection="1">
      <alignment vertical="center"/>
      <protection locked="0"/>
    </xf>
    <xf numFmtId="190" fontId="57" fillId="5" borderId="24" xfId="1" applyFont="1" applyFill="1" applyBorder="1" applyAlignment="1" applyProtection="1">
      <alignment horizontal="left" vertical="center"/>
      <protection locked="0"/>
    </xf>
    <xf numFmtId="190" fontId="148" fillId="5" borderId="24" xfId="1" applyFont="1" applyFill="1" applyBorder="1" applyAlignment="1" applyProtection="1">
      <alignment horizontal="right" vertical="center"/>
      <protection locked="0"/>
    </xf>
    <xf numFmtId="190" fontId="148" fillId="3" borderId="0" xfId="0" applyFont="1" applyFill="1" applyAlignment="1" applyProtection="1">
      <alignment vertical="center"/>
      <protection locked="0"/>
    </xf>
    <xf numFmtId="190" fontId="140" fillId="6" borderId="19" xfId="1" applyFont="1" applyFill="1" applyBorder="1" applyAlignment="1" applyProtection="1">
      <alignment vertical="center"/>
    </xf>
    <xf numFmtId="185"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190" fontId="148" fillId="5" borderId="5" xfId="1" applyFont="1" applyFill="1" applyBorder="1" applyAlignment="1" applyProtection="1">
      <alignment horizontal="right" vertical="center"/>
      <protection locked="0"/>
    </xf>
    <xf numFmtId="190" fontId="55" fillId="6" borderId="54" xfId="0" applyFont="1" applyFill="1" applyBorder="1" applyAlignment="1" applyProtection="1">
      <alignment vertical="center"/>
    </xf>
    <xf numFmtId="190" fontId="50" fillId="6" borderId="5" xfId="0" applyFont="1" applyFill="1" applyBorder="1" applyAlignment="1" applyProtection="1"/>
    <xf numFmtId="19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190" fontId="104" fillId="6" borderId="1" xfId="0" applyFont="1" applyFill="1" applyBorder="1" applyAlignment="1">
      <alignment horizontal="center" vertical="center"/>
    </xf>
    <xf numFmtId="190" fontId="65" fillId="6" borderId="85" xfId="0" applyFont="1" applyFill="1" applyBorder="1" applyAlignment="1" applyProtection="1">
      <alignment horizontal="right" vertical="center"/>
    </xf>
    <xf numFmtId="190" fontId="65" fillId="5" borderId="119" xfId="0" applyFont="1" applyFill="1" applyBorder="1" applyAlignment="1" applyProtection="1">
      <alignment vertical="center"/>
      <protection locked="0"/>
    </xf>
    <xf numFmtId="190" fontId="65" fillId="5" borderId="78" xfId="0" applyFont="1" applyFill="1" applyBorder="1" applyAlignment="1" applyProtection="1">
      <alignment horizontal="center" vertical="center"/>
      <protection locked="0"/>
    </xf>
    <xf numFmtId="190" fontId="65" fillId="6" borderId="89" xfId="0" applyFont="1" applyFill="1" applyBorder="1" applyAlignment="1" applyProtection="1">
      <alignment horizontal="center" vertical="center"/>
    </xf>
    <xf numFmtId="190" fontId="57" fillId="5" borderId="4" xfId="1" applyFont="1" applyFill="1" applyBorder="1" applyAlignment="1" applyProtection="1">
      <alignment vertical="center"/>
      <protection locked="0"/>
    </xf>
    <xf numFmtId="190" fontId="60" fillId="6" borderId="7" xfId="1" applyFont="1" applyFill="1" applyBorder="1" applyAlignment="1" applyProtection="1">
      <alignment vertical="center"/>
      <protection locked="0"/>
    </xf>
    <xf numFmtId="190" fontId="60" fillId="5" borderId="2" xfId="1" applyFont="1" applyFill="1" applyBorder="1" applyAlignment="1" applyProtection="1">
      <alignment vertical="center"/>
      <protection locked="0"/>
    </xf>
    <xf numFmtId="188"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190" fontId="60" fillId="6" borderId="0" xfId="0" applyFont="1" applyFill="1" applyBorder="1" applyAlignment="1" applyProtection="1">
      <alignment horizontal="center" vertical="center"/>
      <protection locked="0"/>
    </xf>
    <xf numFmtId="190" fontId="60" fillId="6" borderId="18" xfId="0" applyFont="1" applyFill="1" applyBorder="1" applyAlignment="1" applyProtection="1">
      <alignment horizontal="center" vertical="center"/>
    </xf>
    <xf numFmtId="190" fontId="60" fillId="6" borderId="0" xfId="0" applyFont="1" applyFill="1" applyBorder="1" applyAlignment="1" applyProtection="1">
      <alignment horizontal="center" vertical="center"/>
    </xf>
    <xf numFmtId="190" fontId="61" fillId="6" borderId="0" xfId="0" applyFont="1" applyFill="1" applyBorder="1" applyAlignment="1" applyProtection="1">
      <alignment horizontal="center" vertical="center"/>
    </xf>
    <xf numFmtId="190" fontId="250" fillId="6" borderId="0" xfId="0" applyFont="1" applyFill="1" applyBorder="1" applyAlignment="1" applyProtection="1">
      <alignment vertical="center"/>
      <protection locked="0"/>
    </xf>
    <xf numFmtId="188" fontId="47" fillId="6" borderId="21" xfId="0" applyNumberFormat="1" applyFont="1" applyFill="1" applyBorder="1" applyAlignment="1" applyProtection="1">
      <alignment horizontal="center" vertical="center" wrapText="1"/>
    </xf>
    <xf numFmtId="188" fontId="47" fillId="6" borderId="48" xfId="0" applyNumberFormat="1" applyFont="1" applyFill="1" applyBorder="1" applyAlignment="1" applyProtection="1">
      <alignment horizontal="center" vertical="center" wrapText="1"/>
    </xf>
    <xf numFmtId="19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190" fontId="47" fillId="0" borderId="46" xfId="0" applyFont="1" applyFill="1" applyBorder="1" applyAlignment="1" applyProtection="1">
      <alignment horizontal="center" vertical="center" wrapText="1"/>
      <protection locked="0"/>
    </xf>
    <xf numFmtId="190" fontId="61" fillId="6" borderId="48" xfId="0" applyNumberFormat="1" applyFont="1" applyFill="1" applyBorder="1" applyAlignment="1" applyProtection="1">
      <alignment horizontal="center" vertical="center" wrapText="1"/>
    </xf>
    <xf numFmtId="19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190" fontId="61" fillId="6" borderId="50" xfId="0" applyNumberFormat="1" applyFont="1" applyFill="1" applyBorder="1" applyAlignment="1" applyProtection="1">
      <alignment horizontal="center" vertical="center" wrapText="1"/>
    </xf>
    <xf numFmtId="190" fontId="54" fillId="6" borderId="11" xfId="0" applyNumberFormat="1" applyFont="1" applyFill="1" applyBorder="1" applyAlignment="1" applyProtection="1">
      <alignment horizontal="center" vertical="center" wrapText="1"/>
    </xf>
    <xf numFmtId="19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190" fontId="54" fillId="2" borderId="7" xfId="0" applyNumberFormat="1" applyFont="1" applyFill="1" applyBorder="1" applyAlignment="1" applyProtection="1">
      <alignment horizontal="center" vertical="center" wrapText="1"/>
      <protection locked="0"/>
    </xf>
    <xf numFmtId="19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190" fontId="54" fillId="0" borderId="54" xfId="0" applyNumberFormat="1" applyFont="1" applyFill="1" applyBorder="1" applyAlignment="1" applyProtection="1">
      <alignment horizontal="center" vertical="center" wrapText="1"/>
      <protection locked="0"/>
    </xf>
    <xf numFmtId="190" fontId="54" fillId="0" borderId="52" xfId="0" applyNumberFormat="1" applyFont="1" applyFill="1" applyBorder="1" applyAlignment="1" applyProtection="1">
      <alignment horizontal="center" vertical="center" wrapText="1"/>
      <protection locked="0"/>
    </xf>
    <xf numFmtId="190" fontId="54" fillId="2" borderId="6" xfId="0" applyFont="1" applyFill="1" applyBorder="1" applyAlignment="1" applyProtection="1">
      <alignment horizontal="center" vertical="center" wrapText="1"/>
      <protection locked="0"/>
    </xf>
    <xf numFmtId="190" fontId="54" fillId="2" borderId="30" xfId="0" applyFont="1" applyFill="1" applyBorder="1" applyAlignment="1" applyProtection="1">
      <alignment horizontal="center" vertical="center" wrapText="1"/>
      <protection locked="0"/>
    </xf>
    <xf numFmtId="190" fontId="54" fillId="2" borderId="23" xfId="0" applyFont="1" applyFill="1" applyBorder="1" applyAlignment="1" applyProtection="1">
      <alignment horizontal="center" vertical="center" wrapText="1"/>
      <protection locked="0"/>
    </xf>
    <xf numFmtId="190" fontId="54" fillId="2" borderId="3" xfId="0" applyFont="1" applyFill="1" applyBorder="1" applyAlignment="1" applyProtection="1">
      <alignment horizontal="center" vertical="center" wrapText="1"/>
      <protection locked="0"/>
    </xf>
    <xf numFmtId="188" fontId="54" fillId="6" borderId="48" xfId="0" applyNumberFormat="1" applyFont="1" applyFill="1" applyBorder="1" applyAlignment="1" applyProtection="1">
      <alignment horizontal="center" vertical="center"/>
    </xf>
    <xf numFmtId="188" fontId="54" fillId="6" borderId="48" xfId="0" applyNumberFormat="1" applyFont="1" applyFill="1" applyBorder="1" applyAlignment="1" applyProtection="1">
      <alignment horizontal="center" vertical="center" wrapText="1"/>
    </xf>
    <xf numFmtId="188" fontId="54" fillId="6" borderId="49" xfId="0" applyNumberFormat="1" applyFont="1" applyFill="1" applyBorder="1" applyAlignment="1" applyProtection="1">
      <alignment horizontal="center" vertical="center" wrapText="1"/>
    </xf>
    <xf numFmtId="190" fontId="54" fillId="0" borderId="18" xfId="0" applyFont="1" applyFill="1" applyBorder="1" applyAlignment="1" applyProtection="1">
      <alignment horizontal="center" vertical="center"/>
      <protection locked="0"/>
    </xf>
    <xf numFmtId="190" fontId="71" fillId="0" borderId="18" xfId="0" applyFont="1" applyFill="1" applyBorder="1" applyAlignment="1" applyProtection="1">
      <alignment horizontal="center" vertical="center"/>
      <protection locked="0"/>
    </xf>
    <xf numFmtId="190" fontId="54" fillId="0" borderId="18" xfId="0" applyFont="1" applyBorder="1" applyAlignment="1" applyProtection="1">
      <protection locked="0"/>
    </xf>
    <xf numFmtId="19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190" fontId="104" fillId="0" borderId="18" xfId="0" applyFont="1" applyFill="1" applyBorder="1" applyAlignment="1" applyProtection="1">
      <alignment vertical="center"/>
      <protection locked="0"/>
    </xf>
    <xf numFmtId="190" fontId="47" fillId="0" borderId="18" xfId="0" applyFont="1" applyFill="1" applyBorder="1" applyAlignment="1" applyProtection="1">
      <alignment horizontal="center" vertical="center" wrapText="1"/>
      <protection locked="0"/>
    </xf>
    <xf numFmtId="190" fontId="52" fillId="0" borderId="18" xfId="0" applyFont="1" applyFill="1" applyBorder="1" applyAlignment="1" applyProtection="1">
      <alignment horizontal="center" vertical="center" wrapText="1"/>
      <protection locked="0"/>
    </xf>
    <xf numFmtId="190" fontId="52" fillId="0" borderId="18" xfId="0" applyFont="1" applyFill="1" applyBorder="1" applyAlignment="1" applyProtection="1">
      <alignment horizontal="center" vertical="center"/>
      <protection locked="0"/>
    </xf>
    <xf numFmtId="190" fontId="52" fillId="0" borderId="18" xfId="0" applyFont="1" applyFill="1" applyBorder="1" applyAlignment="1" applyProtection="1">
      <alignment vertical="center" wrapText="1"/>
      <protection locked="0"/>
    </xf>
    <xf numFmtId="190" fontId="47" fillId="0" borderId="18" xfId="0" applyFont="1" applyFill="1" applyBorder="1" applyAlignment="1" applyProtection="1">
      <alignment vertical="center" wrapText="1"/>
      <protection locked="0"/>
    </xf>
    <xf numFmtId="190" fontId="47" fillId="0" borderId="83" xfId="0" applyNumberFormat="1" applyFont="1" applyFill="1" applyBorder="1" applyAlignment="1" applyProtection="1">
      <alignment horizontal="center" vertical="center"/>
      <protection locked="0"/>
    </xf>
    <xf numFmtId="190" fontId="53" fillId="6" borderId="12" xfId="0" applyNumberFormat="1" applyFont="1" applyFill="1" applyBorder="1" applyAlignment="1" applyProtection="1">
      <alignment vertical="center" wrapText="1"/>
    </xf>
    <xf numFmtId="190" fontId="106" fillId="0" borderId="0" xfId="0" applyFont="1" applyFill="1" applyAlignment="1" applyProtection="1">
      <alignment horizontal="left" vertical="center"/>
      <protection locked="0"/>
    </xf>
    <xf numFmtId="190" fontId="104" fillId="6" borderId="16" xfId="0" applyFont="1" applyFill="1" applyBorder="1" applyAlignment="1" applyProtection="1">
      <alignment horizontal="center" vertical="center"/>
    </xf>
    <xf numFmtId="190" fontId="61" fillId="6" borderId="19" xfId="0" applyFont="1" applyFill="1" applyBorder="1" applyAlignment="1" applyProtection="1">
      <alignment horizontal="center" vertical="center"/>
    </xf>
    <xf numFmtId="190" fontId="54" fillId="6" borderId="19" xfId="0" applyFont="1" applyFill="1" applyBorder="1" applyAlignment="1" applyProtection="1">
      <alignment horizontal="center" vertical="center"/>
    </xf>
    <xf numFmtId="190" fontId="54" fillId="6" borderId="31" xfId="0" applyFont="1" applyFill="1" applyBorder="1" applyAlignment="1" applyProtection="1">
      <alignment horizontal="center" vertical="center"/>
    </xf>
    <xf numFmtId="190" fontId="104" fillId="6" borderId="19" xfId="0" applyFont="1" applyFill="1" applyBorder="1" applyAlignment="1" applyProtection="1">
      <alignment horizontal="center" vertical="center"/>
    </xf>
    <xf numFmtId="190" fontId="61" fillId="6" borderId="31" xfId="0" applyFont="1" applyFill="1" applyBorder="1" applyAlignment="1" applyProtection="1">
      <alignment horizontal="center" vertical="center"/>
    </xf>
    <xf numFmtId="190" fontId="61" fillId="6" borderId="69" xfId="0" applyFont="1" applyFill="1" applyBorder="1" applyProtection="1">
      <alignment vertical="center"/>
    </xf>
    <xf numFmtId="190" fontId="104" fillId="6" borderId="5" xfId="0" applyFont="1" applyFill="1" applyBorder="1" applyAlignment="1" applyProtection="1">
      <alignment horizontal="center" vertical="center"/>
    </xf>
    <xf numFmtId="190" fontId="104" fillId="6" borderId="93" xfId="0" applyFont="1" applyFill="1" applyBorder="1" applyAlignment="1" applyProtection="1">
      <alignment horizontal="center" vertical="center"/>
    </xf>
    <xf numFmtId="190" fontId="61" fillId="6" borderId="60" xfId="0" applyFont="1" applyFill="1" applyBorder="1" applyAlignment="1" applyProtection="1">
      <alignment horizontal="center" vertical="center"/>
    </xf>
    <xf numFmtId="190" fontId="104" fillId="0" borderId="2" xfId="0" applyFont="1" applyBorder="1" applyAlignment="1" applyProtection="1">
      <alignment horizontal="center" vertical="center"/>
      <protection locked="0"/>
    </xf>
    <xf numFmtId="190" fontId="104" fillId="6" borderId="7" xfId="0" applyFont="1" applyFill="1" applyBorder="1" applyAlignment="1" applyProtection="1">
      <alignment horizontal="center" vertical="center"/>
    </xf>
    <xf numFmtId="190" fontId="104" fillId="6" borderId="3" xfId="0" applyFont="1" applyFill="1" applyBorder="1" applyAlignment="1" applyProtection="1">
      <alignment horizontal="center" vertical="center"/>
    </xf>
    <xf numFmtId="190" fontId="104" fillId="0" borderId="1" xfId="0" applyFont="1" applyBorder="1" applyAlignment="1" applyProtection="1">
      <alignment horizontal="center" vertical="center"/>
      <protection locked="0"/>
    </xf>
    <xf numFmtId="190" fontId="104" fillId="6" borderId="25" xfId="0" applyFont="1" applyFill="1" applyBorder="1" applyAlignment="1" applyProtection="1">
      <alignment horizontal="center" vertical="center"/>
    </xf>
    <xf numFmtId="190" fontId="61" fillId="6" borderId="95" xfId="0" applyFont="1" applyFill="1" applyBorder="1" applyAlignment="1" applyProtection="1">
      <alignment horizontal="left" vertical="center"/>
    </xf>
    <xf numFmtId="190" fontId="54" fillId="6" borderId="47" xfId="0" applyFont="1" applyFill="1" applyBorder="1" applyAlignment="1" applyProtection="1">
      <alignment horizontal="center" vertical="center"/>
    </xf>
    <xf numFmtId="190" fontId="54" fillId="6" borderId="43" xfId="0" applyFont="1" applyFill="1" applyBorder="1" applyAlignment="1" applyProtection="1">
      <alignment horizontal="center" vertical="center"/>
    </xf>
    <xf numFmtId="190" fontId="104" fillId="6" borderId="66" xfId="0" applyFont="1" applyFill="1" applyBorder="1" applyAlignment="1" applyProtection="1">
      <alignment horizontal="center" vertical="center"/>
    </xf>
    <xf numFmtId="19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190" fontId="47" fillId="2" borderId="41" xfId="0" applyNumberFormat="1" applyFont="1" applyFill="1" applyBorder="1" applyAlignment="1" applyProtection="1">
      <alignment horizontal="center" vertical="center" wrapText="1"/>
      <protection locked="0"/>
    </xf>
    <xf numFmtId="190" fontId="65" fillId="6" borderId="88" xfId="0" applyFont="1" applyFill="1" applyBorder="1" applyAlignment="1" applyProtection="1">
      <alignment horizontal="right" vertical="center"/>
    </xf>
    <xf numFmtId="190" fontId="54" fillId="6" borderId="17" xfId="0" applyFont="1" applyFill="1" applyBorder="1" applyAlignment="1" applyProtection="1">
      <alignment horizontal="center" vertical="center"/>
    </xf>
    <xf numFmtId="190" fontId="47" fillId="6" borderId="24" xfId="0" applyNumberFormat="1" applyFont="1" applyFill="1" applyBorder="1" applyAlignment="1" applyProtection="1">
      <alignment horizontal="center" vertical="center"/>
    </xf>
    <xf numFmtId="19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190" fontId="54" fillId="6" borderId="24" xfId="0" applyNumberFormat="1" applyFont="1" applyFill="1" applyBorder="1" applyAlignment="1" applyProtection="1">
      <alignment horizontal="center" vertical="center"/>
    </xf>
    <xf numFmtId="190" fontId="54" fillId="6" borderId="22" xfId="0" applyNumberFormat="1" applyFont="1" applyFill="1" applyBorder="1" applyAlignment="1" applyProtection="1">
      <alignment horizontal="center" vertical="center" wrapText="1"/>
    </xf>
    <xf numFmtId="190" fontId="54" fillId="2" borderId="35" xfId="0" applyNumberFormat="1" applyFont="1" applyFill="1" applyBorder="1" applyAlignment="1" applyProtection="1">
      <alignment horizontal="center" vertical="center" wrapText="1"/>
      <protection locked="0"/>
    </xf>
    <xf numFmtId="190" fontId="47" fillId="2" borderId="7" xfId="0" applyNumberFormat="1" applyFont="1" applyFill="1" applyBorder="1" applyAlignment="1" applyProtection="1">
      <alignment horizontal="center" vertical="center" wrapText="1"/>
      <protection locked="0"/>
    </xf>
    <xf numFmtId="190" fontId="47" fillId="0" borderId="24" xfId="0" applyFont="1" applyFill="1" applyBorder="1" applyAlignment="1" applyProtection="1">
      <alignment horizontal="center" vertical="center" wrapText="1"/>
      <protection locked="0"/>
    </xf>
    <xf numFmtId="190" fontId="54" fillId="2" borderId="6" xfId="0" applyNumberFormat="1" applyFont="1" applyFill="1" applyBorder="1" applyAlignment="1" applyProtection="1">
      <alignment horizontal="center" vertical="center" wrapText="1"/>
      <protection locked="0"/>
    </xf>
    <xf numFmtId="190" fontId="71" fillId="0" borderId="58" xfId="0" applyFont="1" applyFill="1" applyBorder="1" applyAlignment="1" applyProtection="1">
      <alignment horizontal="center" vertical="center"/>
      <protection locked="0"/>
    </xf>
    <xf numFmtId="19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190" fontId="104" fillId="0" borderId="58" xfId="0" applyFont="1" applyFill="1" applyBorder="1" applyAlignment="1" applyProtection="1">
      <alignment vertical="center"/>
      <protection locked="0"/>
    </xf>
    <xf numFmtId="190" fontId="47" fillId="0" borderId="58" xfId="0" applyFont="1" applyFill="1" applyBorder="1" applyAlignment="1" applyProtection="1">
      <alignment horizontal="center" vertical="center" wrapText="1"/>
      <protection locked="0"/>
    </xf>
    <xf numFmtId="190" fontId="52" fillId="0" borderId="58" xfId="0" applyFont="1" applyFill="1" applyBorder="1" applyAlignment="1" applyProtection="1">
      <alignment horizontal="center" vertical="center" wrapText="1"/>
      <protection locked="0"/>
    </xf>
    <xf numFmtId="190" fontId="52" fillId="0" borderId="58" xfId="0" applyFont="1" applyFill="1" applyBorder="1" applyAlignment="1" applyProtection="1">
      <alignment horizontal="center" vertical="center"/>
      <protection locked="0"/>
    </xf>
    <xf numFmtId="190" fontId="52" fillId="0" borderId="58" xfId="0" applyFont="1" applyFill="1" applyBorder="1" applyAlignment="1" applyProtection="1">
      <alignment vertical="center" wrapText="1"/>
      <protection locked="0"/>
    </xf>
    <xf numFmtId="190" fontId="47" fillId="0" borderId="58" xfId="0" applyFont="1" applyFill="1" applyBorder="1" applyAlignment="1" applyProtection="1">
      <alignment vertical="center" wrapText="1"/>
      <protection locked="0"/>
    </xf>
    <xf numFmtId="190" fontId="54" fillId="0" borderId="44" xfId="0" applyNumberFormat="1" applyFont="1" applyFill="1" applyBorder="1" applyAlignment="1" applyProtection="1">
      <alignment horizontal="left" vertical="center" wrapText="1"/>
      <protection locked="0"/>
    </xf>
    <xf numFmtId="190" fontId="54" fillId="0" borderId="45" xfId="0" applyNumberFormat="1" applyFont="1" applyFill="1" applyBorder="1" applyAlignment="1" applyProtection="1">
      <alignment horizontal="center" vertical="center" wrapText="1"/>
      <protection locked="0"/>
    </xf>
    <xf numFmtId="190" fontId="54" fillId="0" borderId="58" xfId="0" applyFont="1" applyFill="1" applyBorder="1" applyAlignment="1" applyProtection="1">
      <alignment horizontal="center" vertical="center" wrapText="1"/>
      <protection locked="0"/>
    </xf>
    <xf numFmtId="190" fontId="47" fillId="0" borderId="54" xfId="0" applyNumberFormat="1" applyFont="1" applyFill="1" applyBorder="1" applyAlignment="1" applyProtection="1">
      <alignment horizontal="center" vertical="center" wrapText="1"/>
      <protection locked="0"/>
    </xf>
    <xf numFmtId="190" fontId="54" fillId="6" borderId="40" xfId="0" applyNumberFormat="1" applyFont="1" applyFill="1" applyBorder="1" applyAlignment="1" applyProtection="1">
      <alignment horizontal="center" vertical="center" wrapText="1"/>
    </xf>
    <xf numFmtId="19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3" fontId="47" fillId="0" borderId="26" xfId="0" applyNumberFormat="1" applyFont="1" applyFill="1" applyBorder="1" applyAlignment="1" applyProtection="1">
      <alignment horizontal="center" vertical="center" wrapText="1"/>
      <protection locked="0"/>
    </xf>
    <xf numFmtId="190" fontId="47" fillId="0" borderId="38" xfId="0" applyNumberFormat="1" applyFont="1" applyFill="1" applyBorder="1" applyAlignment="1" applyProtection="1">
      <alignment horizontal="center" vertical="center" wrapText="1"/>
      <protection locked="0"/>
    </xf>
    <xf numFmtId="190" fontId="54" fillId="0" borderId="55" xfId="0" applyNumberFormat="1" applyFont="1" applyFill="1" applyBorder="1" applyAlignment="1" applyProtection="1">
      <alignment horizontal="center" vertical="center" wrapText="1"/>
      <protection locked="0"/>
    </xf>
    <xf numFmtId="190" fontId="47" fillId="2" borderId="51" xfId="0" applyNumberFormat="1" applyFont="1" applyFill="1" applyBorder="1" applyAlignment="1" applyProtection="1">
      <alignment horizontal="center" vertical="center" wrapText="1"/>
      <protection locked="0"/>
    </xf>
    <xf numFmtId="190" fontId="47" fillId="2" borderId="69" xfId="0" applyNumberFormat="1" applyFont="1" applyFill="1" applyBorder="1" applyAlignment="1" applyProtection="1">
      <alignment horizontal="center" vertical="center" wrapText="1"/>
      <protection locked="0"/>
    </xf>
    <xf numFmtId="19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19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190" fontId="54" fillId="5" borderId="9" xfId="0" applyFont="1" applyFill="1" applyBorder="1" applyAlignment="1" applyProtection="1">
      <alignment horizontal="center" vertical="center"/>
      <protection locked="0"/>
    </xf>
    <xf numFmtId="190" fontId="54" fillId="6" borderId="19" xfId="0" applyFont="1" applyFill="1" applyBorder="1" applyAlignment="1" applyProtection="1">
      <alignment horizontal="center" vertical="center" wrapText="1"/>
      <protection locked="0"/>
    </xf>
    <xf numFmtId="190" fontId="104" fillId="6" borderId="96" xfId="0" applyFont="1" applyFill="1" applyBorder="1" applyAlignment="1" applyProtection="1">
      <alignment horizontal="center" vertical="center"/>
    </xf>
    <xf numFmtId="190" fontId="106" fillId="6" borderId="0" xfId="0" applyFont="1" applyFill="1" applyAlignment="1" applyProtection="1">
      <alignment horizontal="left" vertical="center"/>
      <protection locked="0"/>
    </xf>
    <xf numFmtId="190" fontId="105" fillId="6" borderId="23" xfId="0" applyFont="1" applyFill="1" applyBorder="1" applyAlignment="1" applyProtection="1">
      <alignment horizontal="center" vertical="center"/>
    </xf>
    <xf numFmtId="190" fontId="105" fillId="6" borderId="25" xfId="0" applyFont="1" applyFill="1" applyBorder="1" applyAlignment="1" applyProtection="1">
      <alignment horizontal="center" vertical="center"/>
    </xf>
    <xf numFmtId="190" fontId="49" fillId="6" borderId="16" xfId="0" applyNumberFormat="1" applyFont="1" applyFill="1" applyBorder="1" applyAlignment="1" applyProtection="1">
      <alignment vertical="center"/>
    </xf>
    <xf numFmtId="190" fontId="49" fillId="5" borderId="23" xfId="0" applyNumberFormat="1" applyFont="1" applyFill="1" applyBorder="1" applyAlignment="1" applyProtection="1">
      <alignment horizontal="center" vertical="center" wrapText="1"/>
      <protection locked="0"/>
    </xf>
    <xf numFmtId="190" fontId="54" fillId="6" borderId="14" xfId="0" applyNumberFormat="1" applyFont="1" applyFill="1" applyBorder="1" applyAlignment="1" applyProtection="1">
      <alignment horizontal="center" vertical="center" wrapText="1"/>
    </xf>
    <xf numFmtId="190" fontId="54" fillId="0" borderId="24" xfId="0" applyFont="1" applyFill="1" applyBorder="1" applyAlignment="1" applyProtection="1">
      <alignment horizontal="center" vertical="center"/>
      <protection locked="0"/>
    </xf>
    <xf numFmtId="190" fontId="104" fillId="0" borderId="49" xfId="0" applyFont="1" applyFill="1" applyBorder="1" applyAlignment="1" applyProtection="1">
      <alignment horizontal="center" vertical="center"/>
      <protection locked="0"/>
    </xf>
    <xf numFmtId="190" fontId="49" fillId="6" borderId="37" xfId="0" applyNumberFormat="1" applyFont="1" applyFill="1" applyBorder="1" applyAlignment="1" applyProtection="1">
      <alignment horizontal="center" vertical="center" wrapText="1"/>
    </xf>
    <xf numFmtId="190" fontId="56" fillId="6" borderId="0" xfId="0" applyFont="1" applyFill="1" applyAlignment="1" applyProtection="1">
      <alignment vertical="center" wrapText="1"/>
    </xf>
    <xf numFmtId="190" fontId="104" fillId="6" borderId="6" xfId="0" applyNumberFormat="1" applyFont="1" applyFill="1" applyBorder="1" applyAlignment="1" applyProtection="1">
      <alignment horizontal="center" vertical="center"/>
    </xf>
    <xf numFmtId="190" fontId="56" fillId="0" borderId="0" xfId="0" applyFont="1" applyAlignment="1" applyProtection="1">
      <alignment vertical="center" wrapText="1"/>
      <protection locked="0"/>
    </xf>
    <xf numFmtId="190" fontId="56" fillId="0" borderId="0" xfId="0" applyFont="1" applyAlignment="1" applyProtection="1">
      <alignment vertical="center" wrapText="1"/>
    </xf>
    <xf numFmtId="190" fontId="60" fillId="6" borderId="5" xfId="1" applyFont="1" applyFill="1" applyBorder="1" applyAlignment="1" applyProtection="1">
      <alignment vertical="center"/>
    </xf>
    <xf numFmtId="190" fontId="56" fillId="6" borderId="1" xfId="0" applyNumberFormat="1" applyFont="1" applyFill="1" applyBorder="1" applyAlignment="1" applyProtection="1">
      <alignment horizontal="left" vertical="center" wrapText="1"/>
    </xf>
    <xf numFmtId="190" fontId="56" fillId="5" borderId="1" xfId="0" applyNumberFormat="1" applyFont="1" applyFill="1" applyBorder="1" applyAlignment="1" applyProtection="1">
      <alignment horizontal="center" vertical="center" wrapText="1"/>
      <protection locked="0"/>
    </xf>
    <xf numFmtId="190" fontId="56" fillId="6" borderId="1" xfId="0" applyNumberFormat="1" applyFont="1" applyFill="1" applyBorder="1" applyAlignment="1" applyProtection="1">
      <alignment horizontal="center" vertical="center" wrapText="1"/>
    </xf>
    <xf numFmtId="190" fontId="56" fillId="6" borderId="0" xfId="0" applyNumberFormat="1" applyFont="1" applyFill="1" applyAlignment="1" applyProtection="1">
      <alignment vertical="center" wrapText="1"/>
    </xf>
    <xf numFmtId="190" fontId="104" fillId="6" borderId="23" xfId="0" applyNumberFormat="1" applyFont="1" applyFill="1" applyBorder="1" applyAlignment="1" applyProtection="1">
      <alignment horizontal="center" vertical="center"/>
    </xf>
    <xf numFmtId="190" fontId="56" fillId="5" borderId="1" xfId="0" applyNumberFormat="1" applyFont="1" applyFill="1" applyBorder="1" applyAlignment="1" applyProtection="1">
      <alignment vertical="center" wrapText="1"/>
      <protection locked="0"/>
    </xf>
    <xf numFmtId="19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190" fontId="53" fillId="6" borderId="13" xfId="0" applyFont="1" applyFill="1" applyBorder="1" applyAlignment="1" applyProtection="1">
      <alignment horizontal="left" vertical="center" wrapText="1"/>
    </xf>
    <xf numFmtId="190" fontId="53" fillId="6" borderId="36" xfId="0" applyFont="1" applyFill="1" applyBorder="1" applyAlignment="1" applyProtection="1">
      <alignment vertical="center" wrapText="1"/>
    </xf>
    <xf numFmtId="190" fontId="54" fillId="6" borderId="36" xfId="0" applyFont="1" applyFill="1" applyBorder="1" applyAlignment="1" applyProtection="1">
      <alignment vertical="center" wrapText="1"/>
    </xf>
    <xf numFmtId="190" fontId="54" fillId="6" borderId="22" xfId="0" applyFont="1" applyFill="1" applyBorder="1" applyAlignment="1" applyProtection="1">
      <alignment vertical="center" wrapText="1"/>
    </xf>
    <xf numFmtId="190" fontId="54" fillId="7" borderId="0" xfId="0" applyFont="1" applyFill="1" applyAlignment="1" applyProtection="1">
      <alignment vertical="center"/>
      <protection locked="0"/>
    </xf>
    <xf numFmtId="190" fontId="54" fillId="6" borderId="0" xfId="8" applyFont="1" applyFill="1" applyAlignment="1" applyProtection="1">
      <alignment horizontal="center" vertical="center" wrapText="1"/>
      <protection locked="0"/>
    </xf>
    <xf numFmtId="190" fontId="54" fillId="7" borderId="0" xfId="8" applyFont="1" applyFill="1" applyAlignment="1" applyProtection="1">
      <alignment horizontal="center" vertical="center" wrapText="1"/>
    </xf>
    <xf numFmtId="190" fontId="54" fillId="0" borderId="0" xfId="8" applyFont="1" applyAlignment="1" applyProtection="1">
      <alignment horizontal="center" vertical="center" wrapText="1"/>
    </xf>
    <xf numFmtId="19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190" fontId="57" fillId="6" borderId="64" xfId="0" applyFont="1" applyFill="1" applyBorder="1" applyAlignment="1" applyProtection="1">
      <alignment horizontal="left" vertical="center" wrapText="1"/>
    </xf>
    <xf numFmtId="190" fontId="120" fillId="6" borderId="34" xfId="0" applyFont="1" applyFill="1" applyBorder="1" applyAlignment="1" applyProtection="1">
      <alignment vertical="center"/>
    </xf>
    <xf numFmtId="190" fontId="57" fillId="6" borderId="64" xfId="0" applyFont="1" applyFill="1" applyBorder="1" applyAlignment="1" applyProtection="1">
      <alignment horizontal="center" vertical="center" wrapText="1"/>
    </xf>
    <xf numFmtId="190" fontId="56" fillId="6" borderId="64" xfId="0" applyFont="1" applyFill="1" applyBorder="1" applyAlignment="1" applyProtection="1">
      <alignment vertical="center" wrapText="1"/>
    </xf>
    <xf numFmtId="190" fontId="56" fillId="6" borderId="65" xfId="0" applyFont="1" applyFill="1" applyBorder="1" applyAlignment="1" applyProtection="1">
      <alignment vertical="center" wrapText="1"/>
    </xf>
    <xf numFmtId="190" fontId="57" fillId="6" borderId="9" xfId="0" applyFont="1" applyFill="1" applyBorder="1" applyAlignment="1" applyProtection="1">
      <alignment horizontal="left" vertical="center" wrapText="1"/>
    </xf>
    <xf numFmtId="190" fontId="56" fillId="6" borderId="9" xfId="0" applyFont="1" applyFill="1" applyBorder="1" applyAlignment="1" applyProtection="1">
      <alignment horizontal="center" vertical="center" wrapText="1"/>
    </xf>
    <xf numFmtId="190" fontId="56" fillId="6" borderId="19" xfId="0" applyFont="1" applyFill="1" applyBorder="1" applyAlignment="1" applyProtection="1">
      <alignment horizontal="center" vertical="center" wrapText="1"/>
    </xf>
    <xf numFmtId="190" fontId="56" fillId="6" borderId="19" xfId="0" applyFont="1" applyFill="1" applyBorder="1" applyAlignment="1" applyProtection="1">
      <alignment vertical="center" wrapText="1"/>
    </xf>
    <xf numFmtId="190" fontId="56" fillId="6" borderId="31" xfId="0" applyFont="1" applyFill="1" applyBorder="1" applyAlignment="1" applyProtection="1">
      <alignment vertical="center" wrapText="1"/>
    </xf>
    <xf numFmtId="190" fontId="56" fillId="5" borderId="1" xfId="0" applyFont="1" applyFill="1" applyBorder="1" applyAlignment="1" applyProtection="1">
      <alignment horizontal="center" vertical="center" wrapText="1"/>
      <protection locked="0"/>
    </xf>
    <xf numFmtId="190" fontId="56" fillId="6" borderId="5" xfId="0" applyFont="1" applyFill="1" applyBorder="1" applyAlignment="1" applyProtection="1">
      <alignment vertical="center"/>
    </xf>
    <xf numFmtId="190" fontId="56" fillId="6" borderId="54" xfId="0" applyFont="1" applyFill="1" applyBorder="1" applyAlignment="1" applyProtection="1">
      <alignment vertical="center" wrapText="1"/>
    </xf>
    <xf numFmtId="190" fontId="56" fillId="6" borderId="48" xfId="0" applyFont="1" applyFill="1" applyBorder="1" applyAlignment="1" applyProtection="1">
      <alignment vertical="center" wrapText="1"/>
    </xf>
    <xf numFmtId="190" fontId="56" fillId="6" borderId="13" xfId="0" applyFont="1" applyFill="1" applyBorder="1" applyAlignment="1" applyProtection="1">
      <alignment horizontal="left" vertical="center" wrapText="1"/>
    </xf>
    <xf numFmtId="190" fontId="56" fillId="6" borderId="46" xfId="0" applyFont="1" applyFill="1" applyBorder="1" applyAlignment="1" applyProtection="1">
      <alignment vertical="center"/>
    </xf>
    <xf numFmtId="190" fontId="56" fillId="6" borderId="36" xfId="0" applyFont="1" applyFill="1" applyBorder="1" applyAlignment="1" applyProtection="1">
      <alignment vertical="center" wrapText="1"/>
    </xf>
    <xf numFmtId="190" fontId="56" fillId="6" borderId="59" xfId="0" applyFont="1" applyFill="1" applyBorder="1" applyAlignment="1" applyProtection="1">
      <alignment vertical="center" wrapText="1"/>
    </xf>
    <xf numFmtId="190" fontId="57" fillId="6" borderId="17" xfId="0" applyFont="1" applyFill="1" applyBorder="1" applyAlignment="1" applyProtection="1">
      <alignment horizontal="left" vertical="center" wrapText="1"/>
    </xf>
    <xf numFmtId="190" fontId="56" fillId="6" borderId="28" xfId="0" applyFont="1" applyFill="1" applyBorder="1" applyAlignment="1" applyProtection="1">
      <alignment vertical="center"/>
    </xf>
    <xf numFmtId="190" fontId="56" fillId="6" borderId="20" xfId="0" applyFont="1" applyFill="1" applyBorder="1" applyAlignment="1" applyProtection="1">
      <alignment horizontal="center" vertical="center" wrapText="1"/>
    </xf>
    <xf numFmtId="190" fontId="56" fillId="6" borderId="20" xfId="0" applyFont="1" applyFill="1" applyBorder="1" applyAlignment="1" applyProtection="1">
      <alignment vertical="center" wrapText="1"/>
    </xf>
    <xf numFmtId="190" fontId="56" fillId="6" borderId="21" xfId="0" applyFont="1" applyFill="1" applyBorder="1" applyAlignment="1" applyProtection="1">
      <alignment vertical="center" wrapText="1"/>
    </xf>
    <xf numFmtId="190" fontId="104" fillId="6" borderId="25" xfId="0" applyNumberFormat="1" applyFont="1" applyFill="1" applyBorder="1" applyAlignment="1" applyProtection="1">
      <alignment horizontal="center" vertical="center"/>
    </xf>
    <xf numFmtId="190" fontId="105" fillId="6" borderId="13" xfId="0" applyFont="1" applyFill="1" applyBorder="1" applyAlignment="1" applyProtection="1">
      <alignment horizontal="left" vertical="center" wrapText="1"/>
    </xf>
    <xf numFmtId="190" fontId="105" fillId="6" borderId="3" xfId="0" applyFont="1" applyFill="1" applyBorder="1" applyAlignment="1" applyProtection="1">
      <alignment horizontal="center" vertical="center" wrapText="1"/>
    </xf>
    <xf numFmtId="190" fontId="56" fillId="0" borderId="1" xfId="0" applyFont="1" applyFill="1" applyBorder="1" applyAlignment="1" applyProtection="1">
      <alignment horizontal="center" vertical="center"/>
      <protection locked="0"/>
    </xf>
    <xf numFmtId="190" fontId="56" fillId="0" borderId="24" xfId="0" applyFont="1" applyFill="1" applyBorder="1" applyAlignment="1" applyProtection="1">
      <alignment horizontal="center" vertical="center" wrapText="1"/>
      <protection locked="0"/>
    </xf>
    <xf numFmtId="190" fontId="105" fillId="6" borderId="2" xfId="0" applyFont="1" applyFill="1" applyBorder="1" applyAlignment="1" applyProtection="1">
      <alignment horizontal="left" vertical="center" wrapText="1"/>
    </xf>
    <xf numFmtId="190" fontId="105" fillId="5" borderId="3" xfId="0" applyFont="1" applyFill="1" applyBorder="1" applyAlignment="1" applyProtection="1">
      <alignment horizontal="center" vertical="center" wrapText="1"/>
      <protection locked="0"/>
    </xf>
    <xf numFmtId="190" fontId="105" fillId="5" borderId="1" xfId="0" applyFont="1" applyFill="1" applyBorder="1" applyAlignment="1" applyProtection="1">
      <alignment horizontal="center" vertical="center" wrapText="1"/>
      <protection locked="0"/>
    </xf>
    <xf numFmtId="190" fontId="105" fillId="5" borderId="2" xfId="0" applyFont="1" applyFill="1" applyBorder="1" applyAlignment="1" applyProtection="1">
      <alignment horizontal="center" vertical="center" wrapText="1"/>
      <protection locked="0"/>
    </xf>
    <xf numFmtId="190" fontId="51" fillId="6" borderId="4" xfId="0" applyFont="1" applyFill="1" applyBorder="1" applyAlignment="1" applyProtection="1">
      <alignment vertical="center"/>
    </xf>
    <xf numFmtId="190" fontId="56" fillId="6" borderId="0" xfId="0" applyFont="1" applyFill="1" applyBorder="1" applyAlignment="1" applyProtection="1">
      <alignment vertical="center" wrapText="1"/>
    </xf>
    <xf numFmtId="190" fontId="120" fillId="6" borderId="60" xfId="0" applyFont="1" applyFill="1" applyBorder="1" applyAlignment="1" applyProtection="1">
      <alignment vertical="center"/>
    </xf>
    <xf numFmtId="190" fontId="120" fillId="6" borderId="71" xfId="0" applyFont="1" applyFill="1" applyBorder="1" applyAlignment="1" applyProtection="1">
      <alignment vertical="center"/>
    </xf>
    <xf numFmtId="190" fontId="105" fillId="6" borderId="74" xfId="0" applyFont="1" applyFill="1" applyBorder="1" applyAlignment="1" applyProtection="1">
      <alignment horizontal="left" vertical="center" wrapText="1"/>
    </xf>
    <xf numFmtId="190" fontId="56" fillId="6" borderId="41" xfId="0" applyFont="1" applyFill="1" applyBorder="1" applyAlignment="1" applyProtection="1">
      <alignment horizontal="center" vertical="center" wrapText="1"/>
    </xf>
    <xf numFmtId="190" fontId="56" fillId="6" borderId="8" xfId="0" applyFont="1" applyFill="1" applyBorder="1" applyAlignment="1" applyProtection="1">
      <alignment horizontal="center" vertical="center" wrapText="1"/>
    </xf>
    <xf numFmtId="190" fontId="56" fillId="6" borderId="17" xfId="0" applyFont="1" applyFill="1" applyBorder="1" applyAlignment="1" applyProtection="1">
      <alignment horizontal="left" vertical="center" wrapText="1"/>
    </xf>
    <xf numFmtId="190" fontId="56" fillId="5" borderId="17" xfId="0" applyFont="1" applyFill="1" applyBorder="1" applyAlignment="1" applyProtection="1">
      <alignment horizontal="center" vertical="center" wrapText="1"/>
      <protection locked="0"/>
    </xf>
    <xf numFmtId="190" fontId="56" fillId="5" borderId="9" xfId="0" applyFont="1" applyFill="1" applyBorder="1" applyAlignment="1" applyProtection="1">
      <alignment horizontal="right" vertical="center" wrapText="1"/>
      <protection locked="0"/>
    </xf>
    <xf numFmtId="190" fontId="56" fillId="5" borderId="9" xfId="0" applyFont="1" applyFill="1" applyBorder="1" applyAlignment="1" applyProtection="1">
      <alignment horizontal="center" vertical="center" wrapText="1"/>
      <protection locked="0"/>
    </xf>
    <xf numFmtId="190" fontId="56" fillId="5" borderId="10" xfId="0" applyFont="1" applyFill="1" applyBorder="1" applyAlignment="1" applyProtection="1">
      <alignment horizontal="center" vertical="center" wrapText="1"/>
      <protection locked="0"/>
    </xf>
    <xf numFmtId="190" fontId="56" fillId="6" borderId="23" xfId="0" applyFont="1" applyFill="1" applyBorder="1" applyAlignment="1" applyProtection="1">
      <alignment horizontal="center" vertical="center" wrapText="1"/>
    </xf>
    <xf numFmtId="190" fontId="56" fillId="6" borderId="13" xfId="0" applyFont="1" applyFill="1" applyBorder="1" applyAlignment="1" applyProtection="1">
      <alignment horizontal="left" vertical="center"/>
    </xf>
    <xf numFmtId="19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19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190" fontId="53" fillId="6" borderId="84" xfId="0" applyFont="1" applyFill="1" applyBorder="1" applyAlignment="1" applyProtection="1">
      <alignment horizontal="left" vertical="center" wrapText="1"/>
    </xf>
    <xf numFmtId="190" fontId="56" fillId="6" borderId="34" xfId="0" applyFont="1" applyFill="1" applyBorder="1" applyAlignment="1" applyProtection="1">
      <alignment vertical="center"/>
    </xf>
    <xf numFmtId="190" fontId="53" fillId="6" borderId="64" xfId="0" applyFont="1" applyFill="1" applyBorder="1" applyAlignment="1" applyProtection="1">
      <alignment horizontal="center" vertical="center" wrapText="1"/>
    </xf>
    <xf numFmtId="190" fontId="56" fillId="6" borderId="64" xfId="0" applyFont="1" applyFill="1" applyBorder="1" applyAlignment="1" applyProtection="1">
      <alignment vertical="center"/>
    </xf>
    <xf numFmtId="190" fontId="54" fillId="6" borderId="64" xfId="0" applyFont="1" applyFill="1" applyBorder="1" applyAlignment="1" applyProtection="1">
      <alignment vertical="center" wrapText="1"/>
    </xf>
    <xf numFmtId="190" fontId="54" fillId="6" borderId="65" xfId="0" applyFont="1" applyFill="1" applyBorder="1" applyAlignment="1" applyProtection="1">
      <alignment vertical="center" wrapText="1"/>
    </xf>
    <xf numFmtId="190" fontId="56" fillId="0" borderId="0" xfId="0" applyFont="1" applyAlignment="1" applyProtection="1">
      <alignment horizontal="center" vertical="center" wrapText="1"/>
    </xf>
    <xf numFmtId="190" fontId="54" fillId="6" borderId="84" xfId="0" applyFont="1" applyFill="1" applyBorder="1" applyAlignment="1" applyProtection="1">
      <alignment horizontal="center" vertical="center" wrapText="1"/>
    </xf>
    <xf numFmtId="190" fontId="54" fillId="5" borderId="84" xfId="8" applyFont="1" applyFill="1" applyBorder="1" applyAlignment="1" applyProtection="1">
      <alignment horizontal="center" vertical="center" wrapText="1"/>
      <protection locked="0"/>
    </xf>
    <xf numFmtId="190" fontId="54" fillId="6" borderId="6" xfId="0" applyFont="1" applyFill="1" applyBorder="1" applyAlignment="1" applyProtection="1">
      <alignment vertical="center" wrapText="1"/>
    </xf>
    <xf numFmtId="19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19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190" fontId="53" fillId="6" borderId="17" xfId="0" applyFont="1" applyFill="1" applyBorder="1" applyAlignment="1" applyProtection="1">
      <alignment horizontal="left" vertical="center" wrapText="1"/>
    </xf>
    <xf numFmtId="190" fontId="56" fillId="6" borderId="17" xfId="0" applyFont="1" applyFill="1" applyBorder="1" applyAlignment="1" applyProtection="1">
      <alignment horizontal="center" vertical="center" wrapText="1"/>
    </xf>
    <xf numFmtId="190" fontId="54" fillId="6" borderId="25" xfId="0" applyFont="1" applyFill="1" applyBorder="1" applyAlignment="1" applyProtection="1">
      <alignment vertical="center" wrapText="1"/>
    </xf>
    <xf numFmtId="190" fontId="54" fillId="6" borderId="19" xfId="8" applyFont="1" applyFill="1" applyBorder="1" applyAlignment="1" applyProtection="1">
      <alignment horizontal="center" vertical="center" wrapText="1"/>
      <protection locked="0"/>
    </xf>
    <xf numFmtId="190" fontId="54" fillId="6" borderId="9" xfId="8" applyFont="1" applyFill="1" applyBorder="1" applyAlignment="1" applyProtection="1">
      <alignment vertical="center" wrapText="1"/>
      <protection locked="0"/>
    </xf>
    <xf numFmtId="19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190" fontId="53" fillId="5" borderId="9" xfId="0" applyFont="1" applyFill="1" applyBorder="1" applyAlignment="1" applyProtection="1">
      <alignment horizontal="left" vertical="center" wrapText="1"/>
      <protection locked="0"/>
    </xf>
    <xf numFmtId="190" fontId="54" fillId="6" borderId="19" xfId="0" applyFont="1" applyFill="1" applyBorder="1" applyAlignment="1" applyProtection="1">
      <alignment vertical="center" wrapText="1"/>
    </xf>
    <xf numFmtId="190" fontId="54" fillId="6" borderId="10" xfId="0" applyFont="1" applyFill="1" applyBorder="1" applyAlignment="1" applyProtection="1">
      <alignment vertical="center" wrapText="1"/>
    </xf>
    <xf numFmtId="190" fontId="54" fillId="6" borderId="23" xfId="8" applyFont="1" applyFill="1" applyBorder="1" applyAlignment="1" applyProtection="1">
      <alignment horizontal="center" vertical="center" wrapText="1"/>
    </xf>
    <xf numFmtId="190" fontId="54" fillId="6" borderId="1" xfId="0" applyFont="1" applyFill="1" applyBorder="1" applyAlignment="1" applyProtection="1">
      <alignment horizontal="left" vertical="center" wrapText="1"/>
    </xf>
    <xf numFmtId="190" fontId="54" fillId="6" borderId="13" xfId="0" applyFont="1" applyFill="1" applyBorder="1" applyAlignment="1" applyProtection="1">
      <alignment horizontal="left" vertical="center" wrapText="1"/>
    </xf>
    <xf numFmtId="186" fontId="56" fillId="6" borderId="15" xfId="0" applyNumberFormat="1" applyFont="1" applyFill="1" applyBorder="1" applyAlignment="1" applyProtection="1">
      <alignment horizontal="center" vertical="center" wrapText="1"/>
    </xf>
    <xf numFmtId="186" fontId="56" fillId="6" borderId="58" xfId="0" applyNumberFormat="1" applyFont="1" applyFill="1" applyBorder="1" applyAlignment="1" applyProtection="1">
      <alignment horizontal="center" vertical="center" wrapText="1"/>
    </xf>
    <xf numFmtId="190" fontId="56" fillId="6" borderId="22" xfId="0" applyFont="1" applyFill="1" applyBorder="1" applyAlignment="1" applyProtection="1">
      <alignment vertical="center" wrapText="1"/>
    </xf>
    <xf numFmtId="190" fontId="54" fillId="6" borderId="13" xfId="0" applyFont="1" applyFill="1" applyBorder="1" applyAlignment="1" applyProtection="1">
      <alignment vertical="center" wrapText="1"/>
    </xf>
    <xf numFmtId="190" fontId="54" fillId="6" borderId="61" xfId="0" applyFont="1" applyFill="1" applyBorder="1" applyAlignment="1" applyProtection="1">
      <alignment vertical="center" wrapText="1"/>
    </xf>
    <xf numFmtId="190" fontId="54" fillId="6" borderId="84" xfId="0" applyFont="1" applyFill="1" applyBorder="1" applyAlignment="1" applyProtection="1">
      <alignment vertical="center" wrapText="1"/>
    </xf>
    <xf numFmtId="190" fontId="54" fillId="6" borderId="67" xfId="0" applyFont="1" applyFill="1" applyBorder="1" applyAlignment="1" applyProtection="1">
      <alignment vertical="center" wrapText="1"/>
    </xf>
    <xf numFmtId="190" fontId="54" fillId="6" borderId="25" xfId="8" applyFont="1" applyFill="1" applyBorder="1" applyAlignment="1" applyProtection="1">
      <alignment horizontal="center" vertical="center" wrapText="1"/>
    </xf>
    <xf numFmtId="190" fontId="53" fillId="6" borderId="28" xfId="0" applyFont="1" applyFill="1" applyBorder="1" applyAlignment="1" applyProtection="1">
      <alignment horizontal="left" vertical="center" wrapText="1"/>
    </xf>
    <xf numFmtId="190" fontId="57" fillId="6" borderId="19" xfId="0" applyFont="1" applyFill="1" applyBorder="1" applyAlignment="1" applyProtection="1">
      <alignment vertical="center" wrapText="1"/>
    </xf>
    <xf numFmtId="19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190" fontId="56" fillId="6" borderId="58" xfId="0" applyFont="1" applyFill="1" applyBorder="1" applyAlignment="1" applyProtection="1">
      <alignment vertical="center" wrapText="1"/>
    </xf>
    <xf numFmtId="190" fontId="57" fillId="6" borderId="0" xfId="0" applyFont="1" applyFill="1" applyBorder="1" applyAlignment="1" applyProtection="1">
      <alignment vertical="center" wrapText="1"/>
    </xf>
    <xf numFmtId="190" fontId="56" fillId="6" borderId="56" xfId="0" applyFont="1" applyFill="1" applyBorder="1" applyAlignment="1" applyProtection="1">
      <alignment vertical="center" wrapText="1"/>
    </xf>
    <xf numFmtId="190" fontId="54" fillId="6" borderId="0" xfId="0" applyFont="1" applyFill="1" applyBorder="1" applyAlignment="1" applyProtection="1">
      <alignment horizontal="left" vertical="center" wrapText="1"/>
    </xf>
    <xf numFmtId="190" fontId="56" fillId="6" borderId="75" xfId="0" applyFont="1" applyFill="1" applyBorder="1" applyAlignment="1" applyProtection="1">
      <alignment vertical="center" wrapText="1"/>
    </xf>
    <xf numFmtId="190" fontId="56" fillId="6" borderId="47" xfId="0" applyFont="1" applyFill="1" applyBorder="1" applyAlignment="1" applyProtection="1">
      <alignment vertical="center" wrapText="1"/>
    </xf>
    <xf numFmtId="190" fontId="57" fillId="6" borderId="47" xfId="0" applyFont="1" applyFill="1" applyBorder="1" applyAlignment="1" applyProtection="1">
      <alignment vertical="center" wrapText="1"/>
    </xf>
    <xf numFmtId="19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190" fontId="57" fillId="6" borderId="30" xfId="0" applyFont="1" applyFill="1" applyBorder="1" applyAlignment="1" applyProtection="1">
      <alignment vertical="center" wrapText="1"/>
    </xf>
    <xf numFmtId="190" fontId="53" fillId="6" borderId="9" xfId="0" applyFont="1" applyFill="1" applyBorder="1" applyAlignment="1" applyProtection="1">
      <alignment horizontal="center" vertical="center" wrapText="1"/>
    </xf>
    <xf numFmtId="190" fontId="53" fillId="6" borderId="28" xfId="0" applyFont="1" applyFill="1" applyBorder="1" applyAlignment="1" applyProtection="1">
      <alignment horizontal="center" vertical="center" wrapText="1"/>
    </xf>
    <xf numFmtId="190" fontId="57" fillId="6" borderId="28" xfId="0" applyFont="1" applyFill="1" applyBorder="1" applyAlignment="1" applyProtection="1">
      <alignment vertical="center" wrapText="1"/>
    </xf>
    <xf numFmtId="190" fontId="56" fillId="6" borderId="14" xfId="0" applyFont="1" applyFill="1" applyBorder="1" applyAlignment="1" applyProtection="1">
      <alignment horizontal="center" vertical="center" wrapText="1"/>
    </xf>
    <xf numFmtId="190" fontId="56" fillId="6" borderId="3" xfId="0" applyFont="1" applyFill="1" applyBorder="1" applyAlignment="1" applyProtection="1">
      <alignment horizontal="left" vertical="center" wrapText="1"/>
    </xf>
    <xf numFmtId="190" fontId="56" fillId="0" borderId="1" xfId="0" applyFont="1" applyBorder="1" applyAlignment="1" applyProtection="1">
      <alignment vertical="center" wrapText="1"/>
      <protection locked="0"/>
    </xf>
    <xf numFmtId="190" fontId="105" fillId="6" borderId="5" xfId="0" applyFont="1" applyFill="1" applyBorder="1" applyAlignment="1" applyProtection="1">
      <alignment vertical="center"/>
    </xf>
    <xf numFmtId="190" fontId="105" fillId="6" borderId="54" xfId="0" applyFont="1" applyFill="1" applyBorder="1" applyAlignment="1" applyProtection="1">
      <alignment vertical="center"/>
    </xf>
    <xf numFmtId="190" fontId="105" fillId="6" borderId="48" xfId="0" applyFont="1" applyFill="1" applyBorder="1" applyAlignment="1" applyProtection="1">
      <alignment vertical="center"/>
    </xf>
    <xf numFmtId="190" fontId="57" fillId="6" borderId="12" xfId="0" applyFont="1" applyFill="1" applyBorder="1" applyAlignment="1" applyProtection="1">
      <alignment vertical="center" wrapText="1"/>
    </xf>
    <xf numFmtId="190" fontId="56" fillId="6" borderId="66" xfId="0" applyFont="1" applyFill="1" applyBorder="1" applyAlignment="1" applyProtection="1">
      <alignment horizontal="left" vertical="center" wrapText="1"/>
    </xf>
    <xf numFmtId="190" fontId="56" fillId="0" borderId="32" xfId="0" applyFont="1" applyBorder="1" applyAlignment="1" applyProtection="1">
      <alignment vertical="center" wrapText="1"/>
      <protection locked="0"/>
    </xf>
    <xf numFmtId="190" fontId="56" fillId="6" borderId="32" xfId="0" applyFont="1" applyFill="1" applyBorder="1" applyAlignment="1" applyProtection="1">
      <alignment vertical="center"/>
    </xf>
    <xf numFmtId="190" fontId="56" fillId="6" borderId="52" xfId="0" applyFont="1" applyFill="1" applyBorder="1" applyAlignment="1" applyProtection="1">
      <alignment vertical="center" wrapText="1"/>
    </xf>
    <xf numFmtId="190" fontId="56" fillId="6" borderId="68" xfId="0" applyFont="1" applyFill="1" applyBorder="1" applyAlignment="1" applyProtection="1">
      <alignment vertical="center" wrapText="1"/>
    </xf>
    <xf numFmtId="190" fontId="57" fillId="6" borderId="40" xfId="0" applyFont="1" applyFill="1" applyBorder="1" applyAlignment="1" applyProtection="1">
      <alignment vertical="center" wrapText="1"/>
    </xf>
    <xf numFmtId="190" fontId="57" fillId="6" borderId="39" xfId="0" applyFont="1" applyFill="1" applyBorder="1" applyAlignment="1" applyProtection="1">
      <alignment horizontal="left" vertical="center" wrapText="1"/>
    </xf>
    <xf numFmtId="190" fontId="56" fillId="6" borderId="20" xfId="0" applyFont="1" applyFill="1" applyBorder="1" applyAlignment="1" applyProtection="1">
      <alignment vertical="center"/>
    </xf>
    <xf numFmtId="190" fontId="56" fillId="6" borderId="30" xfId="0" applyFont="1" applyFill="1" applyBorder="1" applyAlignment="1" applyProtection="1">
      <alignment vertical="center"/>
    </xf>
    <xf numFmtId="190" fontId="57" fillId="6" borderId="7" xfId="0" applyFont="1" applyFill="1" applyBorder="1" applyAlignment="1" applyProtection="1">
      <alignment vertical="center" wrapText="1"/>
    </xf>
    <xf numFmtId="190" fontId="53" fillId="6" borderId="2" xfId="0" applyFont="1" applyFill="1" applyBorder="1" applyAlignment="1" applyProtection="1">
      <alignment horizontal="center" vertical="center" wrapText="1"/>
    </xf>
    <xf numFmtId="190" fontId="105" fillId="6" borderId="7" xfId="0" applyFont="1" applyFill="1" applyBorder="1" applyAlignment="1" applyProtection="1">
      <alignment horizontal="center" vertical="center" wrapText="1"/>
    </xf>
    <xf numFmtId="190" fontId="56" fillId="6" borderId="56" xfId="0" applyFont="1" applyFill="1" applyBorder="1" applyAlignment="1" applyProtection="1">
      <alignment horizontal="center" vertical="center" wrapText="1"/>
    </xf>
    <xf numFmtId="190" fontId="57" fillId="6" borderId="14" xfId="0" applyFont="1" applyFill="1" applyBorder="1" applyAlignment="1" applyProtection="1">
      <alignment vertical="center" wrapText="1"/>
    </xf>
    <xf numFmtId="190" fontId="56" fillId="6" borderId="16" xfId="0" applyFont="1" applyFill="1" applyBorder="1" applyAlignment="1" applyProtection="1">
      <alignment vertical="center"/>
      <protection locked="0"/>
    </xf>
    <xf numFmtId="19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190" fontId="105" fillId="6" borderId="66" xfId="0" applyFont="1" applyFill="1" applyBorder="1" applyAlignment="1" applyProtection="1">
      <alignment horizontal="center" vertical="center" wrapText="1"/>
    </xf>
    <xf numFmtId="190" fontId="56" fillId="6" borderId="43" xfId="0" applyFont="1" applyFill="1" applyBorder="1" applyAlignment="1" applyProtection="1">
      <alignment horizontal="center" vertical="center" wrapText="1"/>
    </xf>
    <xf numFmtId="19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190" fontId="56" fillId="7" borderId="0" xfId="0" applyFont="1" applyFill="1" applyAlignment="1" applyProtection="1">
      <alignment horizontal="left" vertical="center" wrapText="1"/>
      <protection locked="0"/>
    </xf>
    <xf numFmtId="190" fontId="115" fillId="6" borderId="0" xfId="0" applyFont="1" applyFill="1" applyProtection="1">
      <alignment vertical="center"/>
    </xf>
    <xf numFmtId="186" fontId="104" fillId="6" borderId="0" xfId="0" applyNumberFormat="1" applyFont="1" applyFill="1" applyAlignment="1" applyProtection="1">
      <alignment horizontal="center" vertical="center" wrapText="1"/>
    </xf>
    <xf numFmtId="190" fontId="115" fillId="6" borderId="51" xfId="0" applyFont="1" applyFill="1" applyBorder="1" applyAlignment="1" applyProtection="1">
      <alignment vertical="center"/>
    </xf>
    <xf numFmtId="186" fontId="222" fillId="6" borderId="19" xfId="0" applyNumberFormat="1" applyFont="1" applyFill="1" applyBorder="1" applyAlignment="1" applyProtection="1">
      <alignment horizontal="center" vertical="center" wrapText="1"/>
    </xf>
    <xf numFmtId="190" fontId="104" fillId="6" borderId="19" xfId="0" applyFont="1" applyFill="1" applyBorder="1" applyProtection="1">
      <alignment vertical="center"/>
    </xf>
    <xf numFmtId="190" fontId="115" fillId="6" borderId="0" xfId="0" applyFont="1" applyFill="1" applyBorder="1" applyAlignment="1" applyProtection="1">
      <alignment horizontal="center" vertical="center"/>
    </xf>
    <xf numFmtId="190" fontId="105" fillId="6" borderId="23" xfId="0" applyFont="1" applyFill="1" applyBorder="1" applyAlignment="1" applyProtection="1">
      <alignment horizontal="center" vertical="center" wrapText="1"/>
    </xf>
    <xf numFmtId="190" fontId="120" fillId="6" borderId="58" xfId="0" applyFont="1" applyFill="1" applyBorder="1" applyAlignment="1" applyProtection="1">
      <alignment horizontal="center" vertical="center" wrapText="1"/>
    </xf>
    <xf numFmtId="19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190" fontId="105" fillId="6" borderId="1" xfId="0" applyNumberFormat="1" applyFont="1" applyFill="1" applyBorder="1" applyAlignment="1" applyProtection="1">
      <alignment horizontal="center" vertical="center" wrapText="1"/>
    </xf>
    <xf numFmtId="190" fontId="181" fillId="0" borderId="1" xfId="0" applyNumberFormat="1" applyFont="1" applyFill="1" applyBorder="1" applyAlignment="1" applyProtection="1">
      <alignment horizontal="center" vertical="center" wrapText="1"/>
      <protection locked="0"/>
    </xf>
    <xf numFmtId="190" fontId="181" fillId="0" borderId="13" xfId="0" applyNumberFormat="1" applyFont="1" applyFill="1" applyBorder="1" applyAlignment="1" applyProtection="1">
      <alignment horizontal="center" vertical="center" wrapText="1"/>
      <protection locked="0"/>
    </xf>
    <xf numFmtId="190" fontId="105" fillId="6" borderId="37" xfId="0" applyFont="1" applyFill="1" applyBorder="1" applyAlignment="1" applyProtection="1">
      <alignment horizontal="center" vertical="center" wrapText="1"/>
    </xf>
    <xf numFmtId="19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190" fontId="56" fillId="0" borderId="0" xfId="0" applyFont="1" applyAlignment="1" applyProtection="1">
      <alignment horizontal="center" vertical="center" wrapText="1"/>
      <protection locked="0"/>
    </xf>
    <xf numFmtId="190" fontId="181" fillId="0" borderId="32" xfId="0" applyNumberFormat="1" applyFont="1" applyFill="1" applyBorder="1" applyAlignment="1" applyProtection="1">
      <alignment horizontal="center" vertical="center" wrapText="1"/>
      <protection locked="0"/>
    </xf>
    <xf numFmtId="190" fontId="105" fillId="6" borderId="32" xfId="0" applyNumberFormat="1" applyFont="1" applyFill="1" applyBorder="1" applyAlignment="1" applyProtection="1">
      <alignment horizontal="center" vertical="center" wrapText="1"/>
    </xf>
    <xf numFmtId="190" fontId="108" fillId="6" borderId="0" xfId="0" applyFont="1" applyFill="1" applyAlignment="1" applyProtection="1">
      <alignment horizontal="center" vertical="center"/>
    </xf>
    <xf numFmtId="190" fontId="105" fillId="6" borderId="3" xfId="0" applyFont="1" applyFill="1" applyBorder="1" applyAlignment="1" applyProtection="1">
      <alignment vertical="center"/>
    </xf>
    <xf numFmtId="190" fontId="105" fillId="6" borderId="0" xfId="0" applyFont="1" applyFill="1" applyBorder="1" applyAlignment="1" applyProtection="1">
      <alignment horizontal="center" vertical="center"/>
    </xf>
    <xf numFmtId="185" fontId="105" fillId="6" borderId="1" xfId="0" applyNumberFormat="1"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6" fontId="120" fillId="6" borderId="1" xfId="0" applyNumberFormat="1" applyFont="1" applyFill="1" applyBorder="1" applyAlignment="1" applyProtection="1">
      <alignment horizontal="center" vertical="center" wrapText="1"/>
    </xf>
    <xf numFmtId="185"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190" fontId="105" fillId="0" borderId="0" xfId="0" applyFont="1" applyAlignment="1" applyProtection="1">
      <alignment horizontal="left" vertical="center"/>
    </xf>
    <xf numFmtId="190" fontId="56" fillId="0" borderId="0" xfId="0" applyFont="1" applyAlignment="1" applyProtection="1">
      <alignment horizontal="left" vertical="center" wrapText="1"/>
    </xf>
    <xf numFmtId="190" fontId="187" fillId="6" borderId="1" xfId="3" applyNumberFormat="1" applyFont="1" applyFill="1" applyBorder="1" applyAlignment="1" applyProtection="1">
      <alignment horizontal="center" vertical="center"/>
    </xf>
    <xf numFmtId="190" fontId="104" fillId="0" borderId="0" xfId="0" applyNumberFormat="1" applyFont="1" applyProtection="1">
      <alignment vertical="center"/>
    </xf>
    <xf numFmtId="190" fontId="56" fillId="6" borderId="9" xfId="3" applyNumberFormat="1" applyFont="1" applyFill="1" applyBorder="1" applyAlignment="1" applyProtection="1">
      <alignment horizontal="center" vertical="center"/>
    </xf>
    <xf numFmtId="190" fontId="56" fillId="6" borderId="2" xfId="3" applyNumberFormat="1" applyFont="1" applyFill="1" applyBorder="1" applyAlignment="1" applyProtection="1">
      <alignment horizontal="center" vertical="center"/>
    </xf>
    <xf numFmtId="190" fontId="56" fillId="6" borderId="2" xfId="3" applyNumberFormat="1" applyFont="1" applyFill="1" applyBorder="1" applyAlignment="1" applyProtection="1">
      <alignment horizontal="center" vertical="center" wrapText="1"/>
    </xf>
    <xf numFmtId="190" fontId="56" fillId="6" borderId="17" xfId="3" applyNumberFormat="1" applyFont="1" applyFill="1" applyBorder="1" applyAlignment="1" applyProtection="1">
      <alignment horizontal="center" vertical="center"/>
    </xf>
    <xf numFmtId="190" fontId="56" fillId="6" borderId="62" xfId="3" applyNumberFormat="1" applyFont="1" applyFill="1" applyBorder="1" applyAlignment="1" applyProtection="1">
      <alignment horizontal="center" vertical="center"/>
    </xf>
    <xf numFmtId="190" fontId="132" fillId="6" borderId="1" xfId="0" applyFont="1" applyFill="1" applyBorder="1">
      <alignment vertical="center"/>
    </xf>
    <xf numFmtId="190" fontId="104" fillId="6" borderId="1" xfId="0" applyFont="1" applyFill="1" applyBorder="1">
      <alignment vertical="center"/>
    </xf>
    <xf numFmtId="190" fontId="104" fillId="6" borderId="0" xfId="0" applyFont="1" applyFill="1">
      <alignment vertical="center"/>
    </xf>
    <xf numFmtId="190" fontId="132" fillId="6" borderId="0" xfId="0" applyFont="1" applyFill="1">
      <alignment vertical="center"/>
    </xf>
    <xf numFmtId="190" fontId="132" fillId="6" borderId="1" xfId="0" applyFont="1" applyFill="1" applyBorder="1" applyAlignment="1">
      <alignment vertical="center" wrapText="1"/>
    </xf>
    <xf numFmtId="190" fontId="132" fillId="5" borderId="1" xfId="0" applyFont="1" applyFill="1" applyBorder="1" applyAlignment="1" applyProtection="1">
      <alignment horizontal="center" vertical="center"/>
      <protection locked="0"/>
    </xf>
    <xf numFmtId="190" fontId="152" fillId="12" borderId="126" xfId="9" applyFont="1" applyFill="1" applyBorder="1" applyAlignment="1" applyProtection="1">
      <alignment horizontal="center" vertical="center" wrapText="1"/>
    </xf>
    <xf numFmtId="190" fontId="152" fillId="12" borderId="126" xfId="9" applyFont="1" applyFill="1" applyBorder="1" applyAlignment="1" applyProtection="1">
      <alignment vertical="center" wrapText="1"/>
    </xf>
    <xf numFmtId="190" fontId="152" fillId="12" borderId="155" xfId="9" applyFont="1" applyFill="1" applyBorder="1" applyAlignment="1" applyProtection="1">
      <alignment vertical="center" wrapText="1"/>
    </xf>
    <xf numFmtId="190" fontId="108" fillId="0" borderId="0" xfId="9" applyFont="1" applyFill="1" applyBorder="1" applyAlignment="1" applyProtection="1">
      <alignment horizontal="center" vertical="center"/>
      <protection locked="0"/>
    </xf>
    <xf numFmtId="190" fontId="153" fillId="14" borderId="0" xfId="9" applyFont="1" applyFill="1" applyBorder="1" applyAlignment="1" applyProtection="1">
      <alignment horizontal="center" vertical="center"/>
      <protection locked="0"/>
    </xf>
    <xf numFmtId="43" fontId="0" fillId="0" borderId="0" xfId="13" applyFont="1">
      <alignment vertical="center"/>
    </xf>
    <xf numFmtId="190" fontId="0" fillId="0" borderId="0" xfId="0" applyAlignment="1">
      <alignment horizontal="center" vertical="center"/>
    </xf>
    <xf numFmtId="190" fontId="0" fillId="5" borderId="1" xfId="0" applyFill="1" applyBorder="1" applyAlignment="1">
      <alignment horizontal="center" vertical="center"/>
    </xf>
    <xf numFmtId="43" fontId="0" fillId="5" borderId="1" xfId="13" applyFont="1" applyFill="1" applyBorder="1" applyAlignment="1">
      <alignment horizontal="center" vertical="center"/>
    </xf>
    <xf numFmtId="190" fontId="0" fillId="0" borderId="1" xfId="0" applyBorder="1" applyAlignment="1">
      <alignment horizontal="center" vertical="center"/>
    </xf>
    <xf numFmtId="43" fontId="0" fillId="0" borderId="1" xfId="13" applyFont="1" applyBorder="1" applyAlignment="1">
      <alignment horizontal="center" vertical="center"/>
    </xf>
    <xf numFmtId="190" fontId="0" fillId="7" borderId="1" xfId="0" applyFill="1" applyBorder="1">
      <alignment vertical="center"/>
    </xf>
    <xf numFmtId="43" fontId="0" fillId="7" borderId="1" xfId="13" applyFont="1" applyFill="1" applyBorder="1">
      <alignment vertical="center"/>
    </xf>
    <xf numFmtId="190" fontId="0" fillId="7" borderId="1" xfId="0" applyFill="1" applyBorder="1" applyAlignment="1">
      <alignment horizontal="center" vertical="center"/>
    </xf>
    <xf numFmtId="190" fontId="256" fillId="0" borderId="0" xfId="0" applyFont="1" applyFill="1">
      <alignment vertical="center"/>
    </xf>
    <xf numFmtId="190" fontId="256" fillId="0" borderId="1" xfId="0" applyFont="1" applyFill="1" applyBorder="1">
      <alignment vertical="center"/>
    </xf>
    <xf numFmtId="190" fontId="256" fillId="0" borderId="1" xfId="0" applyFont="1" applyFill="1" applyBorder="1" applyAlignment="1">
      <alignment horizontal="center" vertical="center"/>
    </xf>
    <xf numFmtId="190" fontId="256" fillId="14" borderId="1" xfId="0" applyFont="1" applyFill="1" applyBorder="1" applyAlignment="1">
      <alignment horizontal="center" vertical="center"/>
    </xf>
    <xf numFmtId="190" fontId="256" fillId="5" borderId="1" xfId="0" applyFont="1" applyFill="1" applyBorder="1" applyAlignment="1">
      <alignment horizontal="center" vertical="center"/>
    </xf>
    <xf numFmtId="190" fontId="257" fillId="0" borderId="1" xfId="0" applyFont="1" applyFill="1" applyBorder="1" applyAlignment="1">
      <alignment horizontal="center" vertical="center" wrapText="1"/>
    </xf>
    <xf numFmtId="185" fontId="257" fillId="0" borderId="1" xfId="0" applyNumberFormat="1" applyFont="1" applyFill="1" applyBorder="1" applyAlignment="1">
      <alignment horizontal="center" vertical="center" wrapText="1"/>
    </xf>
    <xf numFmtId="190" fontId="256" fillId="0" borderId="1" xfId="0" applyFont="1" applyFill="1" applyBorder="1" applyAlignment="1">
      <alignment horizontal="center" vertical="center" wrapText="1"/>
    </xf>
    <xf numFmtId="179" fontId="257" fillId="0" borderId="1" xfId="0" applyNumberFormat="1" applyFont="1" applyFill="1" applyBorder="1" applyAlignment="1">
      <alignment horizontal="center" vertical="center" wrapText="1"/>
    </xf>
    <xf numFmtId="190" fontId="258" fillId="0" borderId="1" xfId="0" applyFont="1" applyFill="1" applyBorder="1" applyAlignment="1">
      <alignment horizontal="center" vertical="center"/>
    </xf>
    <xf numFmtId="190" fontId="256" fillId="0" borderId="13" xfId="0" applyFont="1" applyFill="1" applyBorder="1" applyAlignment="1">
      <alignment horizontal="center" vertical="center"/>
    </xf>
    <xf numFmtId="190" fontId="0" fillId="0" borderId="0" xfId="0" applyFill="1">
      <alignment vertical="center"/>
    </xf>
    <xf numFmtId="190" fontId="0" fillId="5" borderId="0" xfId="0" applyFill="1">
      <alignment vertical="center"/>
    </xf>
    <xf numFmtId="190" fontId="113" fillId="0" borderId="0" xfId="0" applyFont="1" applyAlignment="1"/>
    <xf numFmtId="190" fontId="113" fillId="0" borderId="1" xfId="0" applyFont="1" applyBorder="1" applyAlignment="1"/>
    <xf numFmtId="190" fontId="113" fillId="0" borderId="1" xfId="0" applyFont="1" applyBorder="1" applyAlignment="1">
      <alignment horizontal="center"/>
    </xf>
    <xf numFmtId="43" fontId="113" fillId="0" borderId="1" xfId="13" applyFont="1" applyBorder="1" applyAlignment="1"/>
    <xf numFmtId="190" fontId="113" fillId="0" borderId="1" xfId="0" applyNumberFormat="1" applyFont="1" applyBorder="1" applyAlignment="1"/>
    <xf numFmtId="14" fontId="0" fillId="0" borderId="0" xfId="0" applyNumberFormat="1">
      <alignment vertical="center"/>
    </xf>
    <xf numFmtId="176" fontId="64" fillId="6" borderId="26" xfId="0" applyNumberFormat="1" applyFont="1" applyFill="1" applyBorder="1" applyAlignment="1" applyProtection="1">
      <alignment vertical="center" wrapText="1"/>
    </xf>
    <xf numFmtId="176" fontId="64" fillId="6" borderId="0" xfId="0" applyNumberFormat="1" applyFont="1" applyFill="1" applyBorder="1" applyAlignment="1" applyProtection="1">
      <alignment vertical="center" wrapText="1"/>
    </xf>
    <xf numFmtId="176" fontId="64" fillId="6" borderId="58" xfId="0" applyNumberFormat="1" applyFont="1" applyFill="1" applyBorder="1" applyAlignment="1" applyProtection="1">
      <alignment vertical="center" wrapText="1"/>
    </xf>
    <xf numFmtId="176" fontId="47" fillId="6" borderId="0" xfId="0" applyNumberFormat="1" applyFont="1" applyFill="1" applyAlignment="1" applyProtection="1">
      <alignment horizontal="center" vertical="center" wrapText="1"/>
    </xf>
    <xf numFmtId="176" fontId="47" fillId="6" borderId="0" xfId="0" applyNumberFormat="1" applyFont="1" applyFill="1" applyAlignment="1" applyProtection="1">
      <alignment vertical="center" wrapText="1"/>
    </xf>
    <xf numFmtId="176" fontId="47" fillId="0" borderId="0" xfId="0" applyNumberFormat="1" applyFont="1" applyAlignment="1" applyProtection="1">
      <alignment vertical="center"/>
    </xf>
    <xf numFmtId="176" fontId="47" fillId="0" borderId="0" xfId="0" applyNumberFormat="1" applyFont="1" applyAlignment="1" applyProtection="1">
      <alignment vertical="center" wrapText="1"/>
    </xf>
    <xf numFmtId="176" fontId="64" fillId="0" borderId="0" xfId="0" applyNumberFormat="1" applyFont="1" applyFill="1" applyBorder="1" applyAlignment="1" applyProtection="1">
      <alignment vertical="center"/>
      <protection locked="0"/>
    </xf>
    <xf numFmtId="176" fontId="64" fillId="0" borderId="0" xfId="0" applyNumberFormat="1" applyFont="1" applyFill="1" applyBorder="1" applyAlignment="1" applyProtection="1">
      <alignment vertical="center" wrapText="1"/>
    </xf>
    <xf numFmtId="176" fontId="64" fillId="6" borderId="0" xfId="0" applyNumberFormat="1" applyFont="1" applyFill="1" applyBorder="1" applyAlignment="1" applyProtection="1">
      <alignment horizontal="center" vertical="center" wrapText="1"/>
    </xf>
    <xf numFmtId="176" fontId="64" fillId="6" borderId="1" xfId="0" applyNumberFormat="1" applyFont="1" applyFill="1" applyBorder="1" applyAlignment="1" applyProtection="1">
      <alignment horizontal="left" vertical="center"/>
    </xf>
    <xf numFmtId="176" fontId="64" fillId="6" borderId="1" xfId="0" applyNumberFormat="1" applyFont="1" applyFill="1" applyBorder="1" applyAlignment="1" applyProtection="1">
      <alignment vertical="center" wrapText="1"/>
    </xf>
    <xf numFmtId="176" fontId="64" fillId="6" borderId="78" xfId="0" applyNumberFormat="1" applyFont="1" applyFill="1" applyBorder="1" applyAlignment="1" applyProtection="1">
      <alignment horizontal="left" vertical="center"/>
    </xf>
    <xf numFmtId="176" fontId="64" fillId="5" borderId="78" xfId="0" applyNumberFormat="1" applyFont="1" applyFill="1" applyBorder="1" applyAlignment="1" applyProtection="1">
      <alignment horizontal="center" vertical="center"/>
      <protection locked="0"/>
    </xf>
    <xf numFmtId="176" fontId="64" fillId="6" borderId="78" xfId="0" applyNumberFormat="1" applyFont="1" applyFill="1" applyBorder="1" applyAlignment="1" applyProtection="1">
      <alignment horizontal="right" vertical="center" shrinkToFit="1"/>
    </xf>
    <xf numFmtId="176" fontId="64" fillId="6" borderId="85" xfId="0" applyNumberFormat="1" applyFont="1" applyFill="1" applyBorder="1" applyAlignment="1" applyProtection="1">
      <alignment vertical="center" wrapText="1"/>
    </xf>
    <xf numFmtId="176" fontId="64" fillId="6" borderId="119" xfId="0" applyNumberFormat="1" applyFont="1" applyFill="1" applyBorder="1" applyAlignment="1" applyProtection="1">
      <alignment vertical="center" wrapText="1"/>
    </xf>
    <xf numFmtId="176" fontId="64" fillId="6" borderId="0" xfId="0" applyNumberFormat="1" applyFont="1" applyFill="1" applyAlignment="1" applyProtection="1">
      <alignment vertical="center" wrapText="1"/>
    </xf>
    <xf numFmtId="176" fontId="64" fillId="6" borderId="58" xfId="0" applyNumberFormat="1" applyFont="1" applyFill="1" applyBorder="1" applyAlignment="1" applyProtection="1">
      <alignment horizontal="left" vertical="center"/>
    </xf>
    <xf numFmtId="176" fontId="64" fillId="6" borderId="4" xfId="0" applyNumberFormat="1" applyFont="1" applyFill="1" applyBorder="1" applyAlignment="1" applyProtection="1">
      <alignment vertical="center" wrapText="1"/>
    </xf>
    <xf numFmtId="176" fontId="64" fillId="7" borderId="151" xfId="0" applyNumberFormat="1" applyFont="1" applyFill="1" applyBorder="1" applyAlignment="1" applyProtection="1">
      <alignment vertical="center" wrapText="1"/>
      <protection locked="0"/>
    </xf>
    <xf numFmtId="176" fontId="64" fillId="7" borderId="60" xfId="0" applyNumberFormat="1" applyFont="1" applyFill="1" applyBorder="1" applyAlignment="1" applyProtection="1">
      <alignment vertical="center" wrapText="1"/>
    </xf>
    <xf numFmtId="176" fontId="64" fillId="7" borderId="7" xfId="0" applyNumberFormat="1" applyFont="1" applyFill="1" applyBorder="1" applyAlignment="1" applyProtection="1">
      <alignment vertical="center" wrapText="1"/>
    </xf>
    <xf numFmtId="176" fontId="64" fillId="6" borderId="46" xfId="0" applyNumberFormat="1" applyFont="1" applyFill="1" applyBorder="1" applyAlignment="1" applyProtection="1">
      <alignment vertical="center" wrapText="1"/>
    </xf>
    <xf numFmtId="176" fontId="64" fillId="7" borderId="5" xfId="0" applyNumberFormat="1" applyFont="1" applyFill="1" applyBorder="1" applyAlignment="1" applyProtection="1">
      <alignment vertical="center"/>
      <protection locked="0"/>
    </xf>
    <xf numFmtId="176" fontId="64" fillId="7" borderId="54" xfId="0" applyNumberFormat="1" applyFont="1" applyFill="1" applyBorder="1" applyAlignment="1" applyProtection="1">
      <alignment vertical="center" wrapText="1"/>
    </xf>
    <xf numFmtId="176" fontId="64" fillId="7" borderId="22" xfId="0" applyNumberFormat="1" applyFont="1" applyFill="1" applyBorder="1" applyAlignment="1" applyProtection="1">
      <alignment vertical="center" wrapText="1"/>
    </xf>
    <xf numFmtId="176" fontId="64" fillId="6" borderId="58" xfId="0" applyNumberFormat="1" applyFont="1" applyFill="1" applyBorder="1" applyAlignment="1" applyProtection="1">
      <alignment horizontal="center" vertical="center" wrapText="1"/>
    </xf>
    <xf numFmtId="176" fontId="64" fillId="7" borderId="5" xfId="0" applyNumberFormat="1" applyFont="1" applyFill="1" applyBorder="1" applyAlignment="1" applyProtection="1">
      <alignment vertical="center" wrapText="1"/>
      <protection locked="0"/>
    </xf>
    <xf numFmtId="176" fontId="64" fillId="5" borderId="5" xfId="0" applyNumberFormat="1" applyFont="1" applyFill="1" applyBorder="1" applyAlignment="1" applyProtection="1">
      <alignment horizontal="left" vertical="center" wrapText="1"/>
      <protection locked="0"/>
    </xf>
    <xf numFmtId="176" fontId="64" fillId="5" borderId="54" xfId="0" applyNumberFormat="1" applyFont="1" applyFill="1" applyBorder="1" applyAlignment="1" applyProtection="1">
      <alignment vertical="center" wrapText="1"/>
    </xf>
    <xf numFmtId="176" fontId="64" fillId="5" borderId="13" xfId="0" applyNumberFormat="1" applyFont="1" applyFill="1" applyBorder="1" applyAlignment="1" applyProtection="1">
      <alignment horizontal="left" vertical="center"/>
      <protection locked="0"/>
    </xf>
    <xf numFmtId="176" fontId="64" fillId="5" borderId="22" xfId="0" applyNumberFormat="1" applyFont="1" applyFill="1" applyBorder="1" applyAlignment="1" applyProtection="1">
      <alignment vertical="center" wrapText="1"/>
    </xf>
    <xf numFmtId="176" fontId="64" fillId="5" borderId="85" xfId="0" applyNumberFormat="1" applyFont="1" applyFill="1" applyBorder="1" applyAlignment="1" applyProtection="1">
      <alignment horizontal="left" vertical="center"/>
      <protection locked="0"/>
    </xf>
    <xf numFmtId="176" fontId="64" fillId="5" borderId="88" xfId="0" applyNumberFormat="1" applyFont="1" applyFill="1" applyBorder="1" applyAlignment="1" applyProtection="1">
      <alignment vertical="center" wrapText="1"/>
    </xf>
    <xf numFmtId="176" fontId="64" fillId="5" borderId="119" xfId="0" applyNumberFormat="1" applyFont="1" applyFill="1" applyBorder="1" applyAlignment="1" applyProtection="1">
      <alignment vertical="center" wrapText="1"/>
    </xf>
    <xf numFmtId="176" fontId="64" fillId="6" borderId="87" xfId="0" applyNumberFormat="1" applyFont="1" applyFill="1" applyBorder="1" applyAlignment="1" applyProtection="1">
      <alignment vertical="center" wrapText="1"/>
    </xf>
    <xf numFmtId="176" fontId="64" fillId="6" borderId="2" xfId="0" applyNumberFormat="1" applyFont="1" applyFill="1" applyBorder="1" applyAlignment="1" applyProtection="1">
      <alignment horizontal="left" vertical="center"/>
    </xf>
    <xf numFmtId="176" fontId="64" fillId="2" borderId="7" xfId="0" applyNumberFormat="1" applyFont="1" applyFill="1" applyBorder="1" applyAlignment="1" applyProtection="1">
      <alignment horizontal="center" vertical="center" wrapText="1"/>
      <protection locked="0"/>
    </xf>
    <xf numFmtId="176" fontId="191" fillId="7" borderId="60" xfId="0" applyNumberFormat="1" applyFont="1" applyFill="1" applyBorder="1" applyAlignment="1" applyProtection="1">
      <alignment vertical="center" wrapText="1"/>
      <protection locked="0"/>
    </xf>
    <xf numFmtId="176" fontId="64" fillId="6" borderId="2" xfId="0" applyNumberFormat="1" applyFont="1" applyFill="1" applyBorder="1" applyAlignment="1" applyProtection="1">
      <alignment horizontal="left" vertical="center" wrapText="1"/>
    </xf>
    <xf numFmtId="176" fontId="231" fillId="0" borderId="4" xfId="0" applyNumberFormat="1" applyFont="1" applyFill="1" applyBorder="1" applyAlignment="1" applyProtection="1">
      <alignment horizontal="left" vertical="center"/>
      <protection locked="0"/>
    </xf>
    <xf numFmtId="176" fontId="64" fillId="0" borderId="60" xfId="0" applyNumberFormat="1" applyFont="1" applyFill="1" applyBorder="1" applyAlignment="1" applyProtection="1">
      <alignment vertical="center" wrapText="1"/>
    </xf>
    <xf numFmtId="176" fontId="64" fillId="7" borderId="60" xfId="0" applyNumberFormat="1" applyFont="1" applyFill="1" applyBorder="1" applyAlignment="1" applyProtection="1">
      <alignment horizontal="center" vertical="center" wrapText="1"/>
    </xf>
    <xf numFmtId="176" fontId="64" fillId="6" borderId="46" xfId="0" applyNumberFormat="1" applyFont="1" applyFill="1" applyBorder="1" applyAlignment="1" applyProtection="1">
      <alignment horizontal="left" vertical="center"/>
    </xf>
    <xf numFmtId="176" fontId="64" fillId="5" borderId="13" xfId="0" applyNumberFormat="1" applyFont="1" applyFill="1" applyBorder="1" applyAlignment="1" applyProtection="1">
      <alignment horizontal="center" vertical="center" wrapText="1"/>
      <protection locked="0"/>
    </xf>
    <xf numFmtId="176" fontId="64" fillId="7" borderId="54" xfId="0" applyNumberFormat="1" applyFont="1" applyFill="1" applyBorder="1" applyAlignment="1" applyProtection="1">
      <alignment vertical="center" wrapText="1"/>
      <protection locked="0"/>
    </xf>
    <xf numFmtId="176" fontId="64" fillId="7" borderId="3" xfId="0" applyNumberFormat="1" applyFont="1" applyFill="1" applyBorder="1" applyAlignment="1" applyProtection="1">
      <alignment vertical="center" wrapText="1"/>
    </xf>
    <xf numFmtId="176" fontId="64" fillId="6" borderId="13" xfId="0" applyNumberFormat="1" applyFont="1" applyFill="1" applyBorder="1" applyAlignment="1" applyProtection="1">
      <alignment horizontal="left" vertical="center" wrapText="1"/>
    </xf>
    <xf numFmtId="176" fontId="47" fillId="6" borderId="1" xfId="0" applyNumberFormat="1" applyFont="1" applyFill="1" applyBorder="1" applyAlignment="1" applyProtection="1">
      <alignment vertical="center" wrapText="1"/>
    </xf>
    <xf numFmtId="176" fontId="64" fillId="6" borderId="15" xfId="0" applyNumberFormat="1" applyFont="1" applyFill="1" applyBorder="1" applyAlignment="1" applyProtection="1">
      <alignment horizontal="left" vertical="center"/>
    </xf>
    <xf numFmtId="176" fontId="64" fillId="2" borderId="15" xfId="0" applyNumberFormat="1" applyFont="1" applyFill="1" applyBorder="1" applyAlignment="1" applyProtection="1">
      <alignment horizontal="left" vertical="center" wrapText="1"/>
    </xf>
    <xf numFmtId="176" fontId="64" fillId="6" borderId="60" xfId="0" applyNumberFormat="1" applyFont="1" applyFill="1" applyBorder="1" applyAlignment="1" applyProtection="1">
      <alignment vertical="center" wrapText="1"/>
    </xf>
    <xf numFmtId="176" fontId="64" fillId="0" borderId="1" xfId="0" applyNumberFormat="1" applyFont="1" applyFill="1" applyBorder="1" applyAlignment="1" applyProtection="1">
      <alignment horizontal="center" vertical="center" shrinkToFit="1"/>
      <protection locked="0"/>
    </xf>
    <xf numFmtId="176" fontId="50" fillId="0" borderId="1" xfId="0" applyNumberFormat="1" applyFont="1" applyFill="1" applyBorder="1" applyAlignment="1" applyProtection="1">
      <alignment horizontal="center" vertical="center" shrinkToFit="1"/>
      <protection locked="0"/>
    </xf>
    <xf numFmtId="176" fontId="64" fillId="5" borderId="1" xfId="1" applyNumberFormat="1" applyFont="1" applyFill="1" applyBorder="1" applyAlignment="1" applyProtection="1">
      <alignment horizontal="center" vertical="center"/>
      <protection locked="0"/>
    </xf>
    <xf numFmtId="176" fontId="64" fillId="2" borderId="2" xfId="0" applyNumberFormat="1" applyFont="1" applyFill="1" applyBorder="1" applyAlignment="1" applyProtection="1">
      <alignment horizontal="left" vertical="center" wrapText="1"/>
    </xf>
    <xf numFmtId="176" fontId="64" fillId="6" borderId="1" xfId="0" applyNumberFormat="1" applyFont="1" applyFill="1" applyBorder="1" applyAlignment="1" applyProtection="1">
      <alignment horizontal="center" vertical="center" wrapText="1"/>
    </xf>
    <xf numFmtId="176" fontId="64" fillId="6" borderId="15" xfId="0" applyNumberFormat="1" applyFont="1" applyFill="1" applyBorder="1" applyAlignment="1" applyProtection="1">
      <alignment horizontal="left" vertical="center" wrapText="1"/>
    </xf>
    <xf numFmtId="176" fontId="64" fillId="6" borderId="13" xfId="0" applyNumberFormat="1" applyFont="1" applyFill="1" applyBorder="1" applyAlignment="1" applyProtection="1">
      <alignment horizontal="left" vertical="center"/>
    </xf>
    <xf numFmtId="176" fontId="64" fillId="6" borderId="1" xfId="0" applyNumberFormat="1" applyFont="1" applyFill="1" applyBorder="1" applyAlignment="1" applyProtection="1">
      <alignment horizontal="left" vertical="center" wrapText="1"/>
    </xf>
    <xf numFmtId="176" fontId="64" fillId="5" borderId="77" xfId="0" applyNumberFormat="1" applyFont="1" applyFill="1" applyBorder="1" applyAlignment="1" applyProtection="1">
      <alignment horizontal="left" vertical="center" wrapText="1"/>
      <protection locked="0"/>
    </xf>
    <xf numFmtId="176" fontId="64" fillId="6" borderId="78" xfId="0" applyNumberFormat="1" applyFont="1" applyFill="1" applyBorder="1" applyAlignment="1" applyProtection="1">
      <alignment horizontal="center" vertical="center" wrapText="1"/>
    </xf>
    <xf numFmtId="176" fontId="64" fillId="6" borderId="78" xfId="0" applyNumberFormat="1" applyFont="1" applyFill="1" applyBorder="1" applyAlignment="1" applyProtection="1">
      <alignment horizontal="left" vertical="center" wrapText="1"/>
    </xf>
    <xf numFmtId="176" fontId="50" fillId="6" borderId="2" xfId="0" applyNumberFormat="1" applyFont="1" applyFill="1" applyBorder="1" applyAlignment="1" applyProtection="1">
      <alignment horizontal="left" vertical="center" wrapText="1"/>
    </xf>
    <xf numFmtId="176" fontId="50" fillId="6" borderId="15" xfId="0" applyNumberFormat="1" applyFont="1" applyFill="1" applyBorder="1" applyAlignment="1" applyProtection="1">
      <alignment vertical="center"/>
    </xf>
    <xf numFmtId="176" fontId="50" fillId="5" borderId="15" xfId="0" applyNumberFormat="1" applyFont="1" applyFill="1" applyBorder="1" applyAlignment="1" applyProtection="1">
      <alignment horizontal="center" vertical="center" wrapText="1"/>
      <protection locked="0"/>
    </xf>
    <xf numFmtId="176" fontId="50" fillId="6" borderId="74" xfId="0" applyNumberFormat="1" applyFont="1" applyFill="1" applyBorder="1" applyAlignment="1" applyProtection="1">
      <alignment horizontal="center" vertical="center" wrapText="1"/>
    </xf>
    <xf numFmtId="176" fontId="50" fillId="5" borderId="74" xfId="0" applyNumberFormat="1" applyFont="1" applyFill="1" applyBorder="1" applyAlignment="1" applyProtection="1">
      <alignment horizontal="center" vertical="center" wrapText="1"/>
      <protection locked="0"/>
    </xf>
    <xf numFmtId="176" fontId="120" fillId="6" borderId="74" xfId="0" applyNumberFormat="1" applyFont="1" applyFill="1" applyBorder="1" applyAlignment="1" applyProtection="1">
      <alignment vertical="center" wrapText="1"/>
    </xf>
    <xf numFmtId="176" fontId="50" fillId="5" borderId="76" xfId="0" applyNumberFormat="1" applyFont="1" applyFill="1" applyBorder="1" applyAlignment="1" applyProtection="1">
      <alignment horizontal="center" vertical="center" wrapText="1"/>
      <protection locked="0"/>
    </xf>
    <xf numFmtId="176" fontId="50" fillId="6" borderId="5" xfId="0" applyNumberFormat="1" applyFont="1" applyFill="1" applyBorder="1" applyAlignment="1" applyProtection="1">
      <alignment horizontal="right" vertical="center" wrapText="1"/>
    </xf>
    <xf numFmtId="176" fontId="50" fillId="6" borderId="27" xfId="0" applyNumberFormat="1" applyFont="1" applyFill="1" applyBorder="1" applyAlignment="1" applyProtection="1">
      <alignment vertical="center"/>
    </xf>
    <xf numFmtId="176" fontId="50" fillId="6" borderId="0" xfId="0" applyNumberFormat="1" applyFont="1" applyFill="1" applyBorder="1" applyAlignment="1" applyProtection="1">
      <alignment vertical="center"/>
    </xf>
    <xf numFmtId="176" fontId="58" fillId="5" borderId="23" xfId="0" applyNumberFormat="1" applyFont="1" applyFill="1" applyBorder="1" applyAlignment="1" applyProtection="1">
      <alignment horizontal="center" vertical="center" wrapText="1"/>
      <protection locked="0"/>
    </xf>
    <xf numFmtId="176" fontId="50" fillId="5" borderId="24" xfId="0" applyNumberFormat="1" applyFont="1" applyFill="1" applyBorder="1" applyAlignment="1" applyProtection="1">
      <alignment horizontal="center" vertical="center" wrapText="1"/>
      <protection locked="0"/>
    </xf>
    <xf numFmtId="176" fontId="181" fillId="0" borderId="23" xfId="0" applyNumberFormat="1" applyFont="1" applyBorder="1" applyAlignment="1" applyProtection="1">
      <alignment vertical="center" wrapText="1"/>
      <protection locked="0"/>
    </xf>
    <xf numFmtId="176" fontId="50" fillId="5" borderId="5" xfId="0" applyNumberFormat="1" applyFont="1" applyFill="1" applyBorder="1" applyAlignment="1" applyProtection="1">
      <alignment horizontal="center" vertical="center" wrapText="1"/>
      <protection locked="0"/>
    </xf>
    <xf numFmtId="176" fontId="50" fillId="0" borderId="86" xfId="0" applyNumberFormat="1" applyFont="1" applyBorder="1" applyAlignment="1" applyProtection="1">
      <alignment vertical="center" wrapText="1"/>
      <protection locked="0"/>
    </xf>
    <xf numFmtId="176" fontId="58" fillId="5" borderId="23" xfId="0" applyNumberFormat="1" applyFont="1" applyFill="1" applyBorder="1" applyAlignment="1" applyProtection="1">
      <alignment horizontal="center" vertical="center" wrapText="1" shrinkToFit="1"/>
      <protection locked="0"/>
    </xf>
    <xf numFmtId="176" fontId="64" fillId="6" borderId="56" xfId="0" applyNumberFormat="1" applyFont="1" applyFill="1" applyBorder="1" applyAlignment="1" applyProtection="1">
      <alignment vertical="center" wrapText="1"/>
    </xf>
    <xf numFmtId="176" fontId="50" fillId="6" borderId="18" xfId="0" applyNumberFormat="1" applyFont="1" applyFill="1" applyBorder="1" applyAlignment="1" applyProtection="1">
      <alignment horizontal="right" vertical="center" wrapText="1"/>
    </xf>
    <xf numFmtId="176" fontId="50" fillId="6" borderId="23" xfId="0" applyNumberFormat="1" applyFont="1" applyFill="1" applyBorder="1" applyAlignment="1" applyProtection="1">
      <alignment horizontal="right" vertical="center" wrapText="1"/>
    </xf>
    <xf numFmtId="176" fontId="181" fillId="0" borderId="24" xfId="0" applyNumberFormat="1" applyFont="1" applyFill="1" applyBorder="1" applyAlignment="1" applyProtection="1">
      <alignment horizontal="left" vertical="center" shrinkToFit="1"/>
      <protection locked="0"/>
    </xf>
    <xf numFmtId="176" fontId="50" fillId="6" borderId="16" xfId="0" applyNumberFormat="1" applyFont="1" applyFill="1" applyBorder="1" applyAlignment="1" applyProtection="1">
      <alignment horizontal="right" vertical="center" wrapText="1"/>
    </xf>
    <xf numFmtId="176" fontId="181" fillId="0" borderId="21" xfId="0" applyNumberFormat="1" applyFont="1" applyFill="1" applyBorder="1" applyAlignment="1" applyProtection="1">
      <alignment horizontal="left" vertical="center" shrinkToFit="1"/>
      <protection locked="0"/>
    </xf>
    <xf numFmtId="176" fontId="50" fillId="6" borderId="58" xfId="0" applyNumberFormat="1" applyFont="1" applyFill="1" applyBorder="1" applyAlignment="1" applyProtection="1">
      <alignment horizontal="center" vertical="center" wrapText="1"/>
    </xf>
    <xf numFmtId="176" fontId="50" fillId="6" borderId="18" xfId="0" applyNumberFormat="1" applyFont="1" applyFill="1" applyBorder="1" applyAlignment="1" applyProtection="1">
      <alignment horizontal="left" vertical="center" wrapText="1"/>
    </xf>
    <xf numFmtId="176" fontId="181" fillId="0" borderId="24" xfId="0" applyNumberFormat="1" applyFont="1" applyFill="1" applyBorder="1" applyAlignment="1" applyProtection="1">
      <alignment horizontal="left" vertical="center" wrapText="1"/>
      <protection locked="0"/>
    </xf>
    <xf numFmtId="176" fontId="181" fillId="0" borderId="48" xfId="0" applyNumberFormat="1" applyFont="1" applyFill="1" applyBorder="1" applyAlignment="1" applyProtection="1">
      <alignment horizontal="left" vertical="center" wrapText="1"/>
      <protection locked="0"/>
    </xf>
    <xf numFmtId="176" fontId="50" fillId="6" borderId="89" xfId="0" applyNumberFormat="1" applyFont="1" applyFill="1" applyBorder="1" applyAlignment="1" applyProtection="1">
      <alignment horizontal="left" vertical="center" wrapText="1"/>
    </xf>
    <xf numFmtId="176" fontId="50" fillId="6" borderId="91" xfId="0" applyNumberFormat="1" applyFont="1" applyFill="1" applyBorder="1" applyAlignment="1" applyProtection="1">
      <alignment horizontal="right" vertical="center" wrapText="1"/>
    </xf>
    <xf numFmtId="176" fontId="181" fillId="0" borderId="79" xfId="0" applyNumberFormat="1" applyFont="1" applyFill="1" applyBorder="1" applyAlignment="1" applyProtection="1">
      <alignment horizontal="left" vertical="center" wrapText="1"/>
      <protection locked="0"/>
    </xf>
    <xf numFmtId="176" fontId="50" fillId="6" borderId="89" xfId="0" applyNumberFormat="1" applyFont="1" applyFill="1" applyBorder="1" applyAlignment="1" applyProtection="1">
      <alignment horizontal="right" vertical="center" wrapText="1"/>
    </xf>
    <xf numFmtId="176" fontId="181" fillId="0" borderId="90" xfId="0" applyNumberFormat="1" applyFont="1" applyFill="1" applyBorder="1" applyAlignment="1" applyProtection="1">
      <alignment horizontal="left" vertical="center" wrapText="1"/>
      <protection locked="0"/>
    </xf>
    <xf numFmtId="176" fontId="64" fillId="6" borderId="92" xfId="0" applyNumberFormat="1" applyFont="1" applyFill="1" applyBorder="1" applyAlignment="1" applyProtection="1">
      <alignment vertical="center" wrapText="1"/>
    </xf>
    <xf numFmtId="176" fontId="64" fillId="2" borderId="4" xfId="0" applyNumberFormat="1" applyFont="1" applyFill="1" applyBorder="1" applyAlignment="1" applyProtection="1">
      <alignment vertical="center"/>
      <protection locked="0"/>
    </xf>
    <xf numFmtId="176" fontId="64" fillId="2" borderId="7" xfId="0" applyNumberFormat="1" applyFont="1" applyFill="1" applyBorder="1" applyAlignment="1" applyProtection="1">
      <alignment vertical="center" wrapText="1"/>
    </xf>
    <xf numFmtId="176" fontId="64" fillId="2" borderId="7" xfId="0" applyNumberFormat="1" applyFont="1" applyFill="1" applyBorder="1" applyAlignment="1" applyProtection="1">
      <alignment horizontal="left" vertical="center"/>
      <protection locked="0"/>
    </xf>
    <xf numFmtId="176" fontId="64" fillId="0" borderId="2" xfId="0" applyNumberFormat="1" applyFont="1" applyBorder="1" applyAlignment="1" applyProtection="1">
      <alignment horizontal="left" vertical="center" wrapText="1"/>
      <protection locked="0"/>
    </xf>
    <xf numFmtId="176" fontId="47" fillId="6" borderId="58" xfId="0" applyNumberFormat="1" applyFont="1" applyFill="1" applyBorder="1" applyAlignment="1" applyProtection="1">
      <alignment horizontal="center" vertical="center" wrapText="1"/>
    </xf>
    <xf numFmtId="176" fontId="64" fillId="2" borderId="5" xfId="0" applyNumberFormat="1" applyFont="1" applyFill="1" applyBorder="1" applyAlignment="1" applyProtection="1">
      <alignment vertical="center"/>
      <protection locked="0"/>
    </xf>
    <xf numFmtId="176" fontId="64" fillId="2" borderId="3" xfId="0" applyNumberFormat="1" applyFont="1" applyFill="1" applyBorder="1" applyAlignment="1" applyProtection="1">
      <alignment vertical="center"/>
    </xf>
    <xf numFmtId="176" fontId="64" fillId="5" borderId="3" xfId="0" applyNumberFormat="1" applyFont="1" applyFill="1" applyBorder="1" applyAlignment="1" applyProtection="1">
      <alignment horizontal="center" vertical="center" wrapText="1"/>
      <protection locked="0"/>
    </xf>
    <xf numFmtId="176" fontId="64" fillId="6" borderId="5" xfId="0" applyNumberFormat="1" applyFont="1" applyFill="1" applyBorder="1" applyAlignment="1" applyProtection="1">
      <alignment horizontal="left" vertical="center"/>
    </xf>
    <xf numFmtId="176" fontId="64" fillId="6" borderId="3" xfId="0" applyNumberFormat="1" applyFont="1" applyFill="1" applyBorder="1" applyAlignment="1" applyProtection="1">
      <alignment vertical="center" wrapText="1"/>
    </xf>
    <xf numFmtId="176" fontId="64" fillId="0" borderId="1" xfId="0" applyNumberFormat="1" applyFont="1" applyBorder="1" applyAlignment="1" applyProtection="1">
      <alignment horizontal="left" vertical="center"/>
      <protection locked="0"/>
    </xf>
    <xf numFmtId="176" fontId="64" fillId="5" borderId="22" xfId="0" applyNumberFormat="1" applyFont="1" applyFill="1" applyBorder="1" applyAlignment="1" applyProtection="1">
      <alignment horizontal="center" vertical="center" wrapText="1"/>
      <protection locked="0"/>
    </xf>
    <xf numFmtId="176" fontId="64" fillId="6" borderId="22" xfId="0" applyNumberFormat="1" applyFont="1" applyFill="1" applyBorder="1" applyAlignment="1" applyProtection="1">
      <alignment vertical="center" wrapText="1"/>
    </xf>
    <xf numFmtId="176" fontId="64" fillId="0" borderId="13" xfId="0" applyNumberFormat="1" applyFont="1" applyBorder="1" applyAlignment="1" applyProtection="1">
      <alignment horizontal="left" vertical="center"/>
      <protection locked="0"/>
    </xf>
    <xf numFmtId="176" fontId="61" fillId="5" borderId="1" xfId="0" applyNumberFormat="1" applyFont="1" applyFill="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64" fillId="6" borderId="13" xfId="0" applyNumberFormat="1" applyFont="1" applyFill="1" applyBorder="1" applyAlignment="1" applyProtection="1">
      <alignment vertical="center" wrapText="1"/>
    </xf>
    <xf numFmtId="176" fontId="64" fillId="0" borderId="1" xfId="0" applyNumberFormat="1" applyFont="1" applyFill="1" applyBorder="1" applyAlignment="1" applyProtection="1">
      <alignment horizontal="center" vertical="center" wrapText="1"/>
      <protection locked="0"/>
    </xf>
    <xf numFmtId="176" fontId="64" fillId="6" borderId="15" xfId="0" applyNumberFormat="1" applyFont="1" applyFill="1" applyBorder="1" applyAlignment="1" applyProtection="1">
      <alignment vertical="center" wrapText="1"/>
    </xf>
    <xf numFmtId="176" fontId="64" fillId="5" borderId="1" xfId="0" applyNumberFormat="1" applyFont="1" applyFill="1" applyBorder="1" applyAlignment="1" applyProtection="1">
      <alignment horizontal="center" vertical="center" wrapText="1"/>
      <protection locked="0"/>
    </xf>
    <xf numFmtId="176" fontId="64" fillId="6" borderId="78" xfId="0" applyNumberFormat="1" applyFont="1" applyFill="1" applyBorder="1" applyAlignment="1" applyProtection="1">
      <alignment vertical="center" wrapText="1"/>
    </xf>
    <xf numFmtId="176" fontId="64" fillId="5" borderId="78" xfId="0" applyNumberFormat="1" applyFont="1" applyFill="1" applyBorder="1" applyAlignment="1" applyProtection="1">
      <alignment horizontal="center" vertical="center" wrapText="1"/>
      <protection locked="0"/>
    </xf>
    <xf numFmtId="176" fontId="64" fillId="0" borderId="78" xfId="0" applyNumberFormat="1" applyFont="1" applyFill="1" applyBorder="1" applyAlignment="1" applyProtection="1">
      <alignment horizontal="center" vertical="center" wrapText="1"/>
      <protection locked="0"/>
    </xf>
    <xf numFmtId="176" fontId="107" fillId="6" borderId="152" xfId="0" applyNumberFormat="1" applyFont="1" applyFill="1" applyBorder="1" applyAlignment="1" applyProtection="1">
      <alignment vertical="center"/>
    </xf>
    <xf numFmtId="176" fontId="49" fillId="6" borderId="152" xfId="0" applyNumberFormat="1" applyFont="1" applyFill="1" applyBorder="1" applyAlignment="1" applyProtection="1">
      <alignment vertical="center" wrapText="1"/>
    </xf>
    <xf numFmtId="176" fontId="49" fillId="6" borderId="153" xfId="0" applyNumberFormat="1" applyFont="1" applyFill="1" applyBorder="1" applyAlignment="1" applyProtection="1">
      <alignment vertical="center" wrapText="1"/>
    </xf>
    <xf numFmtId="176" fontId="49" fillId="6" borderId="152" xfId="0" applyNumberFormat="1" applyFont="1" applyFill="1" applyBorder="1" applyAlignment="1" applyProtection="1">
      <alignment horizontal="center" vertical="center" wrapText="1"/>
    </xf>
    <xf numFmtId="176" fontId="49" fillId="0" borderId="152" xfId="0" applyNumberFormat="1" applyFont="1" applyBorder="1" applyAlignment="1" applyProtection="1">
      <alignment vertical="center" wrapText="1"/>
    </xf>
    <xf numFmtId="176" fontId="47" fillId="6" borderId="0"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vertical="center"/>
    </xf>
    <xf numFmtId="176" fontId="47" fillId="6" borderId="54" xfId="0" applyNumberFormat="1" applyFont="1" applyFill="1" applyBorder="1" applyAlignment="1" applyProtection="1">
      <alignment vertical="center" wrapText="1"/>
    </xf>
    <xf numFmtId="176" fontId="47" fillId="6" borderId="3" xfId="0" applyNumberFormat="1" applyFont="1" applyFill="1" applyBorder="1" applyAlignment="1" applyProtection="1">
      <alignment vertical="center" wrapText="1"/>
    </xf>
    <xf numFmtId="176" fontId="47" fillId="6" borderId="5" xfId="0" applyNumberFormat="1" applyFont="1" applyFill="1" applyBorder="1" applyAlignment="1" applyProtection="1">
      <alignment horizontal="center" vertical="center" wrapText="1"/>
    </xf>
    <xf numFmtId="176" fontId="47" fillId="0" borderId="5" xfId="0" applyNumberFormat="1" applyFont="1" applyBorder="1" applyAlignment="1" applyProtection="1">
      <alignment horizontal="center" vertical="center" wrapText="1"/>
      <protection locked="0"/>
    </xf>
    <xf numFmtId="176" fontId="47" fillId="6" borderId="0" xfId="0" applyNumberFormat="1" applyFont="1" applyFill="1" applyAlignment="1" applyProtection="1">
      <alignment vertical="center" wrapText="1"/>
      <protection locked="0"/>
    </xf>
    <xf numFmtId="176" fontId="47" fillId="0" borderId="0" xfId="0" applyNumberFormat="1" applyFont="1" applyAlignment="1" applyProtection="1">
      <alignment vertical="center" wrapText="1"/>
      <protection locked="0"/>
    </xf>
    <xf numFmtId="176" fontId="47" fillId="0" borderId="5" xfId="0" applyNumberFormat="1" applyFont="1" applyBorder="1" applyAlignment="1" applyProtection="1">
      <alignment vertical="center" wrapText="1"/>
      <protection locked="0"/>
    </xf>
    <xf numFmtId="176" fontId="47" fillId="0" borderId="0" xfId="0" applyNumberFormat="1" applyFont="1" applyAlignment="1" applyProtection="1">
      <alignment horizontal="center" vertical="center" wrapText="1"/>
    </xf>
    <xf numFmtId="176" fontId="47" fillId="0" borderId="58" xfId="0" applyNumberFormat="1" applyFont="1" applyBorder="1" applyAlignment="1" applyProtection="1">
      <alignment horizontal="center" vertical="center" wrapText="1"/>
    </xf>
    <xf numFmtId="176" fontId="99" fillId="5" borderId="1" xfId="0" applyNumberFormat="1" applyFont="1" applyFill="1" applyBorder="1" applyAlignment="1">
      <alignment horizontal="center" vertical="center" wrapText="1"/>
    </xf>
    <xf numFmtId="176" fontId="101" fillId="5" borderId="1" xfId="0" applyNumberFormat="1" applyFont="1" applyFill="1" applyBorder="1" applyAlignment="1">
      <alignment horizontal="center" vertical="center" wrapText="1"/>
    </xf>
    <xf numFmtId="176" fontId="100" fillId="5" borderId="1" xfId="0" applyNumberFormat="1" applyFont="1" applyFill="1" applyBorder="1" applyAlignment="1">
      <alignment horizontal="center" vertical="center" wrapText="1"/>
    </xf>
    <xf numFmtId="176" fontId="0" fillId="5" borderId="0" xfId="0" applyNumberFormat="1" applyFill="1" applyBorder="1" applyAlignment="1">
      <alignment horizontal="center" vertical="center" wrapText="1"/>
    </xf>
    <xf numFmtId="176" fontId="99" fillId="0" borderId="1" xfId="0" applyNumberFormat="1" applyFont="1" applyBorder="1" applyAlignment="1">
      <alignment horizontal="center" vertical="center" wrapText="1"/>
    </xf>
    <xf numFmtId="176" fontId="0" fillId="0" borderId="1" xfId="0" applyNumberFormat="1" applyBorder="1" applyAlignment="1">
      <alignment horizontal="center" vertical="center" wrapText="1"/>
    </xf>
    <xf numFmtId="176" fontId="101" fillId="0" borderId="1" xfId="0" applyNumberFormat="1" applyFont="1" applyBorder="1" applyAlignment="1">
      <alignment horizontal="center" vertical="center" wrapText="1"/>
    </xf>
    <xf numFmtId="176" fontId="100" fillId="0" borderId="1" xfId="0" applyNumberFormat="1" applyFont="1" applyBorder="1" applyAlignment="1">
      <alignment horizontal="center" vertical="center" wrapText="1"/>
    </xf>
    <xf numFmtId="176" fontId="0" fillId="0" borderId="0" xfId="0" applyNumberFormat="1" applyBorder="1" applyAlignment="1">
      <alignment horizontal="center" vertical="center" wrapText="1"/>
    </xf>
    <xf numFmtId="176" fontId="114" fillId="0" borderId="1" xfId="0" applyNumberFormat="1" applyFont="1" applyBorder="1" applyAlignment="1">
      <alignment horizontal="center" vertical="center" wrapText="1"/>
    </xf>
    <xf numFmtId="176" fontId="100" fillId="0" borderId="0" xfId="0" applyNumberFormat="1" applyFont="1" applyBorder="1" applyAlignment="1">
      <alignment horizontal="center" vertical="center" wrapText="1"/>
    </xf>
    <xf numFmtId="176" fontId="114" fillId="5" borderId="1" xfId="0" applyNumberFormat="1" applyFont="1" applyFill="1" applyBorder="1" applyAlignment="1">
      <alignment horizontal="center" vertical="center" wrapText="1"/>
    </xf>
    <xf numFmtId="176" fontId="100" fillId="5" borderId="0" xfId="0" applyNumberFormat="1" applyFont="1" applyFill="1" applyBorder="1" applyAlignment="1">
      <alignment horizontal="center" vertical="center" wrapText="1"/>
    </xf>
    <xf numFmtId="176" fontId="101" fillId="0" borderId="0" xfId="0" applyNumberFormat="1" applyFont="1" applyBorder="1" applyAlignment="1">
      <alignment horizontal="center" vertical="center" wrapText="1"/>
    </xf>
    <xf numFmtId="176" fontId="109" fillId="6" borderId="0" xfId="0" applyNumberFormat="1" applyFont="1" applyFill="1" applyProtection="1">
      <alignment vertical="center"/>
    </xf>
    <xf numFmtId="176" fontId="47" fillId="6" borderId="0" xfId="0" applyNumberFormat="1" applyFont="1" applyFill="1" applyProtection="1">
      <alignment vertical="center"/>
      <protection locked="0"/>
    </xf>
    <xf numFmtId="176" fontId="47" fillId="6" borderId="5" xfId="0" applyNumberFormat="1" applyFont="1" applyFill="1" applyBorder="1" applyProtection="1">
      <alignment vertical="center"/>
    </xf>
    <xf numFmtId="176" fontId="47" fillId="6" borderId="54" xfId="0" applyNumberFormat="1" applyFont="1" applyFill="1" applyBorder="1" applyProtection="1">
      <alignment vertical="center"/>
    </xf>
    <xf numFmtId="176" fontId="49" fillId="6" borderId="3" xfId="0" applyNumberFormat="1" applyFont="1" applyFill="1" applyBorder="1" applyAlignment="1" applyProtection="1">
      <alignment horizontal="center" vertical="center"/>
    </xf>
    <xf numFmtId="176" fontId="47" fillId="6" borderId="0" xfId="0" applyNumberFormat="1" applyFont="1" applyFill="1" applyAlignment="1" applyProtection="1">
      <alignment horizontal="center" vertical="center"/>
      <protection locked="0"/>
    </xf>
    <xf numFmtId="176" fontId="49" fillId="6" borderId="13" xfId="0" applyNumberFormat="1" applyFont="1" applyFill="1" applyBorder="1" applyAlignment="1" applyProtection="1">
      <alignment vertical="center"/>
    </xf>
    <xf numFmtId="176" fontId="47" fillId="6" borderId="13" xfId="0" applyNumberFormat="1" applyFont="1" applyFill="1" applyBorder="1" applyProtection="1">
      <alignment vertical="center"/>
    </xf>
    <xf numFmtId="176" fontId="47" fillId="6" borderId="1" xfId="0" applyNumberFormat="1" applyFont="1" applyFill="1" applyBorder="1" applyAlignment="1" applyProtection="1">
      <alignment horizontal="center" vertical="center"/>
    </xf>
    <xf numFmtId="176" fontId="49" fillId="6" borderId="9" xfId="0" applyNumberFormat="1" applyFont="1" applyFill="1" applyBorder="1" applyAlignment="1" applyProtection="1">
      <alignment horizontal="center" vertical="center"/>
    </xf>
    <xf numFmtId="176" fontId="47" fillId="6" borderId="2" xfId="0" applyNumberFormat="1" applyFont="1" applyFill="1" applyBorder="1" applyProtection="1">
      <alignment vertical="center"/>
    </xf>
    <xf numFmtId="176" fontId="47" fillId="6" borderId="11" xfId="0" applyNumberFormat="1" applyFont="1" applyFill="1" applyBorder="1" applyAlignment="1" applyProtection="1">
      <alignment vertical="center"/>
    </xf>
    <xf numFmtId="176" fontId="47" fillId="6" borderId="1" xfId="0" applyNumberFormat="1" applyFont="1" applyFill="1" applyBorder="1" applyAlignment="1" applyProtection="1">
      <alignment horizontal="center" vertical="center"/>
    </xf>
    <xf numFmtId="176" fontId="47" fillId="6" borderId="12" xfId="0" applyNumberFormat="1" applyFont="1" applyFill="1" applyBorder="1" applyAlignment="1" applyProtection="1">
      <alignment vertical="center"/>
    </xf>
    <xf numFmtId="176" fontId="47" fillId="6" borderId="15" xfId="0" applyNumberFormat="1" applyFont="1" applyFill="1" applyBorder="1" applyProtection="1">
      <alignment vertical="center"/>
    </xf>
    <xf numFmtId="176" fontId="47" fillId="6" borderId="13" xfId="0" applyNumberFormat="1" applyFont="1" applyFill="1" applyBorder="1" applyAlignment="1" applyProtection="1">
      <alignment horizontal="center" vertical="center"/>
    </xf>
    <xf numFmtId="176" fontId="47" fillId="6" borderId="3" xfId="0" applyNumberFormat="1" applyFont="1" applyFill="1" applyBorder="1" applyProtection="1">
      <alignment vertical="center"/>
    </xf>
    <xf numFmtId="176" fontId="47" fillId="0" borderId="1" xfId="0" applyNumberFormat="1" applyFont="1" applyFill="1" applyBorder="1" applyAlignment="1" applyProtection="1">
      <alignment horizontal="center" vertical="center"/>
      <protection locked="0"/>
    </xf>
    <xf numFmtId="176" fontId="47" fillId="6" borderId="13" xfId="0" applyNumberFormat="1" applyFont="1" applyFill="1" applyBorder="1" applyAlignment="1" applyProtection="1">
      <alignment vertical="center"/>
    </xf>
    <xf numFmtId="176" fontId="47" fillId="6" borderId="0" xfId="0" applyNumberFormat="1" applyFont="1" applyFill="1" applyBorder="1" applyProtection="1">
      <alignment vertical="center"/>
      <protection locked="0"/>
    </xf>
    <xf numFmtId="176" fontId="47" fillId="6" borderId="14" xfId="0" applyNumberFormat="1" applyFont="1" applyFill="1" applyBorder="1" applyAlignment="1" applyProtection="1">
      <alignment vertical="center"/>
    </xf>
    <xf numFmtId="176" fontId="47" fillId="6" borderId="15" xfId="0" applyNumberFormat="1" applyFont="1" applyFill="1" applyBorder="1" applyAlignment="1" applyProtection="1">
      <alignment vertical="center"/>
    </xf>
    <xf numFmtId="176" fontId="47" fillId="0" borderId="24" xfId="0" applyNumberFormat="1" applyFont="1" applyFill="1" applyBorder="1" applyAlignment="1" applyProtection="1">
      <alignment vertical="center"/>
      <protection locked="0"/>
    </xf>
    <xf numFmtId="176" fontId="47" fillId="6" borderId="61" xfId="0" applyNumberFormat="1" applyFont="1" applyFill="1" applyBorder="1" applyAlignment="1" applyProtection="1">
      <alignment vertical="center"/>
    </xf>
    <xf numFmtId="176" fontId="49" fillId="6" borderId="51" xfId="0" applyNumberFormat="1" applyFont="1" applyFill="1" applyBorder="1" applyProtection="1">
      <alignment vertical="center"/>
    </xf>
    <xf numFmtId="176" fontId="47" fillId="6" borderId="21" xfId="0" applyNumberFormat="1" applyFont="1" applyFill="1" applyBorder="1" applyProtection="1">
      <alignment vertical="center"/>
    </xf>
    <xf numFmtId="176" fontId="47" fillId="6" borderId="16" xfId="0" applyNumberFormat="1" applyFont="1" applyFill="1" applyBorder="1" applyAlignment="1" applyProtection="1">
      <alignment vertical="center"/>
    </xf>
    <xf numFmtId="176" fontId="47" fillId="6" borderId="17" xfId="0" applyNumberFormat="1" applyFont="1" applyFill="1" applyBorder="1" applyProtection="1">
      <alignment vertical="center"/>
    </xf>
    <xf numFmtId="176" fontId="47" fillId="6" borderId="19" xfId="0" applyNumberFormat="1" applyFont="1" applyFill="1" applyBorder="1" applyAlignment="1" applyProtection="1">
      <alignment vertical="center"/>
    </xf>
    <xf numFmtId="176" fontId="49" fillId="6" borderId="17" xfId="0" applyNumberFormat="1" applyFont="1" applyFill="1" applyBorder="1" applyAlignment="1" applyProtection="1">
      <alignment horizontal="center" vertical="center"/>
    </xf>
    <xf numFmtId="176" fontId="49" fillId="6" borderId="55" xfId="0" applyNumberFormat="1" applyFont="1" applyFill="1" applyBorder="1" applyAlignment="1" applyProtection="1">
      <alignment horizontal="right" vertical="center"/>
    </xf>
    <xf numFmtId="176" fontId="49" fillId="2" borderId="24" xfId="0" applyNumberFormat="1" applyFont="1" applyFill="1" applyBorder="1" applyAlignment="1" applyProtection="1">
      <alignment horizontal="center" vertical="center"/>
      <protection locked="0"/>
    </xf>
    <xf numFmtId="176" fontId="47" fillId="6" borderId="2" xfId="0" applyNumberFormat="1" applyFont="1" applyFill="1" applyBorder="1" applyAlignment="1" applyProtection="1">
      <alignment vertical="center"/>
    </xf>
    <xf numFmtId="176" fontId="47" fillId="6" borderId="0" xfId="0" applyNumberFormat="1" applyFont="1" applyFill="1" applyBorder="1" applyAlignment="1" applyProtection="1">
      <alignment vertical="center"/>
    </xf>
    <xf numFmtId="176" fontId="49" fillId="6" borderId="2" xfId="0" applyNumberFormat="1" applyFont="1" applyFill="1" applyBorder="1" applyAlignment="1" applyProtection="1">
      <alignment horizontal="center" vertical="center"/>
    </xf>
    <xf numFmtId="176" fontId="47" fillId="6" borderId="7" xfId="0" applyNumberFormat="1" applyFont="1" applyFill="1" applyBorder="1" applyAlignment="1" applyProtection="1">
      <alignment horizontal="center" vertical="center"/>
    </xf>
    <xf numFmtId="176" fontId="47" fillId="6" borderId="8" xfId="0" applyNumberFormat="1" applyFont="1" applyFill="1" applyBorder="1" applyAlignment="1" applyProtection="1">
      <alignment horizontal="center" vertical="center"/>
    </xf>
    <xf numFmtId="176" fontId="47" fillId="6" borderId="23" xfId="0" applyNumberFormat="1" applyFont="1" applyFill="1" applyBorder="1" applyAlignment="1" applyProtection="1">
      <alignment horizontal="center" vertical="center"/>
    </xf>
    <xf numFmtId="176" fontId="47" fillId="6" borderId="24" xfId="0" applyNumberFormat="1" applyFont="1" applyFill="1" applyBorder="1" applyAlignment="1" applyProtection="1">
      <alignment horizontal="center" vertical="center"/>
    </xf>
    <xf numFmtId="176" fontId="47" fillId="6" borderId="1" xfId="0" applyNumberFormat="1" applyFont="1" applyFill="1" applyBorder="1" applyAlignment="1" applyProtection="1">
      <alignment horizontal="left" vertical="center"/>
    </xf>
    <xf numFmtId="176" fontId="47" fillId="6" borderId="18" xfId="0" applyNumberFormat="1" applyFont="1" applyFill="1" applyBorder="1" applyProtection="1">
      <alignment vertical="center"/>
    </xf>
    <xf numFmtId="176" fontId="50" fillId="0" borderId="1" xfId="1" applyNumberFormat="1" applyFont="1" applyFill="1" applyBorder="1" applyAlignment="1" applyProtection="1">
      <alignment vertical="center"/>
      <protection locked="0" hidden="1"/>
    </xf>
    <xf numFmtId="176" fontId="50" fillId="3" borderId="3" xfId="0" applyNumberFormat="1" applyFont="1" applyFill="1" applyBorder="1" applyProtection="1">
      <alignment vertical="center"/>
      <protection locked="0"/>
    </xf>
    <xf numFmtId="176" fontId="50" fillId="3" borderId="24" xfId="0" applyNumberFormat="1" applyFont="1" applyFill="1" applyBorder="1" applyProtection="1">
      <alignment vertical="center"/>
      <protection locked="0"/>
    </xf>
    <xf numFmtId="176" fontId="47" fillId="6" borderId="23" xfId="0" applyNumberFormat="1" applyFont="1" applyFill="1" applyBorder="1" applyAlignment="1" applyProtection="1">
      <alignment vertical="center"/>
    </xf>
    <xf numFmtId="176" fontId="47" fillId="6" borderId="23" xfId="0" applyNumberFormat="1" applyFont="1" applyFill="1" applyBorder="1" applyProtection="1">
      <alignment vertical="center"/>
    </xf>
    <xf numFmtId="176" fontId="47" fillId="6" borderId="24" xfId="0" applyNumberFormat="1" applyFont="1" applyFill="1" applyBorder="1" applyProtection="1">
      <alignment vertical="center"/>
    </xf>
    <xf numFmtId="176" fontId="47" fillId="0" borderId="23" xfId="0" applyNumberFormat="1" applyFont="1" applyBorder="1" applyProtection="1">
      <alignment vertical="center"/>
      <protection locked="0"/>
    </xf>
    <xf numFmtId="176" fontId="47" fillId="0" borderId="1" xfId="0" applyNumberFormat="1" applyFont="1" applyBorder="1" applyProtection="1">
      <alignment vertical="center"/>
      <protection locked="0"/>
    </xf>
    <xf numFmtId="176" fontId="47" fillId="6" borderId="18" xfId="0" applyNumberFormat="1" applyFont="1" applyFill="1" applyBorder="1" applyAlignment="1" applyProtection="1">
      <alignment vertical="center"/>
    </xf>
    <xf numFmtId="176" fontId="47" fillId="3" borderId="61" xfId="0" applyNumberFormat="1" applyFont="1" applyFill="1" applyBorder="1" applyProtection="1">
      <alignment vertical="center"/>
      <protection locked="0"/>
    </xf>
    <xf numFmtId="176" fontId="47" fillId="3" borderId="22" xfId="0" applyNumberFormat="1" applyFont="1" applyFill="1" applyBorder="1" applyProtection="1">
      <alignment vertical="center"/>
      <protection locked="0"/>
    </xf>
    <xf numFmtId="176" fontId="47" fillId="6" borderId="11" xfId="0" applyNumberFormat="1" applyFont="1" applyFill="1" applyBorder="1" applyProtection="1">
      <alignment vertical="center"/>
    </xf>
    <xf numFmtId="176" fontId="47" fillId="6" borderId="61" xfId="0" applyNumberFormat="1" applyFont="1" applyFill="1" applyBorder="1" applyProtection="1">
      <alignment vertical="center"/>
    </xf>
    <xf numFmtId="176" fontId="47" fillId="0" borderId="11" xfId="0" applyNumberFormat="1" applyFont="1" applyBorder="1" applyProtection="1">
      <alignment vertical="center"/>
      <protection locked="0"/>
    </xf>
    <xf numFmtId="176" fontId="47" fillId="0" borderId="13" xfId="0" applyNumberFormat="1" applyFont="1" applyBorder="1" applyProtection="1">
      <alignment vertical="center"/>
      <protection locked="0"/>
    </xf>
    <xf numFmtId="176" fontId="49" fillId="6" borderId="3" xfId="0" applyNumberFormat="1" applyFont="1" applyFill="1" applyBorder="1" applyAlignment="1" applyProtection="1">
      <alignment horizontal="left" vertical="center"/>
    </xf>
    <xf numFmtId="176" fontId="49" fillId="6" borderId="25" xfId="0" applyNumberFormat="1" applyFont="1" applyFill="1" applyBorder="1" applyProtection="1">
      <alignment vertical="center"/>
    </xf>
    <xf numFmtId="176" fontId="49" fillId="6" borderId="32" xfId="0" applyNumberFormat="1" applyFont="1" applyFill="1" applyBorder="1" applyProtection="1">
      <alignment vertical="center"/>
    </xf>
    <xf numFmtId="176" fontId="49" fillId="6" borderId="49" xfId="0" applyNumberFormat="1" applyFont="1" applyFill="1" applyBorder="1" applyProtection="1">
      <alignment vertical="center"/>
    </xf>
    <xf numFmtId="176" fontId="47" fillId="6" borderId="49" xfId="0" applyNumberFormat="1" applyFont="1" applyFill="1" applyBorder="1" applyProtection="1">
      <alignment vertical="center"/>
    </xf>
    <xf numFmtId="176" fontId="47" fillId="6" borderId="1" xfId="0" applyNumberFormat="1" applyFont="1" applyFill="1" applyBorder="1" applyAlignment="1" applyProtection="1">
      <alignment horizontal="right" vertical="center" wrapText="1"/>
    </xf>
    <xf numFmtId="176" fontId="47" fillId="6" borderId="3" xfId="0" applyNumberFormat="1" applyFont="1" applyFill="1" applyBorder="1" applyAlignment="1" applyProtection="1">
      <alignment vertical="center"/>
    </xf>
    <xf numFmtId="176" fontId="47" fillId="6" borderId="48" xfId="0" applyNumberFormat="1" applyFont="1" applyFill="1" applyBorder="1" applyProtection="1">
      <alignment vertical="center"/>
    </xf>
    <xf numFmtId="176" fontId="47" fillId="6" borderId="3" xfId="0" applyNumberFormat="1" applyFont="1" applyFill="1" applyBorder="1" applyAlignment="1" applyProtection="1">
      <alignment horizontal="left" vertical="center"/>
    </xf>
    <xf numFmtId="176" fontId="47" fillId="6" borderId="22" xfId="0" applyNumberFormat="1" applyFont="1" applyFill="1" applyBorder="1" applyProtection="1">
      <alignment vertical="center"/>
    </xf>
    <xf numFmtId="176" fontId="49" fillId="6" borderId="22" xfId="0" applyNumberFormat="1" applyFont="1" applyFill="1" applyBorder="1" applyAlignment="1" applyProtection="1">
      <alignment horizontal="left" vertical="center"/>
    </xf>
    <xf numFmtId="176" fontId="47" fillId="6" borderId="42" xfId="0" applyNumberFormat="1" applyFont="1" applyFill="1" applyBorder="1" applyAlignment="1" applyProtection="1">
      <alignment vertical="center"/>
    </xf>
    <xf numFmtId="176" fontId="47" fillId="6" borderId="33" xfId="0" applyNumberFormat="1" applyFont="1" applyFill="1" applyBorder="1" applyProtection="1">
      <alignment vertical="center"/>
    </xf>
    <xf numFmtId="176" fontId="49" fillId="6" borderId="32" xfId="0" applyNumberFormat="1" applyFont="1" applyFill="1" applyBorder="1" applyAlignment="1" applyProtection="1">
      <alignment vertical="center"/>
    </xf>
    <xf numFmtId="176" fontId="49" fillId="6" borderId="66" xfId="0" applyNumberFormat="1" applyFont="1" applyFill="1" applyBorder="1" applyAlignment="1" applyProtection="1">
      <alignment vertical="center"/>
    </xf>
    <xf numFmtId="176" fontId="49" fillId="6" borderId="49" xfId="0" applyNumberFormat="1" applyFont="1" applyFill="1" applyBorder="1" applyAlignment="1" applyProtection="1">
      <alignment vertical="center"/>
    </xf>
    <xf numFmtId="176" fontId="109" fillId="6" borderId="0" xfId="0" applyNumberFormat="1" applyFont="1" applyFill="1" applyAlignment="1" applyProtection="1">
      <alignment vertical="center" wrapText="1"/>
    </xf>
    <xf numFmtId="176" fontId="50" fillId="6" borderId="0" xfId="0" applyNumberFormat="1" applyFont="1" applyFill="1" applyAlignment="1" applyProtection="1">
      <alignment vertical="center"/>
    </xf>
    <xf numFmtId="176" fontId="50" fillId="6" borderId="0" xfId="0" applyNumberFormat="1" applyFont="1" applyFill="1" applyAlignment="1" applyProtection="1">
      <alignment vertical="center"/>
      <protection locked="0"/>
    </xf>
    <xf numFmtId="176" fontId="50" fillId="6" borderId="0" xfId="0" applyNumberFormat="1" applyFont="1" applyFill="1" applyAlignment="1" applyProtection="1">
      <alignment horizontal="center" vertical="center"/>
      <protection locked="0"/>
    </xf>
    <xf numFmtId="176" fontId="50" fillId="0" borderId="0" xfId="0" applyNumberFormat="1" applyFont="1" applyAlignment="1" applyProtection="1">
      <alignment vertical="center"/>
      <protection locked="0"/>
    </xf>
    <xf numFmtId="176" fontId="50" fillId="0" borderId="0" xfId="0" applyNumberFormat="1" applyFont="1" applyAlignment="1" applyProtection="1">
      <alignment vertical="center"/>
    </xf>
    <xf numFmtId="176" fontId="49" fillId="6" borderId="26" xfId="0" applyNumberFormat="1" applyFont="1" applyFill="1" applyBorder="1" applyAlignment="1" applyProtection="1">
      <alignment vertical="center" wrapText="1"/>
    </xf>
    <xf numFmtId="176" fontId="47" fillId="6" borderId="0" xfId="0" applyNumberFormat="1" applyFont="1" applyFill="1" applyAlignment="1" applyProtection="1">
      <alignment vertical="center"/>
      <protection locked="0"/>
    </xf>
    <xf numFmtId="176" fontId="47" fillId="0" borderId="0" xfId="0" applyNumberFormat="1" applyFont="1" applyAlignment="1" applyProtection="1">
      <alignment vertical="center"/>
      <protection locked="0"/>
    </xf>
    <xf numFmtId="176" fontId="47" fillId="6" borderId="0" xfId="0" applyNumberFormat="1" applyFont="1" applyFill="1" applyAlignment="1" applyProtection="1">
      <alignment vertical="center"/>
    </xf>
    <xf numFmtId="176" fontId="49" fillId="6" borderId="27" xfId="0" applyNumberFormat="1" applyFont="1" applyFill="1" applyBorder="1" applyAlignment="1" applyProtection="1">
      <alignment vertical="center" wrapText="1"/>
    </xf>
    <xf numFmtId="176" fontId="47" fillId="6" borderId="63" xfId="0" applyNumberFormat="1" applyFont="1" applyFill="1" applyBorder="1" applyAlignment="1" applyProtection="1">
      <alignment vertical="center"/>
    </xf>
    <xf numFmtId="176" fontId="47" fillId="6" borderId="64" xfId="0" applyNumberFormat="1" applyFont="1" applyFill="1" applyBorder="1" applyAlignment="1" applyProtection="1">
      <alignment vertical="center"/>
    </xf>
    <xf numFmtId="176" fontId="47" fillId="6" borderId="65" xfId="0" applyNumberFormat="1" applyFont="1" applyFill="1" applyBorder="1" applyAlignment="1" applyProtection="1">
      <alignment vertical="center"/>
    </xf>
    <xf numFmtId="176" fontId="47" fillId="6" borderId="63" xfId="0" applyNumberFormat="1" applyFont="1" applyFill="1" applyBorder="1" applyAlignment="1" applyProtection="1">
      <alignment horizontal="center" vertical="center"/>
    </xf>
    <xf numFmtId="176" fontId="47" fillId="6" borderId="64" xfId="0" applyNumberFormat="1" applyFont="1" applyFill="1" applyBorder="1" applyAlignment="1" applyProtection="1">
      <alignment horizontal="center" vertical="center"/>
    </xf>
    <xf numFmtId="176" fontId="47" fillId="6" borderId="82" xfId="0" applyNumberFormat="1" applyFont="1" applyFill="1" applyBorder="1" applyAlignment="1" applyProtection="1">
      <alignment horizontal="center" vertical="center"/>
    </xf>
    <xf numFmtId="176" fontId="47" fillId="6" borderId="31" xfId="0" applyNumberFormat="1" applyFont="1" applyFill="1" applyBorder="1" applyAlignment="1" applyProtection="1">
      <alignment vertical="center"/>
    </xf>
    <xf numFmtId="176" fontId="47" fillId="6" borderId="6" xfId="1" applyNumberFormat="1" applyFont="1" applyFill="1" applyBorder="1" applyAlignment="1" applyProtection="1">
      <alignment vertical="center" wrapText="1"/>
    </xf>
    <xf numFmtId="176" fontId="47" fillId="6" borderId="9" xfId="1" applyNumberFormat="1" applyFont="1" applyFill="1" applyBorder="1" applyAlignment="1" applyProtection="1">
      <alignment vertical="center" wrapText="1"/>
    </xf>
    <xf numFmtId="176" fontId="47" fillId="6" borderId="28" xfId="1" applyNumberFormat="1" applyFont="1" applyFill="1" applyBorder="1" applyAlignment="1" applyProtection="1">
      <alignment vertical="center" wrapText="1"/>
    </xf>
    <xf numFmtId="176" fontId="54" fillId="6" borderId="6" xfId="1" applyNumberFormat="1"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104" fillId="6" borderId="10" xfId="0" applyNumberFormat="1" applyFont="1" applyFill="1" applyBorder="1" applyAlignment="1" applyProtection="1">
      <alignment horizontal="center" vertical="center" wrapText="1"/>
    </xf>
    <xf numFmtId="176" fontId="47" fillId="6" borderId="6" xfId="1" applyNumberFormat="1" applyFont="1" applyFill="1" applyBorder="1" applyAlignment="1" applyProtection="1">
      <alignment horizontal="center" vertical="center" wrapText="1"/>
    </xf>
    <xf numFmtId="176" fontId="47" fillId="6" borderId="9" xfId="1" applyNumberFormat="1" applyFont="1" applyFill="1" applyBorder="1" applyAlignment="1" applyProtection="1">
      <alignment horizontal="center" vertical="center" wrapText="1"/>
    </xf>
    <xf numFmtId="176" fontId="47" fillId="5" borderId="9" xfId="1" applyNumberFormat="1" applyFont="1" applyFill="1" applyBorder="1" applyAlignment="1" applyProtection="1">
      <alignment horizontal="center" vertical="center" wrapText="1"/>
      <protection locked="0"/>
    </xf>
    <xf numFmtId="176" fontId="47" fillId="6" borderId="28" xfId="1" applyNumberFormat="1" applyFont="1" applyFill="1" applyBorder="1" applyAlignment="1" applyProtection="1">
      <alignment horizontal="center" vertical="center" wrapText="1"/>
    </xf>
    <xf numFmtId="176" fontId="47" fillId="6" borderId="29" xfId="0" applyNumberFormat="1" applyFont="1" applyFill="1" applyBorder="1" applyAlignment="1" applyProtection="1">
      <alignment horizontal="center" vertical="center" wrapText="1"/>
    </xf>
    <xf numFmtId="176" fontId="47" fillId="6" borderId="19" xfId="1" applyNumberFormat="1" applyFont="1" applyFill="1" applyBorder="1" applyAlignment="1" applyProtection="1">
      <alignment horizontal="center" vertical="center" wrapText="1"/>
    </xf>
    <xf numFmtId="176" fontId="47" fillId="6" borderId="62" xfId="1" applyNumberFormat="1" applyFont="1" applyFill="1" applyBorder="1" applyAlignment="1" applyProtection="1">
      <alignment horizontal="center" vertical="center" wrapText="1"/>
    </xf>
    <xf numFmtId="176" fontId="47" fillId="6" borderId="6" xfId="0" applyNumberFormat="1" applyFont="1" applyFill="1" applyBorder="1" applyAlignment="1" applyProtection="1">
      <alignment horizontal="center" vertical="center" wrapText="1"/>
    </xf>
    <xf numFmtId="176" fontId="47" fillId="6" borderId="28"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30"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protection locked="0"/>
    </xf>
    <xf numFmtId="176" fontId="47" fillId="6" borderId="1" xfId="1" applyNumberFormat="1" applyFont="1" applyFill="1" applyBorder="1" applyAlignment="1" applyProtection="1">
      <alignment horizontal="center" vertical="center" wrapText="1"/>
    </xf>
    <xf numFmtId="176" fontId="50" fillId="6" borderId="23" xfId="1" applyNumberFormat="1" applyFont="1" applyFill="1" applyBorder="1" applyAlignment="1" applyProtection="1">
      <alignment horizontal="left" vertical="center"/>
    </xf>
    <xf numFmtId="176" fontId="47" fillId="6" borderId="1" xfId="1" applyNumberFormat="1" applyFont="1" applyFill="1" applyBorder="1" applyAlignment="1" applyProtection="1">
      <alignment vertical="center"/>
    </xf>
    <xf numFmtId="176" fontId="47" fillId="2" borderId="5" xfId="1" applyNumberFormat="1" applyFont="1" applyFill="1" applyBorder="1" applyAlignment="1" applyProtection="1">
      <alignment vertical="center"/>
      <protection locked="0"/>
    </xf>
    <xf numFmtId="176" fontId="50" fillId="6" borderId="23" xfId="1" applyNumberFormat="1" applyFont="1" applyFill="1" applyBorder="1" applyAlignment="1" applyProtection="1">
      <alignment horizontal="center" vertical="center"/>
    </xf>
    <xf numFmtId="176" fontId="50" fillId="6" borderId="1" xfId="0" applyNumberFormat="1" applyFont="1" applyFill="1" applyBorder="1" applyAlignment="1" applyProtection="1">
      <alignment horizontal="center" vertical="center"/>
    </xf>
    <xf numFmtId="176" fontId="54" fillId="6" borderId="1" xfId="1" applyNumberFormat="1" applyFont="1" applyFill="1" applyBorder="1" applyAlignment="1" applyProtection="1">
      <alignment horizontal="center" vertical="center"/>
    </xf>
    <xf numFmtId="176" fontId="50" fillId="0" borderId="1" xfId="1" applyNumberFormat="1" applyFont="1" applyFill="1" applyBorder="1" applyAlignment="1" applyProtection="1">
      <alignment horizontal="center" vertical="center"/>
      <protection locked="0"/>
    </xf>
    <xf numFmtId="176" fontId="47" fillId="6" borderId="1" xfId="1" applyNumberFormat="1" applyFont="1" applyFill="1" applyBorder="1" applyAlignment="1" applyProtection="1">
      <alignment horizontal="center" vertical="center"/>
    </xf>
    <xf numFmtId="176" fontId="47" fillId="6" borderId="5" xfId="0" applyNumberFormat="1" applyFont="1" applyFill="1" applyBorder="1" applyAlignment="1" applyProtection="1">
      <alignment horizontal="center" vertical="center"/>
    </xf>
    <xf numFmtId="176" fontId="47" fillId="6" borderId="23" xfId="1" applyNumberFormat="1" applyFont="1" applyFill="1" applyBorder="1" applyAlignment="1" applyProtection="1">
      <alignment horizontal="center" vertical="center"/>
    </xf>
    <xf numFmtId="176" fontId="47" fillId="6" borderId="24" xfId="1" applyNumberFormat="1" applyFont="1" applyFill="1" applyBorder="1" applyAlignment="1" applyProtection="1">
      <alignment horizontal="center" vertical="center"/>
    </xf>
    <xf numFmtId="176" fontId="47" fillId="0" borderId="23" xfId="0" applyNumberFormat="1" applyFont="1" applyBorder="1" applyAlignment="1" applyProtection="1">
      <alignment vertical="center"/>
      <protection locked="0"/>
    </xf>
    <xf numFmtId="176" fontId="47" fillId="0" borderId="1" xfId="0" applyNumberFormat="1" applyFont="1" applyBorder="1" applyAlignment="1" applyProtection="1">
      <alignment vertical="center"/>
      <protection locked="0"/>
    </xf>
    <xf numFmtId="176" fontId="47" fillId="0" borderId="24" xfId="0" applyNumberFormat="1" applyFont="1" applyBorder="1" applyAlignment="1" applyProtection="1">
      <alignment vertical="center"/>
      <protection locked="0"/>
    </xf>
    <xf numFmtId="176" fontId="47" fillId="0" borderId="3" xfId="0" applyNumberFormat="1" applyFont="1" applyBorder="1" applyAlignment="1" applyProtection="1">
      <alignment vertical="center"/>
      <protection locked="0"/>
    </xf>
    <xf numFmtId="176" fontId="47" fillId="0" borderId="5" xfId="0" applyNumberFormat="1" applyFont="1" applyBorder="1" applyAlignment="1" applyProtection="1">
      <alignment vertical="center"/>
      <protection locked="0"/>
    </xf>
    <xf numFmtId="176" fontId="47" fillId="0" borderId="1" xfId="0" applyNumberFormat="1" applyFont="1" applyBorder="1" applyAlignment="1" applyProtection="1">
      <alignment horizontal="center" vertical="center"/>
      <protection locked="0"/>
    </xf>
    <xf numFmtId="176" fontId="104" fillId="6" borderId="24" xfId="0" applyNumberFormat="1" applyFont="1" applyFill="1" applyBorder="1" applyAlignment="1" applyProtection="1">
      <alignment horizontal="center" vertical="center"/>
    </xf>
    <xf numFmtId="176" fontId="47" fillId="0" borderId="23" xfId="0" applyNumberFormat="1" applyFont="1" applyBorder="1" applyAlignment="1" applyProtection="1">
      <alignment horizontal="center" vertical="center"/>
      <protection locked="0"/>
    </xf>
    <xf numFmtId="176" fontId="47" fillId="5" borderId="3" xfId="0" applyNumberFormat="1" applyFont="1" applyFill="1" applyBorder="1" applyAlignment="1" applyProtection="1">
      <alignment horizontal="center" vertical="center"/>
      <protection locked="0"/>
    </xf>
    <xf numFmtId="176" fontId="47" fillId="0" borderId="24" xfId="0" applyNumberFormat="1" applyFont="1" applyBorder="1" applyAlignment="1" applyProtection="1">
      <alignment horizontal="center" vertical="center"/>
      <protection locked="0"/>
    </xf>
    <xf numFmtId="176" fontId="104" fillId="2" borderId="3" xfId="0" applyNumberFormat="1" applyFont="1" applyFill="1" applyBorder="1" applyAlignment="1" applyProtection="1">
      <alignment horizontal="center" vertical="center"/>
      <protection locked="0"/>
    </xf>
    <xf numFmtId="176" fontId="47" fillId="6" borderId="1" xfId="0" applyNumberFormat="1" applyFont="1" applyFill="1" applyBorder="1" applyAlignment="1" applyProtection="1">
      <alignment horizontal="right" vertical="center"/>
    </xf>
    <xf numFmtId="176" fontId="50" fillId="0" borderId="23" xfId="0" applyNumberFormat="1" applyFont="1" applyBorder="1" applyAlignment="1" applyProtection="1">
      <alignment vertical="center"/>
      <protection locked="0"/>
    </xf>
    <xf numFmtId="176" fontId="50" fillId="0" borderId="23" xfId="0" applyNumberFormat="1" applyFont="1" applyBorder="1" applyAlignment="1" applyProtection="1">
      <alignment horizontal="center" vertical="center"/>
      <protection locked="0"/>
    </xf>
    <xf numFmtId="176" fontId="47" fillId="0" borderId="5" xfId="0" applyNumberFormat="1" applyFont="1" applyFill="1" applyBorder="1" applyAlignment="1" applyProtection="1">
      <alignment horizontal="center" vertical="center"/>
      <protection locked="0"/>
    </xf>
    <xf numFmtId="176" fontId="47" fillId="0" borderId="3" xfId="0" applyNumberFormat="1" applyFont="1" applyBorder="1" applyAlignment="1" applyProtection="1">
      <alignment horizontal="center" vertical="center"/>
      <protection locked="0"/>
    </xf>
    <xf numFmtId="176" fontId="47" fillId="0" borderId="1" xfId="1" applyNumberFormat="1" applyFont="1" applyFill="1" applyBorder="1" applyAlignment="1" applyProtection="1">
      <alignment horizontal="center" vertical="center"/>
      <protection locked="0"/>
    </xf>
    <xf numFmtId="176" fontId="47" fillId="6" borderId="23" xfId="1" applyNumberFormat="1" applyFont="1" applyFill="1" applyBorder="1" applyAlignment="1" applyProtection="1">
      <alignment horizontal="left" vertical="center" wrapText="1"/>
      <protection locked="0"/>
    </xf>
    <xf numFmtId="176" fontId="47" fillId="6" borderId="5" xfId="1" applyNumberFormat="1" applyFont="1" applyFill="1" applyBorder="1" applyAlignment="1" applyProtection="1">
      <alignment vertical="center"/>
    </xf>
    <xf numFmtId="176" fontId="52" fillId="6" borderId="1" xfId="0" applyNumberFormat="1" applyFont="1" applyFill="1" applyBorder="1" applyAlignment="1" applyProtection="1">
      <alignment horizontal="center" vertical="center"/>
      <protection locked="0"/>
    </xf>
    <xf numFmtId="176" fontId="47" fillId="6" borderId="5" xfId="0" applyNumberFormat="1" applyFont="1" applyFill="1" applyBorder="1" applyAlignment="1" applyProtection="1">
      <alignment vertical="center"/>
    </xf>
    <xf numFmtId="176" fontId="47" fillId="6" borderId="3" xfId="0" applyNumberFormat="1" applyFont="1" applyFill="1" applyBorder="1" applyAlignment="1" applyProtection="1">
      <alignment horizontal="center" vertical="center"/>
    </xf>
    <xf numFmtId="176" fontId="49" fillId="6" borderId="25" xfId="1" applyNumberFormat="1" applyFont="1" applyFill="1" applyBorder="1" applyAlignment="1" applyProtection="1">
      <alignment vertical="center" wrapText="1"/>
    </xf>
    <xf numFmtId="176" fontId="49" fillId="6" borderId="32" xfId="1" applyNumberFormat="1" applyFont="1" applyFill="1" applyBorder="1" applyAlignment="1" applyProtection="1">
      <alignment vertical="center"/>
    </xf>
    <xf numFmtId="176" fontId="49" fillId="6" borderId="33" xfId="1" applyNumberFormat="1" applyFont="1" applyFill="1" applyBorder="1" applyAlignment="1" applyProtection="1">
      <alignment vertical="center"/>
    </xf>
    <xf numFmtId="176" fontId="49" fillId="6" borderId="25" xfId="1" applyNumberFormat="1" applyFont="1" applyFill="1" applyBorder="1" applyAlignment="1" applyProtection="1">
      <alignment vertical="center"/>
    </xf>
    <xf numFmtId="176" fontId="49" fillId="6" borderId="32" xfId="1" applyNumberFormat="1" applyFont="1" applyFill="1" applyBorder="1" applyAlignment="1" applyProtection="1">
      <alignment horizontal="center" vertical="center"/>
    </xf>
    <xf numFmtId="176" fontId="49" fillId="6" borderId="49" xfId="1" applyNumberFormat="1" applyFont="1" applyFill="1" applyBorder="1" applyAlignment="1" applyProtection="1">
      <alignment vertical="center"/>
    </xf>
    <xf numFmtId="176" fontId="47" fillId="6" borderId="32" xfId="1" applyNumberFormat="1" applyFont="1" applyFill="1" applyBorder="1" applyAlignment="1" applyProtection="1">
      <alignment horizontal="center" vertical="center"/>
    </xf>
    <xf numFmtId="176" fontId="47" fillId="6" borderId="33" xfId="0" applyNumberFormat="1" applyFont="1" applyFill="1" applyBorder="1" applyAlignment="1" applyProtection="1">
      <alignment horizontal="center" vertical="center"/>
    </xf>
    <xf numFmtId="176" fontId="47" fillId="6" borderId="25" xfId="1" applyNumberFormat="1" applyFont="1" applyFill="1" applyBorder="1" applyAlignment="1" applyProtection="1">
      <alignment horizontal="center" vertical="center"/>
    </xf>
    <xf numFmtId="176" fontId="47" fillId="6" borderId="66" xfId="1" applyNumberFormat="1" applyFont="1" applyFill="1" applyBorder="1" applyAlignment="1" applyProtection="1">
      <alignment horizontal="center" vertical="center"/>
    </xf>
    <xf numFmtId="176" fontId="47" fillId="6" borderId="68" xfId="1" applyNumberFormat="1" applyFont="1" applyFill="1" applyBorder="1" applyAlignment="1" applyProtection="1">
      <alignment horizontal="center" vertical="center"/>
    </xf>
    <xf numFmtId="176" fontId="47" fillId="6" borderId="25" xfId="0" applyNumberFormat="1" applyFont="1" applyFill="1" applyBorder="1" applyAlignment="1" applyProtection="1">
      <alignment vertical="center"/>
    </xf>
    <xf numFmtId="176" fontId="47" fillId="6" borderId="32" xfId="0" applyNumberFormat="1" applyFont="1" applyFill="1" applyBorder="1" applyAlignment="1" applyProtection="1">
      <alignment vertical="center"/>
    </xf>
    <xf numFmtId="176" fontId="47" fillId="6" borderId="33" xfId="0" applyNumberFormat="1" applyFont="1" applyFill="1" applyBorder="1" applyAlignment="1" applyProtection="1">
      <alignment vertical="center"/>
    </xf>
    <xf numFmtId="176" fontId="47" fillId="6" borderId="49" xfId="0" applyNumberFormat="1" applyFont="1" applyFill="1" applyBorder="1" applyAlignment="1" applyProtection="1">
      <alignment vertical="center"/>
    </xf>
    <xf numFmtId="176" fontId="47" fillId="6" borderId="66" xfId="0" applyNumberFormat="1" applyFont="1" applyFill="1" applyBorder="1" applyAlignment="1" applyProtection="1">
      <alignment vertical="center"/>
    </xf>
    <xf numFmtId="176" fontId="55" fillId="6" borderId="0" xfId="0" applyNumberFormat="1" applyFont="1" applyFill="1" applyAlignment="1" applyProtection="1">
      <alignment vertical="center" wrapText="1"/>
    </xf>
    <xf numFmtId="176" fontId="47" fillId="6" borderId="34" xfId="0" applyNumberFormat="1" applyFont="1" applyFill="1" applyBorder="1" applyAlignment="1" applyProtection="1">
      <alignment horizontal="center" vertical="center"/>
    </xf>
    <xf numFmtId="176" fontId="47" fillId="6" borderId="67" xfId="0" applyNumberFormat="1" applyFont="1" applyFill="1" applyBorder="1" applyAlignment="1" applyProtection="1">
      <alignment horizontal="center" vertical="center"/>
      <protection locked="0"/>
    </xf>
    <xf numFmtId="176" fontId="47" fillId="6" borderId="6" xfId="0" applyNumberFormat="1" applyFont="1" applyFill="1" applyBorder="1" applyAlignment="1" applyProtection="1">
      <alignment vertical="center" wrapText="1"/>
    </xf>
    <xf numFmtId="176" fontId="56" fillId="0" borderId="10" xfId="1" applyNumberFormat="1" applyFont="1" applyFill="1" applyBorder="1" applyAlignment="1" applyProtection="1">
      <alignment horizontal="center" vertical="center"/>
      <protection locked="0"/>
    </xf>
    <xf numFmtId="176" fontId="104" fillId="6" borderId="0" xfId="0" applyNumberFormat="1" applyFont="1" applyFill="1" applyAlignment="1" applyProtection="1">
      <alignment horizontal="left" vertical="center"/>
      <protection locked="0"/>
    </xf>
    <xf numFmtId="176" fontId="50" fillId="0" borderId="0" xfId="0" applyNumberFormat="1" applyFont="1" applyFill="1" applyAlignment="1" applyProtection="1">
      <alignment vertical="center"/>
      <protection locked="0"/>
    </xf>
    <xf numFmtId="176" fontId="50" fillId="0" borderId="0" xfId="0" applyNumberFormat="1" applyFont="1" applyFill="1" applyAlignment="1" applyProtection="1">
      <alignment vertical="center"/>
    </xf>
    <xf numFmtId="176" fontId="47" fillId="6" borderId="23" xfId="0" applyNumberFormat="1" applyFont="1" applyFill="1" applyBorder="1" applyAlignment="1" applyProtection="1">
      <alignment vertical="center" wrapText="1"/>
    </xf>
    <xf numFmtId="176" fontId="56" fillId="0" borderId="24" xfId="1" applyNumberFormat="1" applyFont="1" applyFill="1" applyBorder="1" applyAlignment="1" applyProtection="1">
      <alignment horizontal="center" vertical="center"/>
      <protection locked="0"/>
    </xf>
    <xf numFmtId="176" fontId="104" fillId="6" borderId="0" xfId="0" applyNumberFormat="1" applyFont="1" applyFill="1" applyAlignment="1" applyProtection="1">
      <alignment horizontal="center" vertical="center"/>
      <protection locked="0"/>
    </xf>
    <xf numFmtId="176" fontId="47" fillId="6" borderId="25" xfId="0" applyNumberFormat="1" applyFont="1" applyFill="1" applyBorder="1" applyAlignment="1" applyProtection="1">
      <alignment vertical="center" wrapText="1"/>
    </xf>
    <xf numFmtId="176" fontId="56" fillId="0" borderId="49" xfId="1" applyNumberFormat="1" applyFont="1" applyFill="1" applyBorder="1" applyAlignment="1" applyProtection="1">
      <alignment horizontal="center" vertical="center"/>
      <protection locked="0"/>
    </xf>
    <xf numFmtId="176" fontId="47" fillId="6" borderId="41" xfId="0" applyNumberFormat="1" applyFont="1" applyFill="1" applyBorder="1" applyAlignment="1" applyProtection="1">
      <alignment vertical="center" wrapText="1"/>
    </xf>
    <xf numFmtId="176" fontId="56" fillId="0" borderId="8" xfId="1" applyNumberFormat="1" applyFont="1" applyFill="1" applyBorder="1" applyAlignment="1" applyProtection="1">
      <alignment horizontal="center" vertical="center"/>
      <protection locked="0"/>
    </xf>
    <xf numFmtId="176" fontId="47" fillId="6" borderId="11" xfId="0" applyNumberFormat="1" applyFont="1" applyFill="1" applyBorder="1" applyAlignment="1" applyProtection="1">
      <alignment vertical="center" wrapText="1"/>
    </xf>
    <xf numFmtId="176" fontId="56" fillId="0" borderId="61" xfId="1" applyNumberFormat="1" applyFont="1" applyFill="1" applyBorder="1" applyAlignment="1" applyProtection="1">
      <alignment horizontal="center" vertical="center"/>
      <protection locked="0"/>
    </xf>
    <xf numFmtId="176" fontId="105" fillId="6" borderId="0" xfId="0" applyNumberFormat="1" applyFont="1" applyFill="1" applyAlignment="1" applyProtection="1">
      <alignment vertical="center"/>
      <protection locked="0"/>
    </xf>
    <xf numFmtId="176" fontId="50" fillId="0" borderId="24" xfId="0" applyNumberFormat="1" applyFont="1" applyFill="1" applyBorder="1" applyAlignment="1" applyProtection="1">
      <alignment horizontal="center" vertical="center"/>
      <protection locked="0"/>
    </xf>
    <xf numFmtId="176" fontId="47" fillId="6" borderId="11" xfId="0" applyNumberFormat="1" applyFont="1" applyFill="1" applyBorder="1" applyAlignment="1" applyProtection="1">
      <alignment horizontal="left" vertical="center" wrapText="1"/>
    </xf>
    <xf numFmtId="176" fontId="104" fillId="6" borderId="0" xfId="0" applyNumberFormat="1" applyFont="1" applyFill="1" applyAlignment="1" applyProtection="1">
      <alignment horizontal="center" vertical="center"/>
    </xf>
    <xf numFmtId="176" fontId="47" fillId="6" borderId="11" xfId="0" applyNumberFormat="1" applyFont="1" applyFill="1" applyBorder="1" applyAlignment="1" applyProtection="1">
      <alignment horizontal="right" vertical="center" wrapText="1"/>
    </xf>
    <xf numFmtId="176" fontId="47" fillId="6" borderId="25" xfId="0" applyNumberFormat="1" applyFont="1" applyFill="1" applyBorder="1" applyAlignment="1" applyProtection="1">
      <alignment horizontal="right" vertical="center" wrapText="1"/>
    </xf>
    <xf numFmtId="176" fontId="47" fillId="6" borderId="14" xfId="0" applyNumberFormat="1" applyFont="1" applyFill="1" applyBorder="1" applyAlignment="1" applyProtection="1">
      <alignment vertical="center" wrapText="1"/>
    </xf>
    <xf numFmtId="176" fontId="47" fillId="6" borderId="0" xfId="0" applyNumberFormat="1" applyFont="1" applyFill="1" applyAlignment="1" applyProtection="1">
      <alignment horizontal="left" vertical="center"/>
      <protection locked="0"/>
    </xf>
    <xf numFmtId="176" fontId="47" fillId="6" borderId="40" xfId="0" applyNumberFormat="1" applyFont="1" applyFill="1" applyBorder="1" applyAlignment="1" applyProtection="1">
      <alignment vertical="center" wrapText="1"/>
    </xf>
    <xf numFmtId="176" fontId="47" fillId="6" borderId="62" xfId="0" applyNumberFormat="1" applyFont="1" applyFill="1" applyBorder="1" applyAlignment="1" applyProtection="1">
      <alignment horizontal="center" vertical="center"/>
    </xf>
    <xf numFmtId="176" fontId="47" fillId="6" borderId="49" xfId="0" applyNumberFormat="1" applyFont="1" applyFill="1" applyBorder="1" applyAlignment="1" applyProtection="1">
      <alignment horizontal="center" vertical="center"/>
    </xf>
    <xf numFmtId="176" fontId="47" fillId="2" borderId="24" xfId="0" applyNumberFormat="1" applyFont="1" applyFill="1" applyBorder="1" applyAlignment="1" applyProtection="1">
      <alignment horizontal="center" vertical="center"/>
      <protection locked="0"/>
    </xf>
    <xf numFmtId="176" fontId="52" fillId="6" borderId="0" xfId="0" applyNumberFormat="1" applyFont="1" applyFill="1" applyAlignment="1" applyProtection="1">
      <alignment vertical="center"/>
      <protection locked="0"/>
    </xf>
    <xf numFmtId="176" fontId="47" fillId="0" borderId="23" xfId="0" applyNumberFormat="1" applyFont="1" applyBorder="1" applyAlignment="1" applyProtection="1">
      <alignment horizontal="right" vertical="center" wrapText="1"/>
      <protection locked="0"/>
    </xf>
    <xf numFmtId="176" fontId="47" fillId="6" borderId="0" xfId="0" applyNumberFormat="1" applyFont="1" applyFill="1" applyBorder="1" applyAlignment="1" applyProtection="1">
      <alignment vertical="center"/>
      <protection locked="0"/>
    </xf>
    <xf numFmtId="176" fontId="47" fillId="0" borderId="25" xfId="0" applyNumberFormat="1" applyFont="1" applyBorder="1" applyAlignment="1" applyProtection="1">
      <alignment horizontal="right" vertical="center" wrapText="1"/>
      <protection locked="0"/>
    </xf>
    <xf numFmtId="176" fontId="47" fillId="0" borderId="49" xfId="0" applyNumberFormat="1" applyFont="1" applyBorder="1" applyAlignment="1" applyProtection="1">
      <alignment vertical="center"/>
      <protection locked="0"/>
    </xf>
    <xf numFmtId="176" fontId="50" fillId="7" borderId="0" xfId="0" applyNumberFormat="1" applyFont="1" applyFill="1" applyAlignment="1" applyProtection="1">
      <alignment vertical="center" wrapText="1"/>
      <protection locked="0"/>
    </xf>
    <xf numFmtId="176" fontId="50" fillId="7" borderId="0" xfId="0" applyNumberFormat="1" applyFont="1" applyFill="1" applyAlignment="1" applyProtection="1">
      <alignment vertical="center"/>
      <protection locked="0"/>
    </xf>
    <xf numFmtId="176" fontId="50" fillId="7" borderId="0" xfId="0" applyNumberFormat="1" applyFont="1" applyFill="1" applyAlignment="1" applyProtection="1">
      <alignment horizontal="center" vertical="center"/>
      <protection locked="0"/>
    </xf>
    <xf numFmtId="176" fontId="50" fillId="0" borderId="0" xfId="0" applyNumberFormat="1" applyFont="1" applyAlignment="1" applyProtection="1">
      <alignment vertical="center" wrapText="1"/>
      <protection locked="0"/>
    </xf>
    <xf numFmtId="176" fontId="50" fillId="0" borderId="0" xfId="0" applyNumberFormat="1" applyFont="1" applyAlignment="1" applyProtection="1">
      <alignment horizontal="center" vertical="center"/>
      <protection locked="0"/>
    </xf>
    <xf numFmtId="176" fontId="50" fillId="0" borderId="0" xfId="0" applyNumberFormat="1" applyFont="1" applyAlignment="1" applyProtection="1">
      <alignment vertical="center" wrapText="1"/>
    </xf>
    <xf numFmtId="176" fontId="50" fillId="0" borderId="0" xfId="0" applyNumberFormat="1" applyFont="1" applyAlignment="1" applyProtection="1">
      <alignment horizontal="center" vertical="center"/>
    </xf>
    <xf numFmtId="176" fontId="50" fillId="6" borderId="0" xfId="0" applyNumberFormat="1" applyFont="1" applyFill="1" applyProtection="1">
      <alignment vertical="center"/>
    </xf>
    <xf numFmtId="176" fontId="50" fillId="5" borderId="0" xfId="0" applyNumberFormat="1" applyFont="1" applyFill="1" applyProtection="1">
      <alignment vertical="center"/>
      <protection locked="0"/>
    </xf>
    <xf numFmtId="176" fontId="64" fillId="6" borderId="13" xfId="0" applyNumberFormat="1" applyFont="1" applyFill="1" applyBorder="1" applyProtection="1">
      <alignment vertical="center"/>
    </xf>
    <xf numFmtId="176" fontId="64" fillId="5" borderId="13" xfId="0" applyNumberFormat="1" applyFont="1" applyFill="1" applyBorder="1" applyAlignment="1" applyProtection="1">
      <alignment horizontal="center" vertical="center"/>
      <protection locked="0"/>
    </xf>
    <xf numFmtId="176" fontId="50" fillId="7" borderId="0" xfId="0" applyNumberFormat="1" applyFont="1" applyFill="1" applyProtection="1">
      <alignment vertical="center"/>
      <protection locked="0"/>
    </xf>
    <xf numFmtId="176" fontId="50" fillId="7" borderId="0" xfId="0" applyNumberFormat="1" applyFont="1" applyFill="1" applyProtection="1">
      <alignment vertical="center"/>
    </xf>
    <xf numFmtId="176" fontId="50" fillId="0" borderId="0" xfId="0" applyNumberFormat="1" applyFont="1" applyProtection="1">
      <alignment vertical="center"/>
    </xf>
    <xf numFmtId="176" fontId="47" fillId="6" borderId="13" xfId="0" applyNumberFormat="1" applyFont="1" applyFill="1" applyBorder="1" applyAlignment="1" applyProtection="1">
      <alignment vertical="center" wrapText="1"/>
    </xf>
    <xf numFmtId="176" fontId="104" fillId="2" borderId="13" xfId="0" applyNumberFormat="1" applyFont="1" applyFill="1" applyBorder="1" applyAlignment="1" applyProtection="1">
      <alignment horizontal="center" vertical="center"/>
      <protection locked="0"/>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7" borderId="1" xfId="0" applyNumberFormat="1" applyFont="1" applyFill="1" applyBorder="1" applyProtection="1">
      <alignment vertical="center"/>
    </xf>
    <xf numFmtId="176" fontId="50" fillId="6" borderId="5" xfId="0" applyNumberFormat="1" applyFont="1" applyFill="1" applyBorder="1" applyAlignment="1" applyProtection="1">
      <alignment vertical="center"/>
    </xf>
    <xf numFmtId="176" fontId="50" fillId="6" borderId="54" xfId="0" applyNumberFormat="1" applyFont="1" applyFill="1" applyBorder="1" applyAlignment="1" applyProtection="1">
      <alignment vertical="center" wrapText="1"/>
    </xf>
    <xf numFmtId="176" fontId="50" fillId="6" borderId="3" xfId="0" applyNumberFormat="1" applyFont="1" applyFill="1" applyBorder="1" applyAlignment="1" applyProtection="1">
      <alignment vertical="center" wrapText="1"/>
    </xf>
    <xf numFmtId="176" fontId="49" fillId="6" borderId="5" xfId="0" applyNumberFormat="1" applyFont="1" applyFill="1" applyBorder="1" applyAlignment="1" applyProtection="1">
      <alignment horizontal="right" vertical="center"/>
    </xf>
    <xf numFmtId="176" fontId="47" fillId="6" borderId="2" xfId="0" applyNumberFormat="1" applyFont="1" applyFill="1" applyBorder="1" applyAlignment="1" applyProtection="1">
      <alignment horizontal="center" vertical="center"/>
    </xf>
    <xf numFmtId="176" fontId="50" fillId="6" borderId="0" xfId="0" applyNumberFormat="1" applyFont="1" applyFill="1" applyProtection="1">
      <alignment vertical="center"/>
      <protection locked="0"/>
    </xf>
    <xf numFmtId="176" fontId="50" fillId="7" borderId="1" xfId="0" applyNumberFormat="1" applyFont="1" applyFill="1" applyBorder="1" applyAlignment="1" applyProtection="1">
      <alignment horizontal="right" vertical="center"/>
    </xf>
    <xf numFmtId="176" fontId="49" fillId="6" borderId="58" xfId="0" applyNumberFormat="1" applyFont="1" applyFill="1" applyBorder="1" applyAlignment="1" applyProtection="1">
      <alignment horizontal="right" vertical="center"/>
    </xf>
    <xf numFmtId="176" fontId="47" fillId="6" borderId="0" xfId="0" applyNumberFormat="1" applyFont="1" applyFill="1" applyProtection="1">
      <alignment vertical="center"/>
    </xf>
    <xf numFmtId="176" fontId="49" fillId="6" borderId="16" xfId="0" applyNumberFormat="1" applyFont="1" applyFill="1" applyBorder="1" applyAlignment="1" applyProtection="1">
      <alignment vertical="center"/>
    </xf>
    <xf numFmtId="176" fontId="47" fillId="6" borderId="9" xfId="0" applyNumberFormat="1" applyFont="1" applyFill="1" applyBorder="1" applyAlignment="1" applyProtection="1">
      <alignment vertical="center"/>
    </xf>
    <xf numFmtId="176" fontId="104" fillId="6" borderId="10" xfId="0" applyNumberFormat="1" applyFont="1" applyFill="1" applyBorder="1" applyAlignment="1" applyProtection="1">
      <alignment horizontal="center" vertical="center"/>
    </xf>
    <xf numFmtId="176" fontId="47" fillId="6" borderId="28" xfId="0" applyNumberFormat="1" applyFont="1" applyFill="1" applyBorder="1" applyAlignment="1" applyProtection="1">
      <alignment horizontal="right" vertical="center"/>
    </xf>
    <xf numFmtId="176" fontId="50" fillId="6" borderId="21" xfId="0" applyNumberFormat="1" applyFont="1" applyFill="1" applyBorder="1" applyAlignment="1" applyProtection="1">
      <alignment vertical="center"/>
    </xf>
    <xf numFmtId="176" fontId="49" fillId="6" borderId="18" xfId="0" applyNumberFormat="1" applyFont="1" applyFill="1" applyBorder="1" applyAlignment="1" applyProtection="1">
      <alignment vertical="center"/>
    </xf>
    <xf numFmtId="176" fontId="50" fillId="6" borderId="48" xfId="0" applyNumberFormat="1" applyFont="1" applyFill="1" applyBorder="1" applyAlignment="1" applyProtection="1">
      <alignment vertical="center"/>
    </xf>
    <xf numFmtId="176" fontId="49" fillId="6" borderId="42" xfId="0" applyNumberFormat="1" applyFont="1" applyFill="1" applyBorder="1" applyAlignment="1" applyProtection="1">
      <alignment vertical="center"/>
    </xf>
    <xf numFmtId="176" fontId="47" fillId="6" borderId="32" xfId="0" applyNumberFormat="1" applyFont="1" applyFill="1" applyBorder="1" applyProtection="1">
      <alignment vertical="center"/>
    </xf>
    <xf numFmtId="176" fontId="50" fillId="6" borderId="68" xfId="0" applyNumberFormat="1" applyFont="1" applyFill="1" applyBorder="1" applyAlignment="1" applyProtection="1">
      <alignment vertical="center"/>
    </xf>
    <xf numFmtId="176" fontId="47" fillId="6" borderId="70" xfId="0" applyNumberFormat="1" applyFont="1" applyFill="1" applyBorder="1" applyProtection="1">
      <alignment vertical="center"/>
    </xf>
    <xf numFmtId="176" fontId="47" fillId="6" borderId="34" xfId="0" applyNumberFormat="1" applyFont="1" applyFill="1" applyBorder="1" applyProtection="1">
      <alignment vertical="center"/>
    </xf>
    <xf numFmtId="176" fontId="111" fillId="6" borderId="65" xfId="0" applyNumberFormat="1" applyFont="1" applyFill="1" applyBorder="1" applyAlignment="1" applyProtection="1">
      <alignment horizontal="center" vertical="center"/>
    </xf>
    <xf numFmtId="176" fontId="47" fillId="6" borderId="21" xfId="0" applyNumberFormat="1" applyFont="1" applyFill="1" applyBorder="1" applyAlignment="1" applyProtection="1">
      <alignment horizontal="center" vertical="center"/>
    </xf>
    <xf numFmtId="176" fontId="47" fillId="6" borderId="4" xfId="0" applyNumberFormat="1" applyFont="1" applyFill="1" applyBorder="1" applyAlignment="1" applyProtection="1">
      <alignment horizontal="right" vertical="center"/>
    </xf>
    <xf numFmtId="176" fontId="47" fillId="6" borderId="48" xfId="0" applyNumberFormat="1" applyFont="1" applyFill="1" applyBorder="1" applyAlignment="1" applyProtection="1">
      <alignment horizontal="center" vertical="center"/>
    </xf>
    <xf numFmtId="176" fontId="106" fillId="0" borderId="23" xfId="0" applyNumberFormat="1" applyFont="1" applyBorder="1" applyAlignment="1" applyProtection="1">
      <alignment horizontal="center" vertical="center"/>
      <protection locked="0"/>
    </xf>
    <xf numFmtId="176" fontId="106" fillId="0" borderId="1" xfId="0" applyNumberFormat="1" applyFont="1" applyFill="1" applyBorder="1" applyAlignment="1" applyProtection="1">
      <alignment horizontal="center" vertical="center"/>
      <protection locked="0"/>
    </xf>
    <xf numFmtId="176" fontId="106" fillId="0" borderId="24" xfId="0" applyNumberFormat="1" applyFont="1" applyFill="1" applyBorder="1" applyAlignment="1" applyProtection="1">
      <alignment horizontal="center" vertical="center"/>
      <protection locked="0"/>
    </xf>
    <xf numFmtId="176" fontId="106" fillId="6" borderId="1" xfId="0" applyNumberFormat="1" applyFont="1" applyFill="1" applyBorder="1" applyAlignment="1" applyProtection="1">
      <alignment horizontal="center" vertical="center"/>
    </xf>
    <xf numFmtId="176" fontId="106" fillId="6" borderId="0" xfId="0" applyNumberFormat="1" applyFont="1" applyFill="1" applyBorder="1" applyAlignment="1" applyProtection="1">
      <alignment horizontal="center" vertical="center"/>
    </xf>
    <xf numFmtId="176" fontId="50" fillId="0" borderId="0" xfId="0" applyNumberFormat="1" applyFont="1" applyFill="1" applyProtection="1">
      <alignment vertical="center"/>
    </xf>
    <xf numFmtId="176" fontId="49" fillId="6" borderId="16" xfId="0" applyNumberFormat="1" applyFont="1" applyFill="1" applyBorder="1" applyAlignment="1" applyProtection="1">
      <alignment horizontal="left" vertical="center"/>
    </xf>
    <xf numFmtId="176" fontId="47" fillId="6" borderId="19" xfId="0" applyNumberFormat="1" applyFont="1" applyFill="1" applyBorder="1" applyProtection="1">
      <alignment vertical="center"/>
    </xf>
    <xf numFmtId="176" fontId="47" fillId="6" borderId="29" xfId="0" applyNumberFormat="1" applyFont="1" applyFill="1" applyBorder="1" applyAlignment="1" applyProtection="1">
      <alignment horizontal="center" vertical="center"/>
    </xf>
    <xf numFmtId="176" fontId="49" fillId="5" borderId="62" xfId="0" applyNumberFormat="1" applyFont="1" applyFill="1" applyBorder="1" applyAlignment="1" applyProtection="1">
      <alignment horizontal="right" vertical="center"/>
      <protection locked="0"/>
    </xf>
    <xf numFmtId="176" fontId="49" fillId="6" borderId="23" xfId="0" applyNumberFormat="1" applyFont="1" applyFill="1" applyBorder="1" applyAlignment="1" applyProtection="1">
      <alignment horizontal="center" vertical="center"/>
    </xf>
    <xf numFmtId="176" fontId="50" fillId="6" borderId="5" xfId="0" applyNumberFormat="1" applyFont="1" applyFill="1" applyBorder="1" applyProtection="1">
      <alignment vertical="center"/>
    </xf>
    <xf numFmtId="176" fontId="49" fillId="5" borderId="1" xfId="0" applyNumberFormat="1" applyFont="1" applyFill="1" applyBorder="1" applyAlignment="1" applyProtection="1">
      <alignment horizontal="center" vertical="center"/>
      <protection locked="0"/>
    </xf>
    <xf numFmtId="176" fontId="222" fillId="2" borderId="24" xfId="0" applyNumberFormat="1" applyFont="1" applyFill="1" applyBorder="1" applyAlignment="1" applyProtection="1">
      <alignment horizontal="center" vertical="center"/>
      <protection locked="0"/>
    </xf>
    <xf numFmtId="176" fontId="50" fillId="6" borderId="30" xfId="0" applyNumberFormat="1" applyFont="1" applyFill="1" applyBorder="1" applyProtection="1">
      <alignment vertical="center"/>
    </xf>
    <xf numFmtId="176" fontId="50" fillId="6" borderId="10" xfId="0" applyNumberFormat="1" applyFont="1" applyFill="1" applyBorder="1" applyAlignment="1" applyProtection="1">
      <alignment horizontal="center" vertical="center"/>
    </xf>
    <xf numFmtId="176" fontId="49" fillId="6" borderId="69" xfId="0" applyNumberFormat="1" applyFont="1" applyFill="1" applyBorder="1" applyAlignment="1" applyProtection="1">
      <alignment horizontal="left" vertical="center"/>
    </xf>
    <xf numFmtId="176" fontId="47" fillId="6" borderId="7" xfId="0" applyNumberFormat="1" applyFont="1" applyFill="1" applyBorder="1" applyAlignment="1" applyProtection="1">
      <alignment horizontal="right" vertical="center"/>
    </xf>
    <xf numFmtId="176" fontId="49" fillId="6" borderId="4" xfId="0" applyNumberFormat="1" applyFont="1" applyFill="1" applyBorder="1" applyAlignment="1" applyProtection="1">
      <alignment horizontal="center" vertical="center"/>
    </xf>
    <xf numFmtId="176" fontId="47" fillId="6" borderId="8" xfId="0" applyNumberFormat="1" applyFont="1" applyFill="1" applyBorder="1" applyProtection="1">
      <alignment vertical="center"/>
    </xf>
    <xf numFmtId="176" fontId="50" fillId="6" borderId="3" xfId="0" applyNumberFormat="1" applyFont="1" applyFill="1" applyBorder="1" applyProtection="1">
      <alignment vertical="center"/>
    </xf>
    <xf numFmtId="176" fontId="50" fillId="0" borderId="24" xfId="0" applyNumberFormat="1" applyFont="1" applyBorder="1" applyProtection="1">
      <alignment vertical="center"/>
      <protection locked="0"/>
    </xf>
    <xf numFmtId="176" fontId="49" fillId="6" borderId="38" xfId="0" applyNumberFormat="1" applyFont="1" applyFill="1" applyBorder="1" applyAlignment="1" applyProtection="1">
      <alignment horizontal="left" vertical="center"/>
    </xf>
    <xf numFmtId="176" fontId="47" fillId="6" borderId="66" xfId="0" applyNumberFormat="1" applyFont="1" applyFill="1" applyBorder="1" applyAlignment="1" applyProtection="1">
      <alignment horizontal="right" vertical="center"/>
    </xf>
    <xf numFmtId="176" fontId="49" fillId="6" borderId="33" xfId="0" applyNumberFormat="1" applyFont="1" applyFill="1" applyBorder="1" applyAlignment="1" applyProtection="1">
      <alignment horizontal="center" vertical="center"/>
    </xf>
    <xf numFmtId="176" fontId="50" fillId="6" borderId="66" xfId="0" applyNumberFormat="1" applyFont="1" applyFill="1" applyBorder="1" applyProtection="1">
      <alignment vertical="center"/>
    </xf>
    <xf numFmtId="176" fontId="50" fillId="0" borderId="49" xfId="0" applyNumberFormat="1" applyFont="1" applyBorder="1" applyProtection="1">
      <alignment vertical="center"/>
      <protection locked="0"/>
    </xf>
    <xf numFmtId="176" fontId="47" fillId="6" borderId="30" xfId="0" applyNumberFormat="1" applyFont="1" applyFill="1" applyBorder="1" applyAlignment="1" applyProtection="1">
      <alignment horizontal="left" vertical="center"/>
    </xf>
    <xf numFmtId="176" fontId="49" fillId="0" borderId="10" xfId="0" applyNumberFormat="1" applyFont="1" applyFill="1" applyBorder="1" applyAlignment="1" applyProtection="1">
      <alignment horizontal="center" vertical="center"/>
      <protection locked="0"/>
    </xf>
    <xf numFmtId="176" fontId="47" fillId="5" borderId="63" xfId="0" applyNumberFormat="1" applyFont="1" applyFill="1" applyBorder="1" applyProtection="1">
      <alignment vertical="center"/>
      <protection locked="0"/>
    </xf>
    <xf numFmtId="176" fontId="47" fillId="6" borderId="65" xfId="0" applyNumberFormat="1" applyFont="1" applyFill="1" applyBorder="1" applyProtection="1">
      <alignment vertical="center"/>
    </xf>
    <xf numFmtId="176" fontId="47" fillId="6" borderId="0" xfId="0" applyNumberFormat="1" applyFont="1" applyFill="1" applyBorder="1" applyAlignment="1" applyProtection="1">
      <alignment horizontal="left" vertical="center"/>
      <protection locked="0"/>
    </xf>
    <xf numFmtId="176" fontId="49" fillId="0" borderId="24" xfId="0" applyNumberFormat="1" applyFont="1" applyFill="1" applyBorder="1" applyAlignment="1" applyProtection="1">
      <alignment horizontal="center" vertical="center"/>
      <protection locked="0"/>
    </xf>
    <xf numFmtId="176" fontId="47" fillId="6" borderId="66" xfId="0" applyNumberFormat="1" applyFont="1" applyFill="1" applyBorder="1" applyAlignment="1" applyProtection="1">
      <alignment horizontal="left" vertical="center"/>
    </xf>
    <xf numFmtId="176" fontId="49" fillId="0" borderId="32" xfId="0" applyNumberFormat="1" applyFont="1" applyFill="1" applyBorder="1" applyAlignment="1" applyProtection="1">
      <alignment horizontal="center" vertical="center"/>
      <protection locked="0"/>
    </xf>
    <xf numFmtId="176" fontId="47" fillId="0" borderId="65" xfId="0" applyNumberFormat="1" applyFont="1" applyFill="1" applyBorder="1" applyProtection="1">
      <alignment vertical="center"/>
      <protection locked="0"/>
    </xf>
    <xf numFmtId="176" fontId="106" fillId="0" borderId="6" xfId="0" applyNumberFormat="1" applyFont="1" applyFill="1" applyBorder="1" applyAlignment="1" applyProtection="1">
      <alignment horizontal="center" vertical="center"/>
      <protection locked="0"/>
    </xf>
    <xf numFmtId="176" fontId="106" fillId="0" borderId="9" xfId="0" applyNumberFormat="1" applyFont="1" applyFill="1" applyBorder="1" applyAlignment="1" applyProtection="1">
      <alignment horizontal="center" vertical="center"/>
      <protection locked="0"/>
    </xf>
    <xf numFmtId="176" fontId="106" fillId="0" borderId="10" xfId="0" applyNumberFormat="1" applyFont="1" applyFill="1" applyBorder="1" applyAlignment="1" applyProtection="1">
      <alignment horizontal="center" vertical="center"/>
      <protection locked="0"/>
    </xf>
    <xf numFmtId="176" fontId="50" fillId="6" borderId="18" xfId="0" applyNumberFormat="1" applyFont="1" applyFill="1" applyBorder="1" applyProtection="1">
      <alignment vertical="center"/>
    </xf>
    <xf numFmtId="176" fontId="50" fillId="0" borderId="23" xfId="0" applyNumberFormat="1" applyFont="1" applyBorder="1" applyProtection="1">
      <alignment vertical="center"/>
      <protection locked="0"/>
    </xf>
    <xf numFmtId="176" fontId="50" fillId="0" borderId="1" xfId="0" applyNumberFormat="1" applyFont="1" applyBorder="1" applyProtection="1">
      <alignment vertical="center"/>
      <protection locked="0"/>
    </xf>
    <xf numFmtId="176" fontId="50" fillId="6" borderId="42" xfId="0" applyNumberFormat="1" applyFont="1" applyFill="1" applyBorder="1" applyProtection="1">
      <alignment vertical="center"/>
    </xf>
    <xf numFmtId="176" fontId="50" fillId="0" borderId="25" xfId="0" applyNumberFormat="1" applyFont="1" applyBorder="1" applyProtection="1">
      <alignment vertical="center"/>
      <protection locked="0"/>
    </xf>
    <xf numFmtId="176" fontId="50" fillId="0" borderId="32" xfId="0" applyNumberFormat="1" applyFont="1" applyBorder="1" applyProtection="1">
      <alignment vertical="center"/>
      <protection locked="0"/>
    </xf>
    <xf numFmtId="176" fontId="50" fillId="6" borderId="0" xfId="0" applyNumberFormat="1" applyFont="1" applyFill="1" applyBorder="1" applyAlignment="1" applyProtection="1">
      <alignment horizontal="center" vertical="center"/>
    </xf>
    <xf numFmtId="176" fontId="120" fillId="6" borderId="0" xfId="0" applyNumberFormat="1" applyFont="1" applyFill="1" applyBorder="1" applyAlignment="1" applyProtection="1">
      <alignment horizontal="center" vertical="center"/>
    </xf>
    <xf numFmtId="176" fontId="120" fillId="6" borderId="0" xfId="0" applyNumberFormat="1" applyFont="1" applyFill="1" applyProtection="1">
      <alignment vertical="center"/>
    </xf>
    <xf numFmtId="176" fontId="109" fillId="6" borderId="0" xfId="0" applyNumberFormat="1" applyFont="1" applyFill="1" applyBorder="1" applyAlignment="1" applyProtection="1">
      <alignment horizontal="left" vertical="center"/>
    </xf>
    <xf numFmtId="176" fontId="223" fillId="6" borderId="0" xfId="0" applyNumberFormat="1" applyFont="1" applyFill="1" applyBorder="1" applyAlignment="1" applyProtection="1">
      <alignment horizontal="left" vertical="center"/>
    </xf>
    <xf numFmtId="176" fontId="245" fillId="6" borderId="0" xfId="0" applyNumberFormat="1" applyFont="1" applyFill="1" applyBorder="1" applyAlignment="1" applyProtection="1">
      <alignment vertical="center"/>
    </xf>
    <xf numFmtId="176" fontId="245" fillId="6" borderId="0" xfId="0" applyNumberFormat="1" applyFont="1" applyFill="1" applyBorder="1" applyAlignment="1" applyProtection="1">
      <alignment horizontal="center" vertical="center"/>
    </xf>
    <xf numFmtId="176" fontId="108" fillId="6" borderId="0" xfId="0" applyNumberFormat="1" applyFont="1" applyFill="1" applyBorder="1" applyAlignment="1" applyProtection="1">
      <alignment horizontal="left" vertical="center"/>
    </xf>
    <xf numFmtId="176" fontId="104" fillId="6" borderId="0" xfId="0" applyNumberFormat="1" applyFont="1" applyFill="1" applyBorder="1" applyProtection="1">
      <alignment vertical="center"/>
    </xf>
    <xf numFmtId="176" fontId="50" fillId="6" borderId="13" xfId="0" applyNumberFormat="1" applyFont="1" applyFill="1" applyBorder="1" applyAlignment="1" applyProtection="1">
      <alignment vertical="center"/>
    </xf>
    <xf numFmtId="176" fontId="50" fillId="6" borderId="36" xfId="0" applyNumberFormat="1" applyFont="1" applyFill="1" applyBorder="1" applyAlignment="1" applyProtection="1">
      <alignment horizontal="right" vertical="center"/>
    </xf>
    <xf numFmtId="176" fontId="50" fillId="5" borderId="36" xfId="0" applyNumberFormat="1" applyFont="1" applyFill="1" applyBorder="1" applyAlignment="1" applyProtection="1">
      <alignment horizontal="center" vertical="center"/>
      <protection locked="0"/>
    </xf>
    <xf numFmtId="176" fontId="50" fillId="6" borderId="22" xfId="0" applyNumberFormat="1" applyFont="1" applyFill="1" applyBorder="1" applyProtection="1">
      <alignment vertical="center"/>
    </xf>
    <xf numFmtId="176" fontId="105" fillId="6" borderId="1" xfId="0" applyNumberFormat="1" applyFont="1" applyFill="1" applyBorder="1" applyAlignment="1" applyProtection="1">
      <alignment horizontal="center" vertical="center" wrapText="1"/>
    </xf>
    <xf numFmtId="176" fontId="55" fillId="6" borderId="18" xfId="0" applyNumberFormat="1" applyFont="1" applyFill="1" applyBorder="1" applyAlignment="1" applyProtection="1">
      <alignment horizontal="left" vertical="center" wrapText="1"/>
    </xf>
    <xf numFmtId="176" fontId="55" fillId="6" borderId="60" xfId="0" applyNumberFormat="1" applyFont="1" applyFill="1" applyBorder="1" applyAlignment="1" applyProtection="1">
      <alignment horizontal="left" vertical="center" wrapText="1"/>
    </xf>
    <xf numFmtId="176" fontId="55" fillId="6" borderId="7" xfId="0" applyNumberFormat="1" applyFont="1" applyFill="1" applyBorder="1" applyAlignment="1" applyProtection="1">
      <alignment horizontal="left" vertical="center" wrapText="1"/>
    </xf>
    <xf numFmtId="176" fontId="50" fillId="6" borderId="4" xfId="0" applyNumberFormat="1" applyFont="1" applyFill="1" applyBorder="1" applyAlignment="1" applyProtection="1">
      <alignment horizontal="center" vertical="center"/>
    </xf>
    <xf numFmtId="176" fontId="55" fillId="6" borderId="1" xfId="0" applyNumberFormat="1" applyFont="1" applyFill="1" applyBorder="1" applyAlignment="1" applyProtection="1">
      <alignment horizontal="left" vertical="center" wrapText="1"/>
    </xf>
    <xf numFmtId="176" fontId="50" fillId="6" borderId="24" xfId="0" applyNumberFormat="1" applyFont="1" applyFill="1" applyBorder="1" applyAlignment="1" applyProtection="1">
      <alignment horizontal="center" vertical="center"/>
    </xf>
    <xf numFmtId="176" fontId="50" fillId="6" borderId="1" xfId="0" applyNumberFormat="1" applyFont="1" applyFill="1" applyBorder="1" applyAlignment="1" applyProtection="1">
      <alignment horizontal="left" vertical="center" wrapText="1"/>
    </xf>
    <xf numFmtId="176" fontId="50" fillId="6" borderId="2" xfId="0" applyNumberFormat="1" applyFont="1" applyFill="1" applyBorder="1" applyAlignment="1" applyProtection="1">
      <alignment horizontal="center" vertical="center"/>
    </xf>
    <xf numFmtId="176" fontId="51" fillId="0" borderId="24" xfId="0" applyNumberFormat="1" applyFont="1" applyFill="1" applyBorder="1" applyAlignment="1" applyProtection="1">
      <alignment vertical="center" wrapText="1"/>
      <protection locked="0"/>
    </xf>
    <xf numFmtId="176" fontId="50" fillId="5" borderId="3" xfId="0" applyNumberFormat="1" applyFont="1" applyFill="1" applyBorder="1" applyAlignment="1" applyProtection="1">
      <alignment horizontal="center" vertical="center"/>
      <protection locked="0"/>
    </xf>
    <xf numFmtId="176" fontId="50" fillId="6" borderId="11" xfId="0" applyNumberFormat="1" applyFont="1" applyFill="1" applyBorder="1" applyAlignment="1" applyProtection="1">
      <alignment horizontal="right" vertical="center" wrapText="1"/>
    </xf>
    <xf numFmtId="176" fontId="50" fillId="6" borderId="46" xfId="0" applyNumberFormat="1" applyFont="1" applyFill="1" applyBorder="1" applyAlignment="1" applyProtection="1">
      <alignment vertical="center"/>
    </xf>
    <xf numFmtId="176" fontId="50" fillId="6" borderId="35" xfId="0" applyNumberFormat="1" applyFont="1" applyFill="1" applyBorder="1" applyAlignment="1" applyProtection="1">
      <alignment horizontal="center" vertical="center"/>
    </xf>
    <xf numFmtId="176" fontId="50" fillId="6" borderId="14" xfId="0" applyNumberFormat="1" applyFont="1" applyFill="1" applyBorder="1" applyAlignment="1" applyProtection="1">
      <alignment horizontal="right" vertical="center" wrapText="1"/>
    </xf>
    <xf numFmtId="176" fontId="50" fillId="6" borderId="58" xfId="0" applyNumberFormat="1" applyFont="1" applyFill="1" applyBorder="1" applyAlignment="1" applyProtection="1">
      <alignment vertical="center"/>
    </xf>
    <xf numFmtId="176" fontId="50" fillId="6" borderId="15" xfId="0" applyNumberFormat="1" applyFont="1" applyFill="1" applyBorder="1" applyAlignment="1" applyProtection="1">
      <alignment horizontal="center" vertical="center" wrapText="1"/>
    </xf>
    <xf numFmtId="176" fontId="50" fillId="6" borderId="35" xfId="0" applyNumberFormat="1" applyFont="1" applyFill="1" applyBorder="1" applyProtection="1">
      <alignment vertical="center"/>
    </xf>
    <xf numFmtId="176" fontId="50" fillId="6" borderId="41" xfId="0" applyNumberFormat="1" applyFont="1" applyFill="1" applyBorder="1" applyAlignment="1" applyProtection="1">
      <alignment horizontal="right" vertical="center" wrapText="1"/>
    </xf>
    <xf numFmtId="176" fontId="50" fillId="6" borderId="4" xfId="0" applyNumberFormat="1" applyFont="1" applyFill="1" applyBorder="1" applyAlignment="1" applyProtection="1">
      <alignment vertical="center"/>
    </xf>
    <xf numFmtId="176" fontId="108" fillId="6" borderId="1" xfId="0" applyNumberFormat="1" applyFont="1" applyFill="1" applyBorder="1" applyAlignment="1" applyProtection="1">
      <alignment horizontal="center" vertical="center" wrapText="1"/>
    </xf>
    <xf numFmtId="176" fontId="50" fillId="6" borderId="24" xfId="0" applyNumberFormat="1" applyFont="1" applyFill="1" applyBorder="1" applyProtection="1">
      <alignment vertical="center"/>
    </xf>
    <xf numFmtId="176" fontId="112" fillId="6" borderId="1" xfId="0" applyNumberFormat="1" applyFont="1" applyFill="1" applyBorder="1" applyAlignment="1" applyProtection="1">
      <alignment horizontal="center" vertical="center" wrapText="1"/>
    </xf>
    <xf numFmtId="176" fontId="112" fillId="6" borderId="1" xfId="0" applyNumberFormat="1" applyFont="1" applyFill="1" applyBorder="1" applyAlignment="1" applyProtection="1">
      <alignment horizontal="center" vertical="center"/>
    </xf>
    <xf numFmtId="176" fontId="51" fillId="6" borderId="0" xfId="0" applyNumberFormat="1" applyFont="1" applyFill="1" applyProtection="1">
      <alignment vertical="center"/>
      <protection locked="0"/>
    </xf>
    <xf numFmtId="176" fontId="50" fillId="6" borderId="5" xfId="0" applyNumberFormat="1" applyFont="1" applyFill="1" applyBorder="1" applyAlignment="1" applyProtection="1">
      <alignment horizontal="right" vertical="center"/>
    </xf>
    <xf numFmtId="176" fontId="50" fillId="6" borderId="5" xfId="0" applyNumberFormat="1" applyFont="1" applyFill="1" applyBorder="1" applyAlignment="1" applyProtection="1">
      <alignment horizontal="center" vertical="center"/>
    </xf>
    <xf numFmtId="176" fontId="112" fillId="6" borderId="13" xfId="0" applyNumberFormat="1" applyFont="1" applyFill="1" applyBorder="1" applyAlignment="1" applyProtection="1">
      <alignment horizontal="center" vertical="center" wrapText="1"/>
    </xf>
    <xf numFmtId="176" fontId="105" fillId="6" borderId="13" xfId="0" applyNumberFormat="1" applyFont="1" applyFill="1" applyBorder="1" applyAlignment="1" applyProtection="1">
      <alignment horizontal="center" vertical="center" wrapText="1"/>
    </xf>
    <xf numFmtId="176" fontId="112" fillId="6" borderId="13" xfId="0" applyNumberFormat="1" applyFont="1" applyFill="1" applyBorder="1" applyAlignment="1" applyProtection="1">
      <alignment horizontal="center" vertical="center"/>
    </xf>
    <xf numFmtId="176" fontId="120" fillId="0" borderId="24" xfId="0" applyNumberFormat="1" applyFont="1" applyFill="1" applyBorder="1" applyAlignment="1" applyProtection="1">
      <alignment vertical="center" wrapText="1"/>
      <protection locked="0"/>
    </xf>
    <xf numFmtId="176" fontId="50" fillId="2" borderId="3" xfId="0" applyNumberFormat="1" applyFont="1" applyFill="1" applyBorder="1" applyAlignment="1" applyProtection="1">
      <alignment horizontal="center" vertical="center" wrapText="1"/>
      <protection locked="0"/>
    </xf>
    <xf numFmtId="176" fontId="50" fillId="6" borderId="0" xfId="0" applyNumberFormat="1" applyFont="1" applyFill="1" applyBorder="1" applyAlignment="1" applyProtection="1">
      <alignment horizontal="center" vertical="center" wrapText="1"/>
      <protection locked="0"/>
    </xf>
    <xf numFmtId="176" fontId="50" fillId="6" borderId="46" xfId="0" applyNumberFormat="1" applyFont="1" applyFill="1" applyBorder="1" applyAlignment="1" applyProtection="1">
      <alignment horizontal="right" vertical="center"/>
    </xf>
    <xf numFmtId="176" fontId="50" fillId="6" borderId="1" xfId="0" applyNumberFormat="1" applyFont="1" applyFill="1" applyBorder="1" applyProtection="1">
      <alignment vertical="center"/>
    </xf>
    <xf numFmtId="176" fontId="105" fillId="6" borderId="5" xfId="0" applyNumberFormat="1" applyFont="1" applyFill="1" applyBorder="1" applyAlignment="1" applyProtection="1">
      <alignment horizontal="center" vertical="center" wrapText="1"/>
    </xf>
    <xf numFmtId="176" fontId="112" fillId="6" borderId="46" xfId="0" applyNumberFormat="1" applyFont="1" applyFill="1" applyBorder="1" applyAlignment="1" applyProtection="1">
      <alignment vertical="center" wrapText="1"/>
    </xf>
    <xf numFmtId="176" fontId="112" fillId="6" borderId="36" xfId="0" applyNumberFormat="1" applyFont="1" applyFill="1" applyBorder="1" applyAlignment="1" applyProtection="1">
      <alignment horizontal="center" vertical="center" wrapText="1"/>
    </xf>
    <xf numFmtId="176" fontId="112" fillId="6" borderId="22" xfId="0" applyNumberFormat="1" applyFont="1" applyFill="1" applyBorder="1" applyAlignment="1" applyProtection="1">
      <alignment vertical="center" wrapText="1"/>
    </xf>
    <xf numFmtId="176" fontId="112" fillId="6" borderId="5" xfId="0" applyNumberFormat="1" applyFont="1" applyFill="1" applyBorder="1" applyAlignment="1" applyProtection="1">
      <alignment vertical="center" wrapText="1"/>
    </xf>
    <xf numFmtId="176" fontId="112" fillId="6" borderId="54" xfId="0" applyNumberFormat="1" applyFont="1" applyFill="1" applyBorder="1" applyAlignment="1" applyProtection="1">
      <alignment horizontal="center" vertical="center"/>
    </xf>
    <xf numFmtId="176" fontId="112" fillId="6" borderId="3" xfId="0" applyNumberFormat="1" applyFont="1" applyFill="1" applyBorder="1" applyAlignment="1" applyProtection="1">
      <alignment vertical="center" wrapText="1"/>
    </xf>
    <xf numFmtId="176" fontId="50" fillId="6" borderId="33" xfId="0" applyNumberFormat="1" applyFont="1" applyFill="1" applyBorder="1" applyAlignment="1" applyProtection="1">
      <alignment horizontal="right" vertical="center"/>
    </xf>
    <xf numFmtId="176" fontId="50" fillId="6" borderId="32" xfId="0" applyNumberFormat="1" applyFont="1" applyFill="1" applyBorder="1" applyAlignment="1" applyProtection="1">
      <alignment horizontal="center" vertical="center" wrapText="1"/>
    </xf>
    <xf numFmtId="176" fontId="50" fillId="6" borderId="32" xfId="0" applyNumberFormat="1" applyFont="1" applyFill="1" applyBorder="1" applyAlignment="1" applyProtection="1">
      <alignment horizontal="center" vertical="center"/>
    </xf>
    <xf numFmtId="176" fontId="120" fillId="0" borderId="49" xfId="0" applyNumberFormat="1" applyFont="1" applyFill="1" applyBorder="1" applyAlignment="1" applyProtection="1">
      <alignment vertical="center" wrapText="1"/>
      <protection locked="0"/>
    </xf>
    <xf numFmtId="176" fontId="112" fillId="6" borderId="58" xfId="0" applyNumberFormat="1" applyFont="1" applyFill="1" applyBorder="1" applyAlignment="1" applyProtection="1">
      <alignment vertical="center" wrapText="1"/>
    </xf>
    <xf numFmtId="176" fontId="112" fillId="6" borderId="0" xfId="0" applyNumberFormat="1" applyFont="1" applyFill="1" applyBorder="1" applyAlignment="1" applyProtection="1">
      <alignment horizontal="center" vertical="center" wrapText="1"/>
    </xf>
    <xf numFmtId="176" fontId="112" fillId="6" borderId="35" xfId="0" applyNumberFormat="1" applyFont="1" applyFill="1" applyBorder="1" applyAlignment="1" applyProtection="1">
      <alignment vertical="center" wrapText="1"/>
    </xf>
    <xf numFmtId="176" fontId="50" fillId="6" borderId="0" xfId="0" applyNumberFormat="1" applyFont="1" applyFill="1" applyBorder="1" applyAlignment="1" applyProtection="1">
      <alignment horizontal="left" vertical="center" wrapText="1"/>
    </xf>
    <xf numFmtId="176" fontId="50" fillId="6" borderId="0" xfId="0" applyNumberFormat="1" applyFont="1" applyFill="1" applyBorder="1" applyAlignment="1" applyProtection="1">
      <alignment horizontal="center" vertical="center" wrapText="1"/>
    </xf>
    <xf numFmtId="176" fontId="50" fillId="6" borderId="0" xfId="0" applyNumberFormat="1" applyFont="1" applyFill="1" applyBorder="1" applyAlignment="1" applyProtection="1">
      <alignment horizontal="center" vertical="center"/>
      <protection locked="0"/>
    </xf>
    <xf numFmtId="176" fontId="112" fillId="6" borderId="4" xfId="0" applyNumberFormat="1" applyFont="1" applyFill="1" applyBorder="1" applyAlignment="1" applyProtection="1">
      <alignment vertical="center" wrapText="1"/>
    </xf>
    <xf numFmtId="176" fontId="112" fillId="6" borderId="60" xfId="0" applyNumberFormat="1" applyFont="1" applyFill="1" applyBorder="1" applyAlignment="1" applyProtection="1">
      <alignment horizontal="center" vertical="center" wrapText="1"/>
    </xf>
    <xf numFmtId="176" fontId="112" fillId="6" borderId="7" xfId="0" applyNumberFormat="1" applyFont="1" applyFill="1" applyBorder="1" applyAlignment="1" applyProtection="1">
      <alignment vertical="center" wrapText="1"/>
    </xf>
    <xf numFmtId="176" fontId="57"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left" vertical="center" wrapText="1"/>
    </xf>
    <xf numFmtId="176" fontId="55" fillId="6" borderId="23" xfId="0" applyNumberFormat="1" applyFont="1" applyFill="1" applyBorder="1" applyAlignment="1" applyProtection="1">
      <alignment horizontal="left" vertical="center" wrapText="1"/>
    </xf>
    <xf numFmtId="176" fontId="57" fillId="6" borderId="2" xfId="0" applyNumberFormat="1" applyFont="1" applyFill="1" applyBorder="1" applyAlignment="1" applyProtection="1">
      <alignment horizontal="left" vertical="center" wrapText="1"/>
    </xf>
    <xf numFmtId="176" fontId="57" fillId="6" borderId="2" xfId="0" applyNumberFormat="1" applyFont="1" applyFill="1" applyBorder="1" applyAlignment="1" applyProtection="1">
      <alignment horizontal="center" vertical="center" wrapText="1"/>
    </xf>
    <xf numFmtId="176" fontId="50" fillId="6" borderId="8" xfId="0" applyNumberFormat="1" applyFont="1" applyFill="1" applyBorder="1" applyAlignment="1" applyProtection="1">
      <alignment horizontal="left" vertical="center" wrapText="1"/>
    </xf>
    <xf numFmtId="176" fontId="176" fillId="6" borderId="1" xfId="0" applyNumberFormat="1" applyFont="1" applyFill="1" applyBorder="1" applyAlignment="1">
      <alignment horizontal="center" vertical="center" wrapText="1"/>
    </xf>
    <xf numFmtId="176" fontId="176" fillId="6" borderId="1" xfId="0" applyNumberFormat="1" applyFont="1" applyFill="1" applyBorder="1" applyAlignment="1">
      <alignment horizontal="left" vertical="center" wrapText="1"/>
    </xf>
    <xf numFmtId="176" fontId="50" fillId="6" borderId="23" xfId="0" applyNumberFormat="1" applyFont="1" applyFill="1" applyBorder="1" applyAlignment="1" applyProtection="1">
      <alignment horizontal="left" vertical="center" wrapText="1"/>
    </xf>
    <xf numFmtId="176" fontId="56" fillId="6" borderId="1" xfId="0" applyNumberFormat="1" applyFont="1" applyFill="1" applyBorder="1" applyAlignment="1" applyProtection="1">
      <alignment horizontal="left" vertical="center" wrapText="1"/>
    </xf>
    <xf numFmtId="176" fontId="56" fillId="6" borderId="1"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left" vertical="center" wrapText="1"/>
    </xf>
    <xf numFmtId="176" fontId="56" fillId="0" borderId="1" xfId="0" applyNumberFormat="1" applyFont="1" applyFill="1" applyBorder="1" applyAlignment="1" applyProtection="1">
      <alignment horizontal="center" vertical="center" wrapText="1"/>
      <protection locked="0"/>
    </xf>
    <xf numFmtId="176" fontId="57" fillId="6" borderId="1" xfId="0" applyNumberFormat="1" applyFont="1" applyFill="1" applyBorder="1" applyAlignment="1" applyProtection="1">
      <alignment horizontal="left" vertical="center" wrapText="1"/>
    </xf>
    <xf numFmtId="176" fontId="57" fillId="0" borderId="1" xfId="0" applyNumberFormat="1" applyFont="1" applyFill="1" applyBorder="1" applyAlignment="1" applyProtection="1">
      <alignment horizontal="center" vertical="center" wrapText="1"/>
      <protection locked="0"/>
    </xf>
    <xf numFmtId="176" fontId="57" fillId="6" borderId="1" xfId="0" applyNumberFormat="1" applyFont="1" applyFill="1" applyBorder="1" applyAlignment="1" applyProtection="1">
      <alignment horizontal="center" vertical="center" wrapText="1"/>
    </xf>
    <xf numFmtId="176" fontId="120" fillId="6" borderId="24" xfId="0" applyNumberFormat="1" applyFont="1" applyFill="1" applyBorder="1" applyAlignment="1" applyProtection="1">
      <alignment horizontal="left" vertical="center"/>
    </xf>
    <xf numFmtId="176" fontId="55" fillId="6" borderId="25" xfId="0" applyNumberFormat="1" applyFont="1" applyFill="1" applyBorder="1" applyAlignment="1" applyProtection="1">
      <alignment horizontal="left" vertical="center" wrapText="1"/>
    </xf>
    <xf numFmtId="176" fontId="57" fillId="6" borderId="32" xfId="0" applyNumberFormat="1" applyFont="1" applyFill="1" applyBorder="1" applyAlignment="1" applyProtection="1">
      <alignment horizontal="left" vertical="center" wrapText="1"/>
    </xf>
    <xf numFmtId="176" fontId="57" fillId="6" borderId="32" xfId="0" applyNumberFormat="1" applyFont="1" applyFill="1" applyBorder="1" applyAlignment="1" applyProtection="1">
      <alignment horizontal="center" vertical="center" wrapText="1"/>
    </xf>
    <xf numFmtId="176" fontId="56" fillId="6" borderId="32" xfId="0" applyNumberFormat="1" applyFont="1" applyFill="1" applyBorder="1" applyAlignment="1" applyProtection="1">
      <alignment horizontal="center" vertical="center" wrapText="1"/>
    </xf>
    <xf numFmtId="176" fontId="50" fillId="6" borderId="49" xfId="0" applyNumberFormat="1" applyFont="1" applyFill="1" applyBorder="1" applyAlignment="1" applyProtection="1">
      <alignment horizontal="left" vertical="center"/>
    </xf>
    <xf numFmtId="176" fontId="57" fillId="6" borderId="0" xfId="0" applyNumberFormat="1" applyFont="1" applyFill="1" applyBorder="1" applyAlignment="1" applyProtection="1">
      <alignment horizontal="left" vertical="center" wrapText="1"/>
    </xf>
    <xf numFmtId="176" fontId="57" fillId="6" borderId="0" xfId="0" applyNumberFormat="1" applyFont="1" applyFill="1" applyBorder="1" applyAlignment="1" applyProtection="1">
      <alignment horizontal="center" vertical="center" wrapText="1"/>
    </xf>
    <xf numFmtId="176" fontId="56" fillId="6" borderId="0" xfId="0" applyNumberFormat="1" applyFont="1" applyFill="1" applyBorder="1" applyAlignment="1" applyProtection="1">
      <alignment horizontal="center" vertical="center" wrapText="1"/>
    </xf>
    <xf numFmtId="176" fontId="50" fillId="6" borderId="0" xfId="0" applyNumberFormat="1" applyFont="1" applyFill="1" applyBorder="1" applyAlignment="1" applyProtection="1">
      <alignment horizontal="left" vertical="center"/>
    </xf>
    <xf numFmtId="176" fontId="176" fillId="6" borderId="1" xfId="0" applyNumberFormat="1" applyFont="1" applyFill="1" applyBorder="1" applyAlignment="1">
      <alignment vertical="center" wrapText="1"/>
    </xf>
    <xf numFmtId="176" fontId="50" fillId="6" borderId="0" xfId="2" applyNumberFormat="1" applyFont="1" applyFill="1" applyBorder="1" applyAlignment="1" applyProtection="1">
      <alignment horizontal="left" vertical="center" wrapText="1"/>
    </xf>
    <xf numFmtId="176" fontId="104" fillId="0" borderId="0" xfId="0" applyNumberFormat="1" applyFont="1" applyFill="1" applyProtection="1">
      <alignment vertical="center"/>
    </xf>
    <xf numFmtId="176" fontId="104" fillId="7" borderId="0" xfId="0" applyNumberFormat="1" applyFont="1" applyFill="1" applyProtection="1">
      <alignment vertical="center"/>
      <protection locked="0"/>
    </xf>
    <xf numFmtId="176" fontId="104" fillId="7" borderId="0" xfId="0" applyNumberFormat="1" applyFont="1" applyFill="1" applyProtection="1">
      <alignment vertical="center"/>
    </xf>
    <xf numFmtId="176" fontId="50" fillId="6" borderId="28" xfId="0" applyNumberFormat="1" applyFont="1" applyFill="1" applyBorder="1" applyAlignment="1" applyProtection="1">
      <alignment horizontal="left" vertical="center" wrapText="1"/>
    </xf>
    <xf numFmtId="176" fontId="50" fillId="6" borderId="20" xfId="0" applyNumberFormat="1" applyFont="1" applyFill="1" applyBorder="1" applyAlignment="1" applyProtection="1">
      <alignment horizontal="left" vertical="center" wrapText="1"/>
    </xf>
    <xf numFmtId="176" fontId="47" fillId="6" borderId="21" xfId="2" applyNumberFormat="1" applyFont="1" applyFill="1" applyBorder="1" applyAlignment="1" applyProtection="1">
      <alignment horizontal="left" vertical="center" wrapText="1"/>
    </xf>
    <xf numFmtId="176" fontId="104" fillId="6" borderId="0" xfId="2" applyNumberFormat="1" applyFont="1" applyFill="1" applyAlignment="1" applyProtection="1">
      <alignment vertical="center" wrapText="1"/>
      <protection locked="0"/>
    </xf>
    <xf numFmtId="176" fontId="50" fillId="6" borderId="5" xfId="0" applyNumberFormat="1" applyFont="1" applyFill="1" applyBorder="1" applyAlignment="1" applyProtection="1">
      <alignment horizontal="left" vertical="center" wrapText="1"/>
    </xf>
    <xf numFmtId="176" fontId="50" fillId="6" borderId="54" xfId="0" applyNumberFormat="1" applyFont="1" applyFill="1" applyBorder="1" applyAlignment="1" applyProtection="1">
      <alignment horizontal="left" vertical="center" wrapText="1"/>
    </xf>
    <xf numFmtId="176" fontId="47" fillId="6" borderId="48" xfId="2" applyNumberFormat="1" applyFont="1" applyFill="1" applyBorder="1" applyAlignment="1" applyProtection="1">
      <alignment horizontal="left" vertical="center" wrapText="1"/>
    </xf>
    <xf numFmtId="176" fontId="50" fillId="6" borderId="23" xfId="0" applyNumberFormat="1" applyFont="1" applyFill="1" applyBorder="1" applyAlignment="1" applyProtection="1">
      <alignment vertical="center" wrapText="1"/>
    </xf>
    <xf numFmtId="176" fontId="47" fillId="6" borderId="1" xfId="2" applyNumberFormat="1" applyFont="1" applyFill="1" applyBorder="1" applyAlignment="1" applyProtection="1">
      <alignment horizontal="left" vertical="center" wrapText="1"/>
    </xf>
    <xf numFmtId="176" fontId="47" fillId="2" borderId="1" xfId="2" applyNumberFormat="1" applyFont="1" applyFill="1" applyBorder="1" applyAlignment="1" applyProtection="1">
      <alignment horizontal="center" vertical="center" wrapText="1"/>
      <protection locked="0"/>
    </xf>
    <xf numFmtId="176" fontId="56" fillId="0" borderId="24" xfId="0" applyNumberFormat="1" applyFont="1" applyFill="1" applyBorder="1" applyAlignment="1" applyProtection="1">
      <alignment horizontal="center" vertical="center" wrapText="1"/>
      <protection locked="0"/>
    </xf>
    <xf numFmtId="176" fontId="104" fillId="6" borderId="0" xfId="0" applyNumberFormat="1" applyFont="1" applyFill="1" applyProtection="1">
      <alignment vertical="center"/>
      <protection locked="0"/>
    </xf>
    <xf numFmtId="176" fontId="56" fillId="6" borderId="2" xfId="0" applyNumberFormat="1" applyFont="1" applyFill="1" applyBorder="1" applyAlignment="1" applyProtection="1">
      <alignment horizontal="left" vertical="center" wrapText="1"/>
    </xf>
    <xf numFmtId="176" fontId="47" fillId="6" borderId="0" xfId="0" applyNumberFormat="1" applyFont="1" applyFill="1" applyBorder="1" applyAlignment="1" applyProtection="1">
      <alignment horizontal="center" vertical="center"/>
    </xf>
    <xf numFmtId="176" fontId="50" fillId="6" borderId="5" xfId="0" applyNumberFormat="1" applyFont="1" applyFill="1" applyBorder="1" applyAlignment="1" applyProtection="1">
      <alignment horizontal="left" vertical="center"/>
    </xf>
    <xf numFmtId="176" fontId="47" fillId="6" borderId="54" xfId="0" applyNumberFormat="1" applyFont="1" applyFill="1" applyBorder="1" applyAlignment="1" applyProtection="1">
      <alignment horizontal="left" vertical="center"/>
    </xf>
    <xf numFmtId="176" fontId="50" fillId="2" borderId="54" xfId="0" applyNumberFormat="1" applyFont="1" applyFill="1" applyBorder="1" applyAlignment="1" applyProtection="1">
      <alignment horizontal="left" vertical="center" wrapText="1"/>
      <protection locked="0"/>
    </xf>
    <xf numFmtId="176" fontId="50" fillId="6" borderId="48" xfId="0" applyNumberFormat="1" applyFont="1" applyFill="1" applyBorder="1" applyAlignment="1" applyProtection="1">
      <alignment horizontal="left" vertical="center" wrapText="1"/>
    </xf>
    <xf numFmtId="176" fontId="55" fillId="6" borderId="5" xfId="0" applyNumberFormat="1" applyFont="1" applyFill="1" applyBorder="1" applyAlignment="1" applyProtection="1">
      <alignment horizontal="center" vertical="center" wrapText="1"/>
    </xf>
    <xf numFmtId="176" fontId="104" fillId="6" borderId="0" xfId="2" applyNumberFormat="1" applyFont="1" applyFill="1" applyProtection="1">
      <protection locked="0"/>
    </xf>
    <xf numFmtId="176" fontId="55" fillId="6" borderId="23" xfId="0" applyNumberFormat="1" applyFont="1" applyFill="1" applyBorder="1" applyAlignment="1" applyProtection="1">
      <alignment vertical="center" wrapText="1"/>
    </xf>
    <xf numFmtId="176" fontId="55" fillId="6" borderId="25" xfId="0" applyNumberFormat="1" applyFont="1" applyFill="1" applyBorder="1" applyAlignment="1" applyProtection="1">
      <alignment vertical="center" wrapText="1"/>
    </xf>
    <xf numFmtId="176" fontId="55" fillId="6" borderId="32" xfId="0" applyNumberFormat="1" applyFont="1" applyFill="1" applyBorder="1" applyAlignment="1" applyProtection="1">
      <alignment horizontal="center" vertical="center" wrapText="1"/>
    </xf>
    <xf numFmtId="176" fontId="50" fillId="6" borderId="33" xfId="0" applyNumberFormat="1" applyFont="1" applyFill="1" applyBorder="1" applyAlignment="1" applyProtection="1">
      <alignment horizontal="left" vertical="center"/>
    </xf>
    <xf numFmtId="176" fontId="50" fillId="6" borderId="52" xfId="0" applyNumberFormat="1" applyFont="1" applyFill="1" applyBorder="1" applyAlignment="1" applyProtection="1">
      <alignment horizontal="left" vertical="center" wrapText="1"/>
    </xf>
    <xf numFmtId="176" fontId="47" fillId="6" borderId="68" xfId="2" applyNumberFormat="1" applyFont="1" applyFill="1" applyBorder="1" applyAlignment="1" applyProtection="1">
      <alignment horizontal="left" vertical="center" wrapText="1"/>
    </xf>
    <xf numFmtId="176" fontId="104" fillId="6" borderId="0" xfId="0" applyNumberFormat="1" applyFont="1" applyFill="1" applyAlignment="1" applyProtection="1">
      <alignment vertical="center"/>
    </xf>
    <xf numFmtId="176" fontId="104" fillId="6" borderId="0" xfId="0" applyNumberFormat="1" applyFont="1" applyFill="1" applyAlignment="1" applyProtection="1">
      <alignment horizontal="left" vertical="center"/>
    </xf>
    <xf numFmtId="176" fontId="104" fillId="6" borderId="0" xfId="0" applyNumberFormat="1" applyFont="1" applyFill="1" applyProtection="1">
      <alignment vertical="center"/>
    </xf>
    <xf numFmtId="176" fontId="104" fillId="6" borderId="0" xfId="2" applyNumberFormat="1" applyFont="1" applyFill="1" applyAlignment="1" applyProtection="1">
      <alignment horizontal="left"/>
    </xf>
    <xf numFmtId="176" fontId="50" fillId="6" borderId="21" xfId="2" applyNumberFormat="1" applyFont="1" applyFill="1" applyBorder="1" applyAlignment="1" applyProtection="1">
      <alignment horizontal="left" vertical="center" wrapText="1"/>
    </xf>
    <xf numFmtId="176" fontId="50" fillId="6" borderId="48" xfId="2" applyNumberFormat="1" applyFont="1" applyFill="1" applyBorder="1" applyAlignment="1" applyProtection="1">
      <alignment horizontal="left" vertical="center" wrapText="1"/>
    </xf>
    <xf numFmtId="176" fontId="56" fillId="6" borderId="5" xfId="0" applyNumberFormat="1" applyFont="1" applyFill="1" applyBorder="1" applyAlignment="1" applyProtection="1">
      <alignment horizontal="center" vertical="center" wrapText="1"/>
    </xf>
    <xf numFmtId="176" fontId="58" fillId="6" borderId="0" xfId="0" applyNumberFormat="1" applyFont="1" applyFill="1" applyBorder="1" applyAlignment="1" applyProtection="1">
      <alignment horizontal="left" vertical="center"/>
    </xf>
    <xf numFmtId="176" fontId="50" fillId="2" borderId="48" xfId="0" applyNumberFormat="1" applyFont="1" applyFill="1" applyBorder="1" applyAlignment="1" applyProtection="1">
      <alignment horizontal="left" vertical="center" wrapText="1"/>
      <protection locked="0"/>
    </xf>
    <xf numFmtId="176" fontId="50" fillId="5" borderId="48" xfId="0" applyNumberFormat="1" applyFont="1" applyFill="1" applyBorder="1" applyAlignment="1" applyProtection="1">
      <alignment horizontal="left" vertical="center" wrapText="1"/>
      <protection locked="0"/>
    </xf>
    <xf numFmtId="176" fontId="104" fillId="0" borderId="23" xfId="0" applyNumberFormat="1" applyFont="1" applyFill="1" applyBorder="1" applyProtection="1">
      <alignment vertical="center"/>
      <protection locked="0"/>
    </xf>
    <xf numFmtId="176" fontId="50" fillId="6" borderId="68" xfId="2" applyNumberFormat="1" applyFont="1" applyFill="1" applyBorder="1" applyAlignment="1" applyProtection="1">
      <alignment horizontal="left" vertical="center" wrapText="1"/>
    </xf>
    <xf numFmtId="176" fontId="110" fillId="6" borderId="1" xfId="0" applyNumberFormat="1" applyFont="1" applyFill="1" applyBorder="1" applyAlignment="1" applyProtection="1">
      <alignment horizontal="center" vertical="center" wrapText="1"/>
    </xf>
    <xf numFmtId="176" fontId="110" fillId="6" borderId="24" xfId="0" applyNumberFormat="1" applyFont="1" applyFill="1" applyBorder="1" applyAlignment="1" applyProtection="1">
      <alignment horizontal="center" vertical="center" wrapText="1"/>
    </xf>
    <xf numFmtId="176" fontId="133" fillId="6" borderId="1" xfId="0" applyNumberFormat="1" applyFont="1" applyFill="1" applyBorder="1" applyAlignment="1" applyProtection="1">
      <alignment vertical="center" wrapText="1"/>
    </xf>
    <xf numFmtId="176" fontId="49" fillId="6" borderId="24" xfId="0" applyNumberFormat="1" applyFont="1" applyFill="1" applyBorder="1" applyAlignment="1" applyProtection="1">
      <alignment horizontal="center" vertical="center"/>
    </xf>
    <xf numFmtId="176" fontId="110" fillId="6" borderId="13" xfId="0" applyNumberFormat="1" applyFont="1" applyFill="1" applyBorder="1" applyAlignment="1" applyProtection="1">
      <alignment horizontal="center" vertical="center" wrapText="1"/>
    </xf>
    <xf numFmtId="176" fontId="110" fillId="6" borderId="61" xfId="0" applyNumberFormat="1" applyFont="1" applyFill="1" applyBorder="1" applyAlignment="1" applyProtection="1">
      <alignment horizontal="center" vertical="center" wrapText="1"/>
    </xf>
    <xf numFmtId="176" fontId="110" fillId="6" borderId="1" xfId="0" applyNumberFormat="1" applyFont="1" applyFill="1" applyBorder="1" applyAlignment="1" applyProtection="1">
      <alignment vertical="center" wrapText="1"/>
    </xf>
    <xf numFmtId="176" fontId="133" fillId="6" borderId="5" xfId="0" applyNumberFormat="1" applyFont="1" applyFill="1" applyBorder="1" applyAlignment="1" applyProtection="1">
      <alignment vertical="center" wrapText="1"/>
    </xf>
    <xf numFmtId="176" fontId="110" fillId="6" borderId="5" xfId="0" applyNumberFormat="1" applyFont="1" applyFill="1" applyBorder="1" applyAlignment="1" applyProtection="1">
      <alignment vertical="center" wrapText="1"/>
    </xf>
    <xf numFmtId="176" fontId="110" fillId="6" borderId="48" xfId="0" applyNumberFormat="1" applyFont="1" applyFill="1" applyBorder="1" applyAlignment="1" applyProtection="1">
      <alignment vertical="center" wrapText="1"/>
    </xf>
    <xf numFmtId="176" fontId="133" fillId="6" borderId="33" xfId="0" applyNumberFormat="1" applyFont="1" applyFill="1" applyBorder="1" applyAlignment="1" applyProtection="1">
      <alignment vertical="center" wrapText="1"/>
    </xf>
    <xf numFmtId="176" fontId="110" fillId="6" borderId="33" xfId="0" applyNumberFormat="1" applyFont="1" applyFill="1" applyBorder="1" applyAlignment="1" applyProtection="1">
      <alignment vertical="center" wrapText="1"/>
    </xf>
    <xf numFmtId="176" fontId="110" fillId="6" borderId="68" xfId="0" applyNumberFormat="1" applyFont="1" applyFill="1" applyBorder="1" applyAlignment="1" applyProtection="1">
      <alignment vertical="center" wrapText="1"/>
    </xf>
    <xf numFmtId="176" fontId="47" fillId="6" borderId="23" xfId="0" applyNumberFormat="1" applyFont="1" applyFill="1" applyBorder="1" applyAlignment="1" applyProtection="1">
      <alignment horizontal="left" vertical="center"/>
    </xf>
    <xf numFmtId="176" fontId="55" fillId="6" borderId="24" xfId="0" applyNumberFormat="1" applyFont="1" applyFill="1" applyBorder="1" applyAlignment="1" applyProtection="1">
      <alignment horizontal="center" vertical="center"/>
    </xf>
    <xf numFmtId="176" fontId="133" fillId="6" borderId="32" xfId="0" applyNumberFormat="1" applyFont="1" applyFill="1" applyBorder="1" applyAlignment="1" applyProtection="1">
      <alignment vertical="center" wrapText="1"/>
    </xf>
    <xf numFmtId="176" fontId="47" fillId="6" borderId="1" xfId="0" applyNumberFormat="1" applyFont="1" applyFill="1" applyBorder="1" applyAlignment="1" applyProtection="1">
      <alignment horizontal="center" vertical="center" wrapText="1"/>
      <protection locked="0"/>
    </xf>
    <xf numFmtId="176" fontId="140" fillId="0" borderId="46" xfId="0" applyNumberFormat="1" applyFont="1" applyBorder="1" applyAlignment="1" applyProtection="1">
      <alignment horizontal="left" vertical="center"/>
    </xf>
    <xf numFmtId="176" fontId="50" fillId="0" borderId="36" xfId="0" applyNumberFormat="1" applyFont="1" applyBorder="1" applyAlignment="1" applyProtection="1">
      <alignment horizontal="left" vertical="center" wrapText="1"/>
    </xf>
    <xf numFmtId="176" fontId="59" fillId="5" borderId="36" xfId="0" applyNumberFormat="1" applyFont="1" applyFill="1" applyBorder="1" applyAlignment="1" applyProtection="1">
      <alignment horizontal="left" vertical="center" wrapText="1"/>
      <protection locked="0"/>
    </xf>
    <xf numFmtId="176" fontId="50" fillId="7" borderId="36" xfId="0" applyNumberFormat="1" applyFont="1" applyFill="1" applyBorder="1" applyAlignment="1" applyProtection="1">
      <alignment horizontal="center" vertical="center" wrapText="1"/>
    </xf>
    <xf numFmtId="176" fontId="50" fillId="7" borderId="36" xfId="0" applyNumberFormat="1" applyFont="1" applyFill="1" applyBorder="1" applyAlignment="1" applyProtection="1">
      <alignment horizontal="center" vertical="center"/>
    </xf>
    <xf numFmtId="176" fontId="50" fillId="7" borderId="22" xfId="0" applyNumberFormat="1" applyFont="1" applyFill="1" applyBorder="1" applyProtection="1">
      <alignment vertical="center"/>
    </xf>
    <xf numFmtId="176" fontId="50" fillId="7" borderId="58" xfId="0" applyNumberFormat="1" applyFont="1" applyFill="1" applyBorder="1" applyAlignment="1" applyProtection="1">
      <alignment horizontal="left" vertical="center" wrapText="1"/>
      <protection locked="0"/>
    </xf>
    <xf numFmtId="176" fontId="50" fillId="7" borderId="0" xfId="0" applyNumberFormat="1" applyFont="1" applyFill="1" applyBorder="1" applyAlignment="1" applyProtection="1">
      <alignment horizontal="left" vertical="center" wrapText="1"/>
      <protection locked="0"/>
    </xf>
    <xf numFmtId="176" fontId="50" fillId="7" borderId="0" xfId="0" applyNumberFormat="1" applyFont="1" applyFill="1" applyBorder="1" applyAlignment="1" applyProtection="1">
      <alignment horizontal="center" vertical="center" wrapText="1"/>
      <protection locked="0"/>
    </xf>
    <xf numFmtId="176" fontId="50" fillId="7" borderId="0" xfId="0" applyNumberFormat="1" applyFont="1" applyFill="1" applyBorder="1" applyAlignment="1" applyProtection="1">
      <alignment horizontal="center" vertical="center"/>
      <protection locked="0"/>
    </xf>
    <xf numFmtId="176" fontId="50" fillId="7" borderId="35" xfId="0" applyNumberFormat="1" applyFont="1" applyFill="1" applyBorder="1" applyProtection="1">
      <alignment vertical="center"/>
      <protection locked="0"/>
    </xf>
    <xf numFmtId="176" fontId="50" fillId="7" borderId="4" xfId="0" applyNumberFormat="1" applyFont="1" applyFill="1" applyBorder="1" applyAlignment="1" applyProtection="1">
      <alignment horizontal="left" vertical="center" wrapText="1"/>
      <protection locked="0"/>
    </xf>
    <xf numFmtId="176" fontId="50" fillId="7" borderId="60" xfId="0" applyNumberFormat="1" applyFont="1" applyFill="1" applyBorder="1" applyAlignment="1" applyProtection="1">
      <alignment horizontal="left" vertical="center" wrapText="1"/>
      <protection locked="0"/>
    </xf>
    <xf numFmtId="176" fontId="50" fillId="7" borderId="60" xfId="0" applyNumberFormat="1" applyFont="1" applyFill="1" applyBorder="1" applyAlignment="1" applyProtection="1">
      <alignment horizontal="center" vertical="center" wrapText="1"/>
      <protection locked="0"/>
    </xf>
    <xf numFmtId="176" fontId="50" fillId="7" borderId="60" xfId="0" applyNumberFormat="1" applyFont="1" applyFill="1" applyBorder="1" applyAlignment="1" applyProtection="1">
      <alignment horizontal="center" vertical="center"/>
      <protection locked="0"/>
    </xf>
    <xf numFmtId="176" fontId="50" fillId="7" borderId="7" xfId="0" applyNumberFormat="1" applyFont="1" applyFill="1" applyBorder="1" applyProtection="1">
      <alignment vertical="center"/>
      <protection locked="0"/>
    </xf>
    <xf numFmtId="176" fontId="55" fillId="7" borderId="60" xfId="0" applyNumberFormat="1" applyFont="1" applyFill="1" applyBorder="1" applyAlignment="1" applyProtection="1">
      <alignment horizontal="left" vertical="center"/>
      <protection locked="0"/>
    </xf>
    <xf numFmtId="176" fontId="50" fillId="7" borderId="60" xfId="0" applyNumberFormat="1" applyFont="1" applyFill="1" applyBorder="1" applyProtection="1">
      <alignment vertical="center"/>
      <protection locked="0"/>
    </xf>
    <xf numFmtId="176" fontId="50" fillId="7" borderId="60" xfId="0" applyNumberFormat="1" applyFont="1" applyFill="1" applyBorder="1" applyAlignment="1" applyProtection="1">
      <alignment horizontal="right" vertical="center"/>
      <protection locked="0"/>
    </xf>
    <xf numFmtId="176" fontId="55" fillId="7" borderId="0" xfId="0" applyNumberFormat="1" applyFont="1" applyFill="1" applyAlignment="1" applyProtection="1">
      <alignment horizontal="left" vertical="center"/>
      <protection locked="0"/>
    </xf>
    <xf numFmtId="176" fontId="55" fillId="7" borderId="0" xfId="0" applyNumberFormat="1" applyFont="1" applyFill="1" applyAlignment="1" applyProtection="1">
      <alignment vertical="center" wrapText="1"/>
      <protection locked="0"/>
    </xf>
    <xf numFmtId="176" fontId="50" fillId="0" borderId="0" xfId="0" applyNumberFormat="1" applyFont="1" applyProtection="1">
      <alignment vertical="center"/>
      <protection locked="0"/>
    </xf>
    <xf numFmtId="176" fontId="107" fillId="6" borderId="85" xfId="0" applyNumberFormat="1" applyFont="1" applyFill="1" applyBorder="1" applyAlignment="1" applyProtection="1">
      <alignment vertical="center"/>
    </xf>
    <xf numFmtId="176" fontId="65" fillId="6" borderId="85" xfId="0" applyNumberFormat="1" applyFont="1" applyFill="1" applyBorder="1" applyAlignment="1" applyProtection="1">
      <alignment horizontal="right" vertical="center"/>
    </xf>
    <xf numFmtId="176" fontId="65" fillId="6" borderId="88" xfId="0" applyNumberFormat="1" applyFont="1" applyFill="1" applyBorder="1" applyAlignment="1" applyProtection="1">
      <alignment horizontal="center" vertical="center"/>
    </xf>
    <xf numFmtId="176" fontId="65" fillId="2" borderId="88" xfId="0" applyNumberFormat="1" applyFont="1" applyFill="1" applyBorder="1" applyAlignment="1" applyProtection="1">
      <alignment vertical="center"/>
      <protection locked="0"/>
    </xf>
    <xf numFmtId="176" fontId="65" fillId="5" borderId="119" xfId="0" applyNumberFormat="1" applyFont="1" applyFill="1" applyBorder="1" applyAlignment="1" applyProtection="1">
      <alignment vertical="center"/>
    </xf>
    <xf numFmtId="176" fontId="65" fillId="5" borderId="78" xfId="0" applyNumberFormat="1" applyFont="1" applyFill="1" applyBorder="1" applyAlignment="1" applyProtection="1">
      <alignment horizontal="center" vertical="center"/>
      <protection locked="0"/>
    </xf>
    <xf numFmtId="176" fontId="68" fillId="6" borderId="88" xfId="0" applyNumberFormat="1" applyFont="1" applyFill="1" applyBorder="1" applyAlignment="1" applyProtection="1">
      <alignment vertical="center"/>
    </xf>
    <xf numFmtId="176" fontId="65" fillId="6" borderId="88" xfId="0" applyNumberFormat="1" applyFont="1" applyFill="1" applyBorder="1" applyAlignment="1" applyProtection="1">
      <alignment vertical="center"/>
    </xf>
    <xf numFmtId="176" fontId="65" fillId="6" borderId="89" xfId="0" applyNumberFormat="1" applyFont="1" applyFill="1" applyBorder="1" applyAlignment="1" applyProtection="1">
      <alignment horizontal="center" vertical="center"/>
      <protection locked="0"/>
    </xf>
    <xf numFmtId="176" fontId="65" fillId="6" borderId="87" xfId="0" applyNumberFormat="1" applyFont="1" applyFill="1" applyBorder="1" applyAlignment="1" applyProtection="1">
      <alignment horizontal="center" vertical="center"/>
      <protection locked="0"/>
    </xf>
    <xf numFmtId="176" fontId="66" fillId="6" borderId="87" xfId="0" applyNumberFormat="1" applyFont="1" applyFill="1" applyBorder="1" applyAlignment="1" applyProtection="1">
      <alignment horizontal="center" vertical="center"/>
      <protection locked="0"/>
    </xf>
    <xf numFmtId="176" fontId="66" fillId="0" borderId="87" xfId="0" applyNumberFormat="1" applyFont="1" applyFill="1" applyBorder="1" applyAlignment="1" applyProtection="1">
      <alignment horizontal="center" vertical="center"/>
      <protection locked="0"/>
    </xf>
    <xf numFmtId="176" fontId="60" fillId="6" borderId="2" xfId="1" applyNumberFormat="1" applyFont="1" applyFill="1" applyBorder="1" applyAlignment="1" applyProtection="1">
      <alignment vertical="center"/>
    </xf>
    <xf numFmtId="176" fontId="60" fillId="6" borderId="2" xfId="0" applyNumberFormat="1" applyFont="1" applyFill="1" applyBorder="1" applyAlignment="1" applyProtection="1">
      <alignment horizontal="right" vertical="center"/>
    </xf>
    <xf numFmtId="176" fontId="57" fillId="5" borderId="4" xfId="1" applyNumberFormat="1" applyFont="1" applyFill="1" applyBorder="1" applyAlignment="1" applyProtection="1">
      <alignment vertical="center"/>
      <protection locked="0"/>
    </xf>
    <xf numFmtId="176" fontId="60" fillId="6" borderId="0" xfId="0" applyNumberFormat="1" applyFont="1" applyFill="1" applyBorder="1" applyAlignment="1" applyProtection="1">
      <alignment vertical="center"/>
    </xf>
    <xf numFmtId="176" fontId="60" fillId="6" borderId="7" xfId="1" applyNumberFormat="1" applyFont="1" applyFill="1" applyBorder="1" applyAlignment="1" applyProtection="1">
      <alignment vertical="center"/>
      <protection locked="0"/>
    </xf>
    <xf numFmtId="176" fontId="60" fillId="5" borderId="2" xfId="1" applyNumberFormat="1" applyFont="1" applyFill="1" applyBorder="1" applyAlignment="1" applyProtection="1">
      <alignment vertical="center"/>
      <protection locked="0"/>
    </xf>
    <xf numFmtId="176" fontId="65" fillId="6" borderId="0" xfId="0" applyNumberFormat="1" applyFont="1" applyFill="1" applyBorder="1" applyAlignment="1" applyProtection="1">
      <alignment vertical="center"/>
      <protection locked="0"/>
    </xf>
    <xf numFmtId="176" fontId="65" fillId="6" borderId="0" xfId="0" applyNumberFormat="1" applyFont="1" applyFill="1" applyBorder="1" applyAlignment="1" applyProtection="1">
      <alignment horizontal="center" vertical="center"/>
      <protection locked="0"/>
    </xf>
    <xf numFmtId="176" fontId="65" fillId="6" borderId="18" xfId="0" applyNumberFormat="1" applyFont="1" applyFill="1" applyBorder="1" applyAlignment="1" applyProtection="1">
      <alignment horizontal="center" vertical="center"/>
      <protection locked="0"/>
    </xf>
    <xf numFmtId="176" fontId="66" fillId="6" borderId="0" xfId="0" applyNumberFormat="1" applyFont="1" applyFill="1" applyBorder="1" applyAlignment="1" applyProtection="1">
      <alignment horizontal="center" vertical="center"/>
      <protection locked="0"/>
    </xf>
    <xf numFmtId="176" fontId="66" fillId="0" borderId="0" xfId="0" applyNumberFormat="1" applyFont="1" applyFill="1" applyAlignment="1" applyProtection="1">
      <alignment horizontal="center" vertical="center"/>
      <protection locked="0"/>
    </xf>
    <xf numFmtId="176" fontId="60" fillId="6" borderId="13" xfId="1" applyNumberFormat="1" applyFont="1" applyFill="1" applyBorder="1" applyAlignment="1" applyProtection="1">
      <alignment vertical="center"/>
    </xf>
    <xf numFmtId="176" fontId="60" fillId="6" borderId="13" xfId="0" applyNumberFormat="1" applyFont="1" applyFill="1" applyBorder="1" applyAlignment="1" applyProtection="1">
      <alignment horizontal="right" vertical="center"/>
    </xf>
    <xf numFmtId="176" fontId="60" fillId="6" borderId="13" xfId="0" applyNumberFormat="1" applyFont="1" applyFill="1" applyBorder="1" applyAlignment="1" applyProtection="1">
      <alignment horizontal="center" vertical="center"/>
    </xf>
    <xf numFmtId="176" fontId="66" fillId="6" borderId="0" xfId="0" applyNumberFormat="1" applyFont="1" applyFill="1" applyAlignment="1" applyProtection="1">
      <alignment horizontal="center" vertical="center"/>
      <protection locked="0"/>
    </xf>
    <xf numFmtId="176" fontId="68" fillId="6" borderId="0" xfId="0" applyNumberFormat="1" applyFont="1" applyFill="1" applyBorder="1" applyAlignment="1" applyProtection="1">
      <alignment vertical="center"/>
      <protection locked="0"/>
    </xf>
    <xf numFmtId="176" fontId="53" fillId="6" borderId="16" xfId="0" applyNumberFormat="1" applyFont="1" applyFill="1" applyBorder="1" applyAlignment="1" applyProtection="1">
      <alignment vertical="center" wrapText="1"/>
    </xf>
    <xf numFmtId="176" fontId="53" fillId="6" borderId="19" xfId="0" applyNumberFormat="1" applyFont="1" applyFill="1" applyBorder="1" applyAlignment="1" applyProtection="1">
      <alignment vertical="center" wrapText="1"/>
    </xf>
    <xf numFmtId="176" fontId="47" fillId="6" borderId="3" xfId="0" applyNumberFormat="1" applyFont="1" applyFill="1" applyBorder="1" applyAlignment="1" applyProtection="1">
      <alignment horizontal="center" vertical="center" wrapText="1"/>
    </xf>
    <xf numFmtId="176" fontId="47" fillId="6" borderId="0" xfId="0" applyNumberFormat="1" applyFont="1" applyFill="1" applyBorder="1" applyAlignment="1" applyProtection="1">
      <alignment vertical="center" wrapText="1"/>
      <protection locked="0"/>
    </xf>
    <xf numFmtId="176" fontId="54" fillId="6" borderId="0" xfId="0" applyNumberFormat="1" applyFont="1" applyFill="1" applyBorder="1" applyAlignment="1" applyProtection="1">
      <alignment horizontal="center" vertical="center"/>
      <protection locked="0"/>
    </xf>
    <xf numFmtId="176" fontId="54" fillId="6" borderId="15" xfId="0" applyNumberFormat="1" applyFont="1" applyFill="1" applyBorder="1" applyAlignment="1" applyProtection="1">
      <alignment horizontal="center" vertical="center"/>
    </xf>
    <xf numFmtId="176" fontId="54" fillId="0" borderId="0" xfId="0" applyNumberFormat="1" applyFont="1" applyFill="1" applyAlignment="1" applyProtection="1">
      <alignment horizontal="center" vertical="center"/>
      <protection locked="0"/>
    </xf>
    <xf numFmtId="176" fontId="53" fillId="6" borderId="18" xfId="0" applyNumberFormat="1" applyFont="1" applyFill="1" applyBorder="1" applyAlignment="1" applyProtection="1">
      <alignment vertical="center" wrapText="1"/>
    </xf>
    <xf numFmtId="176" fontId="53" fillId="6" borderId="0" xfId="0" applyNumberFormat="1" applyFont="1" applyFill="1" applyBorder="1" applyAlignment="1" applyProtection="1">
      <alignment vertical="center" wrapText="1"/>
    </xf>
    <xf numFmtId="176" fontId="53" fillId="6" borderId="42" xfId="0" applyNumberFormat="1" applyFont="1" applyFill="1" applyBorder="1" applyAlignment="1" applyProtection="1">
      <alignment vertical="center" wrapText="1"/>
    </xf>
    <xf numFmtId="176" fontId="53" fillId="6" borderId="47" xfId="0" applyNumberFormat="1" applyFont="1" applyFill="1" applyBorder="1" applyAlignment="1" applyProtection="1">
      <alignment vertical="center" wrapText="1"/>
    </xf>
    <xf numFmtId="176" fontId="49" fillId="6" borderId="63" xfId="0" applyNumberFormat="1" applyFont="1" applyFill="1" applyBorder="1" applyAlignment="1" applyProtection="1">
      <alignment vertical="center" wrapText="1"/>
    </xf>
    <xf numFmtId="176" fontId="49" fillId="6" borderId="64" xfId="0" applyNumberFormat="1" applyFont="1" applyFill="1" applyBorder="1" applyAlignment="1" applyProtection="1">
      <alignment vertical="center" wrapText="1"/>
    </xf>
    <xf numFmtId="176" fontId="47" fillId="6" borderId="67" xfId="0" applyNumberFormat="1" applyFont="1" applyFill="1" applyBorder="1" applyAlignment="1" applyProtection="1">
      <alignment horizontal="center" vertical="center" wrapText="1"/>
    </xf>
    <xf numFmtId="176" fontId="47" fillId="6" borderId="34" xfId="0" applyNumberFormat="1" applyFont="1" applyFill="1" applyBorder="1" applyAlignment="1" applyProtection="1">
      <alignment horizontal="center" vertical="center" wrapText="1"/>
    </xf>
    <xf numFmtId="176" fontId="47" fillId="6" borderId="0" xfId="0" applyNumberFormat="1" applyFont="1" applyFill="1" applyBorder="1" applyAlignment="1" applyProtection="1">
      <alignment horizontal="center" vertical="center" wrapText="1"/>
      <protection locked="0"/>
    </xf>
    <xf numFmtId="176" fontId="47" fillId="6" borderId="0" xfId="0" applyNumberFormat="1" applyFont="1" applyFill="1" applyBorder="1" applyAlignment="1" applyProtection="1">
      <alignment horizontal="center" vertical="center"/>
      <protection locked="0"/>
    </xf>
    <xf numFmtId="176" fontId="47" fillId="6" borderId="15" xfId="0" applyNumberFormat="1" applyFont="1" applyFill="1" applyBorder="1" applyAlignment="1" applyProtection="1">
      <alignment horizontal="center" vertical="center"/>
    </xf>
    <xf numFmtId="176" fontId="47" fillId="0" borderId="0" xfId="0" applyNumberFormat="1" applyFont="1" applyFill="1" applyAlignment="1" applyProtection="1">
      <alignment horizontal="center" vertical="center"/>
      <protection locked="0"/>
    </xf>
    <xf numFmtId="176" fontId="47" fillId="2" borderId="26" xfId="0" applyNumberFormat="1" applyFont="1" applyFill="1" applyBorder="1" applyAlignment="1" applyProtection="1">
      <alignment horizontal="center" vertical="center" wrapText="1"/>
      <protection locked="0"/>
    </xf>
    <xf numFmtId="176" fontId="49" fillId="6" borderId="40" xfId="0" applyNumberFormat="1" applyFont="1" applyFill="1" applyBorder="1" applyAlignment="1" applyProtection="1">
      <alignment vertical="center" wrapText="1"/>
    </xf>
    <xf numFmtId="176" fontId="137" fillId="0" borderId="51" xfId="0" applyNumberFormat="1" applyFont="1" applyFill="1" applyBorder="1" applyAlignment="1" applyProtection="1">
      <alignment horizontal="center" vertical="center" wrapText="1"/>
      <protection locked="0"/>
    </xf>
    <xf numFmtId="176" fontId="47" fillId="2" borderId="30" xfId="0" applyNumberFormat="1" applyFont="1" applyFill="1" applyBorder="1" applyAlignment="1" applyProtection="1">
      <alignment horizontal="center" vertical="center" wrapText="1"/>
      <protection locked="0"/>
    </xf>
    <xf numFmtId="176" fontId="69" fillId="6" borderId="14" xfId="0" applyNumberFormat="1" applyFont="1" applyFill="1" applyBorder="1" applyAlignment="1" applyProtection="1">
      <alignment vertical="center" wrapText="1"/>
    </xf>
    <xf numFmtId="176" fontId="47" fillId="2" borderId="23" xfId="0" applyNumberFormat="1" applyFont="1" applyFill="1" applyBorder="1" applyAlignment="1" applyProtection="1">
      <alignment horizontal="center" vertical="center" wrapText="1"/>
      <protection locked="0"/>
    </xf>
    <xf numFmtId="176" fontId="47" fillId="2" borderId="3" xfId="0" applyNumberFormat="1" applyFont="1" applyFill="1" applyBorder="1" applyAlignment="1" applyProtection="1">
      <alignment horizontal="center" vertical="center" wrapText="1"/>
      <protection locked="0"/>
    </xf>
    <xf numFmtId="176" fontId="61" fillId="0" borderId="3" xfId="0" applyNumberFormat="1" applyFont="1" applyFill="1" applyBorder="1" applyAlignment="1" applyProtection="1">
      <alignment horizontal="center" vertical="center" wrapText="1"/>
      <protection locked="0"/>
    </xf>
    <xf numFmtId="176" fontId="70" fillId="6" borderId="0" xfId="0" applyNumberFormat="1" applyFont="1" applyFill="1" applyBorder="1" applyAlignment="1" applyProtection="1">
      <alignment horizontal="center" vertical="center" wrapText="1"/>
      <protection locked="0"/>
    </xf>
    <xf numFmtId="176" fontId="70" fillId="6" borderId="0" xfId="0" applyNumberFormat="1" applyFont="1" applyFill="1" applyBorder="1" applyAlignment="1" applyProtection="1">
      <alignment horizontal="center" vertical="center"/>
      <protection locked="0"/>
    </xf>
    <xf numFmtId="176" fontId="70" fillId="0" borderId="0" xfId="0" applyNumberFormat="1" applyFont="1" applyFill="1" applyAlignment="1" applyProtection="1">
      <alignment horizontal="center" vertical="center"/>
      <protection locked="0"/>
    </xf>
    <xf numFmtId="176" fontId="53" fillId="6" borderId="14" xfId="0" applyNumberFormat="1" applyFont="1" applyFill="1" applyBorder="1" applyAlignment="1" applyProtection="1">
      <alignment vertical="center" wrapText="1"/>
    </xf>
    <xf numFmtId="176" fontId="47" fillId="0" borderId="23" xfId="0" applyNumberFormat="1" applyFont="1" applyFill="1" applyBorder="1" applyAlignment="1" applyProtection="1">
      <alignment horizontal="center" vertical="center" wrapText="1"/>
      <protection locked="0"/>
    </xf>
    <xf numFmtId="176" fontId="47" fillId="0" borderId="3" xfId="0" applyNumberFormat="1" applyFont="1" applyFill="1" applyBorder="1" applyAlignment="1" applyProtection="1">
      <alignment horizontal="center" vertical="center" wrapText="1"/>
      <protection locked="0"/>
    </xf>
    <xf numFmtId="176" fontId="52" fillId="6" borderId="0" xfId="0" applyNumberFormat="1" applyFont="1" applyFill="1" applyBorder="1" applyAlignment="1" applyProtection="1">
      <alignment horizontal="center" vertical="center" wrapText="1"/>
      <protection locked="0"/>
    </xf>
    <xf numFmtId="176" fontId="49" fillId="6" borderId="14" xfId="0" applyNumberFormat="1" applyFont="1" applyFill="1" applyBorder="1" applyAlignment="1" applyProtection="1">
      <alignment vertical="center" wrapText="1"/>
    </xf>
    <xf numFmtId="176" fontId="47" fillId="0" borderId="46" xfId="0" applyNumberFormat="1" applyFont="1" applyFill="1" applyBorder="1" applyAlignment="1" applyProtection="1">
      <alignment horizontal="center" vertical="center" wrapText="1"/>
      <protection locked="0"/>
    </xf>
    <xf numFmtId="176" fontId="47" fillId="0" borderId="41" xfId="0" applyNumberFormat="1" applyFont="1" applyFill="1" applyBorder="1" applyAlignment="1" applyProtection="1">
      <alignment horizontal="center" vertical="center" wrapText="1"/>
      <protection locked="0"/>
    </xf>
    <xf numFmtId="176" fontId="47" fillId="6" borderId="71" xfId="0" applyNumberFormat="1" applyFont="1" applyFill="1" applyBorder="1" applyAlignment="1" applyProtection="1">
      <alignment horizontal="center" vertical="center" wrapText="1"/>
    </xf>
    <xf numFmtId="176" fontId="54" fillId="0" borderId="37" xfId="0" applyNumberFormat="1" applyFont="1" applyFill="1" applyBorder="1" applyAlignment="1" applyProtection="1">
      <alignment horizontal="center" vertical="center" wrapText="1"/>
      <protection locked="0"/>
    </xf>
    <xf numFmtId="176" fontId="61" fillId="6" borderId="3" xfId="0" applyNumberFormat="1" applyFont="1" applyFill="1" applyBorder="1" applyAlignment="1" applyProtection="1">
      <alignment horizontal="center" vertical="center" wrapText="1"/>
    </xf>
    <xf numFmtId="176" fontId="54" fillId="6" borderId="24" xfId="0" applyNumberFormat="1" applyFont="1" applyFill="1" applyBorder="1" applyAlignment="1" applyProtection="1">
      <alignment horizontal="center" vertical="center" wrapText="1"/>
    </xf>
    <xf numFmtId="176" fontId="71" fillId="6" borderId="0" xfId="0" applyNumberFormat="1" applyFont="1" applyFill="1" applyBorder="1" applyAlignment="1" applyProtection="1">
      <alignment horizontal="center" vertical="center" wrapText="1"/>
      <protection locked="0"/>
    </xf>
    <xf numFmtId="176" fontId="53" fillId="6" borderId="12" xfId="0" applyNumberFormat="1" applyFont="1" applyFill="1" applyBorder="1" applyAlignment="1" applyProtection="1">
      <alignment vertical="center" wrapText="1"/>
    </xf>
    <xf numFmtId="176" fontId="47" fillId="0" borderId="33" xfId="0" applyNumberFormat="1" applyFont="1" applyFill="1" applyBorder="1" applyAlignment="1" applyProtection="1">
      <alignment horizontal="center" vertical="center" wrapText="1"/>
      <protection locked="0"/>
    </xf>
    <xf numFmtId="176" fontId="54" fillId="0" borderId="38" xfId="0" applyNumberFormat="1" applyFont="1" applyFill="1" applyBorder="1" applyAlignment="1" applyProtection="1">
      <alignment horizontal="center" vertical="center" wrapText="1"/>
      <protection locked="0"/>
    </xf>
    <xf numFmtId="176" fontId="54" fillId="6" borderId="49" xfId="0" applyNumberFormat="1" applyFont="1" applyFill="1" applyBorder="1" applyAlignment="1" applyProtection="1">
      <alignment horizontal="center" vertical="center" wrapText="1"/>
    </xf>
    <xf numFmtId="176" fontId="54" fillId="6" borderId="33" xfId="0" applyNumberFormat="1" applyFont="1" applyFill="1" applyBorder="1" applyAlignment="1" applyProtection="1">
      <alignment horizontal="center" vertical="center" wrapText="1"/>
    </xf>
    <xf numFmtId="176" fontId="53" fillId="6" borderId="40" xfId="0" applyNumberFormat="1" applyFont="1" applyFill="1" applyBorder="1" applyAlignment="1" applyProtection="1">
      <alignment vertical="center" wrapText="1"/>
    </xf>
    <xf numFmtId="176" fontId="54" fillId="6" borderId="40" xfId="0" applyNumberFormat="1" applyFont="1" applyFill="1" applyBorder="1" applyAlignment="1" applyProtection="1">
      <alignment horizontal="center" vertical="center" wrapText="1"/>
    </xf>
    <xf numFmtId="176" fontId="54" fillId="6" borderId="62" xfId="0" applyNumberFormat="1" applyFont="1" applyFill="1" applyBorder="1" applyAlignment="1" applyProtection="1">
      <alignment horizontal="center" vertical="center" wrapText="1"/>
    </xf>
    <xf numFmtId="176" fontId="54" fillId="0" borderId="39" xfId="0" applyNumberFormat="1" applyFont="1" applyFill="1" applyBorder="1" applyAlignment="1" applyProtection="1">
      <alignment horizontal="center" vertical="center" wrapText="1"/>
      <protection locked="0"/>
    </xf>
    <xf numFmtId="176" fontId="54" fillId="6" borderId="29" xfId="0" applyNumberFormat="1" applyFont="1" applyFill="1" applyBorder="1" applyAlignment="1" applyProtection="1">
      <alignment horizontal="center" vertical="center" wrapText="1"/>
    </xf>
    <xf numFmtId="176" fontId="61" fillId="0" borderId="11" xfId="0" applyNumberFormat="1" applyFont="1" applyFill="1" applyBorder="1" applyAlignment="1" applyProtection="1">
      <alignment horizontal="center" vertical="center" wrapText="1"/>
      <protection locked="0"/>
    </xf>
    <xf numFmtId="176" fontId="54" fillId="6" borderId="1" xfId="0" applyNumberFormat="1" applyFont="1" applyFill="1" applyBorder="1" applyAlignment="1" applyProtection="1">
      <alignment horizontal="center" vertical="center" wrapText="1"/>
    </xf>
    <xf numFmtId="176" fontId="54" fillId="6" borderId="5" xfId="0" applyNumberFormat="1" applyFont="1" applyFill="1" applyBorder="1" applyAlignment="1" applyProtection="1">
      <alignment horizontal="center" vertical="center"/>
    </xf>
    <xf numFmtId="176" fontId="54" fillId="6" borderId="3" xfId="0" applyNumberFormat="1" applyFont="1" applyFill="1" applyBorder="1" applyAlignment="1" applyProtection="1">
      <alignment horizontal="center" vertical="center"/>
    </xf>
    <xf numFmtId="176" fontId="54" fillId="6" borderId="1" xfId="0" applyNumberFormat="1" applyFont="1" applyFill="1" applyBorder="1" applyAlignment="1" applyProtection="1">
      <alignment horizontal="center" vertical="center"/>
    </xf>
    <xf numFmtId="176" fontId="54" fillId="6" borderId="0" xfId="0" applyNumberFormat="1" applyFont="1" applyFill="1" applyBorder="1" applyAlignment="1" applyProtection="1">
      <alignment horizontal="center" vertical="center"/>
    </xf>
    <xf numFmtId="176" fontId="54" fillId="2" borderId="41" xfId="0" applyNumberFormat="1" applyFont="1" applyFill="1" applyBorder="1" applyAlignment="1" applyProtection="1">
      <alignment horizontal="center" vertical="center" wrapText="1"/>
      <protection locked="0"/>
    </xf>
    <xf numFmtId="176" fontId="54" fillId="6" borderId="8" xfId="0" applyNumberFormat="1" applyFont="1" applyFill="1" applyBorder="1" applyAlignment="1" applyProtection="1">
      <alignment horizontal="center" vertical="center" wrapText="1"/>
    </xf>
    <xf numFmtId="176" fontId="54" fillId="6" borderId="4" xfId="0" applyNumberFormat="1" applyFont="1" applyFill="1" applyBorder="1" applyAlignment="1" applyProtection="1">
      <alignment horizontal="center" vertical="center" wrapText="1"/>
    </xf>
    <xf numFmtId="176" fontId="54" fillId="6" borderId="53" xfId="0" applyNumberFormat="1" applyFont="1" applyFill="1" applyBorder="1" applyAlignment="1" applyProtection="1">
      <alignment horizontal="center" vertical="center" wrapText="1"/>
    </xf>
    <xf numFmtId="176" fontId="61" fillId="6" borderId="41" xfId="0" applyNumberFormat="1" applyFont="1" applyFill="1" applyBorder="1" applyAlignment="1" applyProtection="1">
      <alignment horizontal="center" vertical="center" wrapText="1"/>
    </xf>
    <xf numFmtId="176" fontId="47" fillId="6" borderId="46" xfId="0" applyNumberFormat="1" applyFont="1" applyFill="1" applyBorder="1" applyAlignment="1" applyProtection="1">
      <alignment horizontal="center" vertical="center" wrapText="1"/>
    </xf>
    <xf numFmtId="176" fontId="54" fillId="6" borderId="11" xfId="0" applyNumberFormat="1" applyFont="1" applyFill="1" applyBorder="1" applyAlignment="1" applyProtection="1">
      <alignment horizontal="center" vertical="center" wrapText="1"/>
    </xf>
    <xf numFmtId="176" fontId="54" fillId="0" borderId="35" xfId="0" applyNumberFormat="1" applyFont="1" applyFill="1" applyBorder="1" applyAlignment="1" applyProtection="1">
      <alignment horizontal="center" vertical="center" wrapText="1"/>
      <protection locked="0"/>
    </xf>
    <xf numFmtId="176" fontId="54" fillId="6" borderId="58" xfId="0" applyNumberFormat="1" applyFont="1" applyFill="1" applyBorder="1" applyAlignment="1" applyProtection="1">
      <alignment horizontal="center" vertical="center" wrapText="1"/>
    </xf>
    <xf numFmtId="176" fontId="54" fillId="6" borderId="61" xfId="0" applyNumberFormat="1" applyFont="1" applyFill="1" applyBorder="1" applyAlignment="1" applyProtection="1">
      <alignment horizontal="center" vertical="center" wrapText="1"/>
    </xf>
    <xf numFmtId="176" fontId="47" fillId="6" borderId="4" xfId="0" applyNumberFormat="1" applyFont="1" applyFill="1" applyBorder="1" applyAlignment="1" applyProtection="1">
      <alignment horizontal="center" vertical="center" wrapText="1"/>
    </xf>
    <xf numFmtId="176" fontId="54" fillId="2" borderId="14" xfId="0" applyNumberFormat="1" applyFont="1" applyFill="1" applyBorder="1" applyAlignment="1" applyProtection="1">
      <alignment horizontal="center" vertical="center" wrapText="1"/>
      <protection locked="0"/>
    </xf>
    <xf numFmtId="176" fontId="54" fillId="2" borderId="35" xfId="0" applyNumberFormat="1" applyFont="1" applyFill="1" applyBorder="1" applyAlignment="1" applyProtection="1">
      <alignment horizontal="center" vertical="center" wrapText="1"/>
      <protection locked="0"/>
    </xf>
    <xf numFmtId="176" fontId="54" fillId="0" borderId="22" xfId="0" applyNumberFormat="1" applyFont="1" applyFill="1" applyBorder="1" applyAlignment="1" applyProtection="1">
      <alignment horizontal="center" vertical="center" wrapText="1"/>
      <protection locked="0"/>
    </xf>
    <xf numFmtId="176" fontId="54" fillId="6" borderId="46" xfId="0" applyNumberFormat="1" applyFont="1" applyFill="1" applyBorder="1" applyAlignment="1" applyProtection="1">
      <alignment horizontal="center" vertical="center" wrapText="1"/>
    </xf>
    <xf numFmtId="176" fontId="54" fillId="2" borderId="7" xfId="0" applyNumberFormat="1" applyFont="1" applyFill="1" applyBorder="1" applyAlignment="1" applyProtection="1">
      <alignment horizontal="center" vertical="center" wrapText="1"/>
      <protection locked="0"/>
    </xf>
    <xf numFmtId="176" fontId="61" fillId="6" borderId="14" xfId="0" applyNumberFormat="1" applyFont="1" applyFill="1" applyBorder="1" applyAlignment="1" applyProtection="1">
      <alignment horizontal="center" vertical="center" wrapText="1"/>
    </xf>
    <xf numFmtId="176" fontId="54" fillId="2" borderId="37" xfId="0" applyNumberFormat="1" applyFont="1" applyFill="1" applyBorder="1" applyAlignment="1" applyProtection="1">
      <alignment horizontal="center" vertical="center" wrapText="1"/>
      <protection locked="0"/>
    </xf>
    <xf numFmtId="176" fontId="54" fillId="6" borderId="5" xfId="0" applyNumberFormat="1" applyFont="1" applyFill="1" applyBorder="1" applyAlignment="1" applyProtection="1">
      <alignment horizontal="center" vertical="center" wrapText="1"/>
    </xf>
    <xf numFmtId="176" fontId="47" fillId="0" borderId="5" xfId="0" applyNumberFormat="1" applyFont="1" applyFill="1" applyBorder="1" applyAlignment="1" applyProtection="1">
      <alignment horizontal="center" vertical="center" wrapText="1"/>
      <protection locked="0"/>
    </xf>
    <xf numFmtId="176" fontId="98" fillId="0" borderId="37" xfId="0" applyNumberFormat="1" applyFont="1" applyFill="1" applyBorder="1" applyAlignment="1" applyProtection="1">
      <alignment horizontal="center" vertical="center" wrapText="1"/>
      <protection locked="0"/>
    </xf>
    <xf numFmtId="176" fontId="47" fillId="2" borderId="41" xfId="0" applyNumberFormat="1" applyFont="1" applyFill="1" applyBorder="1" applyAlignment="1" applyProtection="1">
      <alignment horizontal="center" vertical="center" wrapText="1"/>
      <protection locked="0"/>
    </xf>
    <xf numFmtId="176" fontId="47" fillId="6" borderId="8" xfId="0" applyNumberFormat="1" applyFont="1" applyFill="1" applyBorder="1" applyAlignment="1" applyProtection="1">
      <alignment horizontal="center" vertical="center" wrapText="1"/>
    </xf>
    <xf numFmtId="176" fontId="54" fillId="2" borderId="6" xfId="0" applyNumberFormat="1" applyFont="1" applyFill="1" applyBorder="1" applyAlignment="1" applyProtection="1">
      <alignment horizontal="center" vertical="center" wrapText="1"/>
      <protection locked="0"/>
    </xf>
    <xf numFmtId="176" fontId="54" fillId="6" borderId="10" xfId="0" applyNumberFormat="1" applyFont="1" applyFill="1" applyBorder="1" applyAlignment="1" applyProtection="1">
      <alignment horizontal="center" vertical="center" wrapText="1"/>
    </xf>
    <xf numFmtId="176" fontId="72" fillId="6" borderId="14" xfId="0" applyNumberFormat="1" applyFont="1" applyFill="1" applyBorder="1" applyAlignment="1" applyProtection="1">
      <alignment vertical="center" textRotation="255" wrapText="1"/>
    </xf>
    <xf numFmtId="176" fontId="47" fillId="0" borderId="37" xfId="0" applyNumberFormat="1" applyFont="1" applyFill="1" applyBorder="1" applyAlignment="1" applyProtection="1">
      <alignment horizontal="center" vertical="center" wrapText="1"/>
      <protection locked="0"/>
    </xf>
    <xf numFmtId="176" fontId="52" fillId="6" borderId="0" xfId="0" applyNumberFormat="1" applyFont="1" applyFill="1" applyBorder="1" applyAlignment="1" applyProtection="1">
      <alignment horizontal="center" vertical="center"/>
      <protection locked="0"/>
    </xf>
    <xf numFmtId="176" fontId="52" fillId="6" borderId="1" xfId="0" applyNumberFormat="1" applyFont="1" applyFill="1" applyBorder="1" applyAlignment="1" applyProtection="1">
      <alignment horizontal="center" vertical="center" wrapText="1"/>
    </xf>
    <xf numFmtId="176" fontId="52" fillId="6" borderId="5" xfId="0" applyNumberFormat="1" applyFont="1" applyFill="1" applyBorder="1" applyAlignment="1" applyProtection="1">
      <alignment horizontal="center" vertical="center"/>
    </xf>
    <xf numFmtId="176" fontId="52" fillId="6" borderId="3" xfId="0" applyNumberFormat="1" applyFont="1" applyFill="1" applyBorder="1" applyAlignment="1" applyProtection="1">
      <alignment horizontal="center" vertical="center"/>
    </xf>
    <xf numFmtId="176" fontId="52" fillId="6" borderId="15" xfId="0" applyNumberFormat="1" applyFont="1" applyFill="1" applyBorder="1" applyAlignment="1" applyProtection="1">
      <alignment horizontal="center" vertical="center"/>
    </xf>
    <xf numFmtId="176" fontId="52" fillId="6" borderId="1" xfId="0" applyNumberFormat="1" applyFont="1" applyFill="1" applyBorder="1" applyAlignment="1" applyProtection="1">
      <alignment horizontal="center" vertical="center"/>
    </xf>
    <xf numFmtId="176" fontId="52" fillId="0" borderId="0" xfId="0" applyNumberFormat="1" applyFont="1" applyFill="1" applyAlignment="1" applyProtection="1">
      <alignment horizontal="center" vertical="center"/>
      <protection locked="0"/>
    </xf>
    <xf numFmtId="176" fontId="53" fillId="6" borderId="14" xfId="0" applyNumberFormat="1" applyFont="1" applyFill="1" applyBorder="1" applyAlignment="1" applyProtection="1">
      <alignment vertical="center" textRotation="255" wrapText="1"/>
    </xf>
    <xf numFmtId="176" fontId="54" fillId="2" borderId="23" xfId="0" applyNumberFormat="1" applyFont="1" applyFill="1" applyBorder="1" applyAlignment="1" applyProtection="1">
      <alignment horizontal="center" vertical="center" wrapText="1"/>
      <protection locked="0"/>
    </xf>
    <xf numFmtId="176" fontId="49" fillId="6" borderId="14" xfId="0" applyNumberFormat="1" applyFont="1" applyFill="1" applyBorder="1" applyAlignment="1" applyProtection="1">
      <alignment vertical="center" textRotation="255" wrapText="1"/>
    </xf>
    <xf numFmtId="176" fontId="52" fillId="0" borderId="37" xfId="0" applyNumberFormat="1" applyFont="1" applyFill="1" applyBorder="1" applyAlignment="1" applyProtection="1">
      <alignment horizontal="center" vertical="center" wrapText="1"/>
      <protection locked="0"/>
    </xf>
    <xf numFmtId="176" fontId="53" fillId="6" borderId="12" xfId="0" applyNumberFormat="1" applyFont="1" applyFill="1" applyBorder="1" applyAlignment="1" applyProtection="1">
      <alignment vertical="center" textRotation="255" wrapText="1"/>
    </xf>
    <xf numFmtId="176" fontId="53" fillId="6" borderId="51" xfId="0" applyNumberFormat="1" applyFont="1" applyFill="1" applyBorder="1" applyAlignment="1" applyProtection="1">
      <alignment vertical="center"/>
    </xf>
    <xf numFmtId="176" fontId="53" fillId="6" borderId="20" xfId="0" applyNumberFormat="1" applyFont="1" applyFill="1" applyBorder="1" applyAlignment="1" applyProtection="1">
      <alignment vertical="center"/>
    </xf>
    <xf numFmtId="176" fontId="53" fillId="6" borderId="51" xfId="0" applyNumberFormat="1" applyFont="1" applyFill="1" applyBorder="1" applyAlignment="1" applyProtection="1">
      <alignment horizontal="right" vertical="center" wrapText="1"/>
    </xf>
    <xf numFmtId="176" fontId="53" fillId="6" borderId="21" xfId="0" applyNumberFormat="1" applyFont="1" applyFill="1" applyBorder="1" applyAlignment="1" applyProtection="1">
      <alignment vertical="center" wrapText="1"/>
    </xf>
    <xf numFmtId="176" fontId="73" fillId="3" borderId="20" xfId="0" applyNumberFormat="1" applyFont="1" applyFill="1" applyBorder="1" applyAlignment="1" applyProtection="1">
      <alignment vertical="center" wrapText="1"/>
      <protection locked="0"/>
    </xf>
    <xf numFmtId="176" fontId="73" fillId="6" borderId="20" xfId="0" applyNumberFormat="1" applyFont="1" applyFill="1" applyBorder="1" applyAlignment="1" applyProtection="1">
      <alignment vertical="center" wrapText="1"/>
    </xf>
    <xf numFmtId="176" fontId="73" fillId="3" borderId="51" xfId="0" applyNumberFormat="1" applyFont="1" applyFill="1" applyBorder="1" applyAlignment="1" applyProtection="1">
      <alignment vertical="center" wrapText="1"/>
      <protection locked="0"/>
    </xf>
    <xf numFmtId="176" fontId="73" fillId="6" borderId="21" xfId="0" applyNumberFormat="1" applyFont="1" applyFill="1" applyBorder="1" applyAlignment="1" applyProtection="1">
      <alignment vertical="center" wrapText="1"/>
    </xf>
    <xf numFmtId="176" fontId="54" fillId="6" borderId="0" xfId="0" applyNumberFormat="1" applyFont="1" applyFill="1" applyBorder="1" applyAlignment="1" applyProtection="1">
      <alignment vertical="center" wrapText="1"/>
      <protection locked="0"/>
    </xf>
    <xf numFmtId="176" fontId="54" fillId="6" borderId="2" xfId="0" applyNumberFormat="1" applyFont="1" applyFill="1" applyBorder="1" applyAlignment="1" applyProtection="1">
      <alignment vertical="center" textRotation="255" wrapText="1"/>
    </xf>
    <xf numFmtId="176" fontId="53" fillId="6" borderId="38" xfId="0" applyNumberFormat="1" applyFont="1" applyFill="1" applyBorder="1" applyAlignment="1" applyProtection="1">
      <alignment vertical="center"/>
    </xf>
    <xf numFmtId="176" fontId="53" fillId="6" borderId="52" xfId="0" applyNumberFormat="1" applyFont="1" applyFill="1" applyBorder="1" applyAlignment="1" applyProtection="1">
      <alignment vertical="center"/>
    </xf>
    <xf numFmtId="176" fontId="53" fillId="6" borderId="38" xfId="0" applyNumberFormat="1" applyFont="1" applyFill="1" applyBorder="1" applyAlignment="1" applyProtection="1">
      <alignment vertical="center" wrapText="1"/>
    </xf>
    <xf numFmtId="176" fontId="53" fillId="6" borderId="68" xfId="0" applyNumberFormat="1" applyFont="1" applyFill="1" applyBorder="1" applyAlignment="1" applyProtection="1">
      <alignment vertical="center" wrapText="1"/>
    </xf>
    <xf numFmtId="176" fontId="53" fillId="6" borderId="52" xfId="0" applyNumberFormat="1" applyFont="1" applyFill="1" applyBorder="1" applyAlignment="1" applyProtection="1">
      <alignment vertical="center" wrapText="1"/>
    </xf>
    <xf numFmtId="176" fontId="54" fillId="6" borderId="3" xfId="0" applyNumberFormat="1" applyFont="1" applyFill="1" applyBorder="1" applyAlignment="1" applyProtection="1">
      <alignment horizontal="center" vertical="center" wrapText="1"/>
    </xf>
    <xf numFmtId="176" fontId="53" fillId="0" borderId="42" xfId="0" applyNumberFormat="1" applyFont="1" applyFill="1" applyBorder="1" applyAlignment="1" applyProtection="1">
      <alignment vertical="center"/>
      <protection locked="0"/>
    </xf>
    <xf numFmtId="176" fontId="53" fillId="0" borderId="43" xfId="0" applyNumberFormat="1" applyFont="1" applyFill="1" applyBorder="1" applyAlignment="1" applyProtection="1">
      <alignment vertical="center"/>
      <protection locked="0"/>
    </xf>
    <xf numFmtId="176" fontId="54" fillId="6" borderId="18" xfId="0" applyNumberFormat="1" applyFont="1" applyFill="1" applyBorder="1" applyAlignment="1" applyProtection="1">
      <alignment horizontal="center" vertical="center"/>
    </xf>
    <xf numFmtId="176" fontId="53" fillId="6" borderId="1" xfId="0" applyNumberFormat="1" applyFont="1" applyFill="1" applyBorder="1" applyAlignment="1" applyProtection="1">
      <alignment horizontal="left" vertical="center"/>
    </xf>
    <xf numFmtId="176" fontId="53" fillId="6" borderId="1" xfId="0" applyNumberFormat="1" applyFont="1" applyFill="1" applyBorder="1" applyAlignment="1" applyProtection="1">
      <alignment horizontal="center" vertical="center" wrapText="1"/>
    </xf>
    <xf numFmtId="176" fontId="54" fillId="6" borderId="3" xfId="0" applyNumberFormat="1" applyFont="1" applyFill="1" applyBorder="1" applyAlignment="1" applyProtection="1">
      <alignment vertical="center"/>
    </xf>
    <xf numFmtId="176" fontId="53" fillId="6" borderId="3" xfId="0" applyNumberFormat="1" applyFont="1" applyFill="1" applyBorder="1" applyAlignment="1" applyProtection="1">
      <alignment horizontal="center" vertical="center" wrapText="1"/>
    </xf>
    <xf numFmtId="176" fontId="71" fillId="6" borderId="0" xfId="0" applyNumberFormat="1" applyFont="1" applyFill="1" applyAlignment="1" applyProtection="1">
      <alignment horizontal="center" vertical="center"/>
      <protection locked="0"/>
    </xf>
    <xf numFmtId="176" fontId="71" fillId="6" borderId="18" xfId="0" applyNumberFormat="1" applyFont="1" applyFill="1" applyBorder="1" applyAlignment="1" applyProtection="1">
      <alignment horizontal="center" vertical="center"/>
    </xf>
    <xf numFmtId="176" fontId="71" fillId="6" borderId="0" xfId="0" applyNumberFormat="1" applyFont="1" applyFill="1" applyAlignment="1" applyProtection="1">
      <alignment horizontal="center" vertical="center"/>
    </xf>
    <xf numFmtId="176" fontId="71" fillId="0" borderId="0" xfId="0" applyNumberFormat="1" applyFont="1" applyFill="1" applyAlignment="1" applyProtection="1">
      <alignment horizontal="center" vertical="center"/>
      <protection locked="0"/>
    </xf>
    <xf numFmtId="176" fontId="59" fillId="6" borderId="0" xfId="0" applyNumberFormat="1" applyFont="1" applyFill="1" applyBorder="1" applyAlignment="1" applyProtection="1"/>
    <xf numFmtId="176" fontId="54" fillId="6" borderId="0" xfId="0" applyNumberFormat="1" applyFont="1" applyFill="1" applyBorder="1" applyAlignment="1" applyProtection="1"/>
    <xf numFmtId="176" fontId="54" fillId="6" borderId="0" xfId="0" applyNumberFormat="1" applyFont="1" applyFill="1" applyBorder="1" applyAlignment="1" applyProtection="1">
      <alignment horizontal="center"/>
    </xf>
    <xf numFmtId="176" fontId="54" fillId="6" borderId="0" xfId="0" applyNumberFormat="1" applyFont="1" applyFill="1" applyBorder="1" applyAlignment="1" applyProtection="1">
      <protection locked="0"/>
    </xf>
    <xf numFmtId="176" fontId="54" fillId="6" borderId="18" xfId="0" applyNumberFormat="1" applyFont="1" applyFill="1" applyBorder="1" applyAlignment="1" applyProtection="1"/>
    <xf numFmtId="176" fontId="49" fillId="6" borderId="16" xfId="0" applyNumberFormat="1" applyFont="1" applyFill="1" applyBorder="1" applyAlignment="1" applyProtection="1">
      <alignment vertical="center" wrapText="1"/>
    </xf>
    <xf numFmtId="176" fontId="49" fillId="6" borderId="39" xfId="0" applyNumberFormat="1" applyFont="1" applyFill="1" applyBorder="1" applyAlignment="1" applyProtection="1">
      <alignment vertical="center" wrapText="1"/>
    </xf>
    <xf numFmtId="176" fontId="47" fillId="0" borderId="18" xfId="0" applyNumberFormat="1" applyFont="1" applyFill="1" applyBorder="1" applyAlignment="1" applyProtection="1">
      <alignment horizontal="center" vertical="center"/>
      <protection locked="0"/>
    </xf>
    <xf numFmtId="176" fontId="49" fillId="6" borderId="18" xfId="0" applyNumberFormat="1" applyFont="1" applyFill="1" applyBorder="1" applyAlignment="1" applyProtection="1">
      <alignment vertical="center" wrapText="1"/>
    </xf>
    <xf numFmtId="176" fontId="49" fillId="6" borderId="35" xfId="0" applyNumberFormat="1" applyFont="1" applyFill="1" applyBorder="1" applyAlignment="1" applyProtection="1">
      <alignment vertical="center" wrapText="1"/>
    </xf>
    <xf numFmtId="176" fontId="54" fillId="6" borderId="13" xfId="0" applyNumberFormat="1" applyFont="1" applyFill="1" applyBorder="1" applyAlignment="1" applyProtection="1">
      <alignment horizontal="center" vertical="center" wrapText="1"/>
      <protection locked="0"/>
    </xf>
    <xf numFmtId="176" fontId="47" fillId="0" borderId="13" xfId="0" applyNumberFormat="1" applyFont="1" applyFill="1" applyBorder="1" applyAlignment="1" applyProtection="1">
      <alignment horizontal="center" vertical="center" wrapText="1"/>
      <protection locked="0"/>
    </xf>
    <xf numFmtId="176" fontId="47" fillId="0" borderId="18" xfId="0" applyNumberFormat="1" applyFont="1" applyFill="1" applyBorder="1" applyAlignment="1" applyProtection="1">
      <alignment horizontal="center" vertical="center" wrapText="1"/>
      <protection locked="0"/>
    </xf>
    <xf numFmtId="176" fontId="49" fillId="6" borderId="73" xfId="0" applyNumberFormat="1" applyFont="1" applyFill="1" applyBorder="1" applyAlignment="1" applyProtection="1">
      <alignment vertical="center" wrapText="1"/>
    </xf>
    <xf numFmtId="176" fontId="47" fillId="0" borderId="73" xfId="0" applyNumberFormat="1" applyFont="1" applyFill="1" applyBorder="1" applyAlignment="1" applyProtection="1">
      <alignment horizontal="center" vertical="center" wrapText="1"/>
      <protection locked="0"/>
    </xf>
    <xf numFmtId="176" fontId="47" fillId="0" borderId="74" xfId="0" applyNumberFormat="1" applyFont="1" applyFill="1" applyBorder="1" applyAlignment="1" applyProtection="1">
      <alignment horizontal="center" vertical="center" wrapText="1"/>
      <protection locked="0"/>
    </xf>
    <xf numFmtId="176" fontId="47" fillId="0" borderId="75" xfId="0" applyNumberFormat="1" applyFont="1" applyFill="1" applyBorder="1" applyAlignment="1" applyProtection="1">
      <alignment horizontal="center" vertical="center" wrapText="1"/>
      <protection locked="0"/>
    </xf>
    <xf numFmtId="176" fontId="47" fillId="0" borderId="0" xfId="0" applyNumberFormat="1" applyFont="1" applyFill="1" applyBorder="1" applyAlignment="1" applyProtection="1">
      <alignment horizontal="center" vertical="center" wrapText="1"/>
      <protection locked="0"/>
    </xf>
    <xf numFmtId="176" fontId="49" fillId="6" borderId="58" xfId="0" applyNumberFormat="1" applyFont="1" applyFill="1" applyBorder="1" applyAlignment="1" applyProtection="1">
      <alignment vertical="center" wrapText="1"/>
    </xf>
    <xf numFmtId="176" fontId="47" fillId="6" borderId="7"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left" vertical="center" wrapText="1"/>
      <protection locked="0"/>
    </xf>
    <xf numFmtId="176" fontId="47" fillId="0" borderId="8" xfId="0" applyNumberFormat="1" applyFont="1" applyFill="1" applyBorder="1" applyAlignment="1" applyProtection="1">
      <alignment horizontal="center" vertical="center" wrapText="1"/>
      <protection locked="0"/>
    </xf>
    <xf numFmtId="176" fontId="104" fillId="0" borderId="18" xfId="0" applyNumberFormat="1" applyFont="1" applyFill="1" applyBorder="1" applyAlignment="1" applyProtection="1">
      <alignment vertical="center"/>
      <protection locked="0"/>
    </xf>
    <xf numFmtId="176" fontId="47" fillId="0" borderId="22" xfId="0" applyNumberFormat="1" applyFont="1" applyFill="1" applyBorder="1" applyAlignment="1" applyProtection="1">
      <alignment horizontal="center" vertical="center" wrapText="1"/>
      <protection locked="0"/>
    </xf>
    <xf numFmtId="176" fontId="47" fillId="0" borderId="61" xfId="0" applyNumberFormat="1" applyFont="1" applyFill="1" applyBorder="1" applyAlignment="1" applyProtection="1">
      <alignment horizontal="center" vertical="center" wrapText="1"/>
      <protection locked="0"/>
    </xf>
    <xf numFmtId="176" fontId="47" fillId="6" borderId="17" xfId="0" applyNumberFormat="1" applyFont="1" applyFill="1" applyBorder="1" applyAlignment="1" applyProtection="1">
      <alignment horizontal="center" vertical="center" wrapText="1"/>
    </xf>
    <xf numFmtId="176" fontId="54" fillId="6" borderId="9" xfId="0" applyNumberFormat="1" applyFont="1" applyFill="1" applyBorder="1" applyAlignment="1" applyProtection="1">
      <alignment horizontal="center" vertical="center" wrapText="1"/>
    </xf>
    <xf numFmtId="176" fontId="54" fillId="0" borderId="9" xfId="0" applyNumberFormat="1" applyFont="1" applyFill="1" applyBorder="1" applyAlignment="1" applyProtection="1">
      <alignment horizontal="center" vertical="center" wrapText="1"/>
      <protection locked="0"/>
    </xf>
    <xf numFmtId="176" fontId="71" fillId="0" borderId="9" xfId="0" applyNumberFormat="1" applyFont="1" applyFill="1" applyBorder="1" applyAlignment="1" applyProtection="1">
      <alignment horizontal="center" vertical="center" wrapText="1"/>
      <protection locked="0"/>
    </xf>
    <xf numFmtId="176" fontId="71" fillId="0" borderId="9" xfId="0" applyNumberFormat="1" applyFont="1" applyFill="1" applyBorder="1" applyAlignment="1" applyProtection="1">
      <alignment horizontal="left" vertical="center" wrapText="1"/>
      <protection locked="0"/>
    </xf>
    <xf numFmtId="176" fontId="71" fillId="0" borderId="10" xfId="0" applyNumberFormat="1" applyFont="1" applyFill="1" applyBorder="1" applyAlignment="1" applyProtection="1">
      <alignment horizontal="center" vertical="center" wrapText="1"/>
      <protection locked="0"/>
    </xf>
    <xf numFmtId="176" fontId="52" fillId="6" borderId="77" xfId="0" applyNumberFormat="1" applyFont="1" applyFill="1" applyBorder="1" applyAlignment="1" applyProtection="1">
      <alignment horizontal="center" vertical="center" wrapText="1"/>
    </xf>
    <xf numFmtId="176" fontId="54" fillId="0" borderId="78" xfId="0" applyNumberFormat="1" applyFont="1" applyFill="1" applyBorder="1" applyAlignment="1" applyProtection="1">
      <alignment horizontal="center" vertical="center" wrapText="1"/>
      <protection locked="0"/>
    </xf>
    <xf numFmtId="176" fontId="54" fillId="0" borderId="79" xfId="0" applyNumberFormat="1" applyFont="1" applyFill="1" applyBorder="1" applyAlignment="1" applyProtection="1">
      <alignment horizontal="center" vertical="center" wrapText="1"/>
      <protection locked="0"/>
    </xf>
    <xf numFmtId="176" fontId="54" fillId="6" borderId="0" xfId="0" applyNumberFormat="1" applyFont="1" applyFill="1" applyBorder="1" applyAlignment="1" applyProtection="1">
      <alignment horizontal="center" vertical="center" wrapText="1"/>
      <protection locked="0"/>
    </xf>
    <xf numFmtId="176" fontId="47" fillId="6" borderId="57" xfId="0" applyNumberFormat="1" applyFont="1" applyFill="1" applyBorder="1" applyAlignment="1" applyProtection="1">
      <alignment horizontal="center" vertical="center" wrapText="1"/>
    </xf>
    <xf numFmtId="176" fontId="54" fillId="6" borderId="44" xfId="0" applyNumberFormat="1" applyFont="1" applyFill="1" applyBorder="1" applyAlignment="1" applyProtection="1">
      <alignment horizontal="center" vertical="center" wrapText="1"/>
    </xf>
    <xf numFmtId="176" fontId="71" fillId="6" borderId="44" xfId="0" applyNumberFormat="1" applyFont="1" applyFill="1" applyBorder="1" applyAlignment="1" applyProtection="1">
      <alignment horizontal="center" vertical="center" wrapText="1"/>
    </xf>
    <xf numFmtId="176" fontId="71" fillId="6" borderId="44" xfId="0" applyNumberFormat="1" applyFont="1" applyFill="1" applyBorder="1" applyAlignment="1" applyProtection="1">
      <alignment horizontal="left" vertical="center" wrapText="1"/>
    </xf>
    <xf numFmtId="176" fontId="71" fillId="6" borderId="45" xfId="0" applyNumberFormat="1" applyFont="1" applyFill="1" applyBorder="1" applyAlignment="1" applyProtection="1">
      <alignment horizontal="center" vertical="center" wrapText="1"/>
    </xf>
    <xf numFmtId="176" fontId="47" fillId="6" borderId="77" xfId="0" applyNumberFormat="1" applyFont="1" applyFill="1" applyBorder="1" applyAlignment="1" applyProtection="1">
      <alignment horizontal="center" vertical="center" wrapText="1"/>
    </xf>
    <xf numFmtId="176" fontId="54" fillId="6" borderId="78" xfId="0" applyNumberFormat="1" applyFont="1" applyFill="1" applyBorder="1" applyAlignment="1" applyProtection="1">
      <alignment horizontal="center" vertical="center" wrapText="1"/>
    </xf>
    <xf numFmtId="176" fontId="54" fillId="6" borderId="79" xfId="0" applyNumberFormat="1" applyFont="1" applyFill="1" applyBorder="1" applyAlignment="1" applyProtection="1">
      <alignment horizontal="center" vertical="center" wrapText="1"/>
    </xf>
    <xf numFmtId="176" fontId="47" fillId="6" borderId="15" xfId="0" applyNumberFormat="1" applyFont="1" applyFill="1" applyBorder="1" applyAlignment="1" applyProtection="1">
      <alignment horizontal="center" vertical="center" wrapText="1"/>
    </xf>
    <xf numFmtId="176" fontId="54" fillId="6" borderId="2" xfId="0" applyNumberFormat="1" applyFont="1" applyFill="1" applyBorder="1" applyAlignment="1" applyProtection="1">
      <alignment horizontal="center" vertical="center" wrapText="1"/>
    </xf>
    <xf numFmtId="176" fontId="52" fillId="6" borderId="15" xfId="0" applyNumberFormat="1" applyFont="1" applyFill="1" applyBorder="1" applyAlignment="1" applyProtection="1">
      <alignment horizontal="center" vertical="center" wrapText="1"/>
    </xf>
    <xf numFmtId="176" fontId="54" fillId="0" borderId="1" xfId="0" applyNumberFormat="1" applyFont="1" applyFill="1" applyBorder="1" applyAlignment="1" applyProtection="1">
      <alignment horizontal="center" vertical="center" wrapText="1"/>
      <protection locked="0"/>
    </xf>
    <xf numFmtId="176" fontId="71" fillId="0" borderId="1" xfId="0" applyNumberFormat="1" applyFont="1" applyFill="1" applyBorder="1" applyAlignment="1" applyProtection="1">
      <alignment horizontal="center" vertical="center" wrapText="1"/>
      <protection locked="0"/>
    </xf>
    <xf numFmtId="176" fontId="71" fillId="0" borderId="1" xfId="0" applyNumberFormat="1" applyFont="1" applyFill="1" applyBorder="1" applyAlignment="1" applyProtection="1">
      <alignment horizontal="left" vertical="center" wrapText="1"/>
      <protection locked="0"/>
    </xf>
    <xf numFmtId="176" fontId="71" fillId="0" borderId="24" xfId="0" applyNumberFormat="1" applyFont="1" applyFill="1" applyBorder="1" applyAlignment="1" applyProtection="1">
      <alignment horizontal="center" vertical="center" wrapText="1"/>
      <protection locked="0"/>
    </xf>
    <xf numFmtId="176" fontId="72" fillId="6" borderId="14" xfId="0" applyNumberFormat="1" applyFont="1" applyFill="1" applyBorder="1" applyAlignment="1" applyProtection="1">
      <alignment vertical="center" wrapText="1"/>
    </xf>
    <xf numFmtId="176" fontId="47" fillId="0" borderId="44" xfId="0" applyNumberFormat="1" applyFont="1" applyFill="1" applyBorder="1" applyAlignment="1" applyProtection="1">
      <alignment horizontal="center" vertical="center" wrapText="1"/>
      <protection locked="0"/>
    </xf>
    <xf numFmtId="176" fontId="52" fillId="0" borderId="44" xfId="0" applyNumberFormat="1" applyFont="1" applyFill="1" applyBorder="1" applyAlignment="1" applyProtection="1">
      <alignment horizontal="center" vertical="center" wrapText="1"/>
      <protection locked="0"/>
    </xf>
    <xf numFmtId="176" fontId="52" fillId="0" borderId="44" xfId="0" applyNumberFormat="1" applyFont="1" applyFill="1" applyBorder="1" applyAlignment="1" applyProtection="1">
      <alignment horizontal="left" vertical="center" wrapText="1"/>
      <protection locked="0"/>
    </xf>
    <xf numFmtId="176" fontId="52" fillId="0" borderId="45" xfId="0" applyNumberFormat="1" applyFont="1" applyFill="1" applyBorder="1" applyAlignment="1" applyProtection="1">
      <alignment horizontal="center" vertical="center" wrapText="1"/>
      <protection locked="0"/>
    </xf>
    <xf numFmtId="176" fontId="52" fillId="0" borderId="18" xfId="0" applyNumberFormat="1" applyFont="1" applyFill="1" applyBorder="1" applyAlignment="1" applyProtection="1">
      <alignment horizontal="center" vertical="center" wrapText="1"/>
      <protection locked="0"/>
    </xf>
    <xf numFmtId="176" fontId="52" fillId="0" borderId="0" xfId="0" applyNumberFormat="1" applyFont="1" applyFill="1" applyBorder="1" applyAlignment="1" applyProtection="1">
      <alignment horizontal="center" vertical="center" wrapText="1"/>
      <protection locked="0"/>
    </xf>
    <xf numFmtId="176" fontId="47" fillId="0" borderId="78" xfId="0" applyNumberFormat="1" applyFont="1" applyFill="1" applyBorder="1" applyAlignment="1" applyProtection="1">
      <alignment horizontal="center" vertical="center" wrapText="1"/>
      <protection locked="0"/>
    </xf>
    <xf numFmtId="176" fontId="52" fillId="0" borderId="18" xfId="0" applyNumberFormat="1" applyFont="1" applyFill="1" applyBorder="1" applyAlignment="1" applyProtection="1">
      <alignment horizontal="center" vertical="center"/>
      <protection locked="0"/>
    </xf>
    <xf numFmtId="176" fontId="52" fillId="0" borderId="0" xfId="0" applyNumberFormat="1" applyFont="1" applyFill="1" applyBorder="1" applyAlignment="1" applyProtection="1">
      <alignment horizontal="center" vertical="center"/>
      <protection locked="0"/>
    </xf>
    <xf numFmtId="176" fontId="52" fillId="0" borderId="78" xfId="0" applyNumberFormat="1" applyFont="1" applyFill="1" applyBorder="1" applyAlignment="1" applyProtection="1">
      <alignment horizontal="center" vertical="center" wrapText="1"/>
      <protection locked="0"/>
    </xf>
    <xf numFmtId="176" fontId="52" fillId="0" borderId="79" xfId="0" applyNumberFormat="1" applyFont="1" applyFill="1" applyBorder="1" applyAlignment="1" applyProtection="1">
      <alignment horizontal="center" vertical="center" wrapText="1"/>
      <protection locked="0"/>
    </xf>
    <xf numFmtId="176" fontId="52" fillId="0" borderId="2" xfId="0" applyNumberFormat="1" applyFont="1" applyFill="1" applyBorder="1" applyAlignment="1" applyProtection="1">
      <alignment horizontal="center" vertical="center" wrapText="1"/>
      <protection locked="0"/>
    </xf>
    <xf numFmtId="176" fontId="52" fillId="0" borderId="2" xfId="0" applyNumberFormat="1" applyFont="1" applyFill="1" applyBorder="1" applyAlignment="1" applyProtection="1">
      <alignment horizontal="left" vertical="center" wrapText="1"/>
      <protection locked="0"/>
    </xf>
    <xf numFmtId="176" fontId="52" fillId="0" borderId="8" xfId="0" applyNumberFormat="1" applyFont="1" applyFill="1" applyBorder="1" applyAlignment="1" applyProtection="1">
      <alignment horizontal="center" vertical="center" wrapText="1"/>
      <protection locked="0"/>
    </xf>
    <xf numFmtId="176" fontId="52" fillId="0" borderId="18" xfId="0" applyNumberFormat="1" applyFont="1" applyFill="1" applyBorder="1" applyAlignment="1" applyProtection="1">
      <alignment vertical="center" wrapText="1"/>
      <protection locked="0"/>
    </xf>
    <xf numFmtId="176" fontId="72" fillId="6" borderId="12" xfId="0" applyNumberFormat="1" applyFont="1" applyFill="1" applyBorder="1" applyAlignment="1" applyProtection="1">
      <alignment vertical="center" wrapText="1"/>
    </xf>
    <xf numFmtId="176" fontId="47" fillId="6" borderId="74" xfId="0" applyNumberFormat="1" applyFont="1" applyFill="1" applyBorder="1" applyAlignment="1" applyProtection="1">
      <alignment horizontal="center" vertical="center" wrapText="1"/>
    </xf>
    <xf numFmtId="176" fontId="47" fillId="0" borderId="32" xfId="0" applyNumberFormat="1" applyFont="1" applyFill="1" applyBorder="1" applyAlignment="1" applyProtection="1">
      <alignment horizontal="center" vertical="center" wrapText="1"/>
      <protection locked="0"/>
    </xf>
    <xf numFmtId="176" fontId="52" fillId="0" borderId="32" xfId="0" applyNumberFormat="1" applyFont="1" applyFill="1" applyBorder="1" applyAlignment="1" applyProtection="1">
      <alignment horizontal="center" vertical="center" wrapText="1"/>
      <protection locked="0"/>
    </xf>
    <xf numFmtId="176" fontId="52" fillId="0" borderId="49" xfId="0" applyNumberFormat="1" applyFont="1" applyFill="1" applyBorder="1" applyAlignment="1" applyProtection="1">
      <alignment horizontal="center" vertical="center" wrapText="1"/>
      <protection locked="0"/>
    </xf>
    <xf numFmtId="176" fontId="71" fillId="6" borderId="9" xfId="0" applyNumberFormat="1" applyFont="1" applyFill="1" applyBorder="1" applyAlignment="1" applyProtection="1">
      <alignment horizontal="center" vertical="center" wrapText="1"/>
    </xf>
    <xf numFmtId="176" fontId="71" fillId="6" borderId="9" xfId="0" applyNumberFormat="1" applyFont="1" applyFill="1" applyBorder="1" applyAlignment="1" applyProtection="1">
      <alignment horizontal="left" vertical="center" wrapText="1"/>
    </xf>
    <xf numFmtId="176" fontId="71" fillId="6" borderId="10" xfId="0" applyNumberFormat="1" applyFont="1" applyFill="1" applyBorder="1" applyAlignment="1" applyProtection="1">
      <alignment horizontal="center" vertical="center" wrapText="1"/>
    </xf>
    <xf numFmtId="176" fontId="47" fillId="0" borderId="18" xfId="0" applyNumberFormat="1" applyFont="1" applyFill="1" applyBorder="1" applyAlignment="1" applyProtection="1">
      <alignment vertical="center" wrapText="1"/>
      <protection locked="0"/>
    </xf>
    <xf numFmtId="176" fontId="47" fillId="6" borderId="44" xfId="0" applyNumberFormat="1" applyFont="1" applyFill="1" applyBorder="1" applyAlignment="1" applyProtection="1">
      <alignment horizontal="center" vertical="center" wrapText="1"/>
    </xf>
    <xf numFmtId="176" fontId="54" fillId="6" borderId="15" xfId="0" applyNumberFormat="1" applyFont="1" applyFill="1" applyBorder="1" applyAlignment="1" applyProtection="1">
      <alignment horizontal="center" vertical="center" wrapText="1"/>
    </xf>
    <xf numFmtId="176" fontId="54" fillId="6" borderId="45" xfId="0" applyNumberFormat="1" applyFont="1" applyFill="1" applyBorder="1" applyAlignment="1" applyProtection="1">
      <alignment horizontal="center" vertical="center" wrapText="1"/>
    </xf>
    <xf numFmtId="176" fontId="22" fillId="0" borderId="44" xfId="0" applyNumberFormat="1" applyFont="1" applyFill="1" applyBorder="1" applyAlignment="1" applyProtection="1">
      <alignment horizontal="center" vertical="center" wrapText="1"/>
      <protection locked="0"/>
    </xf>
    <xf numFmtId="176" fontId="47" fillId="0" borderId="44" xfId="0" applyNumberFormat="1" applyFont="1" applyFill="1" applyBorder="1" applyAlignment="1" applyProtection="1">
      <alignment horizontal="left" vertical="center" wrapText="1"/>
      <protection locked="0"/>
    </xf>
    <xf numFmtId="176" fontId="47" fillId="0" borderId="45" xfId="0" applyNumberFormat="1" applyFont="1" applyFill="1" applyBorder="1" applyAlignment="1" applyProtection="1">
      <alignment horizontal="center" vertical="center" wrapText="1"/>
      <protection locked="0"/>
    </xf>
    <xf numFmtId="176" fontId="47" fillId="6" borderId="78" xfId="0" applyNumberFormat="1" applyFont="1" applyFill="1" applyBorder="1" applyAlignment="1" applyProtection="1">
      <alignment horizontal="center" vertical="center" wrapText="1"/>
    </xf>
    <xf numFmtId="176" fontId="137" fillId="0" borderId="44" xfId="0" applyNumberFormat="1" applyFont="1" applyFill="1" applyBorder="1" applyAlignment="1" applyProtection="1">
      <alignment horizontal="center" vertical="center" wrapText="1"/>
      <protection locked="0"/>
    </xf>
    <xf numFmtId="176" fontId="54" fillId="0" borderId="44" xfId="0" applyNumberFormat="1" applyFont="1" applyFill="1" applyBorder="1" applyAlignment="1" applyProtection="1">
      <alignment horizontal="center" vertical="center" wrapText="1"/>
      <protection locked="0"/>
    </xf>
    <xf numFmtId="176" fontId="71" fillId="0" borderId="44" xfId="0" applyNumberFormat="1" applyFont="1" applyFill="1" applyBorder="1" applyAlignment="1" applyProtection="1">
      <alignment horizontal="center" vertical="center" wrapText="1"/>
      <protection locked="0"/>
    </xf>
    <xf numFmtId="176" fontId="71" fillId="0" borderId="44" xfId="0" applyNumberFormat="1" applyFont="1" applyFill="1" applyBorder="1" applyAlignment="1" applyProtection="1">
      <alignment horizontal="left" vertical="center" wrapText="1"/>
      <protection locked="0"/>
    </xf>
    <xf numFmtId="176" fontId="71" fillId="0" borderId="45" xfId="0" applyNumberFormat="1" applyFont="1" applyFill="1" applyBorder="1" applyAlignment="1" applyProtection="1">
      <alignment horizontal="center" vertical="center" wrapText="1"/>
      <protection locked="0"/>
    </xf>
    <xf numFmtId="176" fontId="54" fillId="0" borderId="2" xfId="0" applyNumberFormat="1" applyFont="1" applyFill="1" applyBorder="1" applyAlignment="1" applyProtection="1">
      <alignment horizontal="center" vertical="center" wrapText="1"/>
      <protection locked="0"/>
    </xf>
    <xf numFmtId="176" fontId="71" fillId="0" borderId="2" xfId="0" applyNumberFormat="1" applyFont="1" applyFill="1" applyBorder="1" applyAlignment="1" applyProtection="1">
      <alignment horizontal="center" vertical="center" wrapText="1"/>
      <protection locked="0"/>
    </xf>
    <xf numFmtId="176" fontId="71" fillId="0" borderId="2" xfId="0" applyNumberFormat="1" applyFont="1" applyFill="1" applyBorder="1" applyAlignment="1" applyProtection="1">
      <alignment horizontal="left" vertical="center" wrapText="1"/>
      <protection locked="0"/>
    </xf>
    <xf numFmtId="176" fontId="71" fillId="0" borderId="8" xfId="0" applyNumberFormat="1" applyFont="1" applyFill="1" applyBorder="1" applyAlignment="1" applyProtection="1">
      <alignment horizontal="center" vertical="center" wrapText="1"/>
      <protection locked="0"/>
    </xf>
    <xf numFmtId="176" fontId="54" fillId="0" borderId="32" xfId="0" applyNumberFormat="1" applyFont="1" applyFill="1" applyBorder="1" applyAlignment="1" applyProtection="1">
      <alignment horizontal="center" vertical="center" wrapText="1"/>
      <protection locked="0"/>
    </xf>
    <xf numFmtId="176" fontId="54" fillId="0" borderId="49" xfId="0" applyNumberFormat="1" applyFont="1" applyFill="1" applyBorder="1" applyAlignment="1" applyProtection="1">
      <alignment horizontal="center" vertical="center" wrapText="1"/>
      <protection locked="0"/>
    </xf>
    <xf numFmtId="176" fontId="259" fillId="0" borderId="9" xfId="0" applyNumberFormat="1" applyFont="1" applyFill="1" applyBorder="1" applyAlignment="1" applyProtection="1">
      <alignment horizontal="center" vertical="center" wrapText="1"/>
      <protection locked="0"/>
    </xf>
    <xf numFmtId="176" fontId="47" fillId="6" borderId="45" xfId="0" applyNumberFormat="1" applyFont="1" applyFill="1" applyBorder="1" applyAlignment="1" applyProtection="1">
      <alignment horizontal="center" vertical="center" wrapText="1"/>
    </xf>
    <xf numFmtId="176" fontId="47" fillId="6" borderId="58" xfId="0" applyNumberFormat="1" applyFont="1" applyFill="1" applyBorder="1" applyAlignment="1" applyProtection="1">
      <alignment horizontal="center" vertical="center"/>
    </xf>
    <xf numFmtId="176" fontId="52" fillId="0" borderId="1" xfId="0" applyNumberFormat="1" applyFont="1" applyFill="1" applyBorder="1" applyAlignment="1" applyProtection="1">
      <alignment horizontal="center" vertical="center" wrapText="1"/>
      <protection locked="0"/>
    </xf>
    <xf numFmtId="176" fontId="52" fillId="0" borderId="1" xfId="0" applyNumberFormat="1" applyFont="1" applyFill="1" applyBorder="1" applyAlignment="1" applyProtection="1">
      <alignment horizontal="left" vertical="center" wrapText="1"/>
      <protection locked="0"/>
    </xf>
    <xf numFmtId="176" fontId="52" fillId="0" borderId="24" xfId="0" applyNumberFormat="1" applyFont="1" applyFill="1" applyBorder="1" applyAlignment="1" applyProtection="1">
      <alignment horizontal="center" vertical="center" wrapText="1"/>
      <protection locked="0"/>
    </xf>
    <xf numFmtId="176" fontId="259" fillId="0" borderId="44" xfId="0" applyNumberFormat="1" applyFont="1" applyFill="1" applyBorder="1" applyAlignment="1" applyProtection="1">
      <alignment horizontal="center" vertical="center" wrapText="1"/>
      <protection locked="0"/>
    </xf>
    <xf numFmtId="176" fontId="54" fillId="0" borderId="15" xfId="0" applyNumberFormat="1" applyFont="1" applyFill="1" applyBorder="1" applyAlignment="1" applyProtection="1">
      <alignment horizontal="center" vertical="center" wrapText="1"/>
      <protection locked="0"/>
    </xf>
    <xf numFmtId="176" fontId="71" fillId="0" borderId="15" xfId="0" applyNumberFormat="1" applyFont="1" applyFill="1" applyBorder="1" applyAlignment="1" applyProtection="1">
      <alignment horizontal="center" vertical="center" wrapText="1"/>
      <protection locked="0"/>
    </xf>
    <xf numFmtId="176" fontId="71" fillId="0" borderId="15" xfId="0" applyNumberFormat="1" applyFont="1" applyFill="1" applyBorder="1" applyAlignment="1" applyProtection="1">
      <alignment horizontal="left" vertical="center" wrapText="1"/>
      <protection locked="0"/>
    </xf>
    <xf numFmtId="176" fontId="71" fillId="0" borderId="53" xfId="0" applyNumberFormat="1" applyFont="1" applyFill="1" applyBorder="1" applyAlignment="1" applyProtection="1">
      <alignment horizontal="center" vertical="center" wrapText="1"/>
      <protection locked="0"/>
    </xf>
    <xf numFmtId="176" fontId="104" fillId="0" borderId="44" xfId="0" applyNumberFormat="1" applyFont="1" applyFill="1" applyBorder="1" applyAlignment="1" applyProtection="1">
      <alignment horizontal="center" vertical="center" wrapText="1"/>
      <protection locked="0"/>
    </xf>
    <xf numFmtId="176" fontId="54" fillId="0" borderId="18" xfId="0" applyNumberFormat="1" applyFont="1" applyFill="1" applyBorder="1" applyAlignment="1" applyProtection="1">
      <alignment horizontal="center" vertical="center"/>
      <protection locked="0"/>
    </xf>
    <xf numFmtId="176" fontId="57" fillId="6" borderId="46" xfId="0" applyNumberFormat="1" applyFont="1" applyFill="1" applyBorder="1" applyAlignment="1" applyProtection="1">
      <alignment vertical="center" wrapText="1"/>
      <protection locked="0"/>
    </xf>
    <xf numFmtId="176" fontId="50" fillId="6" borderId="16" xfId="0" applyNumberFormat="1" applyFont="1" applyFill="1" applyBorder="1" applyAlignment="1" applyProtection="1">
      <alignment horizontal="center" vertical="center" wrapText="1"/>
    </xf>
    <xf numFmtId="176" fontId="50" fillId="6" borderId="6" xfId="0" applyNumberFormat="1" applyFont="1" applyFill="1" applyBorder="1" applyAlignment="1" applyProtection="1">
      <alignment horizontal="center" vertical="center" wrapText="1"/>
    </xf>
    <xf numFmtId="176" fontId="50" fillId="6" borderId="21" xfId="0" applyNumberFormat="1" applyFont="1" applyFill="1" applyBorder="1" applyAlignment="1" applyProtection="1">
      <alignment horizontal="center" vertical="center" wrapText="1"/>
    </xf>
    <xf numFmtId="176" fontId="50" fillId="6" borderId="31" xfId="0" applyNumberFormat="1" applyFont="1" applyFill="1" applyBorder="1" applyAlignment="1" applyProtection="1">
      <alignment horizontal="center" vertical="center" wrapText="1"/>
    </xf>
    <xf numFmtId="176" fontId="56" fillId="7" borderId="0" xfId="0" applyNumberFormat="1" applyFont="1" applyFill="1" applyAlignment="1" applyProtection="1">
      <alignment horizontal="center" vertical="center"/>
      <protection locked="0"/>
    </xf>
    <xf numFmtId="176" fontId="56" fillId="0" borderId="0" xfId="0" applyNumberFormat="1" applyFont="1" applyFill="1" applyAlignment="1" applyProtection="1">
      <alignment horizontal="center" vertical="center"/>
      <protection locked="0"/>
    </xf>
    <xf numFmtId="176" fontId="63" fillId="6" borderId="58" xfId="0" applyNumberFormat="1" applyFont="1" applyFill="1" applyBorder="1" applyAlignment="1" applyProtection="1">
      <alignment vertical="center" textRotation="255" wrapText="1"/>
      <protection locked="0"/>
    </xf>
    <xf numFmtId="176" fontId="50" fillId="6" borderId="18" xfId="0" applyNumberFormat="1" applyFont="1" applyFill="1" applyBorder="1" applyAlignment="1" applyProtection="1">
      <alignment horizontal="center" vertical="center"/>
    </xf>
    <xf numFmtId="176" fontId="50" fillId="0" borderId="23" xfId="0" applyNumberFormat="1" applyFont="1" applyFill="1" applyBorder="1" applyAlignment="1" applyProtection="1">
      <alignment horizontal="center" vertical="center" wrapText="1"/>
      <protection locked="0"/>
    </xf>
    <xf numFmtId="176" fontId="105" fillId="0" borderId="1" xfId="0" applyNumberFormat="1" applyFont="1" applyFill="1" applyBorder="1" applyAlignment="1" applyProtection="1">
      <alignment horizontal="center" vertical="center" wrapText="1"/>
      <protection locked="0"/>
    </xf>
    <xf numFmtId="176" fontId="105" fillId="0" borderId="1" xfId="0" applyNumberFormat="1" applyFont="1" applyFill="1" applyBorder="1" applyAlignment="1" applyProtection="1">
      <alignment horizontal="left" vertical="center" wrapText="1"/>
      <protection locked="0"/>
    </xf>
    <xf numFmtId="176" fontId="105" fillId="0" borderId="5" xfId="0" applyNumberFormat="1" applyFont="1" applyFill="1" applyBorder="1" applyAlignment="1" applyProtection="1">
      <alignment horizontal="center" vertical="center" wrapText="1"/>
      <protection locked="0"/>
    </xf>
    <xf numFmtId="176" fontId="105" fillId="0" borderId="48" xfId="0" applyNumberFormat="1" applyFont="1" applyFill="1" applyBorder="1" applyAlignment="1" applyProtection="1">
      <alignment horizontal="center" vertical="center" wrapText="1"/>
      <protection locked="0"/>
    </xf>
    <xf numFmtId="176" fontId="51" fillId="6" borderId="59" xfId="0" applyNumberFormat="1" applyFont="1" applyFill="1" applyBorder="1" applyAlignment="1" applyProtection="1">
      <alignment horizontal="center" vertical="center" wrapText="1"/>
    </xf>
    <xf numFmtId="176" fontId="51" fillId="7" borderId="0" xfId="0" applyNumberFormat="1" applyFont="1" applyFill="1" applyAlignment="1" applyProtection="1">
      <alignment horizontal="center" vertical="center"/>
      <protection locked="0"/>
    </xf>
    <xf numFmtId="176" fontId="51" fillId="0" borderId="0" xfId="0" applyNumberFormat="1" applyFont="1" applyFill="1" applyAlignment="1" applyProtection="1">
      <alignment horizontal="center" vertical="center"/>
      <protection locked="0"/>
    </xf>
    <xf numFmtId="176" fontId="63" fillId="6" borderId="58" xfId="0" applyNumberFormat="1" applyFont="1" applyFill="1" applyBorder="1" applyAlignment="1" applyProtection="1">
      <alignment vertical="center" wrapText="1"/>
      <protection locked="0"/>
    </xf>
    <xf numFmtId="176" fontId="50" fillId="6" borderId="18" xfId="0" applyNumberFormat="1" applyFont="1" applyFill="1" applyBorder="1" applyAlignment="1" applyProtection="1">
      <alignment horizontal="center" vertical="center" wrapText="1"/>
    </xf>
    <xf numFmtId="176" fontId="50" fillId="0" borderId="11" xfId="0" applyNumberFormat="1" applyFont="1" applyFill="1" applyBorder="1" applyAlignment="1" applyProtection="1">
      <alignment horizontal="center" vertical="center" wrapText="1"/>
      <protection locked="0"/>
    </xf>
    <xf numFmtId="176" fontId="56" fillId="0" borderId="13" xfId="0" applyNumberFormat="1" applyFont="1" applyFill="1" applyBorder="1" applyAlignment="1" applyProtection="1">
      <alignment horizontal="center" vertical="center" wrapText="1"/>
      <protection locked="0"/>
    </xf>
    <xf numFmtId="176" fontId="105" fillId="0" borderId="13" xfId="0" applyNumberFormat="1" applyFont="1" applyFill="1" applyBorder="1" applyAlignment="1" applyProtection="1">
      <alignment horizontal="center" vertical="center" wrapText="1"/>
      <protection locked="0"/>
    </xf>
    <xf numFmtId="176" fontId="105" fillId="0" borderId="46" xfId="0" applyNumberFormat="1" applyFont="1" applyFill="1" applyBorder="1" applyAlignment="1" applyProtection="1">
      <alignment horizontal="center" vertical="center" wrapText="1"/>
      <protection locked="0"/>
    </xf>
    <xf numFmtId="176" fontId="105" fillId="0" borderId="59" xfId="0" applyNumberFormat="1" applyFont="1" applyFill="1" applyBorder="1" applyAlignment="1" applyProtection="1">
      <alignment horizontal="center" vertical="center" wrapText="1"/>
      <protection locked="0"/>
    </xf>
    <xf numFmtId="176" fontId="56" fillId="6" borderId="56" xfId="0" applyNumberFormat="1" applyFont="1" applyFill="1" applyBorder="1" applyAlignment="1" applyProtection="1">
      <alignment horizontal="center" vertical="center" wrapText="1"/>
    </xf>
    <xf numFmtId="176" fontId="55" fillId="6" borderId="58" xfId="0" applyNumberFormat="1" applyFont="1" applyFill="1" applyBorder="1" applyAlignment="1" applyProtection="1">
      <alignment vertical="center" wrapText="1"/>
      <protection locked="0"/>
    </xf>
    <xf numFmtId="176" fontId="242" fillId="0" borderId="109" xfId="0" applyNumberFormat="1" applyFont="1" applyFill="1" applyBorder="1" applyAlignment="1" applyProtection="1">
      <alignment horizontal="center" vertical="center" wrapText="1"/>
      <protection locked="0"/>
    </xf>
    <xf numFmtId="176" fontId="50" fillId="0" borderId="110" xfId="0" applyNumberFormat="1" applyFont="1" applyFill="1" applyBorder="1" applyAlignment="1" applyProtection="1">
      <alignment horizontal="center" vertical="center" wrapText="1"/>
      <protection locked="0"/>
    </xf>
    <xf numFmtId="176" fontId="50" fillId="0" borderId="111" xfId="0" applyNumberFormat="1" applyFont="1" applyFill="1" applyBorder="1" applyAlignment="1" applyProtection="1">
      <alignment horizontal="center" vertical="center" wrapText="1"/>
      <protection locked="0"/>
    </xf>
    <xf numFmtId="176" fontId="105" fillId="0" borderId="111" xfId="0" applyNumberFormat="1" applyFont="1" applyFill="1" applyBorder="1" applyAlignment="1" applyProtection="1">
      <alignment horizontal="center" vertical="center" wrapText="1"/>
      <protection locked="0"/>
    </xf>
    <xf numFmtId="176" fontId="105" fillId="0" borderId="111" xfId="0" applyNumberFormat="1" applyFont="1" applyFill="1" applyBorder="1" applyAlignment="1" applyProtection="1">
      <alignment horizontal="left" vertical="center" wrapText="1"/>
      <protection locked="0"/>
    </xf>
    <xf numFmtId="176" fontId="105" fillId="0" borderId="112" xfId="0" applyNumberFormat="1" applyFont="1" applyFill="1" applyBorder="1" applyAlignment="1" applyProtection="1">
      <alignment horizontal="center" vertical="center" wrapText="1"/>
      <protection locked="0"/>
    </xf>
    <xf numFmtId="176" fontId="105" fillId="0" borderId="113" xfId="0" applyNumberFormat="1" applyFont="1" applyFill="1" applyBorder="1" applyAlignment="1" applyProtection="1">
      <alignment horizontal="center" vertical="center" wrapText="1"/>
      <protection locked="0"/>
    </xf>
    <xf numFmtId="176" fontId="50" fillId="0" borderId="114" xfId="0" applyNumberFormat="1" applyFont="1" applyFill="1" applyBorder="1" applyAlignment="1" applyProtection="1">
      <alignment horizontal="center" vertical="center" wrapText="1"/>
      <protection locked="0"/>
    </xf>
    <xf numFmtId="176" fontId="50" fillId="0" borderId="0" xfId="0" applyNumberFormat="1" applyFont="1" applyFill="1" applyAlignment="1" applyProtection="1">
      <alignment horizontal="center" vertical="center"/>
      <protection locked="0"/>
    </xf>
    <xf numFmtId="176" fontId="50" fillId="6" borderId="98" xfId="0" applyNumberFormat="1" applyFont="1" applyFill="1" applyBorder="1" applyAlignment="1" applyProtection="1">
      <alignment horizontal="center" vertical="center" wrapText="1"/>
    </xf>
    <xf numFmtId="176" fontId="50" fillId="6" borderId="101" xfId="0" applyNumberFormat="1" applyFont="1" applyFill="1" applyBorder="1" applyAlignment="1" applyProtection="1">
      <alignment horizontal="center" vertical="center" wrapText="1"/>
    </xf>
    <xf numFmtId="176" fontId="56" fillId="6" borderId="99" xfId="0" applyNumberFormat="1" applyFont="1" applyFill="1" applyBorder="1" applyAlignment="1" applyProtection="1">
      <alignment horizontal="center" vertical="center" wrapText="1"/>
    </xf>
    <xf numFmtId="176" fontId="105" fillId="6" borderId="99" xfId="0" applyNumberFormat="1" applyFont="1" applyFill="1" applyBorder="1" applyAlignment="1" applyProtection="1">
      <alignment horizontal="center" vertical="center" wrapText="1"/>
    </xf>
    <xf numFmtId="176" fontId="56" fillId="6" borderId="100" xfId="0" applyNumberFormat="1" applyFont="1" applyFill="1" applyBorder="1" applyAlignment="1" applyProtection="1">
      <alignment horizontal="center" vertical="center" wrapText="1"/>
    </xf>
    <xf numFmtId="176" fontId="181" fillId="0" borderId="18" xfId="0" applyNumberFormat="1" applyFont="1" applyFill="1" applyBorder="1" applyAlignment="1" applyProtection="1">
      <alignment horizontal="center" vertical="center" wrapText="1"/>
      <protection locked="0"/>
    </xf>
    <xf numFmtId="176" fontId="50" fillId="0" borderId="41" xfId="0" applyNumberFormat="1" applyFont="1" applyFill="1" applyBorder="1" applyAlignment="1" applyProtection="1">
      <alignment horizontal="center" vertical="center" wrapText="1"/>
      <protection locked="0"/>
    </xf>
    <xf numFmtId="176" fontId="105" fillId="0" borderId="2" xfId="0" applyNumberFormat="1" applyFont="1" applyFill="1" applyBorder="1" applyAlignment="1" applyProtection="1">
      <alignment horizontal="center" vertical="center" wrapText="1"/>
      <protection locked="0"/>
    </xf>
    <xf numFmtId="176" fontId="105" fillId="0" borderId="4" xfId="0" applyNumberFormat="1" applyFont="1" applyFill="1" applyBorder="1" applyAlignment="1" applyProtection="1">
      <alignment horizontal="center" vertical="center" wrapText="1"/>
      <protection locked="0"/>
    </xf>
    <xf numFmtId="176" fontId="105" fillId="0" borderId="58" xfId="0" applyNumberFormat="1" applyFont="1" applyFill="1" applyBorder="1" applyAlignment="1" applyProtection="1">
      <alignment horizontal="center" vertical="center"/>
      <protection locked="0"/>
    </xf>
    <xf numFmtId="176" fontId="105" fillId="0" borderId="15" xfId="0" applyNumberFormat="1" applyFont="1" applyFill="1" applyBorder="1" applyAlignment="1" applyProtection="1">
      <alignment horizontal="center" vertical="center" wrapText="1"/>
      <protection locked="0"/>
    </xf>
    <xf numFmtId="176" fontId="105" fillId="0" borderId="15" xfId="0" applyNumberFormat="1" applyFont="1" applyFill="1" applyBorder="1" applyAlignment="1" applyProtection="1">
      <alignment horizontal="center" vertical="center"/>
      <protection locked="0"/>
    </xf>
    <xf numFmtId="176" fontId="105" fillId="0" borderId="56" xfId="0" applyNumberFormat="1" applyFont="1" applyFill="1" applyBorder="1" applyAlignment="1" applyProtection="1">
      <alignment horizontal="center" vertical="center"/>
      <protection locked="0"/>
    </xf>
    <xf numFmtId="176" fontId="50" fillId="0" borderId="56" xfId="0" applyNumberFormat="1" applyFont="1" applyFill="1" applyBorder="1" applyAlignment="1" applyProtection="1">
      <alignment horizontal="center" vertical="center" wrapText="1"/>
      <protection locked="0"/>
    </xf>
    <xf numFmtId="176" fontId="105" fillId="0" borderId="2" xfId="0" applyNumberFormat="1" applyFont="1" applyFill="1" applyBorder="1" applyAlignment="1" applyProtection="1">
      <alignment horizontal="left" vertical="center" wrapText="1"/>
      <protection locked="0"/>
    </xf>
    <xf numFmtId="176" fontId="50" fillId="6" borderId="11" xfId="0" applyNumberFormat="1" applyFont="1" applyFill="1" applyBorder="1" applyAlignment="1" applyProtection="1">
      <alignment horizontal="center" vertical="center" wrapText="1"/>
    </xf>
    <xf numFmtId="176" fontId="56" fillId="6" borderId="13" xfId="0" applyNumberFormat="1" applyFont="1" applyFill="1" applyBorder="1" applyAlignment="1" applyProtection="1">
      <alignment horizontal="center" vertical="center" wrapText="1"/>
    </xf>
    <xf numFmtId="176" fontId="181" fillId="0" borderId="109" xfId="0" applyNumberFormat="1" applyFont="1" applyFill="1" applyBorder="1" applyAlignment="1" applyProtection="1">
      <alignment horizontal="center" vertical="center" wrapText="1"/>
      <protection locked="0"/>
    </xf>
    <xf numFmtId="176" fontId="50" fillId="0" borderId="112" xfId="0" applyNumberFormat="1" applyFont="1" applyFill="1" applyBorder="1" applyAlignment="1" applyProtection="1">
      <alignment horizontal="center" vertical="center" wrapText="1"/>
      <protection locked="0"/>
    </xf>
    <xf numFmtId="176" fontId="50" fillId="0" borderId="117" xfId="0" applyNumberFormat="1" applyFont="1" applyFill="1" applyBorder="1" applyAlignment="1" applyProtection="1">
      <alignment horizontal="center" vertical="center"/>
      <protection locked="0"/>
    </xf>
    <xf numFmtId="176" fontId="50" fillId="0" borderId="118" xfId="0" applyNumberFormat="1" applyFont="1" applyFill="1" applyBorder="1" applyAlignment="1" applyProtection="1">
      <alignment horizontal="center" vertical="center" wrapText="1"/>
      <protection locked="0"/>
    </xf>
    <xf numFmtId="176" fontId="50" fillId="0" borderId="118" xfId="0" applyNumberFormat="1" applyFont="1" applyFill="1" applyBorder="1" applyAlignment="1" applyProtection="1">
      <alignment horizontal="center" vertical="center"/>
      <protection locked="0"/>
    </xf>
    <xf numFmtId="176" fontId="50" fillId="0" borderId="114" xfId="0" applyNumberFormat="1" applyFont="1" applyFill="1" applyBorder="1" applyAlignment="1" applyProtection="1">
      <alignment horizontal="center" vertical="center"/>
      <protection locked="0"/>
    </xf>
    <xf numFmtId="176" fontId="50" fillId="6" borderId="114" xfId="0" applyNumberFormat="1" applyFont="1" applyFill="1" applyBorder="1" applyAlignment="1" applyProtection="1">
      <alignment horizontal="center" vertical="center" wrapText="1"/>
    </xf>
    <xf numFmtId="176" fontId="50" fillId="0" borderId="101" xfId="0" applyNumberFormat="1" applyFont="1" applyFill="1" applyBorder="1" applyAlignment="1" applyProtection="1">
      <alignment horizontal="center" vertical="center" wrapText="1"/>
      <protection locked="0"/>
    </xf>
    <xf numFmtId="176" fontId="56" fillId="0" borderId="99" xfId="0" applyNumberFormat="1" applyFont="1" applyFill="1" applyBorder="1" applyAlignment="1" applyProtection="1">
      <alignment horizontal="center" vertical="center" wrapText="1"/>
      <protection locked="0"/>
    </xf>
    <xf numFmtId="176" fontId="56" fillId="0" borderId="115" xfId="0" applyNumberFormat="1" applyFont="1" applyFill="1" applyBorder="1" applyAlignment="1" applyProtection="1">
      <alignment horizontal="center" vertical="center" wrapText="1"/>
      <protection locked="0"/>
    </xf>
    <xf numFmtId="176" fontId="56" fillId="0" borderId="116" xfId="0" applyNumberFormat="1" applyFont="1" applyFill="1" applyBorder="1" applyAlignment="1" applyProtection="1">
      <alignment horizontal="center" vertical="center" wrapText="1"/>
      <protection locked="0"/>
    </xf>
    <xf numFmtId="176" fontId="56" fillId="0" borderId="46" xfId="0" applyNumberFormat="1" applyFont="1" applyFill="1" applyBorder="1" applyAlignment="1" applyProtection="1">
      <alignment horizontal="center" vertical="center" wrapText="1"/>
      <protection locked="0"/>
    </xf>
    <xf numFmtId="176" fontId="56" fillId="0" borderId="59" xfId="0" applyNumberFormat="1" applyFont="1" applyFill="1" applyBorder="1" applyAlignment="1" applyProtection="1">
      <alignment horizontal="center" vertical="center" wrapText="1"/>
      <protection locked="0"/>
    </xf>
    <xf numFmtId="176" fontId="55" fillId="6" borderId="96" xfId="0" applyNumberFormat="1" applyFont="1" applyFill="1" applyBorder="1" applyAlignment="1" applyProtection="1">
      <alignment horizontal="center" vertical="center" wrapText="1"/>
    </xf>
    <xf numFmtId="176" fontId="50" fillId="10" borderId="16" xfId="0" applyNumberFormat="1" applyFont="1" applyFill="1" applyBorder="1" applyAlignment="1" applyProtection="1">
      <alignment horizontal="center" vertical="center" wrapText="1"/>
    </xf>
    <xf numFmtId="176" fontId="50" fillId="10" borderId="6" xfId="0" applyNumberFormat="1" applyFont="1" applyFill="1" applyBorder="1" applyAlignment="1" applyProtection="1">
      <alignment horizontal="center" vertical="center" wrapText="1"/>
      <protection locked="0"/>
    </xf>
    <xf numFmtId="176" fontId="50" fillId="10" borderId="9" xfId="0" applyNumberFormat="1" applyFont="1" applyFill="1" applyBorder="1" applyAlignment="1" applyProtection="1">
      <alignment horizontal="center" vertical="center" wrapText="1"/>
      <protection locked="0"/>
    </xf>
    <xf numFmtId="176" fontId="50" fillId="10" borderId="9" xfId="0" applyNumberFormat="1" applyFont="1" applyFill="1" applyBorder="1" applyAlignment="1" applyProtection="1">
      <alignment horizontal="left" vertical="center" wrapText="1"/>
      <protection locked="0"/>
    </xf>
    <xf numFmtId="176" fontId="50" fillId="10" borderId="28" xfId="0" applyNumberFormat="1" applyFont="1" applyFill="1" applyBorder="1" applyAlignment="1" applyProtection="1">
      <alignment horizontal="center" vertical="center" wrapText="1"/>
      <protection locked="0"/>
    </xf>
    <xf numFmtId="176" fontId="50" fillId="10" borderId="29" xfId="0" applyNumberFormat="1" applyFont="1" applyFill="1" applyBorder="1" applyAlignment="1" applyProtection="1">
      <alignment horizontal="center" vertical="center"/>
      <protection locked="0"/>
    </xf>
    <xf numFmtId="176" fontId="50" fillId="10" borderId="17" xfId="0" applyNumberFormat="1" applyFont="1" applyFill="1" applyBorder="1" applyAlignment="1" applyProtection="1">
      <alignment horizontal="center" vertical="center" wrapText="1"/>
      <protection locked="0"/>
    </xf>
    <xf numFmtId="176" fontId="50" fillId="10" borderId="17" xfId="0" applyNumberFormat="1" applyFont="1" applyFill="1" applyBorder="1" applyAlignment="1" applyProtection="1">
      <alignment horizontal="center" vertical="center"/>
      <protection locked="0"/>
    </xf>
    <xf numFmtId="176" fontId="50" fillId="10" borderId="31" xfId="0" applyNumberFormat="1" applyFont="1" applyFill="1" applyBorder="1" applyAlignment="1" applyProtection="1">
      <alignment horizontal="center" vertical="center"/>
      <protection locked="0"/>
    </xf>
    <xf numFmtId="176" fontId="55" fillId="10" borderId="97" xfId="0" applyNumberFormat="1" applyFont="1" applyFill="1" applyBorder="1" applyAlignment="1" applyProtection="1">
      <alignment vertical="center" wrapText="1"/>
      <protection locked="0"/>
    </xf>
    <xf numFmtId="176" fontId="50" fillId="10" borderId="42" xfId="0" applyNumberFormat="1" applyFont="1" applyFill="1" applyBorder="1" applyAlignment="1" applyProtection="1">
      <alignment horizontal="center" vertical="center" wrapText="1"/>
    </xf>
    <xf numFmtId="176" fontId="50" fillId="10" borderId="25" xfId="0" applyNumberFormat="1" applyFont="1" applyFill="1" applyBorder="1" applyAlignment="1" applyProtection="1">
      <alignment horizontal="center" vertical="center" wrapText="1"/>
      <protection locked="0"/>
    </xf>
    <xf numFmtId="176" fontId="56" fillId="10" borderId="32" xfId="0" applyNumberFormat="1" applyFont="1" applyFill="1" applyBorder="1" applyAlignment="1" applyProtection="1">
      <alignment horizontal="center" vertical="center" wrapText="1"/>
      <protection locked="0"/>
    </xf>
    <xf numFmtId="176" fontId="56" fillId="10" borderId="33" xfId="0" applyNumberFormat="1" applyFont="1" applyFill="1" applyBorder="1" applyAlignment="1" applyProtection="1">
      <alignment horizontal="center" vertical="center" wrapText="1"/>
      <protection locked="0"/>
    </xf>
    <xf numFmtId="176" fontId="56" fillId="10" borderId="68" xfId="0" applyNumberFormat="1" applyFont="1" applyFill="1" applyBorder="1" applyAlignment="1" applyProtection="1">
      <alignment horizontal="center" vertical="center" wrapText="1"/>
      <protection locked="0"/>
    </xf>
    <xf numFmtId="176" fontId="55" fillId="6" borderId="16" xfId="0" applyNumberFormat="1" applyFont="1" applyFill="1" applyBorder="1" applyAlignment="1" applyProtection="1">
      <alignment horizontal="left" vertical="center"/>
      <protection locked="0"/>
    </xf>
    <xf numFmtId="176" fontId="50" fillId="6" borderId="19" xfId="0" applyNumberFormat="1" applyFont="1" applyFill="1" applyBorder="1" applyAlignment="1" applyProtection="1">
      <alignment horizontal="center" vertical="center"/>
      <protection locked="0"/>
    </xf>
    <xf numFmtId="176" fontId="50" fillId="6" borderId="31" xfId="0" applyNumberFormat="1" applyFont="1" applyFill="1" applyBorder="1" applyAlignment="1" applyProtection="1">
      <alignment horizontal="center" vertical="center"/>
      <protection locked="0"/>
    </xf>
    <xf numFmtId="176" fontId="48" fillId="6" borderId="1" xfId="0" applyNumberFormat="1" applyFont="1" applyFill="1" applyBorder="1" applyProtection="1">
      <alignment vertical="center"/>
    </xf>
    <xf numFmtId="176" fontId="48" fillId="6" borderId="1" xfId="0" applyNumberFormat="1" applyFont="1" applyFill="1" applyBorder="1" applyAlignment="1" applyProtection="1">
      <alignment horizontal="center" vertical="center"/>
    </xf>
    <xf numFmtId="176" fontId="57" fillId="5" borderId="38" xfId="1" applyNumberFormat="1" applyFont="1" applyFill="1" applyBorder="1" applyAlignment="1" applyProtection="1">
      <alignment vertical="center"/>
      <protection locked="0"/>
    </xf>
    <xf numFmtId="176" fontId="50" fillId="5" borderId="66" xfId="0" applyNumberFormat="1" applyFont="1" applyFill="1" applyBorder="1" applyAlignment="1" applyProtection="1">
      <alignment horizontal="center" vertical="center"/>
      <protection locked="0"/>
    </xf>
    <xf numFmtId="176" fontId="60" fillId="5" borderId="49" xfId="1" applyNumberFormat="1" applyFont="1" applyFill="1" applyBorder="1" applyAlignment="1" applyProtection="1">
      <alignment vertical="center"/>
      <protection locked="0"/>
    </xf>
    <xf numFmtId="176" fontId="55" fillId="6" borderId="1" xfId="0" applyNumberFormat="1" applyFont="1" applyFill="1" applyBorder="1" applyAlignment="1" applyProtection="1">
      <alignment horizontal="center" vertical="center"/>
    </xf>
    <xf numFmtId="176" fontId="50" fillId="7" borderId="0" xfId="0" applyNumberFormat="1" applyFont="1" applyFill="1" applyAlignment="1" applyProtection="1">
      <alignment horizontal="center" vertical="center" wrapText="1"/>
      <protection locked="0"/>
    </xf>
    <xf numFmtId="176" fontId="50" fillId="0" borderId="0" xfId="0" applyNumberFormat="1" applyFont="1" applyAlignment="1" applyProtection="1">
      <alignment horizontal="center" vertical="center" wrapText="1"/>
      <protection locked="0"/>
    </xf>
    <xf numFmtId="176" fontId="63" fillId="0" borderId="1" xfId="0" applyNumberFormat="1" applyFont="1" applyFill="1" applyBorder="1" applyAlignment="1" applyProtection="1">
      <alignment horizontal="center" vertical="center"/>
      <protection locked="0"/>
    </xf>
    <xf numFmtId="176" fontId="63" fillId="6" borderId="1" xfId="0" applyNumberFormat="1" applyFont="1" applyFill="1" applyBorder="1" applyAlignment="1" applyProtection="1">
      <alignment horizontal="center" vertical="center"/>
    </xf>
    <xf numFmtId="176" fontId="63" fillId="2" borderId="1" xfId="0" applyNumberFormat="1" applyFont="1" applyFill="1" applyBorder="1" applyAlignment="1" applyProtection="1">
      <alignment horizontal="center" vertical="center"/>
      <protection locked="0"/>
    </xf>
    <xf numFmtId="176" fontId="63" fillId="0" borderId="1" xfId="0" applyNumberFormat="1" applyFont="1" applyBorder="1" applyAlignment="1" applyProtection="1">
      <alignment horizontal="center" vertical="center"/>
      <protection locked="0"/>
    </xf>
    <xf numFmtId="176" fontId="63" fillId="7" borderId="0" xfId="0" applyNumberFormat="1" applyFont="1" applyFill="1" applyProtection="1">
      <alignment vertical="center"/>
      <protection locked="0"/>
    </xf>
    <xf numFmtId="176" fontId="63" fillId="0" borderId="0" xfId="0" applyNumberFormat="1" applyFont="1" applyProtection="1">
      <alignment vertical="center"/>
      <protection locked="0"/>
    </xf>
    <xf numFmtId="176" fontId="50" fillId="0" borderId="1" xfId="0" applyNumberFormat="1" applyFont="1" applyBorder="1" applyAlignment="1" applyProtection="1">
      <alignment horizontal="center" vertical="center"/>
      <protection locked="0"/>
    </xf>
    <xf numFmtId="176" fontId="107" fillId="6" borderId="51" xfId="0" applyNumberFormat="1" applyFont="1" applyFill="1" applyBorder="1" applyAlignment="1" applyProtection="1"/>
    <xf numFmtId="176" fontId="104" fillId="6" borderId="19" xfId="0" applyNumberFormat="1" applyFont="1" applyFill="1" applyBorder="1">
      <alignment vertical="center"/>
    </xf>
    <xf numFmtId="176" fontId="104" fillId="6" borderId="31" xfId="0" applyNumberFormat="1" applyFont="1" applyFill="1" applyBorder="1">
      <alignment vertical="center"/>
    </xf>
    <xf numFmtId="176" fontId="104" fillId="0" borderId="0" xfId="0" applyNumberFormat="1" applyFont="1">
      <alignment vertical="center"/>
    </xf>
    <xf numFmtId="176" fontId="60" fillId="6" borderId="23" xfId="1" applyNumberFormat="1" applyFont="1" applyFill="1" applyBorder="1" applyAlignment="1" applyProtection="1">
      <alignment vertical="center"/>
    </xf>
    <xf numFmtId="176" fontId="104" fillId="6" borderId="5" xfId="0" applyNumberFormat="1" applyFont="1" applyFill="1" applyBorder="1">
      <alignment vertical="center"/>
    </xf>
    <xf numFmtId="176" fontId="104" fillId="6" borderId="3" xfId="0" applyNumberFormat="1" applyFont="1" applyFill="1" applyBorder="1">
      <alignment vertical="center"/>
    </xf>
    <xf numFmtId="176" fontId="222" fillId="6" borderId="1" xfId="0" applyNumberFormat="1" applyFont="1" applyFill="1" applyBorder="1">
      <alignment vertical="center"/>
    </xf>
    <xf numFmtId="176" fontId="104" fillId="6" borderId="24" xfId="0" applyNumberFormat="1" applyFont="1" applyFill="1" applyBorder="1" applyProtection="1">
      <alignment vertical="center"/>
    </xf>
    <xf numFmtId="176" fontId="104" fillId="6" borderId="0" xfId="0" applyNumberFormat="1" applyFont="1" applyFill="1" applyBorder="1">
      <alignment vertical="center"/>
    </xf>
    <xf numFmtId="176" fontId="104" fillId="6" borderId="56" xfId="0" applyNumberFormat="1" applyFont="1" applyFill="1" applyBorder="1" applyProtection="1">
      <alignment vertical="center"/>
    </xf>
    <xf numFmtId="176" fontId="60" fillId="6" borderId="18" xfId="1" applyNumberFormat="1" applyFont="1" applyFill="1" applyBorder="1" applyAlignment="1" applyProtection="1">
      <alignment vertical="center"/>
    </xf>
    <xf numFmtId="176" fontId="222" fillId="6" borderId="23" xfId="0" applyNumberFormat="1" applyFont="1" applyFill="1" applyBorder="1" applyAlignment="1">
      <alignment horizontal="center" vertical="center"/>
    </xf>
    <xf numFmtId="176" fontId="222" fillId="6" borderId="0" xfId="0" applyNumberFormat="1" applyFont="1" applyFill="1" applyBorder="1">
      <alignment vertical="center"/>
    </xf>
    <xf numFmtId="176" fontId="222" fillId="6" borderId="5" xfId="0" applyNumberFormat="1" applyFont="1" applyFill="1" applyBorder="1" applyAlignment="1" applyProtection="1">
      <alignment horizontal="center" vertical="center"/>
    </xf>
    <xf numFmtId="176" fontId="104" fillId="6" borderId="1" xfId="0" applyNumberFormat="1" applyFont="1" applyFill="1" applyBorder="1" applyAlignment="1">
      <alignment horizontal="center" vertical="center"/>
    </xf>
    <xf numFmtId="176" fontId="104" fillId="6" borderId="23" xfId="0" applyNumberFormat="1" applyFont="1" applyFill="1" applyBorder="1" applyAlignment="1">
      <alignment horizontal="center" vertical="center"/>
    </xf>
    <xf numFmtId="176" fontId="104" fillId="6" borderId="5" xfId="0" applyNumberFormat="1" applyFont="1" applyFill="1" applyBorder="1" applyProtection="1">
      <alignment vertical="center"/>
    </xf>
    <xf numFmtId="176" fontId="104" fillId="5" borderId="1" xfId="0" applyNumberFormat="1" applyFont="1" applyFill="1" applyBorder="1" applyAlignment="1" applyProtection="1">
      <alignment horizontal="center" vertical="center"/>
      <protection locked="0"/>
    </xf>
    <xf numFmtId="176" fontId="104" fillId="6" borderId="25" xfId="0" applyNumberFormat="1" applyFont="1" applyFill="1" applyBorder="1" applyAlignment="1">
      <alignment horizontal="center" vertical="center"/>
    </xf>
    <xf numFmtId="176" fontId="104" fillId="6" borderId="66" xfId="0" applyNumberFormat="1" applyFont="1" applyFill="1" applyBorder="1">
      <alignment vertical="center"/>
    </xf>
    <xf numFmtId="176" fontId="104" fillId="6" borderId="47" xfId="0" applyNumberFormat="1" applyFont="1" applyFill="1" applyBorder="1">
      <alignment vertical="center"/>
    </xf>
    <xf numFmtId="176" fontId="67" fillId="6" borderId="60" xfId="0" applyNumberFormat="1" applyFont="1" applyFill="1" applyBorder="1" applyAlignment="1" applyProtection="1"/>
    <xf numFmtId="176" fontId="66" fillId="6" borderId="0" xfId="0" applyNumberFormat="1" applyFont="1" applyFill="1" applyAlignment="1" applyProtection="1">
      <alignment horizontal="center" vertical="center"/>
    </xf>
    <xf numFmtId="176" fontId="60" fillId="2" borderId="27" xfId="0" applyNumberFormat="1" applyFont="1" applyFill="1" applyBorder="1" applyAlignment="1" applyProtection="1">
      <alignment horizontal="right"/>
      <protection locked="0"/>
    </xf>
    <xf numFmtId="176" fontId="61" fillId="5" borderId="0" xfId="0" applyNumberFormat="1" applyFont="1" applyFill="1" applyAlignment="1" applyProtection="1">
      <alignment horizontal="right" vertical="center"/>
      <protection locked="0"/>
    </xf>
    <xf numFmtId="176" fontId="61" fillId="6" borderId="0" xfId="0" applyNumberFormat="1" applyFont="1" applyFill="1" applyBorder="1" applyAlignment="1" applyProtection="1">
      <alignment horizontal="center"/>
    </xf>
    <xf numFmtId="176" fontId="60" fillId="6" borderId="60" xfId="0" applyNumberFormat="1" applyFont="1" applyFill="1" applyBorder="1" applyAlignment="1" applyProtection="1"/>
    <xf numFmtId="176" fontId="66" fillId="6" borderId="0" xfId="0" applyNumberFormat="1" applyFont="1" applyFill="1" applyAlignment="1" applyProtection="1">
      <alignment vertical="center"/>
    </xf>
    <xf numFmtId="176" fontId="65" fillId="6" borderId="0" xfId="0" applyNumberFormat="1" applyFont="1" applyFill="1" applyBorder="1" applyAlignment="1" applyProtection="1">
      <alignment horizontal="center"/>
    </xf>
    <xf numFmtId="176" fontId="65" fillId="6" borderId="0" xfId="0" applyNumberFormat="1" applyFont="1" applyFill="1" applyBorder="1" applyAlignment="1" applyProtection="1">
      <alignment horizontal="left"/>
    </xf>
    <xf numFmtId="176" fontId="66" fillId="7" borderId="0" xfId="0" applyNumberFormat="1" applyFont="1" applyFill="1" applyAlignment="1" applyProtection="1">
      <alignment vertical="center"/>
      <protection locked="0"/>
    </xf>
    <xf numFmtId="176" fontId="66" fillId="0" borderId="0" xfId="0" applyNumberFormat="1" applyFont="1" applyFill="1" applyAlignment="1" applyProtection="1">
      <alignment vertical="center"/>
      <protection locked="0"/>
    </xf>
    <xf numFmtId="176" fontId="57" fillId="6" borderId="1" xfId="1" applyNumberFormat="1" applyFont="1" applyFill="1" applyBorder="1" applyAlignment="1" applyProtection="1">
      <alignment vertical="center"/>
    </xf>
    <xf numFmtId="176" fontId="55" fillId="6" borderId="1" xfId="0" applyNumberFormat="1" applyFont="1" applyFill="1" applyBorder="1" applyAlignment="1" applyProtection="1">
      <alignment horizontal="right" vertical="center"/>
    </xf>
    <xf numFmtId="176" fontId="56" fillId="6" borderId="0" xfId="0" applyNumberFormat="1" applyFont="1" applyFill="1" applyBorder="1" applyAlignment="1" applyProtection="1">
      <alignment vertical="center"/>
    </xf>
    <xf numFmtId="176" fontId="56" fillId="6" borderId="0" xfId="0" applyNumberFormat="1" applyFont="1" applyFill="1" applyBorder="1" applyAlignment="1" applyProtection="1"/>
    <xf numFmtId="176" fontId="57" fillId="6" borderId="0" xfId="0" applyNumberFormat="1" applyFont="1" applyFill="1" applyBorder="1" applyAlignment="1" applyProtection="1"/>
    <xf numFmtId="176" fontId="57" fillId="7" borderId="0" xfId="0" applyNumberFormat="1" applyFont="1" applyFill="1" applyBorder="1" applyAlignment="1" applyProtection="1"/>
    <xf numFmtId="176" fontId="57" fillId="6" borderId="0" xfId="0" applyNumberFormat="1" applyFont="1" applyFill="1" applyBorder="1" applyAlignment="1" applyProtection="1">
      <alignment horizontal="center"/>
    </xf>
    <xf numFmtId="176" fontId="57" fillId="6" borderId="0" xfId="0" applyNumberFormat="1" applyFont="1" applyFill="1" applyBorder="1" applyAlignment="1" applyProtection="1">
      <alignment horizontal="left"/>
    </xf>
    <xf numFmtId="176" fontId="56" fillId="7" borderId="0" xfId="0" applyNumberFormat="1" applyFont="1" applyFill="1" applyAlignment="1" applyProtection="1">
      <alignment vertical="center"/>
      <protection locked="0"/>
    </xf>
    <xf numFmtId="176" fontId="56" fillId="0" borderId="0" xfId="0" applyNumberFormat="1" applyFont="1" applyFill="1" applyAlignment="1" applyProtection="1">
      <alignment vertical="center"/>
      <protection locked="0"/>
    </xf>
    <xf numFmtId="176" fontId="57" fillId="6" borderId="32" xfId="1" applyNumberFormat="1" applyFont="1" applyFill="1" applyBorder="1" applyAlignment="1" applyProtection="1">
      <alignment vertical="center"/>
    </xf>
    <xf numFmtId="176" fontId="55" fillId="6" borderId="32" xfId="0" applyNumberFormat="1" applyFont="1" applyFill="1" applyBorder="1" applyAlignment="1" applyProtection="1">
      <alignment horizontal="right" vertical="center"/>
    </xf>
    <xf numFmtId="176" fontId="60" fillId="6" borderId="0" xfId="0" applyNumberFormat="1" applyFont="1" applyFill="1" applyBorder="1" applyAlignment="1" applyProtection="1">
      <alignment horizontal="center"/>
    </xf>
    <xf numFmtId="176" fontId="50" fillId="6" borderId="6" xfId="0" applyNumberFormat="1" applyFont="1" applyFill="1" applyBorder="1" applyAlignment="1" applyProtection="1">
      <alignment horizontal="center" vertical="center"/>
    </xf>
    <xf numFmtId="176" fontId="50" fillId="6" borderId="9" xfId="0" applyNumberFormat="1" applyFont="1" applyFill="1" applyBorder="1" applyAlignment="1" applyProtection="1">
      <alignment horizontal="center" vertical="center"/>
    </xf>
    <xf numFmtId="176" fontId="50" fillId="6" borderId="28" xfId="0" applyNumberFormat="1" applyFont="1" applyFill="1" applyBorder="1" applyAlignment="1" applyProtection="1">
      <alignment horizontal="right" vertical="center"/>
    </xf>
    <xf numFmtId="176" fontId="50" fillId="6" borderId="21" xfId="0" applyNumberFormat="1" applyFont="1" applyFill="1" applyBorder="1" applyAlignment="1" applyProtection="1">
      <alignment horizontal="center" vertical="center"/>
    </xf>
    <xf numFmtId="176" fontId="56" fillId="7" borderId="0" xfId="0" applyNumberFormat="1" applyFont="1" applyFill="1" applyAlignment="1" applyProtection="1">
      <alignment vertical="center"/>
    </xf>
    <xf numFmtId="176" fontId="55" fillId="6" borderId="11" xfId="0" applyNumberFormat="1" applyFont="1" applyFill="1" applyBorder="1" applyAlignment="1" applyProtection="1">
      <alignment vertical="center"/>
    </xf>
    <xf numFmtId="176" fontId="55" fillId="6" borderId="13" xfId="0" applyNumberFormat="1" applyFont="1" applyFill="1" applyBorder="1" applyAlignment="1" applyProtection="1">
      <alignment vertical="center" wrapText="1"/>
    </xf>
    <xf numFmtId="176" fontId="50" fillId="6" borderId="15" xfId="0" applyNumberFormat="1" applyFont="1" applyFill="1" applyBorder="1" applyAlignment="1" applyProtection="1">
      <alignment horizontal="center" vertical="center"/>
    </xf>
    <xf numFmtId="176" fontId="56" fillId="6" borderId="13" xfId="0" applyNumberFormat="1" applyFont="1" applyFill="1" applyBorder="1" applyAlignment="1" applyProtection="1">
      <alignment vertical="center"/>
    </xf>
    <xf numFmtId="176" fontId="50" fillId="6" borderId="4" xfId="0" applyNumberFormat="1" applyFont="1" applyFill="1" applyBorder="1" applyAlignment="1" applyProtection="1">
      <alignment horizontal="right" vertical="center"/>
    </xf>
    <xf numFmtId="176" fontId="50" fillId="6" borderId="71" xfId="0" applyNumberFormat="1" applyFont="1" applyFill="1" applyBorder="1" applyAlignment="1" applyProtection="1">
      <alignment horizontal="center" vertical="center"/>
    </xf>
    <xf numFmtId="176" fontId="50" fillId="6" borderId="11" xfId="0" applyNumberFormat="1" applyFont="1" applyFill="1" applyBorder="1" applyAlignment="1" applyProtection="1">
      <alignment horizontal="left" vertical="center"/>
    </xf>
    <xf numFmtId="176" fontId="55" fillId="6" borderId="22" xfId="0" applyNumberFormat="1" applyFont="1" applyFill="1" applyBorder="1" applyAlignment="1" applyProtection="1">
      <alignment horizontal="center" vertical="center"/>
    </xf>
    <xf numFmtId="176" fontId="50" fillId="6" borderId="1" xfId="0" applyNumberFormat="1" applyFont="1" applyFill="1" applyBorder="1" applyAlignment="1" applyProtection="1">
      <alignment horizontal="left" vertical="center"/>
    </xf>
    <xf numFmtId="176" fontId="55" fillId="6" borderId="13" xfId="0" applyNumberFormat="1" applyFont="1" applyFill="1" applyBorder="1" applyAlignment="1" applyProtection="1">
      <alignment horizontal="center" vertical="center"/>
    </xf>
    <xf numFmtId="176" fontId="50" fillId="6" borderId="35" xfId="0" applyNumberFormat="1" applyFont="1" applyFill="1" applyBorder="1" applyAlignment="1" applyProtection="1">
      <alignment horizontal="left" vertical="center"/>
    </xf>
    <xf numFmtId="176" fontId="55" fillId="6" borderId="0" xfId="0" applyNumberFormat="1" applyFont="1" applyFill="1" applyBorder="1" applyAlignment="1" applyProtection="1">
      <alignment horizontal="center" vertical="center"/>
    </xf>
    <xf numFmtId="176" fontId="50" fillId="6" borderId="3" xfId="0" applyNumberFormat="1" applyFont="1" applyFill="1" applyBorder="1" applyAlignment="1" applyProtection="1">
      <alignment horizontal="left" vertical="center"/>
    </xf>
    <xf numFmtId="176" fontId="55" fillId="6" borderId="14" xfId="0" applyNumberFormat="1" applyFont="1" applyFill="1" applyBorder="1" applyAlignment="1" applyProtection="1">
      <alignment vertical="center"/>
    </xf>
    <xf numFmtId="176" fontId="55" fillId="6" borderId="15" xfId="0" applyNumberFormat="1" applyFont="1" applyFill="1" applyBorder="1" applyAlignment="1" applyProtection="1">
      <alignment horizontal="center" vertical="center"/>
    </xf>
    <xf numFmtId="176" fontId="50" fillId="6" borderId="13" xfId="0" applyNumberFormat="1" applyFont="1" applyFill="1" applyBorder="1" applyAlignment="1" applyProtection="1">
      <alignment horizontal="left" vertical="center"/>
    </xf>
    <xf numFmtId="176" fontId="55" fillId="6" borderId="61" xfId="0" applyNumberFormat="1" applyFont="1" applyFill="1" applyBorder="1" applyAlignment="1" applyProtection="1">
      <alignment horizontal="center" vertical="center"/>
    </xf>
    <xf numFmtId="176" fontId="50" fillId="6" borderId="22" xfId="0" applyNumberFormat="1" applyFont="1" applyFill="1" applyBorder="1" applyAlignment="1" applyProtection="1">
      <alignment vertical="center" wrapText="1"/>
    </xf>
    <xf numFmtId="176" fontId="50" fillId="6" borderId="22" xfId="0" applyNumberFormat="1" applyFont="1" applyFill="1" applyBorder="1" applyAlignment="1" applyProtection="1">
      <alignment vertical="center"/>
    </xf>
    <xf numFmtId="176" fontId="55" fillId="5" borderId="61" xfId="0" applyNumberFormat="1" applyFont="1" applyFill="1" applyBorder="1" applyAlignment="1" applyProtection="1">
      <alignment horizontal="center" vertical="center"/>
      <protection locked="0"/>
    </xf>
    <xf numFmtId="176" fontId="55" fillId="6" borderId="41" xfId="0" applyNumberFormat="1" applyFont="1" applyFill="1" applyBorder="1" applyAlignment="1" applyProtection="1">
      <alignment vertical="center"/>
    </xf>
    <xf numFmtId="176" fontId="188" fillId="6" borderId="1" xfId="0" applyNumberFormat="1" applyFont="1" applyFill="1" applyBorder="1" applyAlignment="1" applyProtection="1">
      <alignment horizontal="right" vertical="center" wrapText="1"/>
    </xf>
    <xf numFmtId="176" fontId="55" fillId="6" borderId="1" xfId="0" applyNumberFormat="1" applyFont="1" applyFill="1" applyBorder="1" applyAlignment="1" applyProtection="1">
      <alignment horizontal="center" vertical="center"/>
      <protection locked="0"/>
    </xf>
    <xf numFmtId="176" fontId="120" fillId="6" borderId="15" xfId="0" applyNumberFormat="1" applyFont="1" applyFill="1" applyBorder="1" applyAlignment="1" applyProtection="1">
      <alignment vertical="center"/>
    </xf>
    <xf numFmtId="176" fontId="55" fillId="6" borderId="69" xfId="0" applyNumberFormat="1" applyFont="1" applyFill="1" applyBorder="1" applyAlignment="1" applyProtection="1">
      <alignment vertical="center"/>
    </xf>
    <xf numFmtId="176" fontId="55" fillId="6" borderId="59" xfId="0" applyNumberFormat="1" applyFont="1" applyFill="1" applyBorder="1" applyAlignment="1" applyProtection="1">
      <alignment horizontal="center" vertical="center"/>
    </xf>
    <xf numFmtId="176" fontId="50" fillId="6" borderId="91" xfId="0" applyNumberFormat="1" applyFont="1" applyFill="1" applyBorder="1" applyAlignment="1" applyProtection="1">
      <alignment vertical="center"/>
    </xf>
    <xf numFmtId="176" fontId="50" fillId="6" borderId="119" xfId="0" applyNumberFormat="1" applyFont="1" applyFill="1" applyBorder="1" applyAlignment="1" applyProtection="1">
      <alignment vertical="center" wrapText="1"/>
    </xf>
    <xf numFmtId="176" fontId="55" fillId="0" borderId="78" xfId="0" applyNumberFormat="1" applyFont="1" applyFill="1" applyBorder="1" applyAlignment="1" applyProtection="1">
      <alignment horizontal="center" vertical="center"/>
      <protection locked="0"/>
    </xf>
    <xf numFmtId="176" fontId="50" fillId="6" borderId="78" xfId="0" applyNumberFormat="1" applyFont="1" applyFill="1" applyBorder="1" applyAlignment="1" applyProtection="1">
      <alignment vertical="center"/>
    </xf>
    <xf numFmtId="176" fontId="50" fillId="6" borderId="78" xfId="0" applyNumberFormat="1" applyFont="1" applyFill="1" applyBorder="1" applyAlignment="1" applyProtection="1">
      <alignment horizontal="left" vertical="center"/>
    </xf>
    <xf numFmtId="176" fontId="55" fillId="6" borderId="79" xfId="0" applyNumberFormat="1" applyFont="1" applyFill="1" applyBorder="1" applyAlignment="1" applyProtection="1">
      <alignment horizontal="center" vertical="center"/>
    </xf>
    <xf numFmtId="176" fontId="50" fillId="6" borderId="85" xfId="0" applyNumberFormat="1" applyFont="1" applyFill="1" applyBorder="1" applyAlignment="1" applyProtection="1">
      <alignment vertical="center"/>
    </xf>
    <xf numFmtId="176" fontId="55" fillId="6" borderId="78" xfId="0" applyNumberFormat="1" applyFont="1" applyFill="1" applyBorder="1" applyAlignment="1" applyProtection="1">
      <alignment horizontal="center" vertical="center"/>
    </xf>
    <xf numFmtId="176" fontId="55" fillId="6" borderId="41" xfId="0" applyNumberFormat="1" applyFont="1" applyFill="1" applyBorder="1" applyAlignment="1" applyProtection="1">
      <alignment horizontal="left" vertical="center"/>
    </xf>
    <xf numFmtId="176" fontId="55" fillId="6" borderId="2" xfId="0" applyNumberFormat="1" applyFont="1" applyFill="1" applyBorder="1" applyAlignment="1" applyProtection="1">
      <alignment horizontal="left" vertical="center"/>
    </xf>
    <xf numFmtId="176" fontId="55" fillId="6" borderId="2" xfId="0" applyNumberFormat="1" applyFont="1" applyFill="1" applyBorder="1" applyAlignment="1" applyProtection="1">
      <alignment horizontal="center" vertical="center"/>
    </xf>
    <xf numFmtId="176" fontId="50" fillId="6" borderId="15" xfId="0" applyNumberFormat="1" applyFont="1" applyFill="1" applyBorder="1" applyAlignment="1" applyProtection="1">
      <alignment horizontal="left" vertical="center"/>
    </xf>
    <xf numFmtId="176" fontId="50" fillId="6" borderId="53" xfId="0" applyNumberFormat="1" applyFont="1" applyFill="1" applyBorder="1" applyAlignment="1" applyProtection="1">
      <alignment horizontal="center" vertical="center"/>
    </xf>
    <xf numFmtId="176" fontId="55" fillId="6" borderId="4" xfId="0" applyNumberFormat="1" applyFont="1" applyFill="1" applyBorder="1" applyAlignment="1" applyProtection="1">
      <alignment horizontal="center" vertical="center"/>
    </xf>
    <xf numFmtId="176" fontId="50" fillId="6" borderId="4" xfId="0" applyNumberFormat="1" applyFont="1" applyFill="1" applyBorder="1" applyAlignment="1" applyProtection="1">
      <alignment horizontal="left" vertical="center"/>
    </xf>
    <xf numFmtId="176" fontId="50" fillId="6" borderId="60" xfId="0" applyNumberFormat="1" applyFont="1" applyFill="1" applyBorder="1" applyAlignment="1" applyProtection="1">
      <alignment vertical="center"/>
    </xf>
    <xf numFmtId="176" fontId="50" fillId="6" borderId="71" xfId="0" applyNumberFormat="1" applyFont="1" applyFill="1" applyBorder="1" applyAlignment="1" applyProtection="1">
      <alignment vertical="center"/>
    </xf>
    <xf numFmtId="176" fontId="50" fillId="6" borderId="23" xfId="0" applyNumberFormat="1" applyFont="1" applyFill="1" applyBorder="1" applyAlignment="1" applyProtection="1">
      <alignment horizontal="left" vertical="center"/>
    </xf>
    <xf numFmtId="176" fontId="105" fillId="6" borderId="5" xfId="0" applyNumberFormat="1" applyFont="1" applyFill="1" applyBorder="1" applyAlignment="1" applyProtection="1">
      <alignment horizontal="center" vertical="center"/>
    </xf>
    <xf numFmtId="176" fontId="55" fillId="6" borderId="48" xfId="0" applyNumberFormat="1" applyFont="1" applyFill="1" applyBorder="1" applyAlignment="1" applyProtection="1">
      <alignment horizontal="center" vertical="center"/>
    </xf>
    <xf numFmtId="176" fontId="50" fillId="6" borderId="54" xfId="0" applyNumberFormat="1" applyFont="1" applyFill="1" applyBorder="1" applyAlignment="1" applyProtection="1">
      <alignment vertical="center"/>
    </xf>
    <xf numFmtId="176" fontId="50" fillId="6" borderId="2" xfId="0" applyNumberFormat="1" applyFont="1" applyFill="1" applyBorder="1" applyAlignment="1" applyProtection="1">
      <alignment horizontal="left" vertical="center"/>
    </xf>
    <xf numFmtId="176" fontId="50" fillId="6" borderId="8" xfId="0" applyNumberFormat="1" applyFont="1" applyFill="1" applyBorder="1" applyAlignment="1" applyProtection="1">
      <alignment horizontal="center" vertical="center"/>
    </xf>
    <xf numFmtId="176" fontId="51" fillId="7" borderId="0" xfId="0" applyNumberFormat="1" applyFont="1" applyFill="1" applyAlignment="1" applyProtection="1">
      <alignment vertical="center"/>
    </xf>
    <xf numFmtId="176" fontId="50" fillId="6" borderId="91" xfId="0" applyNumberFormat="1" applyFont="1" applyFill="1" applyBorder="1" applyAlignment="1" applyProtection="1">
      <alignment horizontal="left" vertical="center"/>
    </xf>
    <xf numFmtId="176" fontId="50" fillId="6" borderId="85" xfId="0" applyNumberFormat="1" applyFont="1" applyFill="1" applyBorder="1" applyAlignment="1" applyProtection="1">
      <alignment horizontal="left" vertical="center"/>
    </xf>
    <xf numFmtId="176" fontId="50" fillId="6" borderId="88" xfId="0" applyNumberFormat="1" applyFont="1" applyFill="1" applyBorder="1" applyAlignment="1" applyProtection="1">
      <alignment vertical="center"/>
    </xf>
    <xf numFmtId="176" fontId="50" fillId="6" borderId="90" xfId="0" applyNumberFormat="1" applyFont="1" applyFill="1" applyBorder="1" applyAlignment="1" applyProtection="1">
      <alignment vertical="center"/>
    </xf>
    <xf numFmtId="176" fontId="51" fillId="7" borderId="0" xfId="0" applyNumberFormat="1" applyFont="1" applyFill="1" applyAlignment="1" applyProtection="1">
      <alignment vertical="center"/>
      <protection locked="0"/>
    </xf>
    <xf numFmtId="176" fontId="51" fillId="0" borderId="0" xfId="0" applyNumberFormat="1" applyFont="1" applyFill="1" applyAlignment="1" applyProtection="1">
      <alignment vertical="center"/>
      <protection locked="0"/>
    </xf>
    <xf numFmtId="176" fontId="50" fillId="6" borderId="60" xfId="0" applyNumberFormat="1" applyFont="1" applyFill="1" applyBorder="1" applyAlignment="1" applyProtection="1">
      <alignment horizontal="center" vertical="center"/>
    </xf>
    <xf numFmtId="176" fontId="50" fillId="6" borderId="48" xfId="0" applyNumberFormat="1" applyFont="1" applyFill="1" applyBorder="1" applyAlignment="1" applyProtection="1">
      <alignment horizontal="center" vertical="center"/>
    </xf>
    <xf numFmtId="176" fontId="50" fillId="6" borderId="48" xfId="0" applyNumberFormat="1" applyFont="1" applyFill="1" applyBorder="1" applyAlignment="1" applyProtection="1">
      <alignment horizontal="center" vertical="center" wrapText="1"/>
    </xf>
    <xf numFmtId="176" fontId="50" fillId="6" borderId="54" xfId="0" applyNumberFormat="1" applyFont="1" applyFill="1" applyBorder="1" applyAlignment="1" applyProtection="1">
      <alignment horizontal="center" vertical="center"/>
    </xf>
    <xf numFmtId="176" fontId="50" fillId="2" borderId="1" xfId="0" applyNumberFormat="1" applyFont="1" applyFill="1" applyBorder="1" applyAlignment="1" applyProtection="1">
      <alignment horizontal="left" vertical="center" wrapText="1"/>
      <protection locked="0"/>
    </xf>
    <xf numFmtId="176" fontId="50" fillId="6" borderId="1" xfId="0" applyNumberFormat="1" applyFont="1" applyFill="1" applyBorder="1" applyAlignment="1" applyProtection="1">
      <alignment vertical="center" wrapText="1"/>
    </xf>
    <xf numFmtId="176" fontId="50" fillId="6" borderId="13" xfId="0" applyNumberFormat="1" applyFont="1" applyFill="1" applyBorder="1" applyAlignment="1" applyProtection="1">
      <alignment horizontal="center" vertical="center"/>
    </xf>
    <xf numFmtId="176" fontId="50" fillId="6" borderId="13" xfId="0" applyNumberFormat="1" applyFont="1" applyFill="1" applyBorder="1" applyAlignment="1" applyProtection="1">
      <alignment horizontal="left" vertical="center" wrapText="1"/>
    </xf>
    <xf numFmtId="176" fontId="50" fillId="6" borderId="41" xfId="0" applyNumberFormat="1" applyFont="1" applyFill="1" applyBorder="1" applyAlignment="1" applyProtection="1">
      <alignment vertical="center"/>
    </xf>
    <xf numFmtId="176" fontId="50" fillId="6" borderId="2" xfId="0" applyNumberFormat="1" applyFont="1" applyFill="1" applyBorder="1" applyAlignment="1" applyProtection="1">
      <alignment vertical="center"/>
    </xf>
    <xf numFmtId="176" fontId="50" fillId="6" borderId="1" xfId="0" applyNumberFormat="1" applyFont="1" applyFill="1" applyBorder="1" applyAlignment="1" applyProtection="1">
      <alignment vertical="center"/>
    </xf>
    <xf numFmtId="176" fontId="50" fillId="6" borderId="78" xfId="0" applyNumberFormat="1" applyFont="1" applyFill="1" applyBorder="1" applyAlignment="1" applyProtection="1">
      <alignment horizontal="center" vertical="center"/>
    </xf>
    <xf numFmtId="176" fontId="50" fillId="6" borderId="78" xfId="0" applyNumberFormat="1" applyFont="1" applyFill="1" applyBorder="1" applyAlignment="1" applyProtection="1">
      <alignment horizontal="left" vertical="center" wrapText="1"/>
    </xf>
    <xf numFmtId="176" fontId="55" fillId="6" borderId="2" xfId="0" applyNumberFormat="1" applyFont="1" applyFill="1" applyBorder="1" applyAlignment="1" applyProtection="1">
      <alignment horizontal="left" vertical="center" wrapText="1"/>
    </xf>
    <xf numFmtId="176" fontId="50" fillId="6" borderId="4" xfId="0" applyNumberFormat="1" applyFont="1" applyFill="1" applyBorder="1" applyAlignment="1" applyProtection="1">
      <alignment horizontal="left" vertical="center" wrapText="1"/>
    </xf>
    <xf numFmtId="176" fontId="50" fillId="6" borderId="60" xfId="0" applyNumberFormat="1" applyFont="1" applyFill="1" applyBorder="1" applyAlignment="1" applyProtection="1">
      <alignment horizontal="center" vertical="center" wrapText="1"/>
    </xf>
    <xf numFmtId="176" fontId="50" fillId="6" borderId="71" xfId="0" applyNumberFormat="1" applyFont="1" applyFill="1" applyBorder="1" applyAlignment="1" applyProtection="1">
      <alignment horizontal="center" vertical="center" wrapText="1"/>
    </xf>
    <xf numFmtId="176" fontId="55" fillId="6" borderId="15" xfId="0" applyNumberFormat="1" applyFont="1" applyFill="1" applyBorder="1" applyAlignment="1" applyProtection="1">
      <alignment vertical="center" wrapText="1"/>
    </xf>
    <xf numFmtId="176" fontId="50" fillId="6" borderId="15" xfId="0" applyNumberFormat="1" applyFont="1" applyFill="1" applyBorder="1" applyAlignment="1" applyProtection="1">
      <alignment horizontal="left" vertical="center" wrapText="1"/>
    </xf>
    <xf numFmtId="176" fontId="55" fillId="6" borderId="2" xfId="0" applyNumberFormat="1" applyFont="1" applyFill="1" applyBorder="1" applyAlignment="1" applyProtection="1">
      <alignment vertical="center" wrapText="1"/>
    </xf>
    <xf numFmtId="176" fontId="50" fillId="6" borderId="79" xfId="0" applyNumberFormat="1" applyFont="1" applyFill="1" applyBorder="1" applyAlignment="1" applyProtection="1">
      <alignment horizontal="center" vertical="center"/>
    </xf>
    <xf numFmtId="176" fontId="55" fillId="6" borderId="25" xfId="0" applyNumberFormat="1" applyFont="1" applyFill="1" applyBorder="1" applyAlignment="1" applyProtection="1">
      <alignment horizontal="left" vertical="center"/>
    </xf>
    <xf numFmtId="176" fontId="55" fillId="6" borderId="32" xfId="0" applyNumberFormat="1" applyFont="1" applyFill="1" applyBorder="1" applyAlignment="1" applyProtection="1">
      <alignment horizontal="left" vertical="center"/>
    </xf>
    <xf numFmtId="176" fontId="55" fillId="6" borderId="32" xfId="0" applyNumberFormat="1" applyFont="1" applyFill="1" applyBorder="1" applyAlignment="1" applyProtection="1">
      <alignment horizontal="center" vertical="center"/>
    </xf>
    <xf numFmtId="176" fontId="50" fillId="6" borderId="32" xfId="0" applyNumberFormat="1" applyFont="1" applyFill="1" applyBorder="1" applyAlignment="1" applyProtection="1">
      <alignment vertical="center"/>
    </xf>
    <xf numFmtId="176" fontId="50" fillId="6" borderId="32" xfId="0" applyNumberFormat="1" applyFont="1" applyFill="1" applyBorder="1" applyAlignment="1" applyProtection="1">
      <alignment horizontal="left" vertical="center"/>
    </xf>
    <xf numFmtId="176" fontId="55" fillId="6" borderId="49" xfId="0" applyNumberFormat="1" applyFont="1" applyFill="1" applyBorder="1" applyAlignment="1" applyProtection="1">
      <alignment horizontal="center" vertical="center"/>
    </xf>
    <xf numFmtId="176" fontId="57" fillId="6" borderId="0" xfId="0" applyNumberFormat="1" applyFont="1" applyFill="1" applyBorder="1" applyAlignment="1" applyProtection="1">
      <alignment horizontal="left" vertical="center"/>
    </xf>
    <xf numFmtId="176" fontId="63" fillId="6" borderId="0" xfId="0" applyNumberFormat="1" applyFont="1" applyFill="1" applyBorder="1" applyAlignment="1" applyProtection="1">
      <alignment horizontal="center" vertical="center"/>
    </xf>
    <xf numFmtId="176" fontId="56" fillId="6" borderId="0" xfId="0" applyNumberFormat="1" applyFont="1" applyFill="1" applyBorder="1" applyAlignment="1" applyProtection="1">
      <alignment horizontal="left" vertical="center"/>
    </xf>
    <xf numFmtId="176" fontId="105" fillId="6" borderId="0" xfId="0" applyNumberFormat="1" applyFont="1" applyFill="1" applyAlignment="1" applyProtection="1"/>
    <xf numFmtId="176" fontId="57" fillId="6" borderId="0" xfId="0" applyNumberFormat="1" applyFont="1" applyFill="1" applyBorder="1" applyAlignment="1" applyProtection="1">
      <alignment horizontal="left" vertical="center"/>
      <protection locked="0"/>
    </xf>
    <xf numFmtId="176" fontId="63" fillId="6" borderId="0" xfId="0" applyNumberFormat="1" applyFont="1" applyFill="1" applyBorder="1" applyAlignment="1" applyProtection="1">
      <alignment horizontal="center" vertical="center"/>
      <protection locked="0"/>
    </xf>
    <xf numFmtId="176" fontId="105" fillId="6" borderId="0" xfId="0" applyNumberFormat="1" applyFont="1" applyFill="1" applyAlignment="1" applyProtection="1">
      <alignment horizontal="left"/>
    </xf>
    <xf numFmtId="176" fontId="55" fillId="6" borderId="0" xfId="0" applyNumberFormat="1" applyFont="1" applyFill="1" applyAlignment="1" applyProtection="1">
      <alignment horizontal="left"/>
    </xf>
    <xf numFmtId="176" fontId="55" fillId="6" borderId="0" xfId="0" applyNumberFormat="1" applyFont="1" applyFill="1" applyAlignment="1" applyProtection="1"/>
    <xf numFmtId="176" fontId="50" fillId="6" borderId="7" xfId="0" applyNumberFormat="1" applyFont="1" applyFill="1" applyBorder="1" applyAlignment="1" applyProtection="1">
      <alignment vertical="center"/>
    </xf>
    <xf numFmtId="176" fontId="50" fillId="6" borderId="41" xfId="0" applyNumberFormat="1" applyFont="1" applyFill="1" applyBorder="1" applyAlignment="1" applyProtection="1">
      <alignment horizontal="left" vertical="center"/>
    </xf>
    <xf numFmtId="176" fontId="50" fillId="6" borderId="0" xfId="0" applyNumberFormat="1" applyFont="1" applyFill="1" applyAlignment="1" applyProtection="1">
      <alignment horizontal="left" vertical="center"/>
    </xf>
    <xf numFmtId="176" fontId="56" fillId="6" borderId="0" xfId="0" applyNumberFormat="1" applyFont="1" applyFill="1" applyAlignment="1" applyProtection="1">
      <alignment horizontal="left" vertical="center"/>
    </xf>
    <xf numFmtId="176" fontId="56" fillId="6" borderId="0" xfId="0" applyNumberFormat="1" applyFont="1" applyFill="1" applyAlignment="1" applyProtection="1">
      <alignment vertical="center"/>
    </xf>
    <xf numFmtId="176" fontId="50" fillId="7" borderId="0" xfId="0" applyNumberFormat="1" applyFont="1" applyFill="1" applyAlignment="1" applyProtection="1">
      <protection locked="0"/>
    </xf>
    <xf numFmtId="176" fontId="50" fillId="7" borderId="0" xfId="0" applyNumberFormat="1" applyFont="1" applyFill="1" applyAlignment="1" applyProtection="1">
      <alignment horizontal="center"/>
      <protection locked="0"/>
    </xf>
    <xf numFmtId="176" fontId="56" fillId="7" borderId="0" xfId="0" applyNumberFormat="1" applyFont="1" applyFill="1" applyAlignment="1" applyProtection="1">
      <alignment horizontal="left" vertical="center"/>
      <protection locked="0"/>
    </xf>
    <xf numFmtId="176" fontId="148" fillId="6" borderId="0" xfId="0" applyNumberFormat="1" applyFont="1" applyFill="1" applyAlignment="1" applyProtection="1">
      <alignment vertical="center"/>
    </xf>
    <xf numFmtId="176" fontId="148" fillId="7" borderId="0" xfId="0" applyNumberFormat="1" applyFont="1" applyFill="1" applyAlignment="1" applyProtection="1">
      <protection locked="0"/>
    </xf>
    <xf numFmtId="176" fontId="56" fillId="6" borderId="16" xfId="0" applyNumberFormat="1" applyFont="1" applyFill="1" applyBorder="1" applyAlignment="1" applyProtection="1">
      <alignment horizontal="center" vertical="center"/>
    </xf>
    <xf numFmtId="176" fontId="50" fillId="6" borderId="31" xfId="0" applyNumberFormat="1" applyFont="1" applyFill="1" applyBorder="1" applyAlignment="1" applyProtection="1"/>
    <xf numFmtId="176" fontId="148" fillId="7" borderId="63" xfId="0" applyNumberFormat="1" applyFont="1" applyFill="1" applyBorder="1" applyAlignment="1" applyProtection="1">
      <alignment vertical="center"/>
      <protection locked="0"/>
    </xf>
    <xf numFmtId="176" fontId="56" fillId="7" borderId="64" xfId="0" applyNumberFormat="1" applyFont="1" applyFill="1" applyBorder="1" applyAlignment="1" applyProtection="1">
      <alignment vertical="center"/>
      <protection locked="0"/>
    </xf>
    <xf numFmtId="176" fontId="56" fillId="7" borderId="65" xfId="0" applyNumberFormat="1" applyFont="1" applyFill="1" applyBorder="1" applyAlignment="1" applyProtection="1">
      <alignment horizontal="left" vertical="center"/>
      <protection locked="0"/>
    </xf>
    <xf numFmtId="176" fontId="108" fillId="6" borderId="82" xfId="0" applyNumberFormat="1" applyFont="1" applyFill="1" applyBorder="1" applyAlignment="1" applyProtection="1">
      <alignment horizontal="center" vertical="center"/>
    </xf>
    <xf numFmtId="176" fontId="105" fillId="6" borderId="82" xfId="0" applyNumberFormat="1" applyFont="1" applyFill="1" applyBorder="1" applyAlignment="1" applyProtection="1">
      <alignment vertical="center" wrapText="1"/>
    </xf>
    <xf numFmtId="176" fontId="105" fillId="6" borderId="65" xfId="0" applyNumberFormat="1" applyFont="1" applyFill="1" applyBorder="1" applyAlignment="1" applyProtection="1">
      <alignment vertical="center"/>
    </xf>
    <xf numFmtId="176" fontId="105" fillId="6" borderId="65" xfId="0" applyNumberFormat="1" applyFont="1" applyFill="1" applyBorder="1" applyAlignment="1" applyProtection="1">
      <alignment vertical="center" wrapText="1"/>
    </xf>
    <xf numFmtId="176" fontId="50" fillId="6" borderId="6" xfId="0" applyNumberFormat="1" applyFont="1" applyFill="1" applyBorder="1" applyAlignment="1" applyProtection="1">
      <alignment horizontal="center" vertical="center"/>
      <protection locked="0"/>
    </xf>
    <xf numFmtId="176" fontId="50" fillId="6" borderId="17" xfId="0" applyNumberFormat="1" applyFont="1" applyFill="1" applyBorder="1" applyAlignment="1" applyProtection="1">
      <alignment horizontal="center" vertical="center"/>
      <protection locked="0"/>
    </xf>
    <xf numFmtId="176" fontId="50" fillId="6" borderId="17" xfId="0" applyNumberFormat="1" applyFont="1" applyFill="1" applyBorder="1" applyAlignment="1" applyProtection="1">
      <alignment horizontal="center" vertical="center"/>
    </xf>
    <xf numFmtId="176" fontId="50" fillId="6" borderId="29" xfId="0" applyNumberFormat="1" applyFont="1" applyFill="1" applyBorder="1" applyAlignment="1" applyProtection="1">
      <alignment horizontal="right" vertical="center"/>
      <protection locked="0"/>
    </xf>
    <xf numFmtId="176" fontId="56" fillId="7" borderId="0" xfId="0" applyNumberFormat="1" applyFont="1" applyFill="1" applyBorder="1" applyAlignment="1" applyProtection="1">
      <alignment horizontal="center" vertical="center"/>
      <protection locked="0"/>
    </xf>
    <xf numFmtId="176" fontId="56" fillId="6" borderId="6" xfId="0" applyNumberFormat="1" applyFont="1" applyFill="1" applyBorder="1" applyAlignment="1" applyProtection="1">
      <alignment vertical="center"/>
    </xf>
    <xf numFmtId="176" fontId="56" fillId="5" borderId="10" xfId="0" applyNumberFormat="1" applyFont="1" applyFill="1" applyBorder="1" applyAlignment="1" applyProtection="1">
      <alignment horizontal="center" vertical="center"/>
      <protection locked="0"/>
    </xf>
    <xf numFmtId="176" fontId="56" fillId="6" borderId="6" xfId="0" applyNumberFormat="1" applyFont="1" applyFill="1" applyBorder="1" applyAlignment="1" applyProtection="1">
      <alignment horizontal="left" vertical="center"/>
      <protection locked="0"/>
    </xf>
    <xf numFmtId="176" fontId="56" fillId="6" borderId="10" xfId="0" applyNumberFormat="1" applyFont="1" applyFill="1" applyBorder="1" applyAlignment="1" applyProtection="1">
      <alignment horizontal="center" vertical="center"/>
    </xf>
    <xf numFmtId="176" fontId="56" fillId="6" borderId="0" xfId="0" applyNumberFormat="1" applyFont="1" applyFill="1" applyAlignment="1" applyProtection="1">
      <alignment horizontal="center" vertical="center"/>
    </xf>
    <xf numFmtId="176" fontId="105" fillId="6" borderId="81" xfId="0" applyNumberFormat="1" applyFont="1" applyFill="1" applyBorder="1" applyAlignment="1" applyProtection="1">
      <alignment vertical="center" wrapText="1"/>
    </xf>
    <xf numFmtId="176" fontId="105" fillId="6" borderId="43" xfId="0" applyNumberFormat="1" applyFont="1" applyFill="1" applyBorder="1" applyAlignment="1" applyProtection="1">
      <alignment vertical="center"/>
    </xf>
    <xf numFmtId="176" fontId="105" fillId="6" borderId="43" xfId="0" applyNumberFormat="1" applyFont="1" applyFill="1" applyBorder="1" applyAlignment="1" applyProtection="1">
      <alignment vertical="center" wrapText="1"/>
    </xf>
    <xf numFmtId="176" fontId="50" fillId="6" borderId="18" xfId="0" applyNumberFormat="1" applyFont="1" applyFill="1" applyBorder="1" applyAlignment="1" applyProtection="1">
      <alignment horizontal="center" vertical="center"/>
      <protection locked="0"/>
    </xf>
    <xf numFmtId="176" fontId="50" fillId="6" borderId="5" xfId="0" applyNumberFormat="1" applyFont="1" applyFill="1" applyBorder="1" applyAlignment="1" applyProtection="1">
      <alignment horizontal="center" vertical="center"/>
      <protection locked="0"/>
    </xf>
    <xf numFmtId="176" fontId="50" fillId="6" borderId="5" xfId="0" applyNumberFormat="1" applyFont="1" applyFill="1" applyBorder="1" applyAlignment="1" applyProtection="1">
      <alignment horizontal="right" vertical="center"/>
      <protection locked="0"/>
    </xf>
    <xf numFmtId="176" fontId="50" fillId="6" borderId="48" xfId="0" applyNumberFormat="1" applyFont="1" applyFill="1" applyBorder="1" applyAlignment="1" applyProtection="1">
      <alignment horizontal="center" vertical="center"/>
      <protection locked="0"/>
    </xf>
    <xf numFmtId="176" fontId="57" fillId="7" borderId="0" xfId="0" applyNumberFormat="1" applyFont="1" applyFill="1" applyBorder="1" applyAlignment="1" applyProtection="1">
      <alignment horizontal="left" vertical="center"/>
      <protection locked="0"/>
    </xf>
    <xf numFmtId="176" fontId="56" fillId="6" borderId="23" xfId="0" applyNumberFormat="1" applyFont="1" applyFill="1" applyBorder="1" applyAlignment="1" applyProtection="1">
      <alignment vertical="center"/>
    </xf>
    <xf numFmtId="176" fontId="105" fillId="5" borderId="24" xfId="0" applyNumberFormat="1" applyFont="1" applyFill="1" applyBorder="1" applyAlignment="1" applyProtection="1">
      <alignment horizontal="center"/>
      <protection locked="0"/>
    </xf>
    <xf numFmtId="176" fontId="105" fillId="6" borderId="23" xfId="0" applyNumberFormat="1" applyFont="1" applyFill="1" applyBorder="1" applyAlignment="1" applyProtection="1">
      <alignment horizontal="left"/>
      <protection locked="0"/>
    </xf>
    <xf numFmtId="176" fontId="56" fillId="6" borderId="24" xfId="0" applyNumberFormat="1" applyFont="1" applyFill="1" applyBorder="1" applyAlignment="1" applyProtection="1">
      <alignment horizontal="center" vertical="center"/>
    </xf>
    <xf numFmtId="176" fontId="55" fillId="6" borderId="55" xfId="0" applyNumberFormat="1" applyFont="1" applyFill="1" applyBorder="1" applyAlignment="1" applyProtection="1">
      <alignment horizontal="left" vertical="center"/>
      <protection locked="0"/>
    </xf>
    <xf numFmtId="176" fontId="55" fillId="6" borderId="46" xfId="0" applyNumberFormat="1" applyFont="1" applyFill="1" applyBorder="1" applyAlignment="1" applyProtection="1">
      <alignment vertical="center" wrapText="1"/>
      <protection locked="0"/>
    </xf>
    <xf numFmtId="176" fontId="55" fillId="6" borderId="46" xfId="0" applyNumberFormat="1" applyFont="1" applyFill="1" applyBorder="1" applyAlignment="1" applyProtection="1">
      <alignment horizontal="center" vertical="center"/>
    </xf>
    <xf numFmtId="176" fontId="50" fillId="6" borderId="46" xfId="0" applyNumberFormat="1" applyFont="1" applyFill="1" applyBorder="1" applyAlignment="1" applyProtection="1">
      <alignment vertical="center"/>
      <protection locked="0"/>
    </xf>
    <xf numFmtId="176" fontId="50" fillId="6" borderId="1" xfId="0" applyNumberFormat="1" applyFont="1" applyFill="1" applyBorder="1" applyAlignment="1" applyProtection="1">
      <protection locked="0"/>
    </xf>
    <xf numFmtId="176" fontId="57" fillId="7" borderId="24" xfId="0" applyNumberFormat="1" applyFont="1" applyFill="1" applyBorder="1" applyAlignment="1" applyProtection="1">
      <alignment horizontal="center" vertical="center"/>
      <protection locked="0"/>
    </xf>
    <xf numFmtId="176" fontId="56" fillId="7" borderId="0" xfId="0" applyNumberFormat="1" applyFont="1" applyFill="1" applyBorder="1" applyAlignment="1" applyProtection="1">
      <alignment vertical="center"/>
      <protection locked="0"/>
    </xf>
    <xf numFmtId="176" fontId="56" fillId="7" borderId="24" xfId="0" applyNumberFormat="1" applyFont="1" applyFill="1" applyBorder="1" applyAlignment="1" applyProtection="1">
      <alignment horizontal="center" vertical="center"/>
      <protection locked="0"/>
    </xf>
    <xf numFmtId="176" fontId="56" fillId="0" borderId="24" xfId="0" applyNumberFormat="1" applyFont="1" applyFill="1" applyBorder="1" applyAlignment="1" applyProtection="1">
      <alignment horizontal="center" vertical="center"/>
      <protection locked="0"/>
    </xf>
    <xf numFmtId="176" fontId="105" fillId="6" borderId="81" xfId="0" applyNumberFormat="1" applyFont="1" applyFill="1" applyBorder="1" applyAlignment="1" applyProtection="1">
      <alignment horizontal="right" vertical="center" wrapText="1"/>
    </xf>
    <xf numFmtId="176" fontId="55" fillId="6" borderId="18" xfId="0" applyNumberFormat="1" applyFont="1" applyFill="1" applyBorder="1" applyAlignment="1" applyProtection="1">
      <alignment horizontal="center" vertical="center"/>
      <protection locked="0"/>
    </xf>
    <xf numFmtId="176" fontId="55" fillId="6" borderId="58" xfId="0" applyNumberFormat="1" applyFont="1" applyFill="1" applyBorder="1" applyAlignment="1" applyProtection="1">
      <alignment horizontal="center" vertical="center"/>
    </xf>
    <xf numFmtId="176" fontId="50" fillId="6" borderId="15" xfId="0" applyNumberFormat="1" applyFont="1" applyFill="1" applyBorder="1" applyAlignment="1" applyProtection="1">
      <alignment vertical="center"/>
      <protection locked="0"/>
    </xf>
    <xf numFmtId="176" fontId="50" fillId="6" borderId="7" xfId="0" applyNumberFormat="1" applyFont="1" applyFill="1" applyBorder="1" applyAlignment="1" applyProtection="1">
      <alignment horizontal="left" vertical="center"/>
      <protection locked="0"/>
    </xf>
    <xf numFmtId="176" fontId="55" fillId="6" borderId="8"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xf>
    <xf numFmtId="176" fontId="56" fillId="7" borderId="35" xfId="0" applyNumberFormat="1" applyFont="1" applyFill="1" applyBorder="1" applyAlignment="1" applyProtection="1">
      <alignment vertical="center" wrapText="1"/>
      <protection locked="0"/>
    </xf>
    <xf numFmtId="176" fontId="55" fillId="6" borderId="18" xfId="0" applyNumberFormat="1" applyFont="1" applyFill="1" applyBorder="1" applyAlignment="1" applyProtection="1">
      <alignment horizontal="left" vertical="center"/>
      <protection locked="0"/>
    </xf>
    <xf numFmtId="176" fontId="55" fillId="6" borderId="58" xfId="0" applyNumberFormat="1" applyFont="1" applyFill="1" applyBorder="1" applyAlignment="1" applyProtection="1">
      <alignment horizontal="center" vertical="center"/>
      <protection locked="0"/>
    </xf>
    <xf numFmtId="176" fontId="50" fillId="6" borderId="3" xfId="0" applyNumberFormat="1" applyFont="1" applyFill="1" applyBorder="1" applyAlignment="1" applyProtection="1">
      <alignment horizontal="left" vertical="center"/>
      <protection locked="0"/>
    </xf>
    <xf numFmtId="176" fontId="56" fillId="6" borderId="23" xfId="0" applyNumberFormat="1" applyFont="1" applyFill="1" applyBorder="1" applyAlignment="1" applyProtection="1">
      <alignment horizontal="left" vertical="center"/>
    </xf>
    <xf numFmtId="176" fontId="56" fillId="6" borderId="23" xfId="0" applyNumberFormat="1" applyFont="1" applyFill="1" applyBorder="1" applyAlignment="1" applyProtection="1">
      <alignment vertical="center"/>
      <protection locked="0"/>
    </xf>
    <xf numFmtId="176" fontId="56" fillId="7" borderId="7" xfId="0" applyNumberFormat="1" applyFont="1" applyFill="1" applyBorder="1" applyAlignment="1" applyProtection="1">
      <alignment vertical="center" wrapText="1"/>
      <protection locked="0"/>
    </xf>
    <xf numFmtId="176" fontId="55" fillId="0" borderId="24" xfId="0" applyNumberFormat="1" applyFont="1" applyFill="1" applyBorder="1" applyAlignment="1" applyProtection="1">
      <alignment horizontal="center" vertical="center"/>
      <protection locked="0"/>
    </xf>
    <xf numFmtId="176" fontId="56" fillId="6" borderId="25" xfId="0" applyNumberFormat="1" applyFont="1" applyFill="1" applyBorder="1" applyAlignment="1" applyProtection="1">
      <alignment vertical="center"/>
    </xf>
    <xf numFmtId="176" fontId="56" fillId="0" borderId="49" xfId="0" applyNumberFormat="1" applyFont="1" applyFill="1" applyBorder="1" applyAlignment="1" applyProtection="1">
      <alignment horizontal="center" vertical="center"/>
      <protection locked="0"/>
    </xf>
    <xf numFmtId="176" fontId="55" fillId="6" borderId="22" xfId="0" applyNumberFormat="1" applyFont="1" applyFill="1" applyBorder="1" applyAlignment="1" applyProtection="1">
      <alignment horizontal="left" vertical="center"/>
      <protection locked="0"/>
    </xf>
    <xf numFmtId="176" fontId="56" fillId="6" borderId="26" xfId="0" applyNumberFormat="1" applyFont="1" applyFill="1" applyBorder="1" applyAlignment="1" applyProtection="1">
      <alignment vertical="center" wrapText="1"/>
    </xf>
    <xf numFmtId="176" fontId="56" fillId="6" borderId="84" xfId="0" applyNumberFormat="1" applyFont="1" applyFill="1" applyBorder="1" applyAlignment="1" applyProtection="1">
      <alignment horizontal="center" vertical="center"/>
    </xf>
    <xf numFmtId="176" fontId="55" fillId="6" borderId="41" xfId="0" applyNumberFormat="1" applyFont="1" applyFill="1" applyBorder="1" applyAlignment="1" applyProtection="1">
      <alignment horizontal="left" vertical="center"/>
      <protection locked="0"/>
    </xf>
    <xf numFmtId="176" fontId="50" fillId="6" borderId="36" xfId="0" applyNumberFormat="1" applyFont="1" applyFill="1" applyBorder="1" applyAlignment="1" applyProtection="1">
      <alignment horizontal="left" vertical="center"/>
    </xf>
    <xf numFmtId="176" fontId="56" fillId="6" borderId="48" xfId="0" applyNumberFormat="1" applyFont="1" applyFill="1" applyBorder="1" applyAlignment="1" applyProtection="1">
      <alignment vertical="center"/>
      <protection locked="0"/>
    </xf>
    <xf numFmtId="176" fontId="120" fillId="6" borderId="0" xfId="0" applyNumberFormat="1" applyFont="1" applyFill="1" applyAlignment="1" applyProtection="1">
      <alignment vertical="center"/>
      <protection locked="0"/>
    </xf>
    <xf numFmtId="176" fontId="120" fillId="6" borderId="47" xfId="0" applyNumberFormat="1" applyFont="1" applyFill="1" applyBorder="1" applyAlignment="1" applyProtection="1">
      <alignment vertical="center" wrapText="1"/>
    </xf>
    <xf numFmtId="176" fontId="57" fillId="6" borderId="51" xfId="0" applyNumberFormat="1" applyFont="1" applyFill="1" applyBorder="1" applyAlignment="1" applyProtection="1">
      <alignment horizontal="left" vertical="center" wrapText="1"/>
    </xf>
    <xf numFmtId="176" fontId="56" fillId="6" borderId="9" xfId="0" applyNumberFormat="1" applyFont="1" applyFill="1" applyBorder="1" applyAlignment="1" applyProtection="1">
      <alignment horizontal="center" vertical="center"/>
    </xf>
    <xf numFmtId="176" fontId="57" fillId="6" borderId="16" xfId="0" applyNumberFormat="1" applyFont="1" applyFill="1" applyBorder="1" applyAlignment="1" applyProtection="1">
      <alignment horizontal="center" vertical="center"/>
    </xf>
    <xf numFmtId="176" fontId="56" fillId="5" borderId="21" xfId="0" applyNumberFormat="1" applyFont="1" applyFill="1" applyBorder="1" applyAlignment="1" applyProtection="1">
      <alignment horizontal="center" vertical="center"/>
      <protection locked="0"/>
    </xf>
    <xf numFmtId="176" fontId="55" fillId="6" borderId="23" xfId="0" applyNumberFormat="1" applyFont="1" applyFill="1" applyBorder="1" applyAlignment="1" applyProtection="1">
      <alignment horizontal="left" vertical="center"/>
      <protection locked="0"/>
    </xf>
    <xf numFmtId="176" fontId="55" fillId="6" borderId="1" xfId="0" applyNumberFormat="1" applyFont="1" applyFill="1" applyBorder="1" applyAlignment="1" applyProtection="1">
      <alignment horizontal="left" vertical="center"/>
      <protection locked="0"/>
    </xf>
    <xf numFmtId="176" fontId="57" fillId="6" borderId="1" xfId="0" applyNumberFormat="1" applyFont="1" applyFill="1" applyBorder="1" applyAlignment="1" applyProtection="1">
      <alignment horizontal="center" vertical="center"/>
    </xf>
    <xf numFmtId="176" fontId="56" fillId="6" borderId="1" xfId="0" applyNumberFormat="1" applyFont="1" applyFill="1" applyBorder="1" applyAlignment="1" applyProtection="1">
      <alignment vertical="center"/>
      <protection locked="0"/>
    </xf>
    <xf numFmtId="176" fontId="56" fillId="6" borderId="54" xfId="0" applyNumberFormat="1" applyFont="1" applyFill="1" applyBorder="1" applyAlignment="1" applyProtection="1">
      <alignment vertical="center"/>
      <protection locked="0"/>
    </xf>
    <xf numFmtId="176" fontId="56" fillId="6" borderId="41" xfId="0" applyNumberFormat="1" applyFont="1" applyFill="1" applyBorder="1" applyAlignment="1" applyProtection="1">
      <alignment vertical="center" wrapText="1"/>
    </xf>
    <xf numFmtId="176" fontId="56" fillId="5" borderId="0" xfId="0" applyNumberFormat="1" applyFont="1" applyFill="1" applyBorder="1" applyAlignment="1" applyProtection="1">
      <alignment horizontal="center" vertical="center"/>
      <protection locked="0"/>
    </xf>
    <xf numFmtId="176" fontId="56" fillId="6" borderId="18" xfId="0" applyNumberFormat="1" applyFont="1" applyFill="1" applyBorder="1" applyAlignment="1" applyProtection="1">
      <alignment vertical="center"/>
      <protection locked="0"/>
    </xf>
    <xf numFmtId="176" fontId="50" fillId="6" borderId="1" xfId="0" applyNumberFormat="1" applyFont="1" applyFill="1" applyBorder="1" applyAlignment="1" applyProtection="1">
      <alignment horizontal="left" vertical="center"/>
      <protection locked="0"/>
    </xf>
    <xf numFmtId="176" fontId="56" fillId="6" borderId="1" xfId="0" applyNumberFormat="1" applyFont="1" applyFill="1" applyBorder="1" applyAlignment="1" applyProtection="1">
      <alignment horizontal="center" vertical="center"/>
    </xf>
    <xf numFmtId="176" fontId="56" fillId="6" borderId="4" xfId="0" applyNumberFormat="1" applyFont="1" applyFill="1" applyBorder="1" applyAlignment="1" applyProtection="1">
      <alignment vertical="center"/>
      <protection locked="0"/>
    </xf>
    <xf numFmtId="176" fontId="56" fillId="6" borderId="60" xfId="0" applyNumberFormat="1" applyFont="1" applyFill="1" applyBorder="1" applyAlignment="1" applyProtection="1">
      <alignment vertical="center"/>
      <protection locked="0"/>
    </xf>
    <xf numFmtId="176" fontId="56" fillId="6" borderId="71" xfId="0" applyNumberFormat="1" applyFont="1" applyFill="1" applyBorder="1" applyAlignment="1" applyProtection="1">
      <alignment vertical="center"/>
      <protection locked="0"/>
    </xf>
    <xf numFmtId="176" fontId="56" fillId="6" borderId="23" xfId="0" applyNumberFormat="1" applyFont="1" applyFill="1" applyBorder="1" applyAlignment="1" applyProtection="1">
      <alignment vertical="center" wrapText="1"/>
    </xf>
    <xf numFmtId="176" fontId="56" fillId="6" borderId="5" xfId="0" applyNumberFormat="1" applyFont="1" applyFill="1" applyBorder="1" applyAlignment="1" applyProtection="1">
      <alignment horizontal="center" vertical="center"/>
    </xf>
    <xf numFmtId="176" fontId="55" fillId="6" borderId="23" xfId="0" applyNumberFormat="1" applyFont="1" applyFill="1" applyBorder="1" applyAlignment="1" applyProtection="1">
      <alignment horizontal="left" vertical="center"/>
    </xf>
    <xf numFmtId="176" fontId="50" fillId="6" borderId="5" xfId="0" applyNumberFormat="1" applyFont="1" applyFill="1" applyBorder="1" applyAlignment="1" applyProtection="1">
      <alignment horizontal="left" vertical="center"/>
      <protection locked="0"/>
    </xf>
    <xf numFmtId="176" fontId="50" fillId="6" borderId="54" xfId="0" applyNumberFormat="1" applyFont="1" applyFill="1" applyBorder="1" applyAlignment="1" applyProtection="1">
      <alignment horizontal="center" vertical="center"/>
      <protection locked="0"/>
    </xf>
    <xf numFmtId="176" fontId="50" fillId="6" borderId="5" xfId="0" applyNumberFormat="1" applyFont="1" applyFill="1" applyBorder="1" applyAlignment="1" applyProtection="1">
      <alignment horizontal="left" vertical="center" wrapText="1"/>
      <protection locked="0"/>
    </xf>
    <xf numFmtId="176" fontId="50" fillId="6" borderId="1" xfId="0" applyNumberFormat="1" applyFont="1" applyFill="1" applyBorder="1" applyAlignment="1" applyProtection="1">
      <alignment horizontal="left" vertical="center" wrapText="1"/>
      <protection locked="0"/>
    </xf>
    <xf numFmtId="176" fontId="57" fillId="6" borderId="25" xfId="0" applyNumberFormat="1" applyFont="1" applyFill="1" applyBorder="1" applyAlignment="1" applyProtection="1">
      <alignment horizontal="left" vertical="center"/>
    </xf>
    <xf numFmtId="176" fontId="56" fillId="6" borderId="49" xfId="0" applyNumberFormat="1" applyFont="1" applyFill="1" applyBorder="1" applyAlignment="1" applyProtection="1">
      <alignment horizontal="center" vertical="center"/>
    </xf>
    <xf numFmtId="176" fontId="57" fillId="6" borderId="25" xfId="0" applyNumberFormat="1" applyFont="1" applyFill="1" applyBorder="1" applyAlignment="1" applyProtection="1">
      <alignment horizontal="center" vertical="center"/>
    </xf>
    <xf numFmtId="176" fontId="56" fillId="6" borderId="0" xfId="0" applyNumberFormat="1" applyFont="1" applyFill="1" applyAlignment="1" applyProtection="1">
      <alignment vertical="center"/>
      <protection locked="0"/>
    </xf>
    <xf numFmtId="176" fontId="50" fillId="6" borderId="13" xfId="0" applyNumberFormat="1" applyFont="1" applyFill="1" applyBorder="1" applyAlignment="1" applyProtection="1">
      <alignment vertical="center"/>
      <protection locked="0"/>
    </xf>
    <xf numFmtId="176" fontId="50" fillId="6" borderId="13" xfId="0" applyNumberFormat="1" applyFont="1" applyFill="1" applyBorder="1" applyAlignment="1" applyProtection="1">
      <alignment horizontal="left" vertical="center" wrapText="1"/>
      <protection locked="0"/>
    </xf>
    <xf numFmtId="176" fontId="56" fillId="6" borderId="1" xfId="0" applyNumberFormat="1" applyFont="1" applyFill="1" applyBorder="1" applyAlignment="1"/>
    <xf numFmtId="176" fontId="56" fillId="6" borderId="1" xfId="0" applyNumberFormat="1" applyFont="1" applyFill="1" applyBorder="1" applyAlignment="1">
      <alignment horizontal="center"/>
    </xf>
    <xf numFmtId="176" fontId="56" fillId="6" borderId="1" xfId="0" applyNumberFormat="1" applyFont="1" applyFill="1" applyBorder="1" applyAlignment="1" applyProtection="1">
      <alignment horizontal="center" vertical="center"/>
      <protection locked="0"/>
    </xf>
    <xf numFmtId="176" fontId="50" fillId="6" borderId="2" xfId="0" applyNumberFormat="1" applyFont="1" applyFill="1" applyBorder="1" applyAlignment="1" applyProtection="1">
      <alignment vertical="center"/>
      <protection locked="0"/>
    </xf>
    <xf numFmtId="176" fontId="50" fillId="6" borderId="2" xfId="0" applyNumberFormat="1" applyFont="1" applyFill="1" applyBorder="1" applyAlignment="1" applyProtection="1">
      <alignment horizontal="left" vertical="center" wrapText="1"/>
      <protection locked="0"/>
    </xf>
    <xf numFmtId="176" fontId="55" fillId="6" borderId="1" xfId="0" applyNumberFormat="1" applyFont="1" applyFill="1" applyBorder="1" applyAlignment="1" applyProtection="1">
      <alignment horizontal="left" vertical="center" wrapText="1"/>
      <protection locked="0"/>
    </xf>
    <xf numFmtId="176" fontId="50" fillId="6" borderId="54" xfId="0" applyNumberFormat="1" applyFont="1" applyFill="1" applyBorder="1" applyAlignment="1" applyProtection="1">
      <alignment horizontal="center" vertical="center" wrapText="1"/>
      <protection locked="0"/>
    </xf>
    <xf numFmtId="176" fontId="50" fillId="6" borderId="48" xfId="0" applyNumberFormat="1" applyFont="1" applyFill="1" applyBorder="1" applyAlignment="1" applyProtection="1">
      <alignment horizontal="center" vertical="center" wrapText="1"/>
      <protection locked="0"/>
    </xf>
    <xf numFmtId="176" fontId="55" fillId="6" borderId="11" xfId="0" applyNumberFormat="1" applyFont="1" applyFill="1" applyBorder="1" applyAlignment="1" applyProtection="1">
      <alignment vertical="center"/>
      <protection locked="0"/>
    </xf>
    <xf numFmtId="176" fontId="55" fillId="6" borderId="13" xfId="0" applyNumberFormat="1" applyFont="1" applyFill="1" applyBorder="1" applyAlignment="1" applyProtection="1">
      <alignment vertical="center" wrapText="1"/>
      <protection locked="0"/>
    </xf>
    <xf numFmtId="176" fontId="176" fillId="6" borderId="43" xfId="0" applyNumberFormat="1" applyFont="1" applyFill="1" applyBorder="1" applyAlignment="1" applyProtection="1">
      <alignment vertical="center"/>
    </xf>
    <xf numFmtId="176" fontId="55" fillId="6" borderId="14" xfId="0" applyNumberFormat="1" applyFont="1" applyFill="1" applyBorder="1" applyAlignment="1" applyProtection="1">
      <alignment vertical="center"/>
      <protection locked="0"/>
    </xf>
    <xf numFmtId="176" fontId="55" fillId="6" borderId="15" xfId="0" applyNumberFormat="1" applyFont="1" applyFill="1" applyBorder="1" applyAlignment="1" applyProtection="1">
      <alignment vertical="center" wrapText="1"/>
      <protection locked="0"/>
    </xf>
    <xf numFmtId="176" fontId="50" fillId="6" borderId="15" xfId="0" applyNumberFormat="1" applyFont="1" applyFill="1" applyBorder="1" applyAlignment="1" applyProtection="1">
      <alignment horizontal="left" vertical="center" wrapText="1"/>
      <protection locked="0"/>
    </xf>
    <xf numFmtId="176" fontId="55" fillId="6" borderId="41" xfId="0" applyNumberFormat="1" applyFont="1" applyFill="1" applyBorder="1" applyAlignment="1" applyProtection="1">
      <alignment vertical="center"/>
      <protection locked="0"/>
    </xf>
    <xf numFmtId="176" fontId="55" fillId="6" borderId="2" xfId="0" applyNumberFormat="1" applyFont="1" applyFill="1" applyBorder="1" applyAlignment="1" applyProtection="1">
      <alignment vertical="center" wrapText="1"/>
      <protection locked="0"/>
    </xf>
    <xf numFmtId="176" fontId="55" fillId="6" borderId="25" xfId="0" applyNumberFormat="1" applyFont="1" applyFill="1" applyBorder="1" applyAlignment="1" applyProtection="1">
      <alignment horizontal="left" vertical="center"/>
      <protection locked="0"/>
    </xf>
    <xf numFmtId="176" fontId="55" fillId="6" borderId="32" xfId="0" applyNumberFormat="1" applyFont="1" applyFill="1" applyBorder="1" applyAlignment="1" applyProtection="1">
      <alignment horizontal="left" vertical="center"/>
      <protection locked="0"/>
    </xf>
    <xf numFmtId="176" fontId="50" fillId="6" borderId="32" xfId="0" applyNumberFormat="1" applyFont="1" applyFill="1" applyBorder="1" applyAlignment="1" applyProtection="1">
      <alignment vertical="center"/>
      <protection locked="0"/>
    </xf>
    <xf numFmtId="176" fontId="50" fillId="6" borderId="32" xfId="0" applyNumberFormat="1" applyFont="1" applyFill="1" applyBorder="1" applyAlignment="1" applyProtection="1">
      <alignment horizontal="left" vertical="center"/>
      <protection locked="0"/>
    </xf>
    <xf numFmtId="176" fontId="56" fillId="0" borderId="0" xfId="0" applyNumberFormat="1" applyFont="1" applyFill="1" applyAlignment="1" applyProtection="1">
      <alignment horizontal="left" vertical="center"/>
      <protection locked="0"/>
    </xf>
    <xf numFmtId="176" fontId="50" fillId="6" borderId="1" xfId="0" applyNumberFormat="1" applyFont="1" applyFill="1" applyBorder="1" applyAlignment="1" applyProtection="1"/>
    <xf numFmtId="176" fontId="50" fillId="6" borderId="1" xfId="0" applyNumberFormat="1" applyFont="1" applyFill="1" applyBorder="1" applyAlignment="1" applyProtection="1">
      <alignment horizontal="center"/>
    </xf>
    <xf numFmtId="176" fontId="56" fillId="6" borderId="1" xfId="0" applyNumberFormat="1" applyFont="1" applyFill="1" applyBorder="1" applyAlignment="1" applyProtection="1">
      <alignment horizontal="left"/>
    </xf>
    <xf numFmtId="176" fontId="56" fillId="6" borderId="1" xfId="0" applyNumberFormat="1" applyFont="1" applyFill="1" applyBorder="1" applyAlignment="1" applyProtection="1">
      <alignment horizontal="center"/>
    </xf>
    <xf numFmtId="176" fontId="56" fillId="6" borderId="1" xfId="0" applyNumberFormat="1" applyFont="1" applyFill="1" applyBorder="1" applyAlignment="1" applyProtection="1">
      <alignment vertical="center" wrapText="1"/>
    </xf>
    <xf numFmtId="176" fontId="108" fillId="6" borderId="1" xfId="0" applyNumberFormat="1" applyFont="1" applyFill="1" applyBorder="1" applyAlignment="1" applyProtection="1">
      <alignment horizontal="left"/>
    </xf>
    <xf numFmtId="176" fontId="108" fillId="6" borderId="1" xfId="0" applyNumberFormat="1" applyFont="1" applyFill="1" applyBorder="1" applyAlignment="1" applyProtection="1">
      <alignment horizontal="center"/>
    </xf>
    <xf numFmtId="176" fontId="63" fillId="6" borderId="1" xfId="0" applyNumberFormat="1" applyFont="1" applyFill="1" applyBorder="1" applyAlignment="1" applyProtection="1">
      <alignment horizontal="left"/>
    </xf>
    <xf numFmtId="176" fontId="63" fillId="6" borderId="1" xfId="0" applyNumberFormat="1" applyFont="1" applyFill="1" applyBorder="1" applyAlignment="1" applyProtection="1">
      <alignment horizontal="center"/>
    </xf>
    <xf numFmtId="176" fontId="0" fillId="0" borderId="0" xfId="0" applyNumberFormat="1">
      <alignment vertical="center"/>
    </xf>
    <xf numFmtId="176" fontId="0" fillId="0" borderId="0" xfId="0" applyNumberFormat="1" applyAlignment="1">
      <alignment horizontal="center" vertical="center"/>
    </xf>
    <xf numFmtId="176" fontId="0" fillId="0" borderId="1" xfId="0" applyNumberFormat="1" applyBorder="1" applyAlignment="1">
      <alignment horizontal="center" vertical="center"/>
    </xf>
    <xf numFmtId="176" fontId="0" fillId="0" borderId="1" xfId="13" applyNumberFormat="1" applyFont="1" applyBorder="1" applyAlignment="1">
      <alignment horizontal="center" vertical="center"/>
    </xf>
    <xf numFmtId="176" fontId="80" fillId="14" borderId="1" xfId="0" applyNumberFormat="1" applyFont="1" applyFill="1" applyBorder="1" applyAlignment="1">
      <alignment horizontal="center" vertical="center"/>
    </xf>
    <xf numFmtId="176" fontId="19" fillId="14" borderId="1" xfId="0" applyNumberFormat="1" applyFont="1" applyFill="1" applyBorder="1" applyAlignment="1">
      <alignment horizontal="center" vertical="center"/>
    </xf>
    <xf numFmtId="176" fontId="19" fillId="14" borderId="1" xfId="13" applyNumberFormat="1" applyFont="1" applyFill="1" applyBorder="1" applyAlignment="1">
      <alignment horizontal="center" vertical="center"/>
    </xf>
    <xf numFmtId="176" fontId="80" fillId="14" borderId="1" xfId="13" applyNumberFormat="1" applyFont="1" applyFill="1" applyBorder="1" applyAlignment="1">
      <alignment horizontal="center" vertical="center"/>
    </xf>
    <xf numFmtId="176" fontId="113" fillId="0" borderId="0" xfId="0" applyNumberFormat="1" applyFont="1" applyAlignment="1"/>
    <xf numFmtId="176" fontId="113" fillId="0" borderId="1" xfId="0" applyNumberFormat="1" applyFont="1" applyBorder="1" applyAlignment="1"/>
    <xf numFmtId="176" fontId="113" fillId="0" borderId="1" xfId="0" applyNumberFormat="1" applyFont="1" applyBorder="1" applyAlignment="1">
      <alignment horizontal="center"/>
    </xf>
    <xf numFmtId="176" fontId="113" fillId="0" borderId="1" xfId="13" applyNumberFormat="1" applyFont="1" applyBorder="1" applyAlignment="1"/>
    <xf numFmtId="176" fontId="113" fillId="0" borderId="0" xfId="0" applyNumberFormat="1" applyFont="1" applyAlignment="1">
      <alignment horizontal="center"/>
    </xf>
    <xf numFmtId="176" fontId="113" fillId="0" borderId="0" xfId="13" applyNumberFormat="1" applyFont="1" applyAlignment="1"/>
    <xf numFmtId="176" fontId="172" fillId="6" borderId="1" xfId="12" applyNumberFormat="1" applyFont="1" applyFill="1" applyBorder="1" applyAlignment="1">
      <alignment horizontal="center" vertical="center" wrapText="1"/>
    </xf>
    <xf numFmtId="176" fontId="172" fillId="0" borderId="0" xfId="12" applyNumberFormat="1" applyFont="1" applyBorder="1" applyAlignment="1">
      <alignment horizontal="left" vertical="center" wrapText="1"/>
    </xf>
    <xf numFmtId="176" fontId="171" fillId="0" borderId="0" xfId="12" applyNumberFormat="1" applyBorder="1"/>
    <xf numFmtId="176" fontId="171" fillId="0" borderId="0" xfId="12" applyNumberFormat="1"/>
    <xf numFmtId="176" fontId="172" fillId="13" borderId="1" xfId="12" applyNumberFormat="1" applyFont="1" applyFill="1" applyBorder="1" applyAlignment="1" applyProtection="1">
      <alignment horizontal="center" vertical="center" wrapText="1"/>
      <protection locked="0"/>
    </xf>
    <xf numFmtId="176" fontId="171" fillId="6" borderId="1" xfId="12" applyNumberFormat="1" applyFill="1" applyBorder="1" applyAlignment="1">
      <alignment vertical="center"/>
    </xf>
    <xf numFmtId="176" fontId="172" fillId="6" borderId="13" xfId="12" applyNumberFormat="1" applyFont="1" applyFill="1" applyBorder="1" applyAlignment="1">
      <alignment horizontal="center" vertical="center" wrapText="1"/>
    </xf>
    <xf numFmtId="176" fontId="99" fillId="6" borderId="1" xfId="12" applyNumberFormat="1" applyFont="1" applyFill="1" applyBorder="1"/>
    <xf numFmtId="176" fontId="171" fillId="0" borderId="1" xfId="12" applyNumberFormat="1" applyBorder="1" applyProtection="1">
      <protection locked="0"/>
    </xf>
    <xf numFmtId="176" fontId="172" fillId="0" borderId="1" xfId="12" applyNumberFormat="1" applyFont="1" applyBorder="1" applyAlignment="1" applyProtection="1">
      <alignment horizontal="left" vertical="center" wrapText="1"/>
      <protection locked="0"/>
    </xf>
    <xf numFmtId="176" fontId="105" fillId="6" borderId="13" xfId="0" applyNumberFormat="1" applyFont="1" applyFill="1" applyBorder="1" applyAlignment="1" applyProtection="1">
      <alignment horizontal="center" vertical="center" wrapText="1"/>
    </xf>
    <xf numFmtId="181" fontId="105" fillId="0" borderId="1" xfId="14" applyNumberFormat="1" applyFont="1" applyFill="1" applyBorder="1" applyAlignment="1" applyProtection="1">
      <alignment horizontal="center" vertical="center"/>
      <protection locked="0"/>
    </xf>
    <xf numFmtId="181" fontId="47" fillId="0" borderId="1" xfId="14" applyNumberFormat="1" applyFont="1" applyFill="1" applyBorder="1" applyAlignment="1" applyProtection="1">
      <alignment horizontal="center" vertical="center"/>
      <protection locked="0"/>
    </xf>
    <xf numFmtId="14" fontId="64" fillId="0" borderId="13" xfId="0" applyNumberFormat="1" applyFont="1" applyFill="1" applyBorder="1" applyAlignment="1" applyProtection="1">
      <alignment horizontal="left" vertical="center"/>
      <protection locked="0"/>
    </xf>
    <xf numFmtId="14" fontId="64" fillId="0" borderId="1" xfId="0" applyNumberFormat="1" applyFont="1" applyFill="1" applyBorder="1" applyAlignment="1" applyProtection="1">
      <alignment horizontal="center" vertical="center" shrinkToFit="1"/>
      <protection locked="0"/>
    </xf>
    <xf numFmtId="176" fontId="0" fillId="5" borderId="1" xfId="0" applyNumberFormat="1" applyFill="1" applyBorder="1" applyAlignment="1">
      <alignment horizontal="center" vertical="center"/>
    </xf>
    <xf numFmtId="176" fontId="0" fillId="5" borderId="1" xfId="13" applyNumberFormat="1" applyFont="1" applyFill="1" applyBorder="1" applyAlignment="1">
      <alignment horizontal="center" vertical="center"/>
    </xf>
    <xf numFmtId="176" fontId="0" fillId="7" borderId="1" xfId="0" applyNumberFormat="1" applyFill="1" applyBorder="1" applyAlignment="1">
      <alignment horizontal="center" vertical="center"/>
    </xf>
    <xf numFmtId="176" fontId="0" fillId="5" borderId="0" xfId="0" applyNumberFormat="1" applyFill="1">
      <alignment vertical="center"/>
    </xf>
    <xf numFmtId="49" fontId="0" fillId="0" borderId="0" xfId="0" applyNumberFormat="1">
      <alignment vertical="center"/>
    </xf>
    <xf numFmtId="49" fontId="0" fillId="0" borderId="1" xfId="0" applyNumberFormat="1" applyBorder="1" applyAlignment="1">
      <alignment horizontal="center" vertical="center"/>
    </xf>
    <xf numFmtId="49" fontId="0" fillId="5" borderId="1" xfId="0" applyNumberFormat="1" applyFill="1" applyBorder="1" applyAlignment="1">
      <alignment horizontal="center" vertical="center"/>
    </xf>
    <xf numFmtId="176" fontId="107" fillId="6" borderId="0" xfId="0" applyNumberFormat="1" applyFont="1" applyFill="1" applyAlignment="1" applyProtection="1">
      <alignment horizontal="left" vertical="center"/>
    </xf>
    <xf numFmtId="176" fontId="50" fillId="6" borderId="46" xfId="0" applyNumberFormat="1" applyFont="1" applyFill="1" applyBorder="1" applyAlignment="1" applyProtection="1">
      <alignment horizontal="center" vertical="center" wrapText="1"/>
    </xf>
    <xf numFmtId="176" fontId="50" fillId="3" borderId="5" xfId="0" applyNumberFormat="1" applyFont="1" applyFill="1" applyBorder="1" applyAlignment="1" applyProtection="1">
      <alignment horizontal="center" vertical="center" wrapText="1"/>
      <protection locked="0"/>
    </xf>
    <xf numFmtId="176" fontId="50" fillId="6" borderId="35" xfId="0" applyNumberFormat="1" applyFont="1" applyFill="1" applyBorder="1" applyAlignment="1" applyProtection="1">
      <alignment horizontal="center" vertical="center" wrapText="1"/>
    </xf>
    <xf numFmtId="176" fontId="47" fillId="0" borderId="0" xfId="0" applyNumberFormat="1" applyFont="1" applyFill="1" applyAlignment="1" applyProtection="1">
      <alignment horizontal="center" vertical="center" wrapText="1"/>
    </xf>
    <xf numFmtId="176" fontId="52" fillId="0" borderId="0" xfId="0" applyNumberFormat="1" applyFont="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50" fillId="6" borderId="0" xfId="0" applyNumberFormat="1" applyFont="1" applyFill="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center" vertical="center" wrapText="1"/>
    </xf>
    <xf numFmtId="0" fontId="50" fillId="6" borderId="36" xfId="0" applyNumberFormat="1" applyFont="1" applyFill="1" applyBorder="1" applyAlignment="1" applyProtection="1">
      <alignment horizontal="center" vertical="center" wrapText="1"/>
    </xf>
    <xf numFmtId="0" fontId="50" fillId="6" borderId="54" xfId="0" applyNumberFormat="1" applyFont="1" applyFill="1" applyBorder="1" applyAlignment="1" applyProtection="1">
      <alignment horizontal="center" vertical="center"/>
    </xf>
    <xf numFmtId="0" fontId="50" fillId="6" borderId="60" xfId="0" applyNumberFormat="1" applyFont="1" applyFill="1" applyBorder="1" applyAlignment="1" applyProtection="1">
      <alignment horizontal="center" vertical="center"/>
    </xf>
    <xf numFmtId="0" fontId="50" fillId="6" borderId="7" xfId="0" applyNumberFormat="1" applyFont="1" applyFill="1" applyBorder="1" applyAlignment="1" applyProtection="1">
      <alignment horizontal="center" vertical="center"/>
    </xf>
    <xf numFmtId="0" fontId="50" fillId="6" borderId="2" xfId="0" applyNumberFormat="1" applyFont="1" applyFill="1" applyBorder="1" applyAlignment="1" applyProtection="1">
      <alignment horizontal="center" vertical="center"/>
    </xf>
    <xf numFmtId="0" fontId="50" fillId="6" borderId="3"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47" fillId="0" borderId="0" xfId="0" applyNumberFormat="1" applyFont="1" applyFill="1" applyAlignment="1" applyProtection="1">
      <alignment horizontal="center" vertical="center" wrapText="1"/>
    </xf>
    <xf numFmtId="0" fontId="52" fillId="0" borderId="0" xfId="0" applyNumberFormat="1" applyFont="1" applyAlignment="1" applyProtection="1">
      <alignment horizontal="center" vertical="center" wrapText="1"/>
    </xf>
    <xf numFmtId="0" fontId="47" fillId="0" borderId="0" xfId="0" applyNumberFormat="1" applyFont="1" applyAlignment="1" applyProtection="1">
      <alignment horizontal="center" vertical="center" wrapText="1"/>
    </xf>
    <xf numFmtId="0" fontId="50" fillId="6" borderId="10" xfId="0" applyNumberFormat="1" applyFont="1" applyFill="1" applyBorder="1" applyAlignment="1" applyProtection="1">
      <alignment horizontal="center" vertical="center" wrapText="1"/>
    </xf>
    <xf numFmtId="0" fontId="50" fillId="6" borderId="24" xfId="0" applyNumberFormat="1" applyFont="1" applyFill="1" applyBorder="1" applyAlignment="1" applyProtection="1">
      <alignment horizontal="center" vertical="center" wrapText="1"/>
    </xf>
    <xf numFmtId="0" fontId="50" fillId="6" borderId="59" xfId="0" applyNumberFormat="1" applyFont="1" applyFill="1" applyBorder="1" applyAlignment="1" applyProtection="1">
      <alignment horizontal="center" vertical="center" wrapText="1"/>
    </xf>
    <xf numFmtId="0" fontId="50" fillId="6" borderId="48" xfId="0" applyNumberFormat="1" applyFont="1" applyFill="1" applyBorder="1" applyAlignment="1" applyProtection="1">
      <alignment horizontal="center" vertical="center"/>
    </xf>
    <xf numFmtId="0" fontId="50" fillId="6" borderId="5" xfId="0" applyNumberFormat="1" applyFont="1" applyFill="1" applyBorder="1" applyAlignment="1" applyProtection="1">
      <alignment horizontal="center" vertical="center"/>
    </xf>
    <xf numFmtId="0" fontId="50" fillId="6" borderId="8" xfId="0" applyNumberFormat="1" applyFont="1" applyFill="1" applyBorder="1" applyAlignment="1" applyProtection="1">
      <alignment horizontal="center" vertical="center"/>
    </xf>
    <xf numFmtId="0" fontId="50" fillId="6" borderId="13" xfId="0" applyNumberFormat="1" applyFont="1" applyFill="1" applyBorder="1" applyAlignment="1" applyProtection="1">
      <alignment horizontal="center" vertical="center"/>
    </xf>
    <xf numFmtId="0" fontId="50" fillId="6" borderId="61" xfId="0" applyNumberFormat="1"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wrapText="1"/>
    </xf>
    <xf numFmtId="0" fontId="80" fillId="0" borderId="1" xfId="0" applyNumberFormat="1" applyFont="1" applyBorder="1" applyAlignment="1" applyProtection="1">
      <alignment horizontal="left" vertical="center"/>
      <protection locked="0"/>
    </xf>
    <xf numFmtId="49" fontId="0" fillId="0" borderId="0" xfId="0" applyNumberFormat="1" applyAlignment="1">
      <alignment horizontal="center" vertical="center"/>
    </xf>
    <xf numFmtId="176" fontId="0" fillId="0" borderId="0" xfId="13" applyNumberFormat="1" applyFont="1" applyAlignment="1">
      <alignment horizontal="center" vertical="center"/>
    </xf>
    <xf numFmtId="49" fontId="0" fillId="7" borderId="1" xfId="0" applyNumberFormat="1" applyFill="1" applyBorder="1" applyAlignment="1">
      <alignment horizontal="center" vertical="center"/>
    </xf>
    <xf numFmtId="176" fontId="0" fillId="7" borderId="1" xfId="13" applyNumberFormat="1" applyFont="1" applyFill="1" applyBorder="1" applyAlignment="1">
      <alignment horizontal="center" vertical="center"/>
    </xf>
    <xf numFmtId="49" fontId="0" fillId="5" borderId="0" xfId="0" applyNumberFormat="1" applyFill="1">
      <alignment vertical="center"/>
    </xf>
    <xf numFmtId="49" fontId="99" fillId="0" borderId="1" xfId="0" applyNumberFormat="1" applyFont="1" applyBorder="1" applyAlignment="1">
      <alignment horizontal="center" vertical="center"/>
    </xf>
    <xf numFmtId="176" fontId="99" fillId="0" borderId="1" xfId="0" applyNumberFormat="1" applyFont="1" applyBorder="1" applyAlignment="1">
      <alignment horizontal="center" vertical="center"/>
    </xf>
    <xf numFmtId="9" fontId="47" fillId="0" borderId="1" xfId="14" applyFont="1" applyBorder="1" applyAlignment="1" applyProtection="1">
      <alignment vertical="center"/>
      <protection locked="0"/>
    </xf>
    <xf numFmtId="9" fontId="47" fillId="8" borderId="1" xfId="14" applyFont="1" applyFill="1" applyBorder="1" applyAlignment="1" applyProtection="1">
      <alignment vertical="center"/>
      <protection locked="0"/>
    </xf>
    <xf numFmtId="10" fontId="47" fillId="0" borderId="1" xfId="14" applyNumberFormat="1" applyFont="1" applyBorder="1" applyAlignment="1" applyProtection="1">
      <alignment horizontal="center" vertical="center"/>
      <protection locked="0"/>
    </xf>
    <xf numFmtId="185" fontId="104" fillId="6" borderId="9" xfId="0" applyNumberFormat="1" applyFont="1" applyFill="1" applyBorder="1" applyAlignment="1" applyProtection="1">
      <alignment horizontal="center" vertical="center"/>
    </xf>
    <xf numFmtId="185" fontId="104" fillId="6" borderId="10" xfId="0" applyNumberFormat="1" applyFont="1" applyFill="1" applyBorder="1" applyAlignment="1" applyProtection="1">
      <alignment horizontal="center" vertical="center"/>
    </xf>
    <xf numFmtId="185" fontId="104" fillId="6" borderId="1" xfId="0" applyNumberFormat="1" applyFont="1" applyFill="1" applyBorder="1" applyAlignment="1" applyProtection="1">
      <alignment horizontal="center" vertical="center"/>
    </xf>
    <xf numFmtId="185" fontId="104" fillId="6" borderId="24" xfId="0" applyNumberFormat="1" applyFont="1" applyFill="1" applyBorder="1" applyAlignment="1" applyProtection="1">
      <alignment horizontal="center" vertical="center"/>
    </xf>
    <xf numFmtId="185" fontId="47" fillId="6" borderId="32" xfId="0" applyNumberFormat="1" applyFont="1" applyFill="1" applyBorder="1" applyAlignment="1" applyProtection="1">
      <alignment horizontal="center" vertical="center"/>
    </xf>
    <xf numFmtId="185" fontId="47" fillId="6" borderId="49" xfId="0" applyNumberFormat="1" applyFont="1" applyFill="1" applyBorder="1" applyAlignment="1" applyProtection="1">
      <alignment horizontal="center" vertical="center"/>
    </xf>
    <xf numFmtId="176" fontId="104" fillId="6" borderId="6" xfId="0" applyNumberFormat="1" applyFont="1" applyFill="1" applyBorder="1" applyAlignment="1" applyProtection="1">
      <alignment horizontal="center" vertical="center"/>
    </xf>
    <xf numFmtId="185" fontId="104" fillId="6" borderId="6" xfId="0" applyNumberFormat="1" applyFont="1" applyFill="1" applyBorder="1" applyAlignment="1" applyProtection="1">
      <alignment horizontal="center" vertical="center"/>
    </xf>
    <xf numFmtId="185" fontId="104" fillId="6" borderId="23" xfId="0" applyNumberFormat="1" applyFont="1" applyFill="1" applyBorder="1" applyAlignment="1" applyProtection="1">
      <alignment horizontal="center" vertical="center"/>
    </xf>
    <xf numFmtId="185" fontId="47" fillId="6" borderId="25" xfId="0" applyNumberFormat="1" applyFont="1" applyFill="1" applyBorder="1" applyAlignment="1" applyProtection="1">
      <alignment horizontal="center" vertical="center"/>
    </xf>
    <xf numFmtId="185" fontId="47" fillId="6" borderId="28" xfId="0" applyNumberFormat="1" applyFont="1" applyFill="1" applyBorder="1" applyAlignment="1" applyProtection="1">
      <alignment horizontal="right" vertical="center"/>
    </xf>
    <xf numFmtId="185" fontId="47" fillId="6" borderId="5" xfId="0" applyNumberFormat="1" applyFont="1" applyFill="1" applyBorder="1" applyAlignment="1" applyProtection="1">
      <alignment horizontal="right" vertical="center"/>
    </xf>
    <xf numFmtId="185" fontId="47" fillId="6" borderId="33" xfId="0" applyNumberFormat="1" applyFont="1" applyFill="1" applyBorder="1" applyAlignment="1" applyProtection="1">
      <alignment horizontal="right" vertical="center"/>
    </xf>
    <xf numFmtId="49" fontId="50" fillId="6" borderId="9" xfId="0" applyNumberFormat="1" applyFont="1" applyFill="1" applyBorder="1" applyAlignment="1" applyProtection="1">
      <alignment horizontal="center" vertical="center" wrapText="1"/>
    </xf>
    <xf numFmtId="49" fontId="105" fillId="0" borderId="1" xfId="0" applyNumberFormat="1" applyFont="1" applyFill="1" applyBorder="1" applyAlignment="1" applyProtection="1">
      <alignment horizontal="center" vertical="center" wrapText="1"/>
      <protection locked="0"/>
    </xf>
    <xf numFmtId="49" fontId="105" fillId="0" borderId="13" xfId="0" applyNumberFormat="1" applyFont="1" applyFill="1" applyBorder="1" applyAlignment="1" applyProtection="1">
      <alignment horizontal="center" vertical="center" wrapText="1"/>
      <protection locked="0"/>
    </xf>
    <xf numFmtId="49" fontId="105" fillId="0" borderId="111" xfId="0" applyNumberFormat="1" applyFont="1" applyFill="1" applyBorder="1" applyAlignment="1" applyProtection="1">
      <alignment horizontal="center" vertical="center" wrapText="1"/>
      <protection locked="0"/>
    </xf>
    <xf numFmtId="49" fontId="105" fillId="6" borderId="99" xfId="0" applyNumberFormat="1" applyFont="1" applyFill="1" applyBorder="1" applyAlignment="1" applyProtection="1">
      <alignment horizontal="center" vertical="center" wrapText="1"/>
    </xf>
    <xf numFmtId="49" fontId="105" fillId="0" borderId="15" xfId="0" applyNumberFormat="1" applyFont="1" applyFill="1" applyBorder="1" applyAlignment="1" applyProtection="1">
      <alignment horizontal="center" vertical="center" wrapText="1"/>
      <protection locked="0"/>
    </xf>
    <xf numFmtId="49" fontId="105" fillId="6" borderId="13" xfId="0" applyNumberFormat="1" applyFont="1" applyFill="1" applyBorder="1" applyAlignment="1" applyProtection="1">
      <alignment horizontal="center" vertical="center" wrapText="1"/>
    </xf>
    <xf numFmtId="49" fontId="50" fillId="0" borderId="118" xfId="0" applyNumberFormat="1" applyFont="1" applyFill="1" applyBorder="1" applyAlignment="1" applyProtection="1">
      <alignment horizontal="center" vertical="center" wrapText="1"/>
      <protection locked="0"/>
    </xf>
    <xf numFmtId="49" fontId="56" fillId="6" borderId="99" xfId="0" applyNumberFormat="1" applyFont="1" applyFill="1" applyBorder="1" applyAlignment="1" applyProtection="1">
      <alignment horizontal="center" vertical="center" wrapText="1"/>
    </xf>
    <xf numFmtId="49" fontId="56" fillId="0" borderId="99" xfId="0" applyNumberFormat="1" applyFont="1" applyFill="1" applyBorder="1" applyAlignment="1" applyProtection="1">
      <alignment horizontal="center" vertical="center" wrapText="1"/>
      <protection locked="0"/>
    </xf>
    <xf numFmtId="49" fontId="56" fillId="0" borderId="13" xfId="0" applyNumberFormat="1" applyFont="1" applyFill="1" applyBorder="1" applyAlignment="1" applyProtection="1">
      <alignment horizontal="center" vertical="center" wrapText="1"/>
      <protection locked="0"/>
    </xf>
    <xf numFmtId="49" fontId="50" fillId="10" borderId="17" xfId="0" applyNumberFormat="1" applyFont="1" applyFill="1" applyBorder="1" applyAlignment="1" applyProtection="1">
      <alignment horizontal="center" vertical="center" wrapText="1"/>
      <protection locked="0"/>
    </xf>
    <xf numFmtId="49" fontId="56" fillId="10" borderId="32" xfId="0" applyNumberFormat="1" applyFont="1" applyFill="1" applyBorder="1" applyAlignment="1" applyProtection="1">
      <alignment horizontal="center" vertical="center" wrapText="1"/>
      <protection locked="0"/>
    </xf>
    <xf numFmtId="49" fontId="50" fillId="6" borderId="0" xfId="0" applyNumberFormat="1" applyFont="1" applyFill="1" applyAlignment="1" applyProtection="1">
      <alignment horizontal="center" vertical="center"/>
      <protection locked="0"/>
    </xf>
    <xf numFmtId="49" fontId="50" fillId="6" borderId="1" xfId="0" applyNumberFormat="1" applyFont="1" applyFill="1" applyBorder="1" applyAlignment="1" applyProtection="1">
      <alignment horizontal="center" vertical="center" wrapText="1"/>
    </xf>
    <xf numFmtId="49" fontId="63" fillId="2" borderId="1" xfId="0" applyNumberFormat="1" applyFont="1" applyFill="1" applyBorder="1" applyAlignment="1" applyProtection="1">
      <alignment horizontal="center" vertical="center"/>
      <protection locked="0"/>
    </xf>
    <xf numFmtId="49" fontId="50" fillId="0" borderId="0" xfId="0" applyNumberFormat="1" applyFont="1" applyAlignment="1" applyProtection="1">
      <alignment horizontal="center" vertical="center"/>
      <protection locked="0"/>
    </xf>
    <xf numFmtId="49" fontId="55" fillId="6" borderId="96" xfId="0" applyNumberFormat="1" applyFont="1" applyFill="1" applyBorder="1" applyAlignment="1" applyProtection="1">
      <alignment horizontal="center" vertical="center" wrapText="1"/>
    </xf>
    <xf numFmtId="49" fontId="50" fillId="10" borderId="16" xfId="0" applyNumberFormat="1" applyFont="1" applyFill="1" applyBorder="1" applyAlignment="1" applyProtection="1">
      <alignment horizontal="center" vertical="center" wrapText="1"/>
    </xf>
    <xf numFmtId="49" fontId="50" fillId="10" borderId="6" xfId="0" applyNumberFormat="1" applyFont="1" applyFill="1" applyBorder="1" applyAlignment="1" applyProtection="1">
      <alignment horizontal="center" vertical="center" wrapText="1"/>
      <protection locked="0"/>
    </xf>
    <xf numFmtId="49" fontId="50" fillId="10" borderId="9" xfId="0" applyNumberFormat="1" applyFont="1" applyFill="1" applyBorder="1" applyAlignment="1" applyProtection="1">
      <alignment horizontal="center" vertical="center" wrapText="1"/>
      <protection locked="0"/>
    </xf>
    <xf numFmtId="49" fontId="50" fillId="10" borderId="9" xfId="0" applyNumberFormat="1" applyFont="1" applyFill="1" applyBorder="1" applyAlignment="1" applyProtection="1">
      <alignment horizontal="left" vertical="center" wrapText="1"/>
      <protection locked="0"/>
    </xf>
    <xf numFmtId="49" fontId="50" fillId="10" borderId="28" xfId="0" applyNumberFormat="1" applyFont="1" applyFill="1" applyBorder="1" applyAlignment="1" applyProtection="1">
      <alignment horizontal="center" vertical="center" wrapText="1"/>
      <protection locked="0"/>
    </xf>
    <xf numFmtId="49" fontId="50" fillId="10" borderId="29" xfId="0" applyNumberFormat="1" applyFont="1" applyFill="1" applyBorder="1" applyAlignment="1" applyProtection="1">
      <alignment horizontal="center" vertical="center"/>
      <protection locked="0"/>
    </xf>
    <xf numFmtId="49" fontId="50" fillId="10" borderId="17" xfId="0" applyNumberFormat="1" applyFont="1" applyFill="1" applyBorder="1" applyAlignment="1" applyProtection="1">
      <alignment horizontal="center" vertical="center"/>
      <protection locked="0"/>
    </xf>
    <xf numFmtId="49" fontId="50" fillId="10" borderId="31" xfId="0" applyNumberFormat="1" applyFont="1" applyFill="1" applyBorder="1" applyAlignment="1" applyProtection="1">
      <alignment horizontal="center" vertical="center"/>
      <protection locked="0"/>
    </xf>
    <xf numFmtId="49" fontId="56" fillId="7" borderId="0" xfId="0" applyNumberFormat="1" applyFont="1" applyFill="1" applyAlignment="1" applyProtection="1">
      <alignment horizontal="center" vertical="center"/>
      <protection locked="0"/>
    </xf>
    <xf numFmtId="49" fontId="56" fillId="0" borderId="0" xfId="0" applyNumberFormat="1" applyFont="1" applyFill="1" applyAlignment="1" applyProtection="1">
      <alignment horizontal="center" vertical="center"/>
      <protection locked="0"/>
    </xf>
    <xf numFmtId="185" fontId="50" fillId="6" borderId="15" xfId="0" applyNumberFormat="1" applyFont="1" applyFill="1" applyBorder="1" applyAlignment="1" applyProtection="1">
      <alignment horizontal="center" vertical="center"/>
    </xf>
    <xf numFmtId="185" fontId="55" fillId="6" borderId="22" xfId="0" applyNumberFormat="1" applyFont="1" applyFill="1" applyBorder="1" applyAlignment="1" applyProtection="1">
      <alignment horizontal="center" vertical="center"/>
    </xf>
    <xf numFmtId="185" fontId="55" fillId="6" borderId="0" xfId="0" applyNumberFormat="1" applyFont="1" applyFill="1" applyBorder="1" applyAlignment="1" applyProtection="1">
      <alignment horizontal="center" vertical="center"/>
    </xf>
    <xf numFmtId="185" fontId="55" fillId="6" borderId="15" xfId="0" applyNumberFormat="1" applyFont="1" applyFill="1" applyBorder="1" applyAlignment="1" applyProtection="1">
      <alignment horizontal="center" vertical="center"/>
    </xf>
    <xf numFmtId="185" fontId="55" fillId="6" borderId="1" xfId="0" applyNumberFormat="1" applyFont="1" applyFill="1" applyBorder="1" applyAlignment="1" applyProtection="1">
      <alignment horizontal="center" vertical="center"/>
    </xf>
    <xf numFmtId="185" fontId="55" fillId="6" borderId="1" xfId="0" applyNumberFormat="1" applyFont="1" applyFill="1" applyBorder="1" applyAlignment="1" applyProtection="1">
      <alignment horizontal="center" vertical="center"/>
      <protection locked="0"/>
    </xf>
    <xf numFmtId="185" fontId="55" fillId="0" borderId="78" xfId="0" applyNumberFormat="1" applyFont="1" applyFill="1" applyBorder="1" applyAlignment="1" applyProtection="1">
      <alignment horizontal="center" vertical="center"/>
      <protection locked="0"/>
    </xf>
    <xf numFmtId="185" fontId="55" fillId="6" borderId="2" xfId="0" applyNumberFormat="1" applyFont="1" applyFill="1" applyBorder="1" applyAlignment="1" applyProtection="1">
      <alignment horizontal="center" vertical="center"/>
    </xf>
    <xf numFmtId="185" fontId="55" fillId="6" borderId="13" xfId="0" applyNumberFormat="1" applyFont="1" applyFill="1" applyBorder="1" applyAlignment="1" applyProtection="1">
      <alignment horizontal="center" vertical="center"/>
    </xf>
    <xf numFmtId="185" fontId="55" fillId="6" borderId="32" xfId="0" applyNumberFormat="1" applyFont="1" applyFill="1" applyBorder="1" applyAlignment="1" applyProtection="1">
      <alignment horizontal="center" vertical="center"/>
    </xf>
    <xf numFmtId="9" fontId="56" fillId="0" borderId="49" xfId="14" applyFont="1" applyFill="1" applyBorder="1" applyAlignment="1" applyProtection="1">
      <alignment horizontal="center" vertical="center"/>
      <protection locked="0"/>
    </xf>
    <xf numFmtId="181" fontId="56" fillId="0" borderId="49" xfId="14" applyNumberFormat="1" applyFont="1" applyFill="1" applyBorder="1" applyAlignment="1" applyProtection="1">
      <alignment horizontal="center" vertical="center"/>
      <protection locked="0"/>
    </xf>
    <xf numFmtId="10" fontId="50" fillId="6" borderId="53" xfId="14" applyNumberFormat="1" applyFont="1" applyFill="1" applyBorder="1" applyAlignment="1" applyProtection="1">
      <alignment horizontal="center" vertical="center"/>
    </xf>
    <xf numFmtId="10" fontId="55" fillId="6" borderId="61" xfId="14" applyNumberFormat="1" applyFont="1" applyFill="1" applyBorder="1" applyAlignment="1" applyProtection="1">
      <alignment horizontal="center" vertical="center"/>
    </xf>
    <xf numFmtId="10" fontId="55" fillId="6" borderId="24" xfId="14" applyNumberFormat="1" applyFont="1" applyFill="1" applyBorder="1" applyAlignment="1" applyProtection="1">
      <alignment horizontal="center" vertical="center"/>
    </xf>
    <xf numFmtId="10" fontId="50" fillId="6" borderId="8" xfId="14" applyNumberFormat="1" applyFont="1" applyFill="1" applyBorder="1" applyAlignment="1" applyProtection="1">
      <alignment horizontal="center" vertical="center"/>
    </xf>
    <xf numFmtId="10" fontId="50" fillId="6" borderId="24" xfId="14" applyNumberFormat="1" applyFont="1" applyFill="1" applyBorder="1" applyAlignment="1" applyProtection="1">
      <alignment horizontal="center" vertical="center"/>
    </xf>
    <xf numFmtId="0" fontId="0" fillId="0" borderId="1" xfId="0" applyNumberFormat="1" applyBorder="1" applyAlignment="1">
      <alignment horizontal="center" vertical="center"/>
    </xf>
    <xf numFmtId="0" fontId="99" fillId="0" borderId="0" xfId="0" applyNumberFormat="1" applyFont="1" applyAlignment="1">
      <alignment horizontal="center" vertical="center"/>
    </xf>
    <xf numFmtId="49" fontId="99" fillId="0" borderId="23" xfId="0" applyNumberFormat="1" applyFont="1" applyBorder="1" applyAlignment="1">
      <alignment horizontal="center" vertical="center"/>
    </xf>
    <xf numFmtId="0" fontId="0" fillId="0" borderId="24" xfId="0" applyNumberFormat="1" applyBorder="1" applyAlignment="1">
      <alignment horizontal="center" vertical="center"/>
    </xf>
    <xf numFmtId="49" fontId="100" fillId="0" borderId="25" xfId="0" applyNumberFormat="1" applyFont="1" applyBorder="1" applyAlignment="1">
      <alignment horizontal="center" vertical="center"/>
    </xf>
    <xf numFmtId="176" fontId="100" fillId="0" borderId="32" xfId="0" applyNumberFormat="1" applyFont="1" applyBorder="1" applyAlignment="1">
      <alignment horizontal="center" vertical="center"/>
    </xf>
    <xf numFmtId="0" fontId="100" fillId="0" borderId="49" xfId="0" applyNumberFormat="1" applyFont="1" applyBorder="1" applyAlignment="1">
      <alignment horizontal="center" vertical="center"/>
    </xf>
    <xf numFmtId="49" fontId="100" fillId="0" borderId="6" xfId="0" applyNumberFormat="1" applyFont="1" applyBorder="1" applyAlignment="1">
      <alignment horizontal="center" vertical="center"/>
    </xf>
    <xf numFmtId="176" fontId="100" fillId="0" borderId="9" xfId="0" applyNumberFormat="1" applyFont="1" applyBorder="1" applyAlignment="1">
      <alignment horizontal="center" vertical="center"/>
    </xf>
    <xf numFmtId="176" fontId="100" fillId="0" borderId="10" xfId="0" applyNumberFormat="1" applyFont="1" applyBorder="1" applyAlignment="1">
      <alignment horizontal="center" vertical="center"/>
    </xf>
    <xf numFmtId="185" fontId="0" fillId="0" borderId="1" xfId="0" applyNumberFormat="1" applyBorder="1" applyAlignment="1">
      <alignment horizontal="center" vertical="center"/>
    </xf>
    <xf numFmtId="185" fontId="100" fillId="0" borderId="32" xfId="0" applyNumberFormat="1" applyFont="1" applyBorder="1" applyAlignment="1">
      <alignment horizontal="center" vertical="center"/>
    </xf>
    <xf numFmtId="185" fontId="0" fillId="0" borderId="0" xfId="0" applyNumberFormat="1" applyBorder="1" applyAlignment="1">
      <alignment horizontal="center" vertical="center" wrapText="1"/>
    </xf>
    <xf numFmtId="176" fontId="50" fillId="6" borderId="1" xfId="0" applyNumberFormat="1" applyFont="1" applyFill="1" applyBorder="1" applyAlignment="1" applyProtection="1">
      <alignment horizontal="center" vertical="center"/>
      <protection locked="0"/>
    </xf>
    <xf numFmtId="176" fontId="50" fillId="9" borderId="1" xfId="0" applyNumberFormat="1" applyFont="1" applyFill="1" applyBorder="1" applyAlignment="1" applyProtection="1">
      <alignment horizontal="center" vertical="center" wrapText="1"/>
      <protection locked="0"/>
    </xf>
    <xf numFmtId="176" fontId="48" fillId="6" borderId="1" xfId="0" applyNumberFormat="1" applyFont="1" applyFill="1" applyBorder="1" applyAlignment="1" applyProtection="1">
      <alignment horizontal="center" vertical="center" wrapText="1"/>
      <protection locked="0"/>
    </xf>
    <xf numFmtId="176" fontId="190" fillId="6" borderId="1" xfId="0" applyNumberFormat="1" applyFont="1" applyFill="1" applyBorder="1" applyAlignment="1" applyProtection="1">
      <alignment horizontal="center" vertical="center" wrapText="1"/>
      <protection locked="0"/>
    </xf>
    <xf numFmtId="14" fontId="47" fillId="6" borderId="26" xfId="0" applyNumberFormat="1" applyFont="1" applyFill="1" applyBorder="1" applyAlignment="1" applyProtection="1">
      <alignment horizontal="center" vertical="center" wrapText="1"/>
    </xf>
    <xf numFmtId="14" fontId="47" fillId="0" borderId="70" xfId="0" applyNumberFormat="1" applyFont="1" applyFill="1" applyBorder="1" applyAlignment="1" applyProtection="1">
      <alignment horizontal="center" vertical="center" wrapText="1"/>
      <protection locked="0"/>
    </xf>
    <xf numFmtId="176" fontId="137" fillId="2" borderId="41" xfId="0" applyNumberFormat="1" applyFont="1" applyFill="1" applyBorder="1" applyAlignment="1" applyProtection="1">
      <alignment horizontal="center" vertical="center" wrapText="1"/>
      <protection locked="0"/>
    </xf>
    <xf numFmtId="176" fontId="0" fillId="0" borderId="0" xfId="0" applyNumberFormat="1" applyBorder="1" applyAlignment="1">
      <alignment horizontal="center" vertical="center" wrapText="1"/>
    </xf>
    <xf numFmtId="10" fontId="50" fillId="0" borderId="5" xfId="0" applyNumberFormat="1" applyFont="1" applyFill="1" applyBorder="1" applyAlignment="1" applyProtection="1">
      <alignment horizontal="center" vertical="center"/>
      <protection locked="0"/>
    </xf>
    <xf numFmtId="10" fontId="47" fillId="0" borderId="5" xfId="0" applyNumberFormat="1" applyFont="1" applyFill="1" applyBorder="1" applyAlignment="1" applyProtection="1">
      <alignment horizontal="center" vertical="center"/>
      <protection locked="0"/>
    </xf>
    <xf numFmtId="10" fontId="50" fillId="0" borderId="10" xfId="0" applyNumberFormat="1" applyFont="1" applyFill="1" applyBorder="1" applyAlignment="1" applyProtection="1">
      <alignment horizontal="center" vertical="center"/>
      <protection locked="0"/>
    </xf>
    <xf numFmtId="10" fontId="50" fillId="0" borderId="24" xfId="0" applyNumberFormat="1" applyFont="1" applyFill="1" applyBorder="1" applyAlignment="1" applyProtection="1">
      <alignment horizontal="center" vertical="center"/>
      <protection locked="0"/>
    </xf>
    <xf numFmtId="10" fontId="50" fillId="0" borderId="49" xfId="0" applyNumberFormat="1" applyFont="1" applyFill="1" applyBorder="1" applyAlignment="1" applyProtection="1">
      <alignment horizontal="center" vertical="center"/>
      <protection locked="0"/>
    </xf>
    <xf numFmtId="10" fontId="50" fillId="0" borderId="8" xfId="0" applyNumberFormat="1" applyFont="1" applyFill="1" applyBorder="1" applyAlignment="1" applyProtection="1">
      <alignment horizontal="center" vertical="center"/>
      <protection locked="0"/>
    </xf>
    <xf numFmtId="10" fontId="50" fillId="6" borderId="61" xfId="0" applyNumberFormat="1" applyFont="1" applyFill="1" applyBorder="1" applyAlignment="1" applyProtection="1">
      <alignment horizontal="center" vertical="center"/>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0"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81" fontId="47" fillId="8" borderId="1" xfId="14" applyNumberFormat="1" applyFont="1" applyFill="1" applyBorder="1" applyAlignment="1" applyProtection="1">
      <alignment vertical="center"/>
      <protection locked="0"/>
    </xf>
    <xf numFmtId="193" fontId="19" fillId="14" borderId="1" xfId="13" applyNumberFormat="1" applyFont="1" applyFill="1" applyBorder="1" applyAlignment="1">
      <alignment horizontal="center" vertical="center"/>
    </xf>
    <xf numFmtId="193" fontId="113" fillId="0" borderId="1" xfId="0" applyNumberFormat="1" applyFont="1" applyBorder="1" applyAlignment="1"/>
    <xf numFmtId="193" fontId="113" fillId="0" borderId="0" xfId="0" applyNumberFormat="1" applyFont="1" applyAlignment="1"/>
    <xf numFmtId="0" fontId="80" fillId="14" borderId="1" xfId="0" applyNumberFormat="1" applyFont="1" applyFill="1" applyBorder="1" applyAlignment="1">
      <alignment horizontal="center" vertical="center"/>
    </xf>
    <xf numFmtId="0" fontId="113" fillId="0" borderId="1" xfId="0" applyNumberFormat="1" applyFont="1" applyBorder="1" applyAlignment="1">
      <alignment horizontal="center"/>
    </xf>
    <xf numFmtId="0" fontId="113" fillId="0" borderId="0" xfId="0" applyNumberFormat="1" applyFont="1" applyAlignment="1">
      <alignment horizontal="center"/>
    </xf>
    <xf numFmtId="190" fontId="261" fillId="0" borderId="1" xfId="0" applyFont="1" applyBorder="1" applyAlignment="1"/>
    <xf numFmtId="0" fontId="261" fillId="0" borderId="1" xfId="0" applyNumberFormat="1" applyFont="1" applyBorder="1" applyAlignment="1">
      <alignment horizontal="center"/>
    </xf>
    <xf numFmtId="190" fontId="261" fillId="0" borderId="1" xfId="0" applyFont="1" applyBorder="1" applyAlignment="1">
      <alignment horizontal="center"/>
    </xf>
    <xf numFmtId="176" fontId="261" fillId="0" borderId="1" xfId="0" applyNumberFormat="1" applyFont="1" applyBorder="1" applyAlignment="1">
      <alignment horizontal="center"/>
    </xf>
    <xf numFmtId="43" fontId="261" fillId="0" borderId="1" xfId="13" applyFont="1" applyBorder="1" applyAlignment="1"/>
    <xf numFmtId="193" fontId="261" fillId="0" borderId="1" xfId="0" applyNumberFormat="1" applyFont="1" applyBorder="1" applyAlignment="1"/>
    <xf numFmtId="190" fontId="261" fillId="0" borderId="0" xfId="0" applyFont="1" applyAlignment="1"/>
    <xf numFmtId="14" fontId="47" fillId="6" borderId="30" xfId="0" applyNumberFormat="1" applyFont="1" applyFill="1" applyBorder="1" applyAlignment="1" applyProtection="1">
      <alignment horizontal="center" vertical="center" wrapText="1"/>
    </xf>
    <xf numFmtId="14" fontId="47" fillId="6" borderId="9" xfId="0" applyNumberFormat="1" applyFont="1" applyFill="1" applyBorder="1" applyAlignment="1" applyProtection="1">
      <alignment horizontal="center" vertical="center" wrapText="1"/>
    </xf>
    <xf numFmtId="14" fontId="47" fillId="6" borderId="67" xfId="0" applyNumberFormat="1" applyFont="1" applyFill="1" applyBorder="1" applyAlignment="1" applyProtection="1">
      <alignment horizontal="center" vertical="center"/>
    </xf>
    <xf numFmtId="14" fontId="50" fillId="6" borderId="1" xfId="0" applyNumberFormat="1" applyFont="1" applyFill="1" applyBorder="1" applyAlignment="1" applyProtection="1">
      <alignment horizontal="center" vertical="center"/>
    </xf>
    <xf numFmtId="10" fontId="50" fillId="0" borderId="1" xfId="1" applyNumberFormat="1" applyFont="1" applyFill="1" applyBorder="1" applyAlignment="1" applyProtection="1">
      <alignment horizontal="center" vertical="center"/>
      <protection locked="0"/>
    </xf>
    <xf numFmtId="176" fontId="263" fillId="0" borderId="1" xfId="0" applyNumberFormat="1" applyFont="1" applyFill="1" applyBorder="1" applyAlignment="1">
      <alignment horizontal="center" vertical="center" wrapText="1"/>
    </xf>
    <xf numFmtId="176" fontId="113" fillId="0" borderId="1" xfId="0" applyNumberFormat="1" applyFont="1" applyFill="1" applyBorder="1" applyAlignment="1">
      <alignment horizontal="center" vertical="center" wrapText="1"/>
    </xf>
    <xf numFmtId="176" fontId="263" fillId="0" borderId="1" xfId="0" applyNumberFormat="1" applyFont="1" applyFill="1" applyBorder="1" applyAlignment="1">
      <alignment horizontal="center" vertical="center"/>
    </xf>
    <xf numFmtId="176" fontId="264" fillId="0" borderId="1" xfId="0" applyNumberFormat="1" applyFont="1" applyFill="1" applyBorder="1" applyAlignment="1">
      <alignment horizontal="center" vertical="center" wrapText="1"/>
    </xf>
    <xf numFmtId="176" fontId="101" fillId="0" borderId="1" xfId="0" applyNumberFormat="1" applyFont="1" applyBorder="1" applyAlignment="1">
      <alignment horizontal="center" vertical="center"/>
    </xf>
    <xf numFmtId="176" fontId="265" fillId="0" borderId="1" xfId="0" applyNumberFormat="1" applyFont="1" applyBorder="1" applyAlignment="1">
      <alignment horizontal="center" vertical="center"/>
    </xf>
    <xf numFmtId="176" fontId="264" fillId="0" borderId="1" xfId="0" applyNumberFormat="1" applyFont="1" applyFill="1" applyBorder="1" applyAlignment="1">
      <alignment horizontal="center" vertical="center"/>
    </xf>
    <xf numFmtId="176" fontId="100" fillId="0" borderId="1" xfId="0" applyNumberFormat="1" applyFont="1" applyBorder="1">
      <alignment vertical="center"/>
    </xf>
    <xf numFmtId="0" fontId="263" fillId="0" borderId="1" xfId="0" applyNumberFormat="1" applyFont="1" applyFill="1" applyBorder="1" applyAlignment="1">
      <alignment horizontal="center" vertical="center" wrapText="1"/>
    </xf>
    <xf numFmtId="0" fontId="100" fillId="0" borderId="1" xfId="0" applyNumberFormat="1" applyFont="1" applyBorder="1">
      <alignment vertical="center"/>
    </xf>
    <xf numFmtId="0" fontId="0" fillId="0" borderId="0" xfId="0" applyNumberFormat="1">
      <alignment vertical="center"/>
    </xf>
    <xf numFmtId="0" fontId="263" fillId="0" borderId="1" xfId="0" applyNumberFormat="1" applyFont="1" applyFill="1" applyBorder="1" applyAlignment="1">
      <alignment horizontal="center" vertical="center"/>
    </xf>
    <xf numFmtId="0" fontId="264" fillId="0" borderId="1" xfId="0" applyNumberFormat="1" applyFont="1" applyFill="1" applyBorder="1" applyAlignment="1">
      <alignment horizontal="center" vertical="center" wrapText="1"/>
    </xf>
    <xf numFmtId="0" fontId="101" fillId="0" borderId="1" xfId="0" applyNumberFormat="1" applyFont="1" applyBorder="1" applyAlignment="1">
      <alignment horizontal="center" vertical="center"/>
    </xf>
    <xf numFmtId="0" fontId="264" fillId="0" borderId="1" xfId="0" applyNumberFormat="1" applyFont="1" applyFill="1" applyBorder="1" applyAlignment="1">
      <alignment horizontal="center" vertical="center"/>
    </xf>
    <xf numFmtId="188" fontId="0" fillId="0" borderId="0" xfId="0" applyNumberFormat="1">
      <alignment vertical="center"/>
    </xf>
    <xf numFmtId="185" fontId="0" fillId="0" borderId="0" xfId="0" applyNumberFormat="1">
      <alignment vertical="center"/>
    </xf>
    <xf numFmtId="185" fontId="113" fillId="0" borderId="1" xfId="0" applyNumberFormat="1" applyFont="1" applyFill="1" applyBorder="1" applyAlignment="1">
      <alignment horizontal="center" vertical="center" wrapText="1"/>
    </xf>
    <xf numFmtId="0" fontId="50" fillId="6" borderId="24" xfId="0" applyNumberFormat="1" applyFont="1" applyFill="1" applyBorder="1" applyAlignment="1" applyProtection="1">
      <alignment horizontal="center" vertical="center"/>
    </xf>
    <xf numFmtId="0" fontId="55" fillId="6" borderId="41" xfId="0" applyNumberFormat="1" applyFont="1" applyFill="1" applyBorder="1" applyAlignment="1" applyProtection="1">
      <alignment horizontal="left" vertical="center"/>
    </xf>
    <xf numFmtId="0" fontId="50" fillId="6" borderId="23" xfId="0" applyNumberFormat="1" applyFont="1" applyFill="1" applyBorder="1" applyAlignment="1" applyProtection="1">
      <alignment horizontal="left" vertical="center"/>
    </xf>
    <xf numFmtId="0" fontId="50" fillId="6" borderId="91" xfId="0" applyNumberFormat="1" applyFont="1" applyFill="1" applyBorder="1" applyAlignment="1" applyProtection="1">
      <alignment horizontal="left" vertical="center"/>
    </xf>
    <xf numFmtId="0" fontId="55" fillId="6" borderId="2" xfId="0" applyNumberFormat="1" applyFont="1" applyFill="1" applyBorder="1" applyAlignment="1" applyProtection="1">
      <alignment horizontal="center" vertical="center"/>
    </xf>
    <xf numFmtId="0" fontId="50" fillId="6" borderId="78" xfId="0" applyNumberFormat="1" applyFont="1" applyFill="1" applyBorder="1" applyAlignment="1" applyProtection="1">
      <alignment horizontal="center" vertical="center"/>
    </xf>
    <xf numFmtId="0" fontId="105" fillId="6" borderId="5" xfId="0" applyNumberFormat="1" applyFont="1" applyFill="1" applyBorder="1" applyAlignment="1" applyProtection="1">
      <alignment horizontal="center" vertical="center"/>
    </xf>
    <xf numFmtId="0" fontId="55" fillId="6" borderId="24" xfId="14" applyNumberFormat="1" applyFont="1" applyFill="1" applyBorder="1" applyAlignment="1" applyProtection="1">
      <alignment horizontal="center" vertical="center"/>
    </xf>
    <xf numFmtId="0" fontId="55" fillId="6" borderId="79" xfId="14" applyNumberFormat="1" applyFont="1" applyFill="1" applyBorder="1" applyAlignment="1" applyProtection="1">
      <alignment horizontal="center" vertical="center"/>
    </xf>
    <xf numFmtId="0" fontId="0" fillId="5" borderId="1" xfId="0" applyNumberFormat="1" applyFill="1" applyBorder="1" applyAlignment="1">
      <alignment horizontal="center" vertical="center"/>
    </xf>
    <xf numFmtId="0" fontId="101" fillId="5" borderId="1" xfId="0" applyNumberFormat="1" applyFont="1" applyFill="1" applyBorder="1" applyAlignment="1">
      <alignment horizontal="center" vertical="center"/>
    </xf>
    <xf numFmtId="176" fontId="101" fillId="5" borderId="1" xfId="0" applyNumberFormat="1" applyFont="1" applyFill="1" applyBorder="1" applyAlignment="1">
      <alignment horizontal="center" vertical="center"/>
    </xf>
    <xf numFmtId="176" fontId="99" fillId="5" borderId="1" xfId="0" applyNumberFormat="1" applyFont="1" applyFill="1" applyBorder="1" applyAlignment="1">
      <alignment horizontal="center" vertical="center"/>
    </xf>
    <xf numFmtId="185" fontId="0" fillId="5" borderId="0" xfId="0" applyNumberFormat="1" applyFill="1">
      <alignment vertical="center"/>
    </xf>
    <xf numFmtId="0" fontId="263" fillId="0" borderId="1" xfId="15" applyFont="1" applyFill="1" applyBorder="1" applyAlignment="1">
      <alignment horizontal="center" vertical="center" wrapText="1"/>
    </xf>
    <xf numFmtId="0" fontId="263" fillId="0" borderId="1" xfId="15" applyFont="1" applyFill="1" applyBorder="1" applyAlignment="1">
      <alignment horizontal="center" vertical="center"/>
    </xf>
    <xf numFmtId="0" fontId="99" fillId="0" borderId="1" xfId="15" applyFont="1" applyBorder="1" applyAlignment="1">
      <alignment horizontal="center" vertical="center"/>
    </xf>
    <xf numFmtId="0" fontId="113" fillId="0" borderId="1" xfId="15" applyFont="1" applyFill="1" applyBorder="1" applyAlignment="1">
      <alignment horizontal="center" vertical="center" wrapText="1"/>
    </xf>
    <xf numFmtId="0" fontId="265" fillId="0" borderId="1" xfId="15" applyFont="1" applyBorder="1" applyAlignment="1">
      <alignment horizontal="center" vertical="center"/>
    </xf>
    <xf numFmtId="0" fontId="100" fillId="0" borderId="1" xfId="15" applyFont="1" applyBorder="1">
      <alignment vertical="center"/>
    </xf>
    <xf numFmtId="0" fontId="113" fillId="0" borderId="1" xfId="15" applyFont="1" applyFill="1" applyBorder="1" applyAlignment="1">
      <alignment horizontal="center" vertical="center"/>
    </xf>
    <xf numFmtId="185" fontId="113" fillId="0" borderId="1" xfId="15" applyNumberFormat="1" applyFont="1" applyFill="1" applyBorder="1" applyAlignment="1">
      <alignment horizontal="center" vertical="center" wrapText="1"/>
    </xf>
    <xf numFmtId="179" fontId="113" fillId="0" borderId="1" xfId="15" applyNumberFormat="1" applyFont="1" applyFill="1" applyBorder="1" applyAlignment="1">
      <alignment horizontal="center" vertical="center" wrapText="1"/>
    </xf>
    <xf numFmtId="0" fontId="99" fillId="7" borderId="1" xfId="15" applyFill="1" applyBorder="1" applyAlignment="1">
      <alignment horizontal="center" vertical="center"/>
    </xf>
    <xf numFmtId="0" fontId="99" fillId="7" borderId="1" xfId="15" applyFont="1" applyFill="1" applyBorder="1" applyAlignment="1">
      <alignment horizontal="center" vertical="center"/>
    </xf>
    <xf numFmtId="0" fontId="113" fillId="7" borderId="1" xfId="15" applyFont="1" applyFill="1" applyBorder="1" applyAlignment="1">
      <alignment horizontal="center" vertical="center"/>
    </xf>
    <xf numFmtId="0" fontId="113" fillId="7" borderId="1" xfId="15" applyFont="1" applyFill="1" applyBorder="1" applyAlignment="1">
      <alignment horizontal="center" vertical="center" wrapText="1"/>
    </xf>
    <xf numFmtId="185" fontId="113" fillId="7" borderId="1" xfId="15" applyNumberFormat="1" applyFont="1" applyFill="1" applyBorder="1" applyAlignment="1">
      <alignment horizontal="center" vertical="center" wrapText="1"/>
    </xf>
    <xf numFmtId="179" fontId="113" fillId="7" borderId="1" xfId="15" applyNumberFormat="1" applyFont="1" applyFill="1" applyBorder="1" applyAlignment="1">
      <alignment horizontal="center" vertical="center" wrapText="1"/>
    </xf>
    <xf numFmtId="0" fontId="263" fillId="7" borderId="1" xfId="15" applyFont="1" applyFill="1" applyBorder="1" applyAlignment="1">
      <alignment horizontal="center" vertical="center"/>
    </xf>
    <xf numFmtId="0" fontId="263" fillId="7" borderId="1" xfId="15" applyFont="1" applyFill="1" applyBorder="1" applyAlignment="1">
      <alignment horizontal="center" vertical="center" wrapText="1"/>
    </xf>
    <xf numFmtId="0" fontId="100" fillId="7" borderId="1" xfId="15" applyFont="1" applyFill="1" applyBorder="1">
      <alignment vertical="center"/>
    </xf>
    <xf numFmtId="0" fontId="99" fillId="0" borderId="1" xfId="15" applyBorder="1" applyAlignment="1">
      <alignment horizontal="center" vertical="center"/>
    </xf>
    <xf numFmtId="0" fontId="99" fillId="0" borderId="1" xfId="0" applyNumberFormat="1" applyFont="1" applyBorder="1" applyAlignment="1">
      <alignment horizontal="center" vertical="center" wrapText="1"/>
    </xf>
    <xf numFmtId="0" fontId="0" fillId="0" borderId="1" xfId="0" applyNumberFormat="1" applyBorder="1" applyAlignment="1">
      <alignment horizontal="center" vertical="center" wrapText="1"/>
    </xf>
    <xf numFmtId="0" fontId="263" fillId="5" borderId="1" xfId="0" applyNumberFormat="1" applyFont="1" applyFill="1" applyBorder="1" applyAlignment="1">
      <alignment horizontal="center" vertical="center"/>
    </xf>
    <xf numFmtId="176" fontId="263" fillId="5" borderId="1" xfId="0" applyNumberFormat="1" applyFont="1" applyFill="1" applyBorder="1" applyAlignment="1">
      <alignment horizontal="center" vertical="center"/>
    </xf>
    <xf numFmtId="190" fontId="99" fillId="5" borderId="0" xfId="0" applyFont="1" applyFill="1">
      <alignment vertical="center"/>
    </xf>
    <xf numFmtId="177" fontId="0" fillId="0" borderId="0" xfId="0" applyNumberFormat="1">
      <alignment vertical="center"/>
    </xf>
    <xf numFmtId="177" fontId="263" fillId="0" borderId="1" xfId="15" applyNumberFormat="1" applyFont="1" applyFill="1" applyBorder="1" applyAlignment="1">
      <alignment horizontal="center" vertical="center" wrapText="1"/>
    </xf>
    <xf numFmtId="176" fontId="263" fillId="0" borderId="1" xfId="15" applyNumberFormat="1" applyFont="1" applyFill="1" applyBorder="1" applyAlignment="1">
      <alignment horizontal="center" vertical="center" wrapText="1"/>
    </xf>
    <xf numFmtId="177" fontId="0" fillId="0" borderId="1" xfId="0" applyNumberFormat="1" applyBorder="1">
      <alignment vertical="center"/>
    </xf>
    <xf numFmtId="176" fontId="0" fillId="0" borderId="1" xfId="0" applyNumberFormat="1" applyBorder="1">
      <alignment vertical="center"/>
    </xf>
    <xf numFmtId="185" fontId="100" fillId="0" borderId="1" xfId="15" applyNumberFormat="1" applyFont="1" applyBorder="1">
      <alignment vertical="center"/>
    </xf>
    <xf numFmtId="177" fontId="100" fillId="0" borderId="1" xfId="15" applyNumberFormat="1" applyFont="1" applyBorder="1">
      <alignment vertical="center"/>
    </xf>
    <xf numFmtId="0" fontId="63" fillId="0" borderId="1" xfId="0" applyNumberFormat="1" applyFont="1" applyBorder="1" applyAlignment="1" applyProtection="1">
      <alignment horizontal="center" vertical="center"/>
      <protection locked="0"/>
    </xf>
    <xf numFmtId="0" fontId="63"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190" fontId="204" fillId="0" borderId="0" xfId="5" applyFont="1" applyAlignment="1" applyProtection="1">
      <alignment horizontal="left" vertical="top" wrapText="1"/>
    </xf>
    <xf numFmtId="190" fontId="48" fillId="0" borderId="13" xfId="7" applyFont="1" applyFill="1" applyBorder="1" applyAlignment="1" applyProtection="1">
      <alignment horizontal="left" vertical="center" wrapText="1"/>
    </xf>
    <xf numFmtId="190" fontId="48" fillId="0" borderId="15" xfId="7" applyFont="1" applyFill="1" applyBorder="1" applyAlignment="1" applyProtection="1">
      <alignment horizontal="left" vertical="center" wrapText="1"/>
    </xf>
    <xf numFmtId="190" fontId="48" fillId="0" borderId="77" xfId="7" applyFont="1" applyFill="1" applyBorder="1" applyAlignment="1" applyProtection="1">
      <alignment horizontal="left" vertical="center" wrapText="1"/>
    </xf>
    <xf numFmtId="190" fontId="214" fillId="0" borderId="87" xfId="7" applyFont="1" applyBorder="1" applyAlignment="1" applyProtection="1">
      <alignment horizontal="center" vertical="center"/>
    </xf>
    <xf numFmtId="190" fontId="139" fillId="0" borderId="0" xfId="7" applyFont="1" applyAlignment="1" applyProtection="1">
      <alignment horizontal="left" vertical="center" wrapText="1"/>
    </xf>
    <xf numFmtId="190" fontId="214" fillId="0" borderId="0" xfId="7" applyFont="1" applyAlignment="1" applyProtection="1">
      <alignment horizontal="center" vertical="center"/>
    </xf>
    <xf numFmtId="190" fontId="48" fillId="0" borderId="2" xfId="7" applyFont="1" applyFill="1" applyBorder="1" applyAlignment="1" applyProtection="1">
      <alignment horizontal="left" vertical="center" wrapText="1"/>
    </xf>
    <xf numFmtId="190" fontId="48" fillId="0" borderId="13" xfId="7" applyFont="1" applyFill="1" applyBorder="1" applyAlignment="1" applyProtection="1">
      <alignment vertical="center" wrapText="1"/>
    </xf>
    <xf numFmtId="190" fontId="48" fillId="0" borderId="15" xfId="7" applyFont="1" applyFill="1" applyBorder="1" applyAlignment="1" applyProtection="1">
      <alignment vertical="center" wrapText="1"/>
    </xf>
    <xf numFmtId="190" fontId="48" fillId="0" borderId="2" xfId="7" applyFont="1" applyFill="1" applyBorder="1" applyAlignment="1" applyProtection="1">
      <alignment vertical="center" wrapText="1"/>
    </xf>
    <xf numFmtId="190" fontId="223" fillId="0" borderId="0" xfId="0" applyFont="1" applyFill="1" applyBorder="1" applyAlignment="1" applyProtection="1">
      <alignment horizontal="center" vertical="center"/>
    </xf>
    <xf numFmtId="190" fontId="64" fillId="0" borderId="44" xfId="0" applyFont="1" applyFill="1" applyBorder="1" applyAlignment="1" applyProtection="1">
      <alignment horizontal="center" vertical="center" wrapText="1"/>
    </xf>
    <xf numFmtId="190" fontId="64" fillId="0" borderId="1" xfId="0" applyFont="1" applyFill="1" applyBorder="1" applyAlignment="1" applyProtection="1">
      <alignment horizontal="center" vertical="center" wrapText="1"/>
    </xf>
    <xf numFmtId="190" fontId="64" fillId="0" borderId="1" xfId="0" applyNumberFormat="1" applyFont="1" applyFill="1" applyBorder="1" applyAlignment="1" applyProtection="1">
      <alignment horizontal="center" vertical="center" wrapText="1"/>
    </xf>
    <xf numFmtId="190" fontId="48" fillId="0" borderId="1" xfId="0" applyFont="1" applyFill="1" applyBorder="1" applyAlignment="1" applyProtection="1">
      <alignment horizontal="center" vertical="center" wrapText="1"/>
    </xf>
    <xf numFmtId="190" fontId="64" fillId="0" borderId="5" xfId="0" applyNumberFormat="1" applyFont="1" applyFill="1" applyBorder="1" applyAlignment="1" applyProtection="1">
      <alignment horizontal="center" vertical="center" wrapText="1"/>
    </xf>
    <xf numFmtId="190" fontId="64" fillId="0" borderId="54" xfId="0" applyNumberFormat="1" applyFont="1" applyFill="1" applyBorder="1" applyAlignment="1" applyProtection="1">
      <alignment horizontal="center" vertical="center" wrapText="1"/>
    </xf>
    <xf numFmtId="190" fontId="64" fillId="0" borderId="3" xfId="0" applyNumberFormat="1" applyFont="1" applyFill="1" applyBorder="1" applyAlignment="1" applyProtection="1">
      <alignment horizontal="center" vertical="center" wrapText="1"/>
    </xf>
    <xf numFmtId="190" fontId="64" fillId="0" borderId="78" xfId="0" applyFont="1" applyFill="1" applyBorder="1" applyAlignment="1" applyProtection="1">
      <alignment horizontal="center" vertical="center" wrapText="1"/>
    </xf>
    <xf numFmtId="190" fontId="64" fillId="0" borderId="78" xfId="0" applyNumberFormat="1" applyFont="1" applyFill="1" applyBorder="1" applyAlignment="1" applyProtection="1">
      <alignment horizontal="center" vertical="center" wrapText="1"/>
    </xf>
    <xf numFmtId="190" fontId="50" fillId="0" borderId="0" xfId="0" applyFont="1" applyFill="1" applyBorder="1" applyAlignment="1" applyProtection="1">
      <alignment horizontal="left" vertical="center"/>
    </xf>
    <xf numFmtId="190" fontId="214" fillId="0" borderId="0" xfId="0" applyFont="1" applyBorder="1" applyAlignment="1" applyProtection="1">
      <alignment horizontal="left" vertical="center"/>
    </xf>
    <xf numFmtId="190" fontId="214" fillId="0" borderId="0" xfId="0" applyFont="1" applyBorder="1" applyAlignment="1" applyProtection="1">
      <alignment horizontal="justify" vertical="center" wrapText="1"/>
    </xf>
    <xf numFmtId="190" fontId="64" fillId="0" borderId="0" xfId="0" applyFont="1" applyBorder="1" applyAlignment="1" applyProtection="1">
      <alignment horizontal="left" vertical="center" wrapText="1"/>
    </xf>
    <xf numFmtId="190" fontId="133" fillId="0" borderId="0" xfId="0" applyFont="1" applyBorder="1" applyAlignment="1" applyProtection="1">
      <alignment horizontal="left" vertical="center" wrapText="1"/>
    </xf>
    <xf numFmtId="190" fontId="132" fillId="0" borderId="0" xfId="0" applyFont="1" applyBorder="1" applyAlignment="1" applyProtection="1">
      <alignment horizontal="left" vertical="center" wrapText="1"/>
    </xf>
    <xf numFmtId="190" fontId="218" fillId="0" borderId="0" xfId="0" applyNumberFormat="1" applyFont="1" applyAlignment="1" applyProtection="1">
      <alignment horizontal="right" vertical="center"/>
      <protection locked="0"/>
    </xf>
    <xf numFmtId="190" fontId="231" fillId="0" borderId="0" xfId="0" applyFont="1" applyBorder="1" applyAlignment="1" applyProtection="1">
      <alignment horizontal="left" vertical="center" wrapText="1"/>
      <protection locked="0"/>
    </xf>
    <xf numFmtId="190" fontId="104" fillId="0" borderId="0" xfId="0" applyFont="1" applyAlignment="1" applyProtection="1">
      <alignment vertical="center" wrapText="1"/>
    </xf>
    <xf numFmtId="190" fontId="179" fillId="0" borderId="0" xfId="0" applyFont="1" applyAlignment="1" applyProtection="1">
      <alignment vertical="center" wrapText="1"/>
      <protection locked="0"/>
    </xf>
    <xf numFmtId="190" fontId="235" fillId="0" borderId="5" xfId="0" applyFont="1" applyBorder="1" applyAlignment="1" applyProtection="1">
      <alignment horizontal="left" vertical="center"/>
    </xf>
    <xf numFmtId="190" fontId="99" fillId="0" borderId="3" xfId="0" applyFont="1" applyBorder="1" applyAlignment="1" applyProtection="1">
      <alignment horizontal="left" vertical="center"/>
    </xf>
    <xf numFmtId="190" fontId="99" fillId="0" borderId="5" xfId="0" applyFont="1" applyBorder="1" applyAlignment="1" applyProtection="1">
      <alignment horizontal="left" vertical="center"/>
    </xf>
    <xf numFmtId="190" fontId="99" fillId="0" borderId="1" xfId="0" applyFont="1" applyBorder="1" applyAlignment="1" applyProtection="1">
      <alignment horizontal="left" vertical="center"/>
    </xf>
    <xf numFmtId="190" fontId="99" fillId="9" borderId="1" xfId="0" applyFont="1" applyFill="1" applyBorder="1" applyAlignment="1" applyProtection="1">
      <alignment horizontal="left" vertical="center"/>
    </xf>
    <xf numFmtId="190" fontId="99" fillId="5" borderId="13" xfId="0" applyFont="1" applyFill="1" applyBorder="1" applyAlignment="1" applyProtection="1">
      <alignment horizontal="left" vertical="center"/>
    </xf>
    <xf numFmtId="190" fontId="99" fillId="5" borderId="15" xfId="0" applyFont="1" applyFill="1" applyBorder="1" applyAlignment="1" applyProtection="1">
      <alignment horizontal="left" vertical="center"/>
    </xf>
    <xf numFmtId="190" fontId="99" fillId="5" borderId="2" xfId="0" applyFont="1" applyFill="1" applyBorder="1" applyAlignment="1" applyProtection="1">
      <alignment horizontal="left" vertical="center"/>
    </xf>
    <xf numFmtId="190" fontId="125" fillId="5" borderId="1" xfId="5" applyFont="1" applyFill="1" applyBorder="1" applyAlignment="1">
      <alignment horizontal="center" vertical="center"/>
    </xf>
    <xf numFmtId="190" fontId="126" fillId="0" borderId="1" xfId="5" applyFont="1" applyBorder="1" applyAlignment="1">
      <alignment horizontal="center" vertical="center"/>
    </xf>
    <xf numFmtId="190" fontId="126" fillId="0" borderId="5" xfId="5" applyFont="1" applyBorder="1" applyAlignment="1">
      <alignment horizontal="center" vertical="center"/>
    </xf>
    <xf numFmtId="190" fontId="126" fillId="0" borderId="154" xfId="5" applyFont="1" applyBorder="1" applyAlignment="1">
      <alignment horizontal="center" vertical="center"/>
    </xf>
    <xf numFmtId="190" fontId="99" fillId="6" borderId="0" xfId="0" applyFont="1" applyFill="1" applyBorder="1" applyAlignment="1" applyProtection="1">
      <alignment horizontal="center" vertical="center" wrapText="1"/>
    </xf>
    <xf numFmtId="176" fontId="64" fillId="6" borderId="34" xfId="0" applyNumberFormat="1" applyFont="1" applyFill="1" applyBorder="1" applyAlignment="1" applyProtection="1">
      <alignment horizontal="left" vertical="center" wrapText="1"/>
    </xf>
    <xf numFmtId="176" fontId="64" fillId="6" borderId="64" xfId="0" applyNumberFormat="1" applyFont="1" applyFill="1" applyBorder="1" applyAlignment="1" applyProtection="1">
      <alignment horizontal="left" vertical="center" wrapText="1"/>
    </xf>
    <xf numFmtId="176" fontId="64" fillId="6" borderId="65" xfId="0" applyNumberFormat="1" applyFont="1" applyFill="1" applyBorder="1" applyAlignment="1" applyProtection="1">
      <alignment horizontal="left" vertical="center" wrapText="1"/>
    </xf>
    <xf numFmtId="176" fontId="64" fillId="6" borderId="13" xfId="0" applyNumberFormat="1" applyFont="1" applyFill="1" applyBorder="1" applyAlignment="1" applyProtection="1">
      <alignment horizontal="center" vertical="center" wrapText="1"/>
    </xf>
    <xf numFmtId="176" fontId="64" fillId="6" borderId="104" xfId="0" applyNumberFormat="1" applyFont="1" applyFill="1" applyBorder="1" applyAlignment="1" applyProtection="1">
      <alignment horizontal="center" vertical="center" wrapText="1"/>
    </xf>
    <xf numFmtId="176" fontId="50" fillId="6" borderId="58" xfId="0" applyNumberFormat="1" applyFont="1" applyFill="1" applyBorder="1" applyAlignment="1" applyProtection="1">
      <alignment horizontal="center" vertical="center" wrapText="1"/>
    </xf>
    <xf numFmtId="176" fontId="50" fillId="6" borderId="6" xfId="0" applyNumberFormat="1" applyFont="1" applyFill="1" applyBorder="1" applyAlignment="1" applyProtection="1">
      <alignment horizontal="center" vertical="center"/>
    </xf>
    <xf numFmtId="176" fontId="50" fillId="6" borderId="10" xfId="0" applyNumberFormat="1" applyFont="1" applyFill="1" applyBorder="1" applyAlignment="1" applyProtection="1">
      <alignment horizontal="center" vertical="center"/>
    </xf>
    <xf numFmtId="176" fontId="50" fillId="6" borderId="51" xfId="0" applyNumberFormat="1" applyFont="1" applyFill="1" applyBorder="1" applyAlignment="1" applyProtection="1">
      <alignment horizontal="center" vertical="center"/>
    </xf>
    <xf numFmtId="176" fontId="50" fillId="6" borderId="20" xfId="0" applyNumberFormat="1" applyFont="1" applyFill="1" applyBorder="1" applyAlignment="1" applyProtection="1">
      <alignment horizontal="center" vertical="center"/>
    </xf>
    <xf numFmtId="176" fontId="231" fillId="0" borderId="4" xfId="0" applyNumberFormat="1" applyFont="1" applyFill="1" applyBorder="1" applyAlignment="1" applyProtection="1">
      <alignment horizontal="left" vertical="center"/>
      <protection locked="0"/>
    </xf>
    <xf numFmtId="176" fontId="231" fillId="0" borderId="54" xfId="0" applyNumberFormat="1" applyFont="1" applyFill="1" applyBorder="1" applyAlignment="1" applyProtection="1">
      <alignment horizontal="left" vertical="center"/>
      <protection locked="0"/>
    </xf>
    <xf numFmtId="176" fontId="231" fillId="0" borderId="3" xfId="0" applyNumberFormat="1" applyFont="1" applyFill="1" applyBorder="1" applyAlignment="1" applyProtection="1">
      <alignment horizontal="left" vertical="center"/>
      <protection locked="0"/>
    </xf>
    <xf numFmtId="176" fontId="231" fillId="0" borderId="5" xfId="0" applyNumberFormat="1" applyFont="1" applyBorder="1" applyAlignment="1" applyProtection="1">
      <alignment horizontal="left" vertical="center"/>
      <protection locked="0"/>
    </xf>
    <xf numFmtId="176" fontId="231" fillId="0" borderId="54" xfId="0" applyNumberFormat="1" applyFont="1" applyBorder="1" applyAlignment="1" applyProtection="1">
      <alignment horizontal="left" vertical="center"/>
      <protection locked="0"/>
    </xf>
    <xf numFmtId="176" fontId="231" fillId="0" borderId="3" xfId="0" applyNumberFormat="1" applyFont="1" applyBorder="1" applyAlignment="1" applyProtection="1">
      <alignment horizontal="left" vertical="center"/>
      <protection locked="0"/>
    </xf>
    <xf numFmtId="176" fontId="231" fillId="7" borderId="5" xfId="0" applyNumberFormat="1" applyFont="1" applyFill="1" applyBorder="1" applyAlignment="1" applyProtection="1">
      <alignment horizontal="left" vertical="center"/>
      <protection locked="0"/>
    </xf>
    <xf numFmtId="176" fontId="231" fillId="7" borderId="54" xfId="0" applyNumberFormat="1" applyFont="1" applyFill="1" applyBorder="1" applyAlignment="1" applyProtection="1">
      <alignment horizontal="left" vertical="center"/>
      <protection locked="0"/>
    </xf>
    <xf numFmtId="176" fontId="231" fillId="7" borderId="3" xfId="0" applyNumberFormat="1" applyFont="1" applyFill="1" applyBorder="1" applyAlignment="1" applyProtection="1">
      <alignment horizontal="left" vertical="center"/>
      <protection locked="0"/>
    </xf>
    <xf numFmtId="176" fontId="225" fillId="7" borderId="85" xfId="0" applyNumberFormat="1" applyFont="1" applyFill="1" applyBorder="1" applyAlignment="1" applyProtection="1">
      <alignment horizontal="left" vertical="center"/>
      <protection locked="0"/>
    </xf>
    <xf numFmtId="176" fontId="231" fillId="7" borderId="88" xfId="0" applyNumberFormat="1" applyFont="1" applyFill="1" applyBorder="1" applyAlignment="1" applyProtection="1">
      <alignment horizontal="left" vertical="center"/>
      <protection locked="0"/>
    </xf>
    <xf numFmtId="176" fontId="231" fillId="7" borderId="119" xfId="0" applyNumberFormat="1" applyFont="1" applyFill="1" applyBorder="1" applyAlignment="1" applyProtection="1">
      <alignment horizontal="left" vertical="center"/>
      <protection locked="0"/>
    </xf>
    <xf numFmtId="176" fontId="47" fillId="6" borderId="1" xfId="0" applyNumberFormat="1" applyFont="1" applyFill="1" applyBorder="1" applyAlignment="1" applyProtection="1">
      <alignment horizontal="center" vertical="center" wrapText="1"/>
    </xf>
    <xf numFmtId="176" fontId="64" fillId="6" borderId="15" xfId="0" applyNumberFormat="1" applyFont="1" applyFill="1" applyBorder="1" applyAlignment="1" applyProtection="1">
      <alignment horizontal="left" vertical="center"/>
    </xf>
    <xf numFmtId="176" fontId="64" fillId="6" borderId="2" xfId="0" applyNumberFormat="1" applyFont="1" applyFill="1" applyBorder="1" applyAlignment="1" applyProtection="1">
      <alignment horizontal="left" vertical="center"/>
    </xf>
    <xf numFmtId="176" fontId="64" fillId="0" borderId="5" xfId="0" applyNumberFormat="1" applyFont="1" applyBorder="1" applyAlignment="1" applyProtection="1">
      <alignment horizontal="left" vertical="center" wrapText="1"/>
      <protection locked="0"/>
    </xf>
    <xf numFmtId="176" fontId="64" fillId="0" borderId="3" xfId="0" applyNumberFormat="1" applyFont="1" applyBorder="1" applyAlignment="1" applyProtection="1">
      <alignment horizontal="left" vertical="center" wrapText="1"/>
      <protection locked="0"/>
    </xf>
    <xf numFmtId="176" fontId="64" fillId="6" borderId="22" xfId="0" applyNumberFormat="1" applyFont="1" applyFill="1" applyBorder="1" applyAlignment="1" applyProtection="1">
      <alignment horizontal="left" vertical="center"/>
    </xf>
    <xf numFmtId="176" fontId="64" fillId="6" borderId="35" xfId="0" applyNumberFormat="1" applyFont="1" applyFill="1" applyBorder="1" applyAlignment="1" applyProtection="1">
      <alignment horizontal="left" vertical="center"/>
    </xf>
    <xf numFmtId="176" fontId="64" fillId="6" borderId="1" xfId="0" applyNumberFormat="1" applyFont="1" applyFill="1" applyBorder="1" applyAlignment="1" applyProtection="1">
      <alignment horizontal="center" vertical="center" wrapText="1"/>
    </xf>
    <xf numFmtId="190" fontId="23" fillId="0" borderId="1" xfId="0" applyFont="1" applyFill="1" applyBorder="1" applyAlignment="1" applyProtection="1">
      <alignment horizontal="center" vertical="center" wrapText="1"/>
    </xf>
    <xf numFmtId="190" fontId="103" fillId="0" borderId="1" xfId="0" applyFont="1" applyBorder="1" applyAlignment="1">
      <alignment horizontal="center" vertical="center" wrapText="1"/>
    </xf>
    <xf numFmtId="176" fontId="47" fillId="6" borderId="6" xfId="0" applyNumberFormat="1" applyFont="1" applyFill="1" applyBorder="1" applyAlignment="1" applyProtection="1">
      <alignment horizontal="center" vertical="center"/>
    </xf>
    <xf numFmtId="176" fontId="47" fillId="6" borderId="9" xfId="0" applyNumberFormat="1" applyFont="1" applyFill="1" applyBorder="1" applyAlignment="1" applyProtection="1">
      <alignment horizontal="center" vertical="center"/>
    </xf>
    <xf numFmtId="176" fontId="47" fillId="6" borderId="10" xfId="0" applyNumberFormat="1" applyFont="1" applyFill="1" applyBorder="1" applyAlignment="1" applyProtection="1">
      <alignment horizontal="center" vertical="center"/>
    </xf>
    <xf numFmtId="176" fontId="49" fillId="6" borderId="40" xfId="0" applyNumberFormat="1" applyFont="1" applyFill="1" applyBorder="1" applyAlignment="1" applyProtection="1">
      <alignment horizontal="center" vertical="center"/>
    </xf>
    <xf numFmtId="176" fontId="49" fillId="6" borderId="17" xfId="0" applyNumberFormat="1" applyFont="1" applyFill="1" applyBorder="1" applyAlignment="1" applyProtection="1">
      <alignment horizontal="center" vertical="center"/>
    </xf>
    <xf numFmtId="176" fontId="49" fillId="6" borderId="62" xfId="0" applyNumberFormat="1" applyFont="1" applyFill="1" applyBorder="1" applyAlignment="1" applyProtection="1">
      <alignment horizontal="center" vertical="center"/>
    </xf>
    <xf numFmtId="176" fontId="47" fillId="6" borderId="51" xfId="0" applyNumberFormat="1" applyFont="1" applyFill="1" applyBorder="1" applyAlignment="1" applyProtection="1">
      <alignment horizontal="center" vertical="center"/>
    </xf>
    <xf numFmtId="176" fontId="47" fillId="6" borderId="20" xfId="0" applyNumberFormat="1" applyFont="1" applyFill="1" applyBorder="1" applyAlignment="1" applyProtection="1">
      <alignment horizontal="center" vertical="center"/>
    </xf>
    <xf numFmtId="176" fontId="47" fillId="6" borderId="30" xfId="0" applyNumberFormat="1" applyFont="1" applyFill="1" applyBorder="1" applyAlignment="1" applyProtection="1">
      <alignment horizontal="center" vertical="center"/>
    </xf>
    <xf numFmtId="176" fontId="49" fillId="6" borderId="1" xfId="0" applyNumberFormat="1" applyFont="1" applyFill="1" applyBorder="1" applyAlignment="1" applyProtection="1">
      <alignment horizontal="center" vertical="center"/>
    </xf>
    <xf numFmtId="176" fontId="49" fillId="6" borderId="13" xfId="0" applyNumberFormat="1" applyFont="1" applyFill="1" applyBorder="1" applyAlignment="1" applyProtection="1">
      <alignment horizontal="center" vertical="center"/>
    </xf>
    <xf numFmtId="176" fontId="49" fillId="6" borderId="51" xfId="0" applyNumberFormat="1" applyFont="1" applyFill="1" applyBorder="1" applyAlignment="1" applyProtection="1">
      <alignment horizontal="center" vertical="center"/>
    </xf>
    <xf numFmtId="176" fontId="49" fillId="6" borderId="20" xfId="0" applyNumberFormat="1" applyFont="1" applyFill="1" applyBorder="1" applyAlignment="1" applyProtection="1">
      <alignment horizontal="center" vertical="center"/>
    </xf>
    <xf numFmtId="176" fontId="49" fillId="6" borderId="30" xfId="0" applyNumberFormat="1" applyFont="1" applyFill="1" applyBorder="1" applyAlignment="1" applyProtection="1">
      <alignment horizontal="center" vertical="center"/>
    </xf>
    <xf numFmtId="176" fontId="47" fillId="6" borderId="1" xfId="0" applyNumberFormat="1" applyFont="1" applyFill="1" applyBorder="1" applyAlignment="1" applyProtection="1">
      <alignment horizontal="center" vertical="center"/>
    </xf>
    <xf numFmtId="190" fontId="46" fillId="6" borderId="106" xfId="0" applyFont="1" applyFill="1" applyBorder="1" applyAlignment="1" applyProtection="1">
      <alignment horizontal="center" vertical="center"/>
    </xf>
    <xf numFmtId="190" fontId="46" fillId="6" borderId="102" xfId="0" applyFont="1" applyFill="1" applyBorder="1" applyAlignment="1" applyProtection="1">
      <alignment horizontal="center" vertical="center"/>
    </xf>
    <xf numFmtId="176" fontId="49" fillId="5" borderId="37" xfId="0" applyNumberFormat="1" applyFont="1" applyFill="1" applyBorder="1" applyAlignment="1" applyProtection="1">
      <alignment horizontal="left" vertical="center" wrapText="1"/>
      <protection locked="0"/>
    </xf>
    <xf numFmtId="176" fontId="49" fillId="5" borderId="3" xfId="0" applyNumberFormat="1" applyFont="1" applyFill="1" applyBorder="1" applyAlignment="1" applyProtection="1">
      <alignment horizontal="left" vertical="center" wrapText="1"/>
      <protection locked="0"/>
    </xf>
    <xf numFmtId="176" fontId="108" fillId="6" borderId="1" xfId="0" applyNumberFormat="1" applyFont="1" applyFill="1" applyBorder="1" applyAlignment="1" applyProtection="1">
      <alignment horizontal="center" vertical="center" wrapText="1"/>
    </xf>
    <xf numFmtId="176" fontId="134" fillId="6" borderId="1" xfId="0" applyNumberFormat="1" applyFont="1" applyFill="1" applyBorder="1" applyAlignment="1" applyProtection="1">
      <alignment horizontal="center" vertical="center" wrapText="1"/>
      <protection locked="0"/>
    </xf>
    <xf numFmtId="176" fontId="134" fillId="6" borderId="1"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left" vertical="center"/>
    </xf>
    <xf numFmtId="176" fontId="49" fillId="6" borderId="1" xfId="0" applyNumberFormat="1" applyFont="1" applyFill="1" applyBorder="1" applyAlignment="1" applyProtection="1">
      <alignment horizontal="left" vertical="center"/>
    </xf>
    <xf numFmtId="176" fontId="50" fillId="6" borderId="5" xfId="0" applyNumberFormat="1" applyFont="1" applyFill="1" applyBorder="1" applyAlignment="1" applyProtection="1">
      <alignment horizontal="center" vertical="center"/>
    </xf>
    <xf numFmtId="176" fontId="50" fillId="6" borderId="54" xfId="0" applyNumberFormat="1" applyFont="1" applyFill="1" applyBorder="1" applyAlignment="1" applyProtection="1">
      <alignment horizontal="center" vertical="center"/>
    </xf>
    <xf numFmtId="176" fontId="176" fillId="6" borderId="1" xfId="0" applyNumberFormat="1" applyFont="1" applyFill="1" applyBorder="1" applyAlignment="1">
      <alignment horizontal="center" vertical="center" wrapText="1"/>
    </xf>
    <xf numFmtId="176" fontId="50" fillId="6" borderId="5" xfId="0" applyNumberFormat="1" applyFont="1" applyFill="1" applyBorder="1" applyAlignment="1" applyProtection="1">
      <alignment horizontal="left" vertical="center"/>
    </xf>
    <xf numFmtId="176" fontId="50" fillId="6" borderId="3" xfId="0" applyNumberFormat="1" applyFont="1" applyFill="1" applyBorder="1" applyAlignment="1" applyProtection="1">
      <alignment horizontal="left" vertical="center"/>
    </xf>
    <xf numFmtId="176" fontId="49" fillId="6" borderId="5" xfId="0" applyNumberFormat="1" applyFont="1" applyFill="1" applyBorder="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7" fillId="5" borderId="13" xfId="0" applyNumberFormat="1" applyFont="1" applyFill="1" applyBorder="1" applyAlignment="1" applyProtection="1">
      <alignment horizontal="center" vertical="center" wrapText="1"/>
      <protection locked="0"/>
    </xf>
    <xf numFmtId="176" fontId="47" fillId="5" borderId="2" xfId="0" applyNumberFormat="1" applyFont="1" applyFill="1" applyBorder="1" applyAlignment="1" applyProtection="1">
      <alignment horizontal="center" vertical="center" wrapText="1"/>
      <protection locked="0"/>
    </xf>
    <xf numFmtId="176" fontId="47" fillId="6" borderId="5"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50" fillId="6" borderId="36" xfId="0" applyNumberFormat="1" applyFont="1" applyFill="1" applyBorder="1" applyAlignment="1" applyProtection="1">
      <alignment horizontal="left" vertical="center"/>
    </xf>
    <xf numFmtId="176" fontId="47" fillId="5" borderId="5" xfId="0" applyNumberFormat="1" applyFont="1" applyFill="1" applyBorder="1" applyAlignment="1" applyProtection="1">
      <alignment horizontal="center" vertical="center" wrapText="1"/>
      <protection locked="0"/>
    </xf>
    <xf numFmtId="176" fontId="47" fillId="5" borderId="3" xfId="0" applyNumberFormat="1" applyFont="1" applyFill="1" applyBorder="1" applyAlignment="1" applyProtection="1">
      <alignment horizontal="center" vertical="center" wrapText="1"/>
      <protection locked="0"/>
    </xf>
    <xf numFmtId="176" fontId="49" fillId="6" borderId="1" xfId="0" applyNumberFormat="1" applyFont="1" applyFill="1" applyBorder="1" applyAlignment="1" applyProtection="1">
      <alignment horizontal="center" vertical="center" wrapText="1"/>
    </xf>
    <xf numFmtId="176" fontId="105" fillId="6" borderId="1" xfId="0" applyNumberFormat="1" applyFont="1" applyFill="1" applyBorder="1" applyAlignment="1" applyProtection="1">
      <alignment horizontal="center" vertical="center" wrapText="1"/>
    </xf>
    <xf numFmtId="176" fontId="49" fillId="6" borderId="21" xfId="0" applyNumberFormat="1" applyFont="1" applyFill="1" applyBorder="1" applyAlignment="1" applyProtection="1">
      <alignment horizontal="center" vertical="center"/>
    </xf>
    <xf numFmtId="176" fontId="105" fillId="6" borderId="13" xfId="0" applyNumberFormat="1" applyFont="1" applyFill="1" applyBorder="1" applyAlignment="1" applyProtection="1">
      <alignment horizontal="center" vertical="center" wrapText="1"/>
    </xf>
    <xf numFmtId="176" fontId="105" fillId="6" borderId="2" xfId="0" applyNumberFormat="1" applyFont="1" applyFill="1" applyBorder="1" applyAlignment="1" applyProtection="1">
      <alignment horizontal="center" vertical="center" wrapText="1"/>
    </xf>
    <xf numFmtId="176" fontId="50" fillId="6" borderId="25" xfId="0" applyNumberFormat="1" applyFont="1" applyFill="1" applyBorder="1" applyAlignment="1" applyProtection="1">
      <alignment horizontal="left" vertical="center" wrapText="1"/>
    </xf>
    <xf numFmtId="176" fontId="50" fillId="6" borderId="32" xfId="0" applyNumberFormat="1" applyFont="1" applyFill="1" applyBorder="1" applyAlignment="1" applyProtection="1">
      <alignment horizontal="left" vertical="center" wrapText="1"/>
    </xf>
    <xf numFmtId="176" fontId="50" fillId="6" borderId="61" xfId="0" applyNumberFormat="1" applyFont="1" applyFill="1" applyBorder="1" applyAlignment="1" applyProtection="1">
      <alignment horizontal="center" vertical="center"/>
    </xf>
    <xf numFmtId="176" fontId="50" fillId="6" borderId="53" xfId="0" applyNumberFormat="1" applyFont="1" applyFill="1" applyBorder="1" applyAlignment="1" applyProtection="1">
      <alignment horizontal="center" vertical="center"/>
    </xf>
    <xf numFmtId="176" fontId="50" fillId="6" borderId="8" xfId="0" applyNumberFormat="1" applyFont="1" applyFill="1" applyBorder="1" applyAlignment="1" applyProtection="1">
      <alignment horizontal="center" vertical="center"/>
    </xf>
    <xf numFmtId="176" fontId="110" fillId="6" borderId="107" xfId="0" applyNumberFormat="1" applyFont="1" applyFill="1" applyBorder="1" applyProtection="1">
      <alignment vertical="center"/>
    </xf>
    <xf numFmtId="176" fontId="110" fillId="6" borderId="108" xfId="0" applyNumberFormat="1" applyFont="1" applyFill="1" applyBorder="1" applyProtection="1">
      <alignment vertical="center"/>
    </xf>
    <xf numFmtId="176" fontId="133" fillId="6" borderId="23" xfId="0" applyNumberFormat="1" applyFont="1" applyFill="1" applyBorder="1" applyProtection="1">
      <alignment vertical="center"/>
    </xf>
    <xf numFmtId="176" fontId="49" fillId="6" borderId="23" xfId="0" applyNumberFormat="1" applyFont="1" applyFill="1" applyBorder="1" applyAlignment="1" applyProtection="1">
      <alignment horizontal="left" vertical="center"/>
    </xf>
    <xf numFmtId="176" fontId="49" fillId="6" borderId="23" xfId="0" applyNumberFormat="1" applyFont="1" applyFill="1" applyBorder="1" applyAlignment="1" applyProtection="1">
      <alignment horizontal="left" vertical="center" wrapText="1"/>
    </xf>
    <xf numFmtId="176" fontId="49" fillId="6" borderId="1" xfId="0" applyNumberFormat="1" applyFont="1" applyFill="1" applyBorder="1" applyAlignment="1" applyProtection="1">
      <alignment horizontal="left" vertical="center" wrapText="1"/>
    </xf>
    <xf numFmtId="176" fontId="49" fillId="6" borderId="25" xfId="0" applyNumberFormat="1" applyFont="1" applyFill="1" applyBorder="1" applyAlignment="1" applyProtection="1">
      <alignment horizontal="left" vertical="center" wrapText="1"/>
    </xf>
    <xf numFmtId="176" fontId="49" fillId="6" borderId="32" xfId="0" applyNumberFormat="1" applyFont="1" applyFill="1" applyBorder="1" applyAlignment="1" applyProtection="1">
      <alignment horizontal="left" vertical="center" wrapText="1"/>
    </xf>
    <xf numFmtId="176" fontId="50" fillId="6" borderId="5" xfId="0" applyNumberFormat="1" applyFont="1" applyFill="1" applyBorder="1" applyAlignment="1" applyProtection="1">
      <alignment horizontal="left" vertical="center" wrapText="1"/>
    </xf>
    <xf numFmtId="176" fontId="50" fillId="6" borderId="54" xfId="0" applyNumberFormat="1" applyFont="1" applyFill="1" applyBorder="1" applyAlignment="1" applyProtection="1">
      <alignment horizontal="left" vertical="center" wrapText="1"/>
    </xf>
    <xf numFmtId="176" fontId="50" fillId="6" borderId="48" xfId="0" applyNumberFormat="1" applyFont="1" applyFill="1" applyBorder="1" applyAlignment="1" applyProtection="1">
      <alignment horizontal="left" vertical="center" wrapText="1"/>
    </xf>
    <xf numFmtId="176" fontId="57" fillId="6" borderId="6" xfId="0" applyNumberFormat="1" applyFont="1" applyFill="1" applyBorder="1" applyAlignment="1" applyProtection="1">
      <alignment horizontal="center" vertical="center" wrapText="1"/>
    </xf>
    <xf numFmtId="176" fontId="57" fillId="6" borderId="9" xfId="0" applyNumberFormat="1" applyFont="1" applyFill="1" applyBorder="1" applyAlignment="1" applyProtection="1">
      <alignment horizontal="center" vertical="center" wrapText="1"/>
    </xf>
    <xf numFmtId="176" fontId="47" fillId="6" borderId="1" xfId="0" applyNumberFormat="1" applyFont="1" applyFill="1" applyBorder="1" applyAlignment="1" applyProtection="1">
      <alignment horizontal="left" vertical="center" wrapText="1"/>
    </xf>
    <xf numFmtId="176" fontId="133" fillId="6" borderId="25" xfId="0" applyNumberFormat="1" applyFont="1" applyFill="1" applyBorder="1" applyProtection="1">
      <alignment vertical="center"/>
    </xf>
    <xf numFmtId="176" fontId="50" fillId="6" borderId="19" xfId="0" applyNumberFormat="1" applyFont="1" applyFill="1" applyBorder="1" applyAlignment="1" applyProtection="1">
      <alignment horizontal="left" vertical="center" wrapText="1"/>
    </xf>
    <xf numFmtId="176" fontId="50" fillId="6" borderId="3" xfId="0" applyNumberFormat="1" applyFont="1" applyFill="1" applyBorder="1" applyAlignment="1" applyProtection="1">
      <alignment horizontal="left" vertical="center" wrapText="1"/>
    </xf>
    <xf numFmtId="176" fontId="57" fillId="6" borderId="18" xfId="0" applyNumberFormat="1" applyFont="1" applyFill="1" applyBorder="1" applyAlignment="1" applyProtection="1">
      <alignment horizontal="center" vertical="center" wrapText="1"/>
    </xf>
    <xf numFmtId="176" fontId="57" fillId="6" borderId="0"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47" fillId="5" borderId="1" xfId="0" applyNumberFormat="1" applyFont="1" applyFill="1" applyBorder="1" applyAlignment="1" applyProtection="1">
      <alignment horizontal="center" vertical="center" wrapText="1"/>
      <protection locked="0"/>
    </xf>
    <xf numFmtId="176" fontId="49" fillId="6" borderId="5" xfId="0" applyNumberFormat="1" applyFont="1" applyFill="1" applyBorder="1" applyAlignment="1" applyProtection="1">
      <alignment horizontal="center" vertical="center"/>
    </xf>
    <xf numFmtId="176" fontId="49" fillId="6" borderId="54" xfId="0" applyNumberFormat="1" applyFont="1" applyFill="1" applyBorder="1" applyAlignment="1" applyProtection="1">
      <alignment horizontal="center" vertical="center"/>
    </xf>
    <xf numFmtId="176" fontId="49" fillId="6" borderId="3" xfId="0" applyNumberFormat="1" applyFont="1" applyFill="1" applyBorder="1" applyAlignment="1" applyProtection="1">
      <alignment horizontal="center" vertical="center"/>
    </xf>
    <xf numFmtId="0" fontId="47" fillId="0" borderId="1" xfId="0" applyNumberFormat="1" applyFont="1" applyBorder="1" applyAlignment="1" applyProtection="1">
      <alignment horizontal="center" vertical="center"/>
      <protection locked="0"/>
    </xf>
    <xf numFmtId="176" fontId="49" fillId="6" borderId="40" xfId="0" applyNumberFormat="1" applyFont="1" applyFill="1" applyBorder="1" applyAlignment="1" applyProtection="1">
      <alignment horizontal="center" vertical="center" wrapText="1"/>
    </xf>
    <xf numFmtId="176" fontId="49" fillId="6" borderId="14" xfId="0" applyNumberFormat="1" applyFont="1" applyFill="1" applyBorder="1" applyAlignment="1" applyProtection="1">
      <alignment horizontal="center" vertical="center" wrapText="1"/>
    </xf>
    <xf numFmtId="176" fontId="49" fillId="6" borderId="12" xfId="0" applyNumberFormat="1" applyFont="1" applyFill="1" applyBorder="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11" xfId="0" applyNumberFormat="1" applyFont="1" applyFill="1" applyBorder="1" applyAlignment="1" applyProtection="1">
      <alignment horizontal="left" vertical="center" wrapText="1"/>
    </xf>
    <xf numFmtId="176" fontId="50" fillId="6" borderId="1" xfId="0" applyNumberFormat="1" applyFont="1" applyFill="1" applyBorder="1" applyAlignment="1" applyProtection="1">
      <alignment horizontal="left" vertical="center" wrapText="1"/>
    </xf>
    <xf numFmtId="176" fontId="106" fillId="6" borderId="63" xfId="0" applyNumberFormat="1" applyFont="1" applyFill="1" applyBorder="1" applyAlignment="1" applyProtection="1">
      <alignment horizontal="center" vertical="center"/>
    </xf>
    <xf numFmtId="176" fontId="106" fillId="6" borderId="64" xfId="0" applyNumberFormat="1" applyFont="1" applyFill="1" applyBorder="1" applyAlignment="1" applyProtection="1">
      <alignment horizontal="center" vertical="center"/>
    </xf>
    <xf numFmtId="176" fontId="106" fillId="6" borderId="65" xfId="0" applyNumberFormat="1" applyFont="1" applyFill="1" applyBorder="1" applyAlignment="1" applyProtection="1">
      <alignment horizontal="center" vertical="center"/>
    </xf>
    <xf numFmtId="176" fontId="47" fillId="0" borderId="1" xfId="0" applyNumberFormat="1" applyFont="1" applyBorder="1" applyAlignment="1" applyProtection="1">
      <alignment horizontal="center" vertical="center"/>
      <protection locked="0"/>
    </xf>
    <xf numFmtId="176" fontId="50" fillId="6" borderId="69" xfId="0" applyNumberFormat="1" applyFont="1" applyFill="1" applyBorder="1" applyAlignment="1" applyProtection="1">
      <alignment horizontal="center" vertical="center"/>
    </xf>
    <xf numFmtId="176" fontId="50" fillId="6" borderId="60" xfId="0" applyNumberFormat="1" applyFont="1" applyFill="1" applyBorder="1" applyAlignment="1" applyProtection="1">
      <alignment horizontal="center" vertical="center"/>
    </xf>
    <xf numFmtId="176" fontId="47" fillId="0" borderId="13" xfId="0" applyNumberFormat="1" applyFont="1" applyBorder="1" applyAlignment="1" applyProtection="1">
      <alignment horizontal="center" vertical="center"/>
      <protection locked="0"/>
    </xf>
    <xf numFmtId="176" fontId="47" fillId="0" borderId="2" xfId="0" applyNumberFormat="1" applyFont="1" applyBorder="1" applyAlignment="1" applyProtection="1">
      <alignment horizontal="center" vertical="center"/>
      <protection locked="0"/>
    </xf>
    <xf numFmtId="176" fontId="47" fillId="0" borderId="15" xfId="0" applyNumberFormat="1" applyFont="1" applyBorder="1" applyAlignment="1" applyProtection="1">
      <alignment horizontal="center" vertical="center"/>
      <protection locked="0"/>
    </xf>
    <xf numFmtId="176" fontId="55" fillId="6" borderId="51" xfId="0" applyNumberFormat="1" applyFont="1" applyFill="1" applyBorder="1" applyAlignment="1" applyProtection="1">
      <alignment horizontal="center" vertical="center" wrapText="1"/>
    </xf>
    <xf numFmtId="176" fontId="55" fillId="6" borderId="20" xfId="0" applyNumberFormat="1" applyFont="1" applyFill="1" applyBorder="1" applyAlignment="1" applyProtection="1">
      <alignment horizontal="center" vertical="center" wrapText="1"/>
    </xf>
    <xf numFmtId="176" fontId="55" fillId="6" borderId="21" xfId="0" applyNumberFormat="1" applyFont="1" applyFill="1" applyBorder="1" applyAlignment="1" applyProtection="1">
      <alignment horizontal="center" vertical="center" wrapText="1"/>
    </xf>
    <xf numFmtId="176" fontId="55" fillId="6" borderId="46" xfId="0" applyNumberFormat="1" applyFont="1" applyFill="1" applyBorder="1" applyAlignment="1" applyProtection="1">
      <alignment horizontal="left" vertical="center" wrapText="1"/>
    </xf>
    <xf numFmtId="176" fontId="55" fillId="6" borderId="36" xfId="0" applyNumberFormat="1" applyFont="1" applyFill="1" applyBorder="1" applyAlignment="1" applyProtection="1">
      <alignment horizontal="left" vertical="center" wrapText="1"/>
    </xf>
    <xf numFmtId="176" fontId="55" fillId="6" borderId="22" xfId="0" applyNumberFormat="1" applyFont="1" applyFill="1" applyBorder="1" applyAlignment="1" applyProtection="1">
      <alignment horizontal="left" vertical="center" wrapText="1"/>
    </xf>
    <xf numFmtId="176" fontId="49" fillId="6" borderId="40" xfId="0" applyNumberFormat="1" applyFont="1" applyFill="1" applyBorder="1" applyAlignment="1" applyProtection="1">
      <alignment horizontal="left" vertical="center" wrapText="1"/>
    </xf>
    <xf numFmtId="176" fontId="49" fillId="6" borderId="41" xfId="0" applyNumberFormat="1" applyFont="1" applyFill="1" applyBorder="1" applyAlignment="1" applyProtection="1">
      <alignment horizontal="left" vertical="center" wrapText="1"/>
    </xf>
    <xf numFmtId="176" fontId="55" fillId="6" borderId="47" xfId="0" applyNumberFormat="1" applyFont="1" applyFill="1" applyBorder="1" applyAlignment="1" applyProtection="1">
      <alignment horizontal="center" vertical="center"/>
    </xf>
    <xf numFmtId="176" fontId="50" fillId="6" borderId="23" xfId="0" applyNumberFormat="1" applyFont="1" applyFill="1" applyBorder="1" applyAlignment="1" applyProtection="1">
      <alignment horizontal="left" vertical="center" wrapText="1"/>
    </xf>
    <xf numFmtId="0" fontId="47" fillId="0" borderId="13" xfId="0" applyNumberFormat="1" applyFont="1" applyBorder="1" applyAlignment="1" applyProtection="1">
      <alignment horizontal="center" vertical="center"/>
      <protection locked="0"/>
    </xf>
    <xf numFmtId="0" fontId="47" fillId="0" borderId="15" xfId="0" applyNumberFormat="1" applyFont="1" applyBorder="1" applyAlignment="1" applyProtection="1">
      <alignment horizontal="center" vertical="center"/>
      <protection locked="0"/>
    </xf>
    <xf numFmtId="0" fontId="47" fillId="0" borderId="2" xfId="0" applyNumberFormat="1" applyFont="1" applyBorder="1" applyAlignment="1" applyProtection="1">
      <alignment horizontal="center" vertical="center"/>
      <protection locked="0"/>
    </xf>
    <xf numFmtId="176" fontId="120" fillId="6" borderId="5" xfId="0" applyNumberFormat="1" applyFont="1" applyFill="1" applyBorder="1" applyAlignment="1" applyProtection="1">
      <alignment horizontal="left" vertical="center" wrapText="1"/>
    </xf>
    <xf numFmtId="176" fontId="120" fillId="6" borderId="54" xfId="0" applyNumberFormat="1" applyFont="1" applyFill="1" applyBorder="1" applyAlignment="1" applyProtection="1">
      <alignment horizontal="left" vertical="center" wrapText="1"/>
    </xf>
    <xf numFmtId="176" fontId="120" fillId="6" borderId="48" xfId="0" applyNumberFormat="1" applyFont="1" applyFill="1" applyBorder="1" applyAlignment="1" applyProtection="1">
      <alignment horizontal="left" vertical="center" wrapText="1"/>
    </xf>
    <xf numFmtId="190" fontId="56" fillId="6" borderId="61" xfId="0" applyFont="1" applyFill="1" applyBorder="1" applyAlignment="1" applyProtection="1">
      <alignment horizontal="left" vertical="center"/>
    </xf>
    <xf numFmtId="190" fontId="56" fillId="6" borderId="53" xfId="0" applyFont="1" applyFill="1" applyBorder="1" applyAlignment="1" applyProtection="1">
      <alignment horizontal="left" vertical="center"/>
    </xf>
    <xf numFmtId="190" fontId="56" fillId="6" borderId="8" xfId="0" applyFont="1" applyFill="1" applyBorder="1" applyAlignment="1" applyProtection="1">
      <alignment horizontal="left" vertical="center"/>
    </xf>
    <xf numFmtId="190" fontId="50" fillId="6" borderId="13" xfId="0" applyFont="1" applyFill="1" applyBorder="1" applyAlignment="1" applyProtection="1">
      <alignment vertical="top" wrapText="1"/>
    </xf>
    <xf numFmtId="190" fontId="50" fillId="6" borderId="15" xfId="0" applyFont="1" applyFill="1" applyBorder="1" applyAlignment="1" applyProtection="1">
      <alignment vertical="top" wrapText="1"/>
    </xf>
    <xf numFmtId="190" fontId="50" fillId="6" borderId="2" xfId="0" applyFont="1" applyFill="1" applyBorder="1" applyAlignment="1" applyProtection="1">
      <alignment vertical="top" wrapText="1"/>
    </xf>
    <xf numFmtId="190" fontId="120" fillId="6" borderId="34" xfId="0" applyFont="1" applyFill="1" applyBorder="1" applyAlignment="1" applyProtection="1">
      <alignment horizontal="left" vertical="center" wrapText="1"/>
    </xf>
    <xf numFmtId="190" fontId="120" fillId="6" borderId="65" xfId="0" applyFont="1" applyFill="1" applyBorder="1" applyAlignment="1" applyProtection="1">
      <alignment horizontal="left" vertical="center" wrapText="1"/>
    </xf>
    <xf numFmtId="176" fontId="54" fillId="6" borderId="13" xfId="0" applyNumberFormat="1" applyFont="1" applyFill="1" applyBorder="1" applyAlignment="1" applyProtection="1">
      <alignment horizontal="center" vertical="center"/>
    </xf>
    <xf numFmtId="176" fontId="54" fillId="6" borderId="15" xfId="0" applyNumberFormat="1" applyFont="1" applyFill="1" applyBorder="1" applyAlignment="1" applyProtection="1">
      <alignment horizontal="center" vertical="center"/>
    </xf>
    <xf numFmtId="176" fontId="54" fillId="6" borderId="2" xfId="0" applyNumberFormat="1" applyFont="1" applyFill="1" applyBorder="1" applyAlignment="1" applyProtection="1">
      <alignment horizontal="center" vertical="center"/>
    </xf>
    <xf numFmtId="176" fontId="54" fillId="6" borderId="1" xfId="0" applyNumberFormat="1" applyFont="1" applyFill="1" applyBorder="1" applyAlignment="1" applyProtection="1">
      <alignment horizontal="center" vertical="center"/>
    </xf>
    <xf numFmtId="176" fontId="47" fillId="6" borderId="5" xfId="0" applyNumberFormat="1" applyFont="1" applyFill="1" applyBorder="1" applyAlignment="1" applyProtection="1">
      <alignment horizontal="center" vertical="center"/>
    </xf>
    <xf numFmtId="176" fontId="47" fillId="6" borderId="3" xfId="0" applyNumberFormat="1" applyFont="1" applyFill="1" applyBorder="1" applyAlignment="1" applyProtection="1">
      <alignment horizontal="center" vertical="center"/>
    </xf>
    <xf numFmtId="176" fontId="54" fillId="6" borderId="46" xfId="0" applyNumberFormat="1" applyFont="1" applyFill="1" applyBorder="1" applyAlignment="1" applyProtection="1">
      <alignment horizontal="center" vertical="center"/>
    </xf>
    <xf numFmtId="176" fontId="54" fillId="6" borderId="22" xfId="0" applyNumberFormat="1" applyFont="1" applyFill="1" applyBorder="1" applyAlignment="1" applyProtection="1">
      <alignment horizontal="center" vertical="center"/>
    </xf>
    <xf numFmtId="176" fontId="54" fillId="6" borderId="58" xfId="0" applyNumberFormat="1" applyFont="1" applyFill="1" applyBorder="1" applyAlignment="1" applyProtection="1">
      <alignment horizontal="center" vertical="center"/>
    </xf>
    <xf numFmtId="176" fontId="54" fillId="6" borderId="35" xfId="0" applyNumberFormat="1" applyFont="1" applyFill="1" applyBorder="1" applyAlignment="1" applyProtection="1">
      <alignment horizontal="center" vertical="center"/>
    </xf>
    <xf numFmtId="176" fontId="226" fillId="0" borderId="23" xfId="0" applyNumberFormat="1" applyFont="1" applyFill="1" applyBorder="1" applyAlignment="1" applyProtection="1">
      <alignment horizontal="center" vertical="center" wrapText="1"/>
      <protection locked="0"/>
    </xf>
    <xf numFmtId="176" fontId="179" fillId="0" borderId="24" xfId="0" applyNumberFormat="1" applyFont="1" applyFill="1" applyBorder="1" applyAlignment="1" applyProtection="1">
      <alignment horizontal="center" vertical="center" wrapText="1"/>
      <protection locked="0"/>
    </xf>
    <xf numFmtId="176" fontId="179" fillId="0" borderId="11" xfId="0" applyNumberFormat="1" applyFont="1" applyFill="1" applyBorder="1" applyAlignment="1" applyProtection="1">
      <alignment horizontal="center" vertical="center" wrapText="1"/>
      <protection locked="0"/>
    </xf>
    <xf numFmtId="176" fontId="179" fillId="0" borderId="61" xfId="0" applyNumberFormat="1" applyFont="1" applyFill="1" applyBorder="1" applyAlignment="1" applyProtection="1">
      <alignment horizontal="center" vertical="center" wrapText="1"/>
      <protection locked="0"/>
    </xf>
    <xf numFmtId="176" fontId="179" fillId="0" borderId="22" xfId="0" applyNumberFormat="1" applyFont="1" applyFill="1" applyBorder="1" applyAlignment="1" applyProtection="1">
      <alignment horizontal="center" vertical="center" wrapText="1"/>
      <protection locked="0"/>
    </xf>
    <xf numFmtId="176" fontId="179" fillId="0" borderId="46" xfId="0" applyNumberFormat="1" applyFont="1" applyFill="1" applyBorder="1" applyAlignment="1" applyProtection="1">
      <alignment horizontal="center" vertical="center" wrapText="1"/>
      <protection locked="0"/>
    </xf>
    <xf numFmtId="176" fontId="54" fillId="6" borderId="23" xfId="0" applyNumberFormat="1" applyFont="1" applyFill="1" applyBorder="1" applyAlignment="1" applyProtection="1">
      <alignment horizontal="center" vertical="center" wrapText="1"/>
    </xf>
    <xf numFmtId="176" fontId="54" fillId="6" borderId="6" xfId="0" applyNumberFormat="1" applyFont="1" applyFill="1" applyBorder="1" applyAlignment="1" applyProtection="1">
      <alignment horizontal="center" vertical="center" wrapText="1"/>
    </xf>
    <xf numFmtId="176" fontId="54" fillId="6" borderId="10" xfId="0" applyNumberFormat="1" applyFont="1" applyFill="1" applyBorder="1" applyAlignment="1" applyProtection="1">
      <alignment horizontal="center" vertical="center" wrapText="1"/>
    </xf>
    <xf numFmtId="176" fontId="54" fillId="6" borderId="30" xfId="0" applyNumberFormat="1" applyFont="1" applyFill="1" applyBorder="1" applyAlignment="1" applyProtection="1">
      <alignment horizontal="center" vertical="center" wrapText="1"/>
    </xf>
    <xf numFmtId="176" fontId="54" fillId="6" borderId="28" xfId="0" applyNumberFormat="1" applyFont="1" applyFill="1" applyBorder="1" applyAlignment="1" applyProtection="1">
      <alignment horizontal="center" vertical="center" wrapText="1"/>
    </xf>
    <xf numFmtId="176" fontId="54" fillId="6" borderId="46" xfId="0" applyNumberFormat="1" applyFont="1" applyFill="1" applyBorder="1" applyAlignment="1" applyProtection="1">
      <alignment horizontal="center" vertical="center" wrapText="1"/>
    </xf>
    <xf numFmtId="176" fontId="54" fillId="6" borderId="22" xfId="0" applyNumberFormat="1" applyFont="1" applyFill="1" applyBorder="1" applyAlignment="1" applyProtection="1">
      <alignment horizontal="center" vertical="center" wrapText="1"/>
    </xf>
    <xf numFmtId="176" fontId="54" fillId="6" borderId="58" xfId="0" applyNumberFormat="1" applyFont="1" applyFill="1" applyBorder="1" applyAlignment="1" applyProtection="1">
      <alignment horizontal="center" vertical="center" wrapText="1"/>
    </xf>
    <xf numFmtId="176" fontId="54" fillId="6" borderId="35" xfId="0" applyNumberFormat="1" applyFont="1" applyFill="1" applyBorder="1" applyAlignment="1" applyProtection="1">
      <alignment horizontal="center" vertical="center" wrapText="1"/>
    </xf>
    <xf numFmtId="176" fontId="54" fillId="6" borderId="4" xfId="0" applyNumberFormat="1" applyFont="1" applyFill="1" applyBorder="1" applyAlignment="1" applyProtection="1">
      <alignment horizontal="center" vertical="center" wrapText="1"/>
    </xf>
    <xf numFmtId="176" fontId="54" fillId="6" borderId="7" xfId="0" applyNumberFormat="1" applyFont="1" applyFill="1" applyBorder="1" applyAlignment="1" applyProtection="1">
      <alignment horizontal="center" vertical="center" wrapText="1"/>
    </xf>
    <xf numFmtId="176" fontId="54" fillId="6" borderId="4" xfId="0" applyNumberFormat="1" applyFont="1" applyFill="1" applyBorder="1" applyAlignment="1" applyProtection="1">
      <alignment horizontal="center" vertical="center"/>
    </xf>
    <xf numFmtId="176" fontId="54" fillId="6" borderId="7" xfId="0" applyNumberFormat="1" applyFont="1" applyFill="1" applyBorder="1" applyAlignment="1" applyProtection="1">
      <alignment horizontal="center" vertical="center"/>
    </xf>
    <xf numFmtId="176" fontId="47" fillId="6" borderId="54" xfId="0" applyNumberFormat="1" applyFont="1" applyFill="1" applyBorder="1" applyAlignment="1" applyProtection="1">
      <alignment horizontal="center" vertical="center"/>
    </xf>
    <xf numFmtId="176" fontId="54" fillId="6" borderId="11" xfId="0" applyNumberFormat="1" applyFont="1" applyFill="1" applyBorder="1" applyAlignment="1" applyProtection="1">
      <alignment horizontal="center" vertical="center" wrapText="1"/>
    </xf>
    <xf numFmtId="176" fontId="54" fillId="6" borderId="14" xfId="0" applyNumberFormat="1" applyFont="1" applyFill="1" applyBorder="1" applyAlignment="1" applyProtection="1">
      <alignment horizontal="center" vertical="center" wrapText="1"/>
    </xf>
    <xf numFmtId="176" fontId="54" fillId="6" borderId="13" xfId="0" applyNumberFormat="1" applyFont="1" applyFill="1" applyBorder="1" applyAlignment="1" applyProtection="1">
      <alignment horizontal="center" vertical="center" wrapText="1"/>
    </xf>
    <xf numFmtId="176" fontId="54" fillId="6" borderId="15" xfId="0" applyNumberFormat="1" applyFont="1" applyFill="1" applyBorder="1" applyAlignment="1" applyProtection="1">
      <alignment horizontal="center" vertical="center" wrapText="1"/>
    </xf>
    <xf numFmtId="176" fontId="54" fillId="6" borderId="11" xfId="0" applyNumberFormat="1" applyFont="1" applyFill="1" applyBorder="1" applyAlignment="1" applyProtection="1">
      <alignment horizontal="center" vertical="center" textRotation="255" wrapText="1"/>
    </xf>
    <xf numFmtId="176" fontId="54" fillId="6" borderId="14" xfId="0" applyNumberFormat="1" applyFont="1" applyFill="1" applyBorder="1" applyAlignment="1" applyProtection="1">
      <alignment horizontal="center" vertical="center" textRotation="255" wrapText="1"/>
    </xf>
    <xf numFmtId="176" fontId="54" fillId="6" borderId="41" xfId="0" applyNumberFormat="1" applyFont="1" applyFill="1" applyBorder="1" applyAlignment="1" applyProtection="1">
      <alignment horizontal="center" vertical="center" textRotation="255" wrapText="1"/>
    </xf>
    <xf numFmtId="176" fontId="54" fillId="6" borderId="15" xfId="0" applyNumberFormat="1" applyFont="1" applyFill="1" applyBorder="1" applyAlignment="1" applyProtection="1">
      <alignment horizontal="center" vertical="center" textRotation="255" wrapText="1"/>
    </xf>
    <xf numFmtId="176" fontId="54" fillId="6" borderId="2" xfId="0" applyNumberFormat="1" applyFont="1" applyFill="1" applyBorder="1" applyAlignment="1" applyProtection="1">
      <alignment horizontal="center" vertical="center" textRotation="255" wrapText="1"/>
    </xf>
    <xf numFmtId="176" fontId="54" fillId="6" borderId="1" xfId="0" applyNumberFormat="1" applyFont="1" applyFill="1" applyBorder="1" applyAlignment="1" applyProtection="1">
      <alignment horizontal="center" vertical="center" wrapText="1"/>
    </xf>
    <xf numFmtId="176" fontId="54" fillId="6" borderId="5" xfId="0" applyNumberFormat="1" applyFont="1" applyFill="1" applyBorder="1" applyAlignment="1" applyProtection="1">
      <alignment horizontal="center" vertical="center" wrapText="1"/>
    </xf>
    <xf numFmtId="176" fontId="54" fillId="6" borderId="3" xfId="0" applyNumberFormat="1" applyFont="1" applyFill="1" applyBorder="1" applyAlignment="1" applyProtection="1">
      <alignment horizontal="center" vertical="center" wrapText="1"/>
    </xf>
    <xf numFmtId="176" fontId="53" fillId="6" borderId="1" xfId="0" applyNumberFormat="1" applyFont="1" applyFill="1" applyBorder="1" applyAlignment="1" applyProtection="1">
      <alignment horizontal="center" vertical="center"/>
    </xf>
    <xf numFmtId="176" fontId="50" fillId="6" borderId="3" xfId="0" applyNumberFormat="1" applyFont="1" applyFill="1" applyBorder="1" applyAlignment="1" applyProtection="1">
      <alignment horizontal="center" vertical="center"/>
    </xf>
    <xf numFmtId="176" fontId="50" fillId="6" borderId="75" xfId="0" applyNumberFormat="1" applyFont="1" applyFill="1" applyBorder="1" applyAlignment="1" applyProtection="1">
      <alignment horizontal="center" vertical="center"/>
      <protection locked="0"/>
    </xf>
    <xf numFmtId="176" fontId="50" fillId="6" borderId="47" xfId="0" applyNumberFormat="1" applyFont="1" applyFill="1" applyBorder="1" applyAlignment="1" applyProtection="1">
      <alignment horizontal="center" vertical="center"/>
      <protection locked="0"/>
    </xf>
    <xf numFmtId="176" fontId="50" fillId="6" borderId="73" xfId="0" applyNumberFormat="1" applyFont="1" applyFill="1" applyBorder="1" applyAlignment="1" applyProtection="1">
      <alignment horizontal="center" vertical="center"/>
      <protection locked="0"/>
    </xf>
    <xf numFmtId="0" fontId="262" fillId="0" borderId="5" xfId="15" applyFont="1" applyBorder="1" applyAlignment="1">
      <alignment horizontal="center" vertical="center"/>
    </xf>
    <xf numFmtId="0" fontId="262" fillId="0" borderId="54" xfId="15" applyFont="1" applyBorder="1" applyAlignment="1">
      <alignment horizontal="center" vertical="center"/>
    </xf>
    <xf numFmtId="0" fontId="262" fillId="0" borderId="3" xfId="15" applyFont="1" applyBorder="1" applyAlignment="1">
      <alignment horizontal="center" vertical="center"/>
    </xf>
    <xf numFmtId="176" fontId="222" fillId="6" borderId="1" xfId="0" applyNumberFormat="1" applyFont="1" applyFill="1" applyBorder="1" applyAlignment="1">
      <alignment horizontal="center" vertical="center"/>
    </xf>
    <xf numFmtId="190" fontId="142" fillId="6" borderId="37" xfId="0" applyFont="1" applyFill="1" applyBorder="1" applyAlignment="1">
      <alignment horizontal="left" vertical="center"/>
    </xf>
    <xf numFmtId="190" fontId="142" fillId="6" borderId="54" xfId="0" applyFont="1" applyFill="1" applyBorder="1" applyAlignment="1">
      <alignment horizontal="left" vertical="center"/>
    </xf>
    <xf numFmtId="190" fontId="142" fillId="6" borderId="3" xfId="0" applyFont="1" applyFill="1" applyBorder="1" applyAlignment="1">
      <alignment horizontal="left" vertical="center"/>
    </xf>
    <xf numFmtId="190" fontId="144" fillId="6" borderId="1" xfId="0" applyFont="1" applyFill="1" applyBorder="1" applyAlignment="1">
      <alignment horizontal="center" vertical="center"/>
    </xf>
    <xf numFmtId="190" fontId="144" fillId="6" borderId="24" xfId="0" applyFont="1" applyFill="1" applyBorder="1" applyAlignment="1">
      <alignment horizontal="center" vertical="center"/>
    </xf>
    <xf numFmtId="190" fontId="84" fillId="6" borderId="23" xfId="0" applyFont="1" applyFill="1" applyBorder="1" applyAlignment="1">
      <alignment horizontal="left" vertical="center" wrapText="1"/>
    </xf>
    <xf numFmtId="190" fontId="19" fillId="0" borderId="1" xfId="0" applyFont="1" applyFill="1" applyBorder="1" applyAlignment="1">
      <alignment horizontal="center" vertical="center"/>
    </xf>
    <xf numFmtId="190" fontId="84" fillId="0" borderId="1" xfId="0" applyFont="1" applyFill="1" applyBorder="1" applyAlignment="1">
      <alignment horizontal="center" vertical="center"/>
    </xf>
    <xf numFmtId="190" fontId="19" fillId="0" borderId="1" xfId="0" applyFont="1" applyBorder="1" applyAlignment="1"/>
    <xf numFmtId="190" fontId="84" fillId="6" borderId="1" xfId="0" applyFont="1" applyFill="1" applyBorder="1" applyAlignment="1">
      <alignment horizontal="left" vertical="center" wrapText="1"/>
    </xf>
    <xf numFmtId="190" fontId="145" fillId="6" borderId="55" xfId="0" applyFont="1" applyFill="1" applyBorder="1" applyAlignment="1">
      <alignment vertical="center"/>
    </xf>
    <xf numFmtId="190" fontId="145" fillId="6" borderId="36" xfId="0" applyFont="1" applyFill="1" applyBorder="1" applyAlignment="1">
      <alignment vertical="center"/>
    </xf>
    <xf numFmtId="190" fontId="145" fillId="6" borderId="22" xfId="0" applyFont="1" applyFill="1" applyBorder="1" applyAlignment="1">
      <alignment vertical="center"/>
    </xf>
    <xf numFmtId="190" fontId="145" fillId="6" borderId="42" xfId="0" applyFont="1" applyFill="1" applyBorder="1" applyAlignment="1">
      <alignment vertical="center"/>
    </xf>
    <xf numFmtId="190" fontId="145" fillId="6" borderId="47" xfId="0" applyFont="1" applyFill="1" applyBorder="1" applyAlignment="1">
      <alignment vertical="center"/>
    </xf>
    <xf numFmtId="190" fontId="145" fillId="6" borderId="73" xfId="0" applyFont="1" applyFill="1" applyBorder="1" applyAlignment="1">
      <alignment vertical="center"/>
    </xf>
    <xf numFmtId="190" fontId="84" fillId="11" borderId="1" xfId="0" applyFont="1" applyFill="1" applyBorder="1" applyAlignment="1">
      <alignment horizontal="center" vertical="center"/>
    </xf>
    <xf numFmtId="190" fontId="19" fillId="0" borderId="1" xfId="0" applyFont="1" applyBorder="1" applyAlignment="1">
      <alignment horizontal="center"/>
    </xf>
    <xf numFmtId="190" fontId="145" fillId="11" borderId="5" xfId="0" applyFont="1" applyFill="1" applyBorder="1" applyAlignment="1">
      <alignment horizontal="left" vertical="center"/>
    </xf>
    <xf numFmtId="190" fontId="145" fillId="11" borderId="54" xfId="0" applyFont="1" applyFill="1" applyBorder="1" applyAlignment="1">
      <alignment horizontal="left" vertical="center"/>
    </xf>
    <xf numFmtId="190" fontId="145" fillId="11" borderId="3" xfId="0" applyFont="1" applyFill="1" applyBorder="1" applyAlignment="1">
      <alignment horizontal="left" vertical="center"/>
    </xf>
    <xf numFmtId="190" fontId="54" fillId="6" borderId="13" xfId="0" applyFont="1" applyFill="1" applyBorder="1" applyAlignment="1" applyProtection="1">
      <alignment horizontal="center" vertical="center"/>
    </xf>
    <xf numFmtId="190" fontId="54" fillId="6" borderId="15" xfId="0" applyFont="1" applyFill="1" applyBorder="1" applyAlignment="1" applyProtection="1">
      <alignment horizontal="center" vertical="center"/>
    </xf>
    <xf numFmtId="190" fontId="54" fillId="6" borderId="2" xfId="0" applyFont="1" applyFill="1" applyBorder="1" applyAlignment="1" applyProtection="1">
      <alignment horizontal="center" vertical="center"/>
    </xf>
    <xf numFmtId="190" fontId="47" fillId="6" borderId="5" xfId="0" applyFont="1" applyFill="1" applyBorder="1" applyAlignment="1" applyProtection="1">
      <alignment horizontal="center" vertical="center"/>
    </xf>
    <xf numFmtId="190" fontId="47" fillId="6" borderId="3" xfId="0" applyFont="1" applyFill="1" applyBorder="1" applyAlignment="1" applyProtection="1">
      <alignment horizontal="center" vertical="center"/>
    </xf>
    <xf numFmtId="190" fontId="54" fillId="6" borderId="46" xfId="0" applyFont="1" applyFill="1" applyBorder="1" applyAlignment="1" applyProtection="1">
      <alignment horizontal="center" vertical="center"/>
    </xf>
    <xf numFmtId="190" fontId="54" fillId="6" borderId="22" xfId="0" applyFont="1" applyFill="1" applyBorder="1" applyAlignment="1" applyProtection="1">
      <alignment horizontal="center" vertical="center"/>
    </xf>
    <xf numFmtId="190" fontId="54" fillId="6" borderId="58" xfId="0" applyFont="1" applyFill="1" applyBorder="1" applyAlignment="1" applyProtection="1">
      <alignment horizontal="center" vertical="center"/>
    </xf>
    <xf numFmtId="190" fontId="54" fillId="6" borderId="35" xfId="0" applyFont="1" applyFill="1" applyBorder="1" applyAlignment="1" applyProtection="1">
      <alignment horizontal="center" vertical="center"/>
    </xf>
    <xf numFmtId="190" fontId="179" fillId="0" borderId="3" xfId="0" applyFont="1" applyFill="1" applyBorder="1" applyAlignment="1" applyProtection="1">
      <alignment horizontal="center" vertical="center" wrapText="1"/>
      <protection locked="0"/>
    </xf>
    <xf numFmtId="190" fontId="179" fillId="0" borderId="5" xfId="0" applyFont="1" applyFill="1" applyBorder="1" applyAlignment="1" applyProtection="1">
      <alignment horizontal="center" vertical="center" wrapText="1"/>
      <protection locked="0"/>
    </xf>
    <xf numFmtId="190" fontId="179" fillId="0" borderId="23" xfId="0" applyFont="1" applyFill="1" applyBorder="1" applyAlignment="1" applyProtection="1">
      <alignment horizontal="center" vertical="center" wrapText="1"/>
      <protection locked="0"/>
    </xf>
    <xf numFmtId="190" fontId="179" fillId="0" borderId="24" xfId="0" applyFont="1" applyFill="1" applyBorder="1" applyAlignment="1" applyProtection="1">
      <alignment horizontal="center" vertical="center" wrapText="1"/>
      <protection locked="0"/>
    </xf>
    <xf numFmtId="190" fontId="179" fillId="0" borderId="11" xfId="0" applyFont="1" applyFill="1" applyBorder="1" applyAlignment="1" applyProtection="1">
      <alignment horizontal="center" vertical="center" wrapText="1"/>
      <protection locked="0"/>
    </xf>
    <xf numFmtId="190" fontId="179" fillId="0" borderId="61" xfId="0" applyFont="1" applyFill="1" applyBorder="1" applyAlignment="1" applyProtection="1">
      <alignment horizontal="center" vertical="center" wrapText="1"/>
      <protection locked="0"/>
    </xf>
    <xf numFmtId="190" fontId="179" fillId="0" borderId="22" xfId="0" applyFont="1" applyFill="1" applyBorder="1" applyAlignment="1" applyProtection="1">
      <alignment horizontal="center" vertical="center" wrapText="1"/>
      <protection locked="0"/>
    </xf>
    <xf numFmtId="190" fontId="179" fillId="0" borderId="46" xfId="0" applyFont="1" applyFill="1" applyBorder="1" applyAlignment="1" applyProtection="1">
      <alignment horizontal="center" vertical="center" wrapText="1"/>
      <protection locked="0"/>
    </xf>
    <xf numFmtId="190" fontId="54" fillId="6" borderId="23" xfId="0" applyFont="1" applyFill="1" applyBorder="1" applyAlignment="1" applyProtection="1">
      <alignment horizontal="center" vertical="center" wrapText="1"/>
    </xf>
    <xf numFmtId="190" fontId="47" fillId="6" borderId="1" xfId="0" applyFont="1" applyFill="1" applyBorder="1" applyAlignment="1" applyProtection="1">
      <alignment horizontal="center" vertical="center" wrapText="1"/>
    </xf>
    <xf numFmtId="190" fontId="54" fillId="6" borderId="6" xfId="0" applyFont="1" applyFill="1" applyBorder="1" applyAlignment="1" applyProtection="1">
      <alignment horizontal="center" vertical="center" wrapText="1"/>
    </xf>
    <xf numFmtId="190" fontId="54" fillId="6" borderId="10" xfId="0" applyFont="1" applyFill="1" applyBorder="1" applyAlignment="1" applyProtection="1">
      <alignment horizontal="center" vertical="center" wrapText="1"/>
    </xf>
    <xf numFmtId="190" fontId="54" fillId="6" borderId="30" xfId="0" applyFont="1" applyFill="1" applyBorder="1" applyAlignment="1" applyProtection="1">
      <alignment horizontal="center" vertical="center" wrapText="1"/>
    </xf>
    <xf numFmtId="190" fontId="54" fillId="6" borderId="28" xfId="0" applyFont="1" applyFill="1" applyBorder="1" applyAlignment="1" applyProtection="1">
      <alignment horizontal="center" vertical="center" wrapText="1"/>
    </xf>
    <xf numFmtId="190" fontId="54" fillId="6" borderId="46" xfId="0" applyFont="1" applyFill="1" applyBorder="1" applyAlignment="1" applyProtection="1">
      <alignment horizontal="center" vertical="center" wrapText="1"/>
    </xf>
    <xf numFmtId="190" fontId="54" fillId="6" borderId="22" xfId="0" applyFont="1" applyFill="1" applyBorder="1" applyAlignment="1" applyProtection="1">
      <alignment horizontal="center" vertical="center" wrapText="1"/>
    </xf>
    <xf numFmtId="190" fontId="54" fillId="6" borderId="58" xfId="0" applyFont="1" applyFill="1" applyBorder="1" applyAlignment="1" applyProtection="1">
      <alignment horizontal="center" vertical="center" wrapText="1"/>
    </xf>
    <xf numFmtId="190" fontId="54" fillId="6" borderId="35" xfId="0" applyFont="1" applyFill="1" applyBorder="1" applyAlignment="1" applyProtection="1">
      <alignment horizontal="center" vertical="center" wrapText="1"/>
    </xf>
    <xf numFmtId="190" fontId="54" fillId="6" borderId="4" xfId="0" applyFont="1" applyFill="1" applyBorder="1" applyAlignment="1" applyProtection="1">
      <alignment horizontal="center" vertical="center" wrapText="1"/>
    </xf>
    <xf numFmtId="190" fontId="54" fillId="6" borderId="7" xfId="0" applyFont="1" applyFill="1" applyBorder="1" applyAlignment="1" applyProtection="1">
      <alignment horizontal="center" vertical="center" wrapText="1"/>
    </xf>
    <xf numFmtId="190" fontId="54" fillId="6" borderId="4" xfId="0" applyFont="1" applyFill="1" applyBorder="1" applyAlignment="1" applyProtection="1">
      <alignment horizontal="center" vertical="center"/>
    </xf>
    <xf numFmtId="190" fontId="54" fillId="6" borderId="7" xfId="0" applyFont="1" applyFill="1" applyBorder="1" applyAlignment="1" applyProtection="1">
      <alignment horizontal="center" vertical="center"/>
    </xf>
    <xf numFmtId="190" fontId="54" fillId="6" borderId="1" xfId="0" applyFont="1" applyFill="1" applyBorder="1" applyAlignment="1" applyProtection="1">
      <alignment horizontal="center" vertical="center"/>
    </xf>
    <xf numFmtId="190" fontId="47" fillId="6" borderId="54" xfId="0" applyFont="1" applyFill="1" applyBorder="1" applyAlignment="1" applyProtection="1">
      <alignment horizontal="center" vertical="center"/>
    </xf>
    <xf numFmtId="190" fontId="54" fillId="6" borderId="5" xfId="0" applyFont="1" applyFill="1" applyBorder="1" applyAlignment="1" applyProtection="1">
      <alignment horizontal="center" vertical="center" wrapText="1"/>
    </xf>
    <xf numFmtId="190" fontId="54" fillId="6" borderId="3" xfId="0" applyFont="1" applyFill="1" applyBorder="1" applyAlignment="1" applyProtection="1">
      <alignment horizontal="center" vertical="center" wrapText="1"/>
    </xf>
    <xf numFmtId="190" fontId="53" fillId="6" borderId="1" xfId="0" applyNumberFormat="1" applyFont="1" applyFill="1" applyBorder="1" applyAlignment="1" applyProtection="1">
      <alignment horizontal="center" vertical="center"/>
    </xf>
    <xf numFmtId="190" fontId="54" fillId="6" borderId="1" xfId="0" applyFont="1" applyFill="1" applyBorder="1" applyAlignment="1" applyProtection="1">
      <alignment horizontal="center" vertical="center" wrapText="1"/>
    </xf>
    <xf numFmtId="190" fontId="54" fillId="6" borderId="1" xfId="0" applyNumberFormat="1" applyFont="1" applyFill="1" applyBorder="1" applyAlignment="1" applyProtection="1">
      <alignment horizontal="center" vertical="center"/>
    </xf>
    <xf numFmtId="190" fontId="54" fillId="6" borderId="13" xfId="0" applyFont="1" applyFill="1" applyBorder="1" applyAlignment="1" applyProtection="1">
      <alignment horizontal="center" vertical="center" wrapText="1"/>
    </xf>
    <xf numFmtId="190" fontId="54" fillId="6" borderId="15" xfId="0" applyFont="1" applyFill="1" applyBorder="1" applyAlignment="1" applyProtection="1">
      <alignment horizontal="center" vertical="center" wrapText="1"/>
    </xf>
    <xf numFmtId="190" fontId="54" fillId="6" borderId="11" xfId="0" applyFont="1" applyFill="1" applyBorder="1" applyAlignment="1" applyProtection="1">
      <alignment horizontal="center" vertical="center" textRotation="255" wrapText="1"/>
    </xf>
    <xf numFmtId="190" fontId="54" fillId="6" borderId="14" xfId="0" applyFont="1" applyFill="1" applyBorder="1" applyAlignment="1" applyProtection="1">
      <alignment horizontal="center" vertical="center" textRotation="255" wrapText="1"/>
    </xf>
    <xf numFmtId="190" fontId="54" fillId="6" borderId="41" xfId="0" applyFont="1" applyFill="1" applyBorder="1" applyAlignment="1" applyProtection="1">
      <alignment horizontal="center" vertical="center" textRotation="255" wrapText="1"/>
    </xf>
    <xf numFmtId="190" fontId="54" fillId="6" borderId="15" xfId="0" applyFont="1" applyFill="1" applyBorder="1" applyAlignment="1" applyProtection="1">
      <alignment horizontal="center" vertical="center" textRotation="255" wrapText="1"/>
    </xf>
    <xf numFmtId="190" fontId="54" fillId="6" borderId="2" xfId="0" applyFont="1" applyFill="1" applyBorder="1" applyAlignment="1" applyProtection="1">
      <alignment horizontal="center" vertical="center" textRotation="255" wrapText="1"/>
    </xf>
    <xf numFmtId="190" fontId="54" fillId="6" borderId="11" xfId="0" applyFont="1" applyFill="1" applyBorder="1" applyAlignment="1" applyProtection="1">
      <alignment horizontal="center" vertical="center" wrapText="1"/>
    </xf>
    <xf numFmtId="190" fontId="54" fillId="6" borderId="14" xfId="0" applyFont="1" applyFill="1" applyBorder="1" applyAlignment="1" applyProtection="1">
      <alignment horizontal="center" vertical="center" wrapText="1"/>
    </xf>
    <xf numFmtId="176" fontId="120" fillId="6" borderId="34" xfId="0" applyNumberFormat="1" applyFont="1" applyFill="1" applyBorder="1" applyAlignment="1" applyProtection="1">
      <alignment horizontal="left" vertical="center" wrapText="1"/>
    </xf>
    <xf numFmtId="176" fontId="120" fillId="6" borderId="65" xfId="0" applyNumberFormat="1" applyFont="1" applyFill="1" applyBorder="1" applyAlignment="1" applyProtection="1">
      <alignment horizontal="left" vertical="center" wrapText="1"/>
    </xf>
    <xf numFmtId="176" fontId="50" fillId="6" borderId="13" xfId="0" applyNumberFormat="1" applyFont="1" applyFill="1" applyBorder="1" applyAlignment="1" applyProtection="1">
      <alignment vertical="top" wrapText="1"/>
    </xf>
    <xf numFmtId="176" fontId="50" fillId="6" borderId="15" xfId="0" applyNumberFormat="1" applyFont="1" applyFill="1" applyBorder="1" applyAlignment="1" applyProtection="1">
      <alignment vertical="top" wrapText="1"/>
    </xf>
    <xf numFmtId="176" fontId="50" fillId="6" borderId="2" xfId="0" applyNumberFormat="1" applyFont="1" applyFill="1" applyBorder="1" applyAlignment="1" applyProtection="1">
      <alignment vertical="top" wrapText="1"/>
    </xf>
    <xf numFmtId="190" fontId="54" fillId="6" borderId="17" xfId="0" applyFont="1" applyFill="1" applyBorder="1" applyAlignment="1" applyProtection="1">
      <alignment horizontal="center" vertical="center"/>
    </xf>
    <xf numFmtId="190" fontId="54" fillId="6" borderId="29" xfId="0" applyFont="1" applyFill="1" applyBorder="1" applyAlignment="1" applyProtection="1">
      <alignment horizontal="center" vertical="center"/>
    </xf>
    <xf numFmtId="190" fontId="54" fillId="6" borderId="39" xfId="0" applyFont="1" applyFill="1" applyBorder="1" applyAlignment="1" applyProtection="1">
      <alignment horizontal="center" vertical="center"/>
    </xf>
    <xf numFmtId="190" fontId="54" fillId="6" borderId="62" xfId="0" applyFont="1" applyFill="1" applyBorder="1" applyAlignment="1" applyProtection="1">
      <alignment horizontal="center" vertical="center"/>
    </xf>
    <xf numFmtId="190" fontId="54" fillId="6" borderId="53" xfId="0" applyFont="1" applyFill="1" applyBorder="1" applyAlignment="1" applyProtection="1">
      <alignment horizontal="center" vertical="center"/>
    </xf>
    <xf numFmtId="190" fontId="54" fillId="6" borderId="8" xfId="0" applyFont="1" applyFill="1" applyBorder="1" applyAlignment="1" applyProtection="1">
      <alignment horizontal="center" vertical="center"/>
    </xf>
    <xf numFmtId="190" fontId="54" fillId="6" borderId="16" xfId="0" applyFont="1" applyFill="1" applyBorder="1" applyAlignment="1" applyProtection="1">
      <alignment horizontal="center" vertical="center" wrapText="1"/>
    </xf>
    <xf numFmtId="190" fontId="54" fillId="6" borderId="39" xfId="0" applyFont="1" applyFill="1" applyBorder="1" applyAlignment="1" applyProtection="1">
      <alignment horizontal="center" vertical="center" wrapText="1"/>
    </xf>
    <xf numFmtId="190" fontId="54" fillId="6" borderId="18" xfId="0" applyFont="1" applyFill="1" applyBorder="1" applyAlignment="1" applyProtection="1">
      <alignment horizontal="center" vertical="center" wrapText="1"/>
    </xf>
    <xf numFmtId="190" fontId="54" fillId="6" borderId="69" xfId="0" applyFont="1" applyFill="1" applyBorder="1" applyAlignment="1" applyProtection="1">
      <alignment horizontal="center" vertical="center" wrapText="1"/>
    </xf>
    <xf numFmtId="190" fontId="54" fillId="6" borderId="9" xfId="0" applyFont="1" applyFill="1" applyBorder="1" applyAlignment="1" applyProtection="1">
      <alignment horizontal="center" vertical="center"/>
    </xf>
    <xf numFmtId="190" fontId="47" fillId="6" borderId="37" xfId="0" applyFont="1" applyFill="1" applyBorder="1" applyAlignment="1" applyProtection="1">
      <alignment horizontal="center" vertical="center"/>
    </xf>
    <xf numFmtId="190" fontId="54" fillId="6" borderId="38" xfId="0" applyFont="1" applyFill="1" applyBorder="1" applyAlignment="1" applyProtection="1">
      <alignment horizontal="center" vertical="center" wrapText="1"/>
    </xf>
    <xf numFmtId="190" fontId="54" fillId="6" borderId="66" xfId="0" applyFont="1" applyFill="1" applyBorder="1" applyAlignment="1" applyProtection="1">
      <alignment horizontal="center" vertical="center" wrapText="1"/>
    </xf>
    <xf numFmtId="190" fontId="53" fillId="6" borderId="32" xfId="0" applyNumberFormat="1" applyFont="1" applyFill="1" applyBorder="1" applyAlignment="1" applyProtection="1">
      <alignment horizontal="center" vertical="center"/>
    </xf>
    <xf numFmtId="190" fontId="54" fillId="6" borderId="13" xfId="0" applyFont="1" applyFill="1" applyBorder="1" applyAlignment="1" applyProtection="1">
      <alignment horizontal="center" vertical="center" textRotation="255" wrapText="1"/>
    </xf>
    <xf numFmtId="185" fontId="54" fillId="6" borderId="1" xfId="0" applyNumberFormat="1" applyFont="1" applyFill="1" applyBorder="1" applyAlignment="1" applyProtection="1">
      <alignment horizontal="center" vertical="center"/>
    </xf>
    <xf numFmtId="185" fontId="53" fillId="6" borderId="1" xfId="0" applyNumberFormat="1" applyFont="1" applyFill="1" applyBorder="1" applyAlignment="1" applyProtection="1">
      <alignment horizontal="center" vertical="center"/>
    </xf>
    <xf numFmtId="190" fontId="54" fillId="6" borderId="9" xfId="0" applyFont="1" applyFill="1" applyBorder="1" applyAlignment="1" applyProtection="1">
      <alignment horizontal="center" vertical="center" wrapText="1"/>
    </xf>
    <xf numFmtId="190" fontId="105" fillId="6" borderId="23" xfId="0" applyFont="1" applyFill="1" applyBorder="1" applyAlignment="1" applyProtection="1">
      <alignment horizontal="center" vertical="center"/>
    </xf>
    <xf numFmtId="190" fontId="54" fillId="0" borderId="11" xfId="0" applyFont="1" applyFill="1" applyBorder="1" applyAlignment="1" applyProtection="1">
      <alignment horizontal="center" vertical="center" wrapText="1"/>
      <protection locked="0"/>
    </xf>
    <xf numFmtId="190" fontId="54" fillId="0" borderId="61" xfId="0" applyFont="1" applyFill="1" applyBorder="1" applyAlignment="1" applyProtection="1">
      <alignment horizontal="center" vertical="center" wrapText="1"/>
      <protection locked="0"/>
    </xf>
    <xf numFmtId="190" fontId="54" fillId="0" borderId="22" xfId="0" applyFont="1" applyFill="1" applyBorder="1" applyAlignment="1" applyProtection="1">
      <alignment horizontal="center" vertical="center" wrapText="1"/>
      <protection locked="0"/>
    </xf>
    <xf numFmtId="19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190" fontId="108" fillId="6" borderId="0" xfId="0" applyFont="1" applyFill="1" applyAlignment="1" applyProtection="1">
      <alignment horizontal="center" vertical="center"/>
    </xf>
    <xf numFmtId="190" fontId="105" fillId="0" borderId="0" xfId="0" applyFont="1" applyAlignment="1" applyProtection="1">
      <alignment horizontal="left" vertical="center"/>
    </xf>
    <xf numFmtId="190" fontId="105" fillId="6" borderId="1" xfId="0" applyFont="1" applyFill="1" applyBorder="1" applyAlignment="1" applyProtection="1">
      <alignment horizontal="center" vertical="center"/>
    </xf>
    <xf numFmtId="190" fontId="105" fillId="6" borderId="13" xfId="0" applyFont="1" applyFill="1" applyBorder="1" applyAlignment="1" applyProtection="1">
      <alignment horizontal="center" vertical="center"/>
    </xf>
    <xf numFmtId="190" fontId="105" fillId="6" borderId="15" xfId="0" applyFont="1" applyFill="1" applyBorder="1" applyAlignment="1" applyProtection="1">
      <alignment horizontal="center" vertical="center"/>
    </xf>
    <xf numFmtId="190" fontId="105" fillId="6" borderId="2" xfId="0" applyFont="1" applyFill="1" applyBorder="1" applyAlignment="1" applyProtection="1">
      <alignment horizontal="center" vertical="center"/>
    </xf>
    <xf numFmtId="190" fontId="105" fillId="6" borderId="13" xfId="0" applyFont="1" applyFill="1" applyBorder="1" applyAlignment="1" applyProtection="1">
      <alignment horizontal="center" vertical="center" wrapText="1"/>
    </xf>
    <xf numFmtId="190" fontId="105" fillId="6" borderId="2" xfId="0" applyFont="1" applyFill="1" applyBorder="1" applyAlignment="1" applyProtection="1">
      <alignment horizontal="center" vertical="center" wrapText="1"/>
    </xf>
    <xf numFmtId="190" fontId="148" fillId="6" borderId="13" xfId="0" applyFont="1" applyFill="1" applyBorder="1" applyAlignment="1" applyProtection="1">
      <alignment vertical="center" wrapText="1"/>
    </xf>
    <xf numFmtId="190" fontId="148" fillId="6" borderId="15" xfId="0" applyFont="1" applyFill="1" applyBorder="1" applyAlignment="1" applyProtection="1">
      <alignment vertical="center" wrapText="1"/>
    </xf>
    <xf numFmtId="190" fontId="148" fillId="6" borderId="2" xfId="0" applyFont="1" applyFill="1" applyBorder="1" applyAlignment="1" applyProtection="1">
      <alignment vertical="center" wrapText="1"/>
    </xf>
    <xf numFmtId="190" fontId="56" fillId="6" borderId="54" xfId="8" applyFont="1" applyFill="1" applyBorder="1" applyAlignment="1" applyProtection="1">
      <alignment horizontal="right" vertical="center" wrapText="1"/>
      <protection locked="0"/>
    </xf>
    <xf numFmtId="190" fontId="56" fillId="6" borderId="3" xfId="8" applyFont="1" applyFill="1" applyBorder="1" applyAlignment="1" applyProtection="1">
      <alignment horizontal="right" vertical="center" wrapText="1"/>
      <protection locked="0"/>
    </xf>
    <xf numFmtId="190" fontId="56" fillId="6" borderId="3" xfId="8" applyFont="1" applyFill="1" applyBorder="1" applyAlignment="1" applyProtection="1">
      <alignment horizontal="center" vertical="center" wrapText="1"/>
      <protection locked="0"/>
    </xf>
    <xf numFmtId="190" fontId="60" fillId="6" borderId="5" xfId="0" applyFont="1" applyFill="1" applyBorder="1" applyAlignment="1" applyProtection="1">
      <alignment horizontal="center" vertical="center" wrapText="1"/>
    </xf>
    <xf numFmtId="190" fontId="60" fillId="6" borderId="54" xfId="0" applyFont="1" applyFill="1" applyBorder="1" applyAlignment="1" applyProtection="1">
      <alignment horizontal="center" vertical="center" wrapText="1"/>
    </xf>
    <xf numFmtId="190" fontId="60" fillId="6" borderId="0" xfId="0" applyFont="1" applyFill="1" applyBorder="1" applyAlignment="1" applyProtection="1">
      <alignment horizontal="center" vertical="center" wrapText="1"/>
    </xf>
    <xf numFmtId="19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190" fontId="113" fillId="6" borderId="1" xfId="0" applyFont="1" applyFill="1" applyBorder="1" applyAlignment="1" applyProtection="1">
      <alignment horizontal="center" vertical="center"/>
    </xf>
    <xf numFmtId="190" fontId="145" fillId="0" borderId="0" xfId="9" applyFont="1" applyAlignment="1">
      <alignment horizontal="center" vertical="center"/>
    </xf>
    <xf numFmtId="190" fontId="108" fillId="0" borderId="0" xfId="9" applyFont="1" applyAlignment="1">
      <alignment horizontal="center" vertical="center"/>
    </xf>
    <xf numFmtId="190" fontId="152" fillId="12" borderId="132" xfId="9" applyFont="1" applyFill="1" applyBorder="1" applyAlignment="1" applyProtection="1">
      <alignment horizontal="center" vertical="center" wrapText="1"/>
    </xf>
    <xf numFmtId="190" fontId="152" fillId="12" borderId="126" xfId="9" applyFont="1" applyFill="1" applyBorder="1" applyAlignment="1" applyProtection="1">
      <alignment horizontal="center" vertical="center" wrapText="1"/>
    </xf>
    <xf numFmtId="190" fontId="152" fillId="12" borderId="128" xfId="9" applyFont="1" applyFill="1" applyBorder="1" applyAlignment="1" applyProtection="1">
      <alignment horizontal="center" vertical="center" wrapText="1"/>
    </xf>
    <xf numFmtId="190" fontId="150" fillId="0" borderId="0" xfId="9" applyFont="1" applyAlignment="1">
      <alignment horizontal="center" vertical="center"/>
    </xf>
    <xf numFmtId="190" fontId="152" fillId="12" borderId="123" xfId="9" applyFont="1" applyFill="1" applyBorder="1" applyAlignment="1" applyProtection="1">
      <alignment horizontal="center" vertical="center" wrapText="1"/>
    </xf>
    <xf numFmtId="190" fontId="105" fillId="12" borderId="132" xfId="9" applyFont="1" applyFill="1" applyBorder="1" applyAlignment="1" applyProtection="1">
      <alignment horizontal="center" vertical="center" wrapText="1"/>
    </xf>
    <xf numFmtId="190" fontId="105" fillId="12" borderId="126" xfId="9" applyFont="1" applyFill="1" applyBorder="1" applyAlignment="1" applyProtection="1">
      <alignment horizontal="center" vertical="center" wrapText="1"/>
    </xf>
    <xf numFmtId="190" fontId="105" fillId="12" borderId="128" xfId="9" applyFont="1" applyFill="1" applyBorder="1" applyAlignment="1" applyProtection="1">
      <alignment horizontal="center" vertical="center" wrapText="1"/>
    </xf>
    <xf numFmtId="190" fontId="129" fillId="6" borderId="0" xfId="0" applyFont="1" applyFill="1" applyAlignment="1" applyProtection="1">
      <alignment horizontal="center" vertical="center"/>
    </xf>
    <xf numFmtId="190" fontId="118" fillId="6" borderId="0" xfId="0" applyFont="1" applyFill="1" applyBorder="1" applyAlignment="1" applyProtection="1">
      <alignment horizontal="left" vertical="center"/>
    </xf>
    <xf numFmtId="190" fontId="117" fillId="6" borderId="6" xfId="0" applyFont="1" applyFill="1" applyBorder="1" applyAlignment="1" applyProtection="1">
      <alignment horizontal="center" vertical="center" wrapText="1"/>
    </xf>
    <xf numFmtId="190" fontId="117" fillId="6" borderId="25" xfId="0" applyFont="1" applyFill="1" applyBorder="1" applyAlignment="1" applyProtection="1">
      <alignment horizontal="center" vertical="center" wrapText="1"/>
    </xf>
    <xf numFmtId="190" fontId="256" fillId="0" borderId="5" xfId="0" applyFont="1" applyFill="1" applyBorder="1" applyAlignment="1">
      <alignment horizontal="center" vertical="center"/>
    </xf>
    <xf numFmtId="190" fontId="256" fillId="0" borderId="54" xfId="0" applyFont="1" applyFill="1" applyBorder="1" applyAlignment="1">
      <alignment horizontal="center" vertical="center"/>
    </xf>
    <xf numFmtId="190" fontId="256" fillId="0" borderId="1" xfId="0" applyFont="1" applyFill="1" applyBorder="1" applyAlignment="1">
      <alignment horizontal="center" vertical="center"/>
    </xf>
    <xf numFmtId="176" fontId="0" fillId="0" borderId="0" xfId="0" applyNumberFormat="1" applyBorder="1" applyAlignment="1">
      <alignment horizontal="center" vertical="center" wrapText="1"/>
    </xf>
    <xf numFmtId="176" fontId="262" fillId="0" borderId="1" xfId="0" applyNumberFormat="1" applyFont="1" applyBorder="1" applyAlignment="1">
      <alignment horizontal="center" vertical="center"/>
    </xf>
    <xf numFmtId="176" fontId="0" fillId="0" borderId="1" xfId="0" applyNumberFormat="1" applyBorder="1" applyAlignment="1">
      <alignment horizontal="center" vertical="center"/>
    </xf>
    <xf numFmtId="0" fontId="0" fillId="0" borderId="1" xfId="0" applyNumberFormat="1" applyBorder="1" applyAlignment="1">
      <alignment horizontal="center" vertical="center"/>
    </xf>
  </cellXfs>
  <cellStyles count="16">
    <cellStyle name="百分比" xfId="14" builtinId="5"/>
    <cellStyle name="常规" xfId="0" builtinId="0"/>
    <cellStyle name="常规 10" xfId="15"/>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 name="千位分隔" xfId="13" builtinId="3"/>
  </cellStyles>
  <dxfs count="217">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 sqref="B1:B1048576"/>
    </sheetView>
  </sheetViews>
  <sheetFormatPr defaultRowHeight="14.25"/>
  <cols>
    <col min="1" max="1" width="35.625" style="1247" customWidth="1"/>
    <col min="2" max="2" width="81" style="1264" customWidth="1"/>
    <col min="3" max="16384" width="9" style="1262"/>
  </cols>
  <sheetData>
    <row r="1" spans="1:2" s="1250" customFormat="1" ht="16.5" thickBot="1">
      <c r="A1" s="1249" t="s">
        <v>1220</v>
      </c>
      <c r="B1" s="1248" t="s">
        <v>1299</v>
      </c>
    </row>
    <row r="2" spans="1:2" s="1253" customFormat="1" ht="15" thickTop="1">
      <c r="A2" s="1251" t="s">
        <v>1221</v>
      </c>
      <c r="B2" s="1252" t="str">
        <f>'预评函-封皮'!B37:I37</f>
        <v>福建省福州市仓山区盖山镇天水路6号（原天水路北侧）利嘉海峡商业城（二区）6A#、6B#、7A#、7B#、9#、11#、12#馆部分商业房地产抵押价值预评估</v>
      </c>
    </row>
    <row r="3" spans="1:2" s="1256" customFormat="1">
      <c r="A3" s="1254" t="s">
        <v>1222</v>
      </c>
      <c r="B3" s="1255">
        <f>'预评函-封皮'!B40</f>
        <v>0</v>
      </c>
    </row>
    <row r="4" spans="1:2" s="1256" customFormat="1">
      <c r="A4" s="1254" t="s">
        <v>1223</v>
      </c>
      <c r="B4" s="1255" t="str">
        <f ca="1">'预评函-封皮'!B46</f>
        <v>郑燚（注册号：1120070131)、王鹏（注册号：1120050019)</v>
      </c>
    </row>
    <row r="5" spans="1:2" s="1250" customFormat="1" ht="15" thickBot="1">
      <c r="A5" s="1257" t="s">
        <v>1224</v>
      </c>
      <c r="B5" s="1258" t="str">
        <f>'预评函-封皮'!B49</f>
        <v>康正预评字号</v>
      </c>
    </row>
    <row r="6" spans="1:2" s="1253" customFormat="1" ht="15" thickTop="1">
      <c r="A6" s="1251" t="s">
        <v>1225</v>
      </c>
      <c r="B6" s="1252" t="str">
        <f>'预评函-1'!A4</f>
        <v>受贵公司委托，我公司对福建省福州市仓山区盖山镇天水路6号（原天水路北侧）利嘉海峡商业城（二区）6A#、6B#、7A#、7B#、9#、11#、12#馆部分商业房地产抵押价值进行了预评估。</v>
      </c>
    </row>
    <row r="7" spans="1:2" s="1256" customFormat="1">
      <c r="A7" s="1254" t="s">
        <v>1265</v>
      </c>
      <c r="B7" s="1255" t="str">
        <f>'预评函-1'!A7</f>
        <v>估价对象为福建省福州市仓山区盖山镇天水路6号（原天水路北侧）利嘉海峡商业城（二区）6A#、6B#、7A#、7B#、9#、11#、12#馆部分商业房地产，为所有。根据按容积率倒推，估价对象（分摊）出让国有建设用地使用权面积为13197.02平方米，建筑面积为44516.22平方米。</v>
      </c>
    </row>
    <row r="8" spans="1:2" s="1256" customFormat="1">
      <c r="A8" s="1254" t="s">
        <v>1266</v>
      </c>
      <c r="B8" s="1255" t="str">
        <f>'预评函-1'!A8</f>
        <v>估价对象简述。项目推广名，项目类型（用途），估价对象分布，各用途面积明细情况：XX用途建筑面积XX平方米，XX用途建筑面积XX平方米，……。复杂面积清单需设‘附表’列示：抵押物清单详见附表</v>
      </c>
    </row>
    <row r="9" spans="1:2" s="1256" customFormat="1">
      <c r="A9" s="1254" t="s">
        <v>1267</v>
      </c>
      <c r="B9" s="1255" t="str">
        <f>'预评函-1'!A10</f>
        <v>估价对象为福建省福州市仓山区盖山镇天水路6号（原天水路北侧）利嘉海峡商业城（二区）6A#、6B#、7A#、7B#、9#、11#、12#馆部分商业房地产,属开发建设的，该项目尚在开发建设中。根据按容积率倒推，估价对象（分摊）出让国有建设用地使用权面积为13197.02平方米，规划建筑面积为44516.22平方米。</v>
      </c>
    </row>
    <row r="10" spans="1:2" s="1256" customFormat="1">
      <c r="A10" s="1254" t="s">
        <v>1268</v>
      </c>
      <c r="B10" s="125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56" customFormat="1">
      <c r="A11" s="1254" t="s">
        <v>1226</v>
      </c>
      <c r="B11" s="1255" t="str">
        <f>'预评函-1'!A13</f>
        <v>为估价委托人了解估价对象房地产市场价值提供参考依据。</v>
      </c>
    </row>
    <row r="12" spans="1:2" s="1256" customFormat="1">
      <c r="A12" s="1254" t="s">
        <v>1227</v>
      </c>
      <c r="B12" s="1255" t="str">
        <f>'预评函-1'!A15</f>
        <v>2017年12月2日</v>
      </c>
    </row>
    <row r="13" spans="1:2" s="1256" customFormat="1">
      <c r="A13" s="1254" t="s">
        <v>1228</v>
      </c>
      <c r="B13" s="1255" t="str">
        <f>'预评函-1'!A18</f>
        <v>本次估价的“房地产价值”是指在正常市场情况下，在价值时点2017年12月2日，估价对象规划用途为，土地取得方式为出让，出让国有建设用地使用权剩余土地使用年限为，假定未设立法定优先受偿款下的房地产市场价值。</v>
      </c>
    </row>
    <row r="14" spans="1:2" s="1256" customFormat="1">
      <c r="A14" s="1254" t="s">
        <v>1229</v>
      </c>
      <c r="B14" s="125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56" customFormat="1">
      <c r="A15" s="1254" t="s">
        <v>1230</v>
      </c>
      <c r="B15" s="1255"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256" customFormat="1">
      <c r="A16" s="1254" t="s">
        <v>1231</v>
      </c>
      <c r="B16" s="125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56" customFormat="1">
      <c r="A17" s="1254" t="s">
        <v>1232</v>
      </c>
      <c r="B17" s="125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250" customFormat="1" ht="15" thickBot="1">
      <c r="A18" s="1257" t="s">
        <v>1233</v>
      </c>
      <c r="B18" s="1258" t="str">
        <f>'预评函-1'!A24</f>
        <v>本次评估采用的主估价方法为比较法和收益法。</v>
      </c>
    </row>
    <row r="19" spans="1:2" s="1253" customFormat="1" ht="15" thickTop="1">
      <c r="A19" s="1251" t="s">
        <v>1234</v>
      </c>
      <c r="B19" s="125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56" customFormat="1">
      <c r="A20" s="1254" t="s">
        <v>1235</v>
      </c>
      <c r="B20" s="1255">
        <f ca="1">'预评函-2'!D5</f>
        <v>56044</v>
      </c>
    </row>
    <row r="21" spans="1:2" s="1256" customFormat="1">
      <c r="A21" s="1254" t="s">
        <v>1236</v>
      </c>
      <c r="B21" s="1255">
        <f ca="1">'预评函-2'!D7</f>
        <v>12590</v>
      </c>
    </row>
    <row r="22" spans="1:2" s="1256" customFormat="1">
      <c r="A22" s="1254" t="s">
        <v>1237</v>
      </c>
      <c r="B22" s="1255" t="str">
        <f ca="1">'预评函-2'!D6</f>
        <v>伍亿陆仟零肆拾肆万元整</v>
      </c>
    </row>
    <row r="23" spans="1:2" s="1256" customFormat="1">
      <c r="A23" s="1254" t="s">
        <v>1288</v>
      </c>
      <c r="B23" s="1255" t="str">
        <f>'预评函-2'!B8</f>
        <v>2.估价师知悉的法定优先受偿款</v>
      </c>
    </row>
    <row r="24" spans="1:2" s="1256" customFormat="1">
      <c r="A24" s="1254" t="s">
        <v>1294</v>
      </c>
      <c r="B24" s="1255">
        <f>'预评函-2'!D8</f>
        <v>0</v>
      </c>
    </row>
    <row r="25" spans="1:2" s="1256" customFormat="1">
      <c r="A25" s="1254" t="s">
        <v>1238</v>
      </c>
      <c r="B25" s="1255" t="str">
        <f>'预评函-2'!D9</f>
        <v>零元整</v>
      </c>
    </row>
    <row r="26" spans="1:2" s="1256" customFormat="1">
      <c r="A26" s="1254" t="s">
        <v>1239</v>
      </c>
      <c r="B26" s="1255">
        <f>'预评函-2'!D10</f>
        <v>0</v>
      </c>
    </row>
    <row r="27" spans="1:2" s="1256" customFormat="1">
      <c r="A27" s="1254" t="s">
        <v>1240</v>
      </c>
      <c r="B27" s="1255">
        <f>'预评函-2'!D11</f>
        <v>0</v>
      </c>
    </row>
    <row r="28" spans="1:2" s="1256" customFormat="1">
      <c r="A28" s="1254" t="s">
        <v>1241</v>
      </c>
      <c r="B28" s="1255">
        <f>'预评函-2'!D12</f>
        <v>0</v>
      </c>
    </row>
    <row r="29" spans="1:2" s="1256" customFormat="1">
      <c r="A29" s="1254" t="s">
        <v>1292</v>
      </c>
      <c r="B29" s="1255" t="str">
        <f>'预评函-2'!B13</f>
        <v>3.房地产抵押价值</v>
      </c>
    </row>
    <row r="30" spans="1:2" s="1256" customFormat="1">
      <c r="A30" s="1254" t="s">
        <v>1293</v>
      </c>
      <c r="B30" s="1255">
        <f ca="1">'预评函-2'!D13</f>
        <v>56044</v>
      </c>
    </row>
    <row r="31" spans="1:2" s="1256" customFormat="1">
      <c r="A31" s="1254" t="s">
        <v>1275</v>
      </c>
      <c r="B31" s="1255">
        <f ca="1">'预评函-2'!D15</f>
        <v>12590</v>
      </c>
    </row>
    <row r="32" spans="1:2" s="1256" customFormat="1">
      <c r="A32" s="1254" t="s">
        <v>1242</v>
      </c>
      <c r="B32" s="1255" t="str">
        <f ca="1">'预评函-2'!D14</f>
        <v>伍亿陆仟零肆拾肆万元整</v>
      </c>
    </row>
    <row r="33" spans="1:2" s="1256" customFormat="1">
      <c r="A33" s="1254" t="s">
        <v>1277</v>
      </c>
      <c r="B33" s="1255" t="str">
        <f>'预评函-2'!B16</f>
        <v>——</v>
      </c>
    </row>
    <row r="34" spans="1:2" s="1256" customFormat="1">
      <c r="A34" s="1254" t="s">
        <v>1295</v>
      </c>
      <c r="B34" s="1255" t="str">
        <f>'预评函-2'!D16</f>
        <v>——</v>
      </c>
    </row>
    <row r="35" spans="1:2" s="1256" customFormat="1">
      <c r="A35" s="1254" t="s">
        <v>1276</v>
      </c>
      <c r="B35" s="1255" t="str">
        <f>'预评函-2'!D18</f>
        <v>——</v>
      </c>
    </row>
    <row r="36" spans="1:2" s="1256" customFormat="1">
      <c r="A36" s="1254" t="s">
        <v>1243</v>
      </c>
      <c r="B36" s="1255" t="e">
        <f>'预评函-2'!D17</f>
        <v>#VALUE!</v>
      </c>
    </row>
    <row r="37" spans="1:2" s="1256" customFormat="1">
      <c r="A37" s="1254" t="s">
        <v>1278</v>
      </c>
      <c r="B37" s="1255" t="str">
        <f>'预评函-2'!B19</f>
        <v>——</v>
      </c>
    </row>
    <row r="38" spans="1:2" s="1256" customFormat="1">
      <c r="A38" s="1254" t="s">
        <v>1296</v>
      </c>
      <c r="B38" s="1255" t="str">
        <f>'预评函-2'!D19</f>
        <v>——</v>
      </c>
    </row>
    <row r="39" spans="1:2" s="1256" customFormat="1">
      <c r="A39" s="1254" t="s">
        <v>1244</v>
      </c>
      <c r="B39" s="1255" t="str">
        <f>'预评函-2'!D21</f>
        <v>——</v>
      </c>
    </row>
    <row r="40" spans="1:2" s="1256" customFormat="1">
      <c r="A40" s="1254" t="s">
        <v>1245</v>
      </c>
      <c r="B40" s="1255" t="e">
        <f>'预评函-2'!D20</f>
        <v>#VALUE!</v>
      </c>
    </row>
    <row r="41" spans="1:2" s="1256" customFormat="1">
      <c r="A41" s="1254" t="s">
        <v>1291</v>
      </c>
      <c r="B41" s="1255" t="str">
        <f>'预评函-3'!A4</f>
        <v>福建省福州市仓山区盖山镇天水路6号（原天水路北侧）利嘉海峡商业城（二区）6A#、6B#、7A#、7B#、9#、11#、12#馆部分商业房地产</v>
      </c>
    </row>
    <row r="42" spans="1:2" s="1256" customFormat="1">
      <c r="A42" s="1254" t="s">
        <v>1289</v>
      </c>
      <c r="B42" s="1255" t="str">
        <f>'预评函-3'!B2</f>
        <v>建筑面积</v>
      </c>
    </row>
    <row r="43" spans="1:2" s="1256" customFormat="1">
      <c r="A43" s="1254" t="s">
        <v>1290</v>
      </c>
      <c r="B43" s="1255">
        <f>'预评函-3'!B4</f>
        <v>44516.22</v>
      </c>
    </row>
    <row r="44" spans="1:2" s="1256" customFormat="1">
      <c r="A44" s="1254" t="s">
        <v>1274</v>
      </c>
      <c r="B44" s="1255" t="str">
        <f>'预评函-3'!C2</f>
        <v>(分摊)土地面积</v>
      </c>
    </row>
    <row r="45" spans="1:2" s="1256" customFormat="1">
      <c r="A45" s="1254" t="s">
        <v>1246</v>
      </c>
      <c r="B45" s="1255">
        <f>'预评函-3'!C4</f>
        <v>13197.02</v>
      </c>
    </row>
    <row r="46" spans="1:2" s="1256" customFormat="1">
      <c r="A46" s="1254" t="s">
        <v>1272</v>
      </c>
      <c r="B46" s="1255" t="str">
        <f>'预评函-3'!D2</f>
        <v>出让国有建设用地使用权价值</v>
      </c>
    </row>
    <row r="47" spans="1:2" s="1256" customFormat="1">
      <c r="A47" s="1254" t="s">
        <v>1247</v>
      </c>
      <c r="B47" s="1255">
        <f ca="1">'预评函-3'!D4</f>
        <v>37325</v>
      </c>
    </row>
    <row r="48" spans="1:2" s="1256" customFormat="1">
      <c r="A48" s="1254" t="s">
        <v>1248</v>
      </c>
      <c r="B48" s="1255">
        <f ca="1">'预评函-3'!E4</f>
        <v>8385</v>
      </c>
    </row>
    <row r="49" spans="1:2" s="1256" customFormat="1">
      <c r="A49" s="1254" t="s">
        <v>1249</v>
      </c>
      <c r="B49" s="1255" t="str">
        <f ca="1">'预评函-3'!D5</f>
        <v>叁亿柒仟叁佰贰拾伍万元整</v>
      </c>
    </row>
    <row r="50" spans="1:2" s="1256" customFormat="1">
      <c r="A50" s="1254" t="s">
        <v>1273</v>
      </c>
      <c r="B50" s="1255" t="str">
        <f>'预评函-3'!F2</f>
        <v>在建建筑物价值</v>
      </c>
    </row>
    <row r="51" spans="1:2" s="1256" customFormat="1">
      <c r="A51" s="1254" t="s">
        <v>1250</v>
      </c>
      <c r="B51" s="1255">
        <f ca="1">'预评函-3'!F4</f>
        <v>18719</v>
      </c>
    </row>
    <row r="52" spans="1:2" s="1256" customFormat="1">
      <c r="A52" s="1254" t="s">
        <v>1251</v>
      </c>
      <c r="B52" s="1255">
        <f ca="1">'预评函-3'!G4</f>
        <v>4205</v>
      </c>
    </row>
    <row r="53" spans="1:2" s="1256" customFormat="1">
      <c r="A53" s="1254" t="s">
        <v>1279</v>
      </c>
      <c r="B53" s="1255" t="str">
        <f ca="1">'预评函-3'!F5</f>
        <v>壹亿捌仟柒佰壹拾玖万元整</v>
      </c>
    </row>
    <row r="54" spans="1:2" s="1256" customFormat="1">
      <c r="A54" s="1254" t="s">
        <v>1297</v>
      </c>
      <c r="B54" s="1255" t="str">
        <f>'预评函-3'!A8</f>
        <v>房地产抵押价值</v>
      </c>
    </row>
    <row r="55" spans="1:2" s="1256" customFormat="1">
      <c r="A55" s="1254" t="s">
        <v>1280</v>
      </c>
      <c r="B55" s="1255" t="str">
        <f>'预评函-3'!A10</f>
        <v/>
      </c>
    </row>
    <row r="56" spans="1:2" s="1256" customFormat="1">
      <c r="A56" s="1254" t="s">
        <v>1281</v>
      </c>
      <c r="B56" s="1255" t="str">
        <f>'预评函-3'!A12</f>
        <v/>
      </c>
    </row>
    <row r="57" spans="1:2" s="1250" customFormat="1" ht="15" thickBot="1">
      <c r="A57" s="1257" t="s">
        <v>1298</v>
      </c>
      <c r="B57" s="1258" t="str">
        <f>'预评函-3'!A6</f>
        <v>估价师知悉的法定优先受偿款</v>
      </c>
    </row>
    <row r="58" spans="1:2" s="1253" customFormat="1" ht="15" thickTop="1">
      <c r="A58" s="1251" t="s">
        <v>1252</v>
      </c>
      <c r="B58" s="1252" t="str">
        <f>'预评函-4'!A12</f>
        <v>2.本次评估设定估价对象房地产权属无争议，未被查封或者以其他形式限制其房地产权利，未设定抵押权等他项权利，不涉及第三方权利义务。</v>
      </c>
    </row>
    <row r="59" spans="1:2" s="1256" customFormat="1">
      <c r="A59" s="1254" t="s">
        <v>1253</v>
      </c>
      <c r="B59" s="1255" t="str">
        <f>'预评函-4'!A13</f>
        <v>——</v>
      </c>
    </row>
    <row r="60" spans="1:2" s="1256" customFormat="1">
      <c r="A60" s="1254" t="s">
        <v>1254</v>
      </c>
      <c r="B60" s="1255" t="str">
        <f>'预评函-4'!A14</f>
        <v>——</v>
      </c>
    </row>
    <row r="61" spans="1:2" s="1256" customFormat="1">
      <c r="A61" s="1254" t="s">
        <v>1255</v>
      </c>
      <c r="B61" s="1255" t="str">
        <f>'预评函-4'!A15</f>
        <v>——</v>
      </c>
    </row>
    <row r="62" spans="1:2" s="1256" customFormat="1">
      <c r="A62" s="1254" t="s">
        <v>1256</v>
      </c>
      <c r="B62" s="1255" t="str">
        <f>'预评函-4'!A16</f>
        <v>（2）根据《工程款支付情况说明》，截至价值时点，估价对象不存在应付未付工程款项。（只要没有施工方盖章的，均“设定”进行表述）</v>
      </c>
    </row>
    <row r="63" spans="1:2" s="1256" customFormat="1">
      <c r="A63" s="1254" t="s">
        <v>1257</v>
      </c>
      <c r="B63" s="125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56" customFormat="1">
      <c r="A64" s="1254" t="s">
        <v>1269</v>
      </c>
      <c r="B64" s="1255" t="str">
        <f>'预评函-4'!A18</f>
        <v>——</v>
      </c>
    </row>
    <row r="65" spans="1:2" s="1256" customFormat="1">
      <c r="A65" s="1254" t="s">
        <v>1258</v>
      </c>
      <c r="B65" s="1255"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56" customFormat="1">
      <c r="A66" s="1254" t="s">
        <v>1259</v>
      </c>
      <c r="B66" s="1255" t="str">
        <f>'预评函-4'!A20</f>
        <v>——</v>
      </c>
    </row>
    <row r="67" spans="1:2" s="1256" customFormat="1">
      <c r="A67" s="1254" t="s">
        <v>1270</v>
      </c>
      <c r="B67" s="1255" t="str">
        <f>'预评函-4'!A21</f>
        <v>——</v>
      </c>
    </row>
    <row r="68" spans="1:2" s="1256" customFormat="1">
      <c r="A68" s="1254" t="s">
        <v>1271</v>
      </c>
      <c r="B68" s="1255" t="str">
        <f>'预评函-4'!A22</f>
        <v>8.其他需特殊说明事项：无（注意调整序号）</v>
      </c>
    </row>
    <row r="69" spans="1:2" s="1250" customFormat="1" ht="15" thickBot="1">
      <c r="A69" s="1257" t="s">
        <v>1260</v>
      </c>
      <c r="B69" s="1259">
        <f>'预评函-4'!C31</f>
        <v>42551</v>
      </c>
    </row>
    <row r="70" spans="1:2" ht="15" thickTop="1">
      <c r="A70" s="1260" t="s">
        <v>1261</v>
      </c>
      <c r="B70" s="1261" t="str">
        <f>'预评函-4'!A4</f>
        <v>郑燚</v>
      </c>
    </row>
    <row r="71" spans="1:2">
      <c r="A71" s="1254" t="s">
        <v>1262</v>
      </c>
      <c r="B71" s="1255">
        <f ca="1">'预评函-4'!B4</f>
        <v>1120070131</v>
      </c>
    </row>
    <row r="72" spans="1:2">
      <c r="A72" s="1254" t="s">
        <v>1263</v>
      </c>
      <c r="B72" s="1263" t="str">
        <f>'预评函-4'!A5</f>
        <v>王鹏</v>
      </c>
    </row>
    <row r="73" spans="1:2" s="1250" customFormat="1" ht="15" thickBot="1">
      <c r="A73" s="1257" t="s">
        <v>1264</v>
      </c>
      <c r="B73" s="1258">
        <f ca="1">'预评函-4'!B5</f>
        <v>1120050019</v>
      </c>
    </row>
    <row r="74" spans="1:2" ht="15" thickTop="1">
      <c r="A74" s="1247" t="s">
        <v>1300</v>
      </c>
      <c r="B74" s="1264"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7" sqref="B27"/>
    </sheetView>
  </sheetViews>
  <sheetFormatPr defaultRowHeight="13.5"/>
  <cols>
    <col min="1" max="1" width="13.5" style="1623" customWidth="1"/>
    <col min="2" max="2" width="23.25" style="1574" customWidth="1"/>
    <col min="3" max="3" width="13" style="1618" hidden="1" customWidth="1"/>
    <col min="4" max="4" width="5.75" style="1615" hidden="1" customWidth="1"/>
    <col min="5" max="5" width="7.125" style="1615" hidden="1" customWidth="1"/>
    <col min="6" max="6" width="10.625" style="1615" hidden="1" customWidth="1"/>
    <col min="7" max="7" width="7.5" style="1615" hidden="1" customWidth="1"/>
    <col min="8" max="8" width="9" style="1618" hidden="1" customWidth="1"/>
    <col min="9" max="9" width="11.625" style="1618" hidden="1" customWidth="1"/>
    <col min="10" max="10" width="9" style="1618" hidden="1" customWidth="1"/>
    <col min="11" max="19" width="9" style="1615" hidden="1" customWidth="1"/>
    <col min="20" max="22" width="9" style="1618" hidden="1" customWidth="1"/>
    <col min="23" max="23" width="9" style="1618" customWidth="1"/>
    <col min="24" max="24" width="21.125" style="1574" customWidth="1"/>
    <col min="25" max="16384" width="9" style="1574"/>
  </cols>
  <sheetData>
    <row r="1" spans="1:23" s="1612" customFormat="1" ht="27">
      <c r="A1" s="1606" t="s">
        <v>71</v>
      </c>
      <c r="B1" s="1607" t="s">
        <v>1692</v>
      </c>
      <c r="C1" s="1608" t="s">
        <v>759</v>
      </c>
      <c r="D1" s="1609" t="s">
        <v>1693</v>
      </c>
      <c r="E1" s="1609" t="s">
        <v>1694</v>
      </c>
      <c r="F1" s="1609" t="s">
        <v>1695</v>
      </c>
      <c r="G1" s="1609" t="s">
        <v>1696</v>
      </c>
      <c r="H1" s="1609" t="s">
        <v>1697</v>
      </c>
      <c r="I1" s="1609" t="s">
        <v>1698</v>
      </c>
      <c r="J1" s="1609" t="s">
        <v>1699</v>
      </c>
      <c r="K1" s="1609" t="s">
        <v>1700</v>
      </c>
      <c r="L1" s="1609" t="s">
        <v>1701</v>
      </c>
      <c r="M1" s="1609" t="s">
        <v>1702</v>
      </c>
      <c r="N1" s="1609" t="s">
        <v>1703</v>
      </c>
      <c r="O1" s="1609" t="s">
        <v>1704</v>
      </c>
      <c r="P1" s="1610" t="s">
        <v>753</v>
      </c>
      <c r="Q1" s="1610" t="s">
        <v>1144</v>
      </c>
      <c r="R1" s="1609" t="s">
        <v>1138</v>
      </c>
      <c r="S1" s="1609" t="s">
        <v>1705</v>
      </c>
      <c r="T1" s="1611" t="s">
        <v>1706</v>
      </c>
      <c r="U1" s="1609" t="s">
        <v>1707</v>
      </c>
      <c r="V1" s="1609" t="s">
        <v>1708</v>
      </c>
      <c r="W1" s="1609" t="s">
        <v>755</v>
      </c>
    </row>
    <row r="2" spans="1:23">
      <c r="A2" s="1613" t="s">
        <v>22</v>
      </c>
      <c r="B2" s="1613" t="s">
        <v>1709</v>
      </c>
      <c r="C2" s="1614" t="s">
        <v>760</v>
      </c>
      <c r="D2" s="1615" t="s">
        <v>1710</v>
      </c>
      <c r="E2" s="1615" t="s">
        <v>1711</v>
      </c>
      <c r="F2" s="1615" t="s">
        <v>1712</v>
      </c>
      <c r="G2" s="1615">
        <v>40</v>
      </c>
      <c r="H2" s="1615" t="s">
        <v>1712</v>
      </c>
      <c r="I2" s="1615" t="s">
        <v>1713</v>
      </c>
      <c r="J2" s="1615" t="s">
        <v>1714</v>
      </c>
      <c r="K2" s="1615" t="s">
        <v>1715</v>
      </c>
      <c r="L2" s="1615" t="s">
        <v>1715</v>
      </c>
      <c r="M2" s="1615" t="s">
        <v>1715</v>
      </c>
      <c r="N2" s="1615" t="s">
        <v>1715</v>
      </c>
      <c r="O2" s="1615" t="s">
        <v>1715</v>
      </c>
      <c r="P2" s="1615" t="s">
        <v>1715</v>
      </c>
      <c r="Q2" s="1615" t="s">
        <v>1715</v>
      </c>
      <c r="R2" s="1615" t="s">
        <v>1140</v>
      </c>
      <c r="S2" s="1615" t="s">
        <v>1715</v>
      </c>
      <c r="T2" s="1615" t="s">
        <v>1716</v>
      </c>
      <c r="U2" s="1615" t="s">
        <v>1715</v>
      </c>
      <c r="V2" s="1615" t="s">
        <v>1717</v>
      </c>
      <c r="W2" s="1615" t="s">
        <v>1715</v>
      </c>
    </row>
    <row r="3" spans="1:23">
      <c r="A3" s="1613" t="s">
        <v>1718</v>
      </c>
      <c r="B3" s="1616" t="s">
        <v>1145</v>
      </c>
      <c r="C3" s="1617" t="s">
        <v>761</v>
      </c>
      <c r="D3" s="1615" t="s">
        <v>1719</v>
      </c>
      <c r="E3" s="1615" t="s">
        <v>16</v>
      </c>
      <c r="F3" s="1615" t="s">
        <v>1720</v>
      </c>
      <c r="G3" s="1615">
        <v>50</v>
      </c>
      <c r="H3" s="1615" t="s">
        <v>1720</v>
      </c>
      <c r="I3" s="1615" t="s">
        <v>1721</v>
      </c>
      <c r="J3" s="1615" t="s">
        <v>1722</v>
      </c>
      <c r="K3" s="1615" t="s">
        <v>1723</v>
      </c>
      <c r="L3" s="1615" t="s">
        <v>1723</v>
      </c>
      <c r="M3" s="1615" t="s">
        <v>1723</v>
      </c>
      <c r="N3" s="1615" t="s">
        <v>1723</v>
      </c>
      <c r="O3" s="1615" t="s">
        <v>1723</v>
      </c>
      <c r="P3" s="1615" t="s">
        <v>1723</v>
      </c>
      <c r="Q3" s="1615" t="s">
        <v>1723</v>
      </c>
      <c r="R3" s="1615" t="s">
        <v>1139</v>
      </c>
      <c r="S3" s="1615" t="s">
        <v>1723</v>
      </c>
      <c r="T3" s="1615" t="s">
        <v>1724</v>
      </c>
      <c r="U3" s="1615" t="s">
        <v>1723</v>
      </c>
      <c r="V3" s="1615" t="s">
        <v>1725</v>
      </c>
      <c r="W3" s="1615" t="s">
        <v>1723</v>
      </c>
    </row>
    <row r="4" spans="1:23">
      <c r="A4" s="1613" t="s">
        <v>1726</v>
      </c>
      <c r="B4" s="1613" t="s">
        <v>1727</v>
      </c>
      <c r="C4" s="1614" t="s">
        <v>762</v>
      </c>
      <c r="D4" s="1615" t="s">
        <v>868</v>
      </c>
      <c r="E4" s="1615" t="s">
        <v>1728</v>
      </c>
      <c r="F4" s="1615" t="s">
        <v>1729</v>
      </c>
      <c r="G4" s="1615">
        <v>70</v>
      </c>
      <c r="H4" s="1615" t="s">
        <v>1729</v>
      </c>
      <c r="I4" s="1615" t="s">
        <v>1730</v>
      </c>
      <c r="K4" s="1615" t="s">
        <v>1731</v>
      </c>
      <c r="L4" s="1615" t="s">
        <v>1731</v>
      </c>
      <c r="M4" s="1615" t="s">
        <v>1731</v>
      </c>
      <c r="N4" s="1615" t="s">
        <v>1731</v>
      </c>
      <c r="O4" s="1615" t="s">
        <v>1731</v>
      </c>
      <c r="P4" s="1615" t="s">
        <v>1731</v>
      </c>
      <c r="Q4" s="1615" t="s">
        <v>1731</v>
      </c>
      <c r="R4" s="1615" t="s">
        <v>1141</v>
      </c>
      <c r="S4" s="1615" t="s">
        <v>1731</v>
      </c>
      <c r="T4" s="1615" t="s">
        <v>1732</v>
      </c>
      <c r="U4" s="1615" t="s">
        <v>1731</v>
      </c>
      <c r="W4" s="1615" t="s">
        <v>1731</v>
      </c>
    </row>
    <row r="5" spans="1:23">
      <c r="A5" s="1613" t="s">
        <v>1733</v>
      </c>
      <c r="B5" s="1613" t="s">
        <v>1734</v>
      </c>
      <c r="C5" s="1614" t="s">
        <v>763</v>
      </c>
      <c r="F5" s="1615" t="s">
        <v>1735</v>
      </c>
      <c r="H5" s="1615" t="s">
        <v>1736</v>
      </c>
      <c r="I5" s="1615" t="s">
        <v>1737</v>
      </c>
      <c r="K5" s="1615" t="s">
        <v>1738</v>
      </c>
      <c r="L5" s="1615" t="s">
        <v>1738</v>
      </c>
      <c r="M5" s="1615" t="s">
        <v>1738</v>
      </c>
      <c r="N5" s="1615" t="s">
        <v>1738</v>
      </c>
      <c r="O5" s="1615" t="s">
        <v>1738</v>
      </c>
      <c r="P5" s="1615" t="s">
        <v>1738</v>
      </c>
      <c r="Q5" s="1615" t="s">
        <v>1738</v>
      </c>
      <c r="R5" s="1615" t="s">
        <v>1142</v>
      </c>
      <c r="S5" s="1615" t="s">
        <v>1738</v>
      </c>
      <c r="T5" s="1615" t="s">
        <v>1739</v>
      </c>
      <c r="U5" s="1615" t="s">
        <v>1738</v>
      </c>
      <c r="W5" s="1615" t="s">
        <v>1738</v>
      </c>
    </row>
    <row r="6" spans="1:23">
      <c r="A6" s="1613" t="s">
        <v>1740</v>
      </c>
      <c r="B6" s="1616" t="s">
        <v>1146</v>
      </c>
      <c r="C6" s="1619" t="s">
        <v>30</v>
      </c>
      <c r="F6" s="1615" t="s">
        <v>1736</v>
      </c>
      <c r="H6" s="1615" t="s">
        <v>1741</v>
      </c>
      <c r="I6" s="1615" t="s">
        <v>1742</v>
      </c>
      <c r="K6" s="1615" t="s">
        <v>1743</v>
      </c>
      <c r="L6" s="1615" t="s">
        <v>1743</v>
      </c>
      <c r="M6" s="1615" t="s">
        <v>1743</v>
      </c>
      <c r="N6" s="1615" t="s">
        <v>1743</v>
      </c>
      <c r="O6" s="1615" t="s">
        <v>1743</v>
      </c>
      <c r="P6" s="1615" t="s">
        <v>1743</v>
      </c>
      <c r="Q6" s="1615" t="s">
        <v>1743</v>
      </c>
      <c r="R6" s="1615" t="s">
        <v>1143</v>
      </c>
      <c r="S6" s="1615" t="s">
        <v>1743</v>
      </c>
      <c r="T6" s="1615"/>
      <c r="U6" s="1615" t="s">
        <v>1743</v>
      </c>
      <c r="W6" s="1615" t="s">
        <v>1743</v>
      </c>
    </row>
    <row r="7" spans="1:23">
      <c r="A7" s="1613" t="s">
        <v>1744</v>
      </c>
      <c r="B7" s="1616" t="s">
        <v>1147</v>
      </c>
      <c r="C7" s="1614" t="s">
        <v>31</v>
      </c>
      <c r="F7" s="1615" t="s">
        <v>1745</v>
      </c>
      <c r="H7" s="1615" t="s">
        <v>1746</v>
      </c>
      <c r="I7" s="1615" t="s">
        <v>1747</v>
      </c>
    </row>
    <row r="8" spans="1:23">
      <c r="A8" s="1613" t="s">
        <v>1748</v>
      </c>
      <c r="B8" s="1613" t="s">
        <v>1749</v>
      </c>
      <c r="C8" s="1614" t="s">
        <v>764</v>
      </c>
      <c r="F8" s="1615" t="s">
        <v>1750</v>
      </c>
      <c r="H8" s="1615"/>
      <c r="I8" s="1615" t="s">
        <v>1751</v>
      </c>
    </row>
    <row r="9" spans="1:23">
      <c r="A9" s="1613" t="s">
        <v>1752</v>
      </c>
      <c r="B9" s="1613" t="s">
        <v>1753</v>
      </c>
      <c r="C9" s="1614" t="s">
        <v>765</v>
      </c>
      <c r="F9" s="1615" t="s">
        <v>1754</v>
      </c>
      <c r="H9" s="1615"/>
    </row>
    <row r="10" spans="1:23">
      <c r="A10" s="1613" t="s">
        <v>1755</v>
      </c>
      <c r="B10" s="1613" t="s">
        <v>1756</v>
      </c>
      <c r="C10" s="1614" t="s">
        <v>766</v>
      </c>
      <c r="F10" s="1615" t="s">
        <v>16</v>
      </c>
    </row>
    <row r="11" spans="1:23">
      <c r="A11" s="1613" t="s">
        <v>1757</v>
      </c>
      <c r="B11" s="1613" t="s">
        <v>1758</v>
      </c>
      <c r="C11" s="1614" t="s">
        <v>767</v>
      </c>
    </row>
    <row r="12" spans="1:23">
      <c r="A12" s="1613" t="s">
        <v>1759</v>
      </c>
      <c r="B12" s="1613" t="s">
        <v>1760</v>
      </c>
      <c r="C12" s="1614" t="s">
        <v>768</v>
      </c>
    </row>
    <row r="13" spans="1:23">
      <c r="A13" s="1613" t="s">
        <v>1761</v>
      </c>
      <c r="B13" s="1613" t="s">
        <v>1762</v>
      </c>
      <c r="C13" s="1614" t="s">
        <v>769</v>
      </c>
    </row>
    <row r="14" spans="1:23">
      <c r="A14" s="1613" t="s">
        <v>1763</v>
      </c>
      <c r="B14" s="1613" t="s">
        <v>1764</v>
      </c>
      <c r="C14" s="1615" t="s">
        <v>16</v>
      </c>
    </row>
    <row r="15" spans="1:23">
      <c r="A15" s="1613" t="s">
        <v>1765</v>
      </c>
      <c r="B15" s="1613" t="s">
        <v>1766</v>
      </c>
      <c r="C15" s="1614"/>
    </row>
    <row r="16" spans="1:23">
      <c r="A16" s="1613" t="s">
        <v>1767</v>
      </c>
      <c r="B16" s="1613" t="s">
        <v>756</v>
      </c>
      <c r="C16" s="1614"/>
    </row>
    <row r="17" spans="1:3">
      <c r="A17" s="1613" t="s">
        <v>1768</v>
      </c>
      <c r="B17" s="1613" t="s">
        <v>7110</v>
      </c>
      <c r="C17" s="1614"/>
    </row>
    <row r="18" spans="1:3">
      <c r="A18" s="1613" t="s">
        <v>1769</v>
      </c>
      <c r="B18" s="1613" t="s">
        <v>7102</v>
      </c>
      <c r="C18" s="1614"/>
    </row>
    <row r="19" spans="1:3">
      <c r="A19" s="1613" t="s">
        <v>1770</v>
      </c>
      <c r="B19" s="1613" t="s">
        <v>7103</v>
      </c>
      <c r="C19" s="1614"/>
    </row>
    <row r="20" spans="1:3">
      <c r="A20" s="1613" t="s">
        <v>1771</v>
      </c>
      <c r="B20" s="1613" t="s">
        <v>7104</v>
      </c>
      <c r="C20" s="1614"/>
    </row>
    <row r="21" spans="1:3">
      <c r="A21" s="1613" t="s">
        <v>1772</v>
      </c>
      <c r="B21" s="1613" t="s">
        <v>7106</v>
      </c>
      <c r="C21" s="1614"/>
    </row>
    <row r="22" spans="1:3">
      <c r="A22" s="1613" t="s">
        <v>1773</v>
      </c>
      <c r="B22" s="1613" t="s">
        <v>7105</v>
      </c>
      <c r="C22" s="1614"/>
    </row>
    <row r="23" spans="1:3">
      <c r="A23" s="1613" t="s">
        <v>1774</v>
      </c>
      <c r="B23" s="1613" t="s">
        <v>7112</v>
      </c>
      <c r="C23" s="1614"/>
    </row>
    <row r="24" spans="1:3">
      <c r="A24" s="1613" t="s">
        <v>1775</v>
      </c>
      <c r="B24" s="1613"/>
      <c r="C24" s="1614"/>
    </row>
    <row r="25" spans="1:3">
      <c r="A25" s="1613" t="s">
        <v>1776</v>
      </c>
      <c r="B25" s="1613"/>
      <c r="C25" s="1614"/>
    </row>
    <row r="26" spans="1:3">
      <c r="A26" s="1613" t="s">
        <v>1777</v>
      </c>
      <c r="B26" s="1613"/>
      <c r="C26" s="1614"/>
    </row>
    <row r="27" spans="1:3">
      <c r="A27" s="1613" t="s">
        <v>757</v>
      </c>
      <c r="B27" s="1613" t="s">
        <v>757</v>
      </c>
      <c r="C27" s="1614"/>
    </row>
    <row r="28" spans="1:3">
      <c r="A28" s="1613" t="s">
        <v>757</v>
      </c>
      <c r="B28" s="1613" t="s">
        <v>757</v>
      </c>
      <c r="C28" s="1614"/>
    </row>
    <row r="29" spans="1:3">
      <c r="A29" s="1613" t="s">
        <v>757</v>
      </c>
      <c r="B29" s="1613" t="s">
        <v>757</v>
      </c>
      <c r="C29" s="1614"/>
    </row>
    <row r="30" spans="1:3">
      <c r="A30" s="1613" t="s">
        <v>757</v>
      </c>
      <c r="B30" s="1613" t="s">
        <v>757</v>
      </c>
      <c r="C30" s="1614"/>
    </row>
    <row r="31" spans="1:3">
      <c r="A31" s="1613" t="s">
        <v>757</v>
      </c>
      <c r="B31" s="1613" t="s">
        <v>757</v>
      </c>
      <c r="C31" s="1614"/>
    </row>
    <row r="32" spans="1:3">
      <c r="A32" s="1613" t="s">
        <v>757</v>
      </c>
      <c r="B32" s="1613" t="s">
        <v>757</v>
      </c>
      <c r="C32" s="1614"/>
    </row>
    <row r="33" spans="1:3">
      <c r="A33" s="1613" t="s">
        <v>757</v>
      </c>
      <c r="B33" s="1613" t="s">
        <v>757</v>
      </c>
      <c r="C33" s="1614"/>
    </row>
    <row r="34" spans="1:3">
      <c r="A34" s="1613" t="s">
        <v>757</v>
      </c>
      <c r="B34" s="1613" t="s">
        <v>757</v>
      </c>
      <c r="C34" s="1614"/>
    </row>
    <row r="35" spans="1:3">
      <c r="A35" s="1613" t="s">
        <v>757</v>
      </c>
      <c r="B35" s="1613" t="s">
        <v>757</v>
      </c>
      <c r="C35" s="1614"/>
    </row>
    <row r="36" spans="1:3">
      <c r="A36" s="1613" t="s">
        <v>757</v>
      </c>
      <c r="B36" s="1613" t="s">
        <v>757</v>
      </c>
      <c r="C36" s="1614"/>
    </row>
    <row r="37" spans="1:3">
      <c r="A37" s="1613" t="s">
        <v>757</v>
      </c>
      <c r="B37" s="1613" t="s">
        <v>757</v>
      </c>
      <c r="C37" s="1614"/>
    </row>
    <row r="38" spans="1:3">
      <c r="A38" s="1613" t="s">
        <v>757</v>
      </c>
      <c r="B38" s="1613" t="s">
        <v>757</v>
      </c>
      <c r="C38" s="1614"/>
    </row>
    <row r="39" spans="1:3">
      <c r="A39" s="1613" t="s">
        <v>757</v>
      </c>
      <c r="B39" s="1613" t="s">
        <v>757</v>
      </c>
      <c r="C39" s="1614"/>
    </row>
    <row r="40" spans="1:3">
      <c r="A40" s="1613" t="s">
        <v>757</v>
      </c>
      <c r="B40" s="1613" t="s">
        <v>757</v>
      </c>
      <c r="C40" s="1614"/>
    </row>
    <row r="41" spans="1:3">
      <c r="A41" s="1613" t="s">
        <v>757</v>
      </c>
      <c r="B41" s="1613" t="s">
        <v>757</v>
      </c>
      <c r="C41" s="1614"/>
    </row>
    <row r="42" spans="1:3">
      <c r="A42" s="1613" t="s">
        <v>757</v>
      </c>
      <c r="B42" s="1613" t="s">
        <v>757</v>
      </c>
      <c r="C42" s="1614"/>
    </row>
    <row r="43" spans="1:3">
      <c r="A43" s="1613" t="s">
        <v>757</v>
      </c>
      <c r="B43" s="1613" t="s">
        <v>757</v>
      </c>
      <c r="C43" s="1614"/>
    </row>
    <row r="44" spans="1:3">
      <c r="A44" s="1613" t="s">
        <v>757</v>
      </c>
      <c r="B44" s="1613" t="s">
        <v>757</v>
      </c>
      <c r="C44" s="1614"/>
    </row>
    <row r="45" spans="1:3">
      <c r="A45" s="1613" t="s">
        <v>757</v>
      </c>
      <c r="B45" s="1613" t="s">
        <v>757</v>
      </c>
      <c r="C45" s="1614"/>
    </row>
    <row r="46" spans="1:3">
      <c r="A46" s="1613" t="s">
        <v>757</v>
      </c>
      <c r="B46" s="1613" t="s">
        <v>757</v>
      </c>
      <c r="C46" s="1614"/>
    </row>
    <row r="47" spans="1:3">
      <c r="A47" s="1613" t="s">
        <v>757</v>
      </c>
      <c r="B47" s="1613" t="s">
        <v>757</v>
      </c>
      <c r="C47" s="1614"/>
    </row>
    <row r="48" spans="1:3">
      <c r="A48" s="1613" t="s">
        <v>757</v>
      </c>
      <c r="B48" s="1613" t="s">
        <v>757</v>
      </c>
      <c r="C48" s="1614"/>
    </row>
    <row r="49" spans="1:4">
      <c r="A49" s="1613" t="s">
        <v>757</v>
      </c>
      <c r="B49" s="1613" t="s">
        <v>757</v>
      </c>
      <c r="C49" s="1614"/>
    </row>
    <row r="50" spans="1:4">
      <c r="A50" s="1613" t="s">
        <v>757</v>
      </c>
      <c r="B50" s="1613" t="s">
        <v>757</v>
      </c>
      <c r="C50" s="1614"/>
    </row>
    <row r="51" spans="1:4">
      <c r="A51" s="1620" t="s">
        <v>857</v>
      </c>
      <c r="B51" s="162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61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福建省福州市仓山区盖山镇天水路6号（原天水路北侧）利嘉海峡商业城（二区）6A#、6B#、7A#、7B#、9#、11#、12#馆部分商业房地产作为抵押担保物，向办理贷款手续。特委托北京康正宏基房地产评估有限公司对上述抵押物进行评估。本次评估为确定房地产抵押贷款额度提供参考依据而评估房地产抵押价值。</v>
      </c>
      <c r="D51" s="1621" t="s">
        <v>1285</v>
      </c>
    </row>
    <row r="52" spans="1:4">
      <c r="A52" s="1620" t="s">
        <v>858</v>
      </c>
      <c r="B52" s="1620" t="s">
        <v>859</v>
      </c>
      <c r="C52" s="1618" t="s">
        <v>860</v>
      </c>
      <c r="D52" s="1618" t="s">
        <v>861</v>
      </c>
    </row>
    <row r="53" spans="1:4">
      <c r="A53" s="3683" t="s">
        <v>862</v>
      </c>
      <c r="B53" s="1621" t="s">
        <v>863</v>
      </c>
      <c r="C53" s="161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12月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683"/>
      <c r="B54" s="1621" t="s">
        <v>864</v>
      </c>
      <c r="C54" s="1618" t="s">
        <v>1282</v>
      </c>
    </row>
    <row r="55" spans="1:4">
      <c r="A55" s="3683"/>
      <c r="B55" s="1621" t="s">
        <v>865</v>
      </c>
      <c r="C55" s="1618" t="s">
        <v>1283</v>
      </c>
    </row>
    <row r="56" spans="1:4">
      <c r="A56" s="3683"/>
      <c r="B56" s="1621" t="s">
        <v>866</v>
      </c>
      <c r="C56" s="1618" t="s">
        <v>1287</v>
      </c>
    </row>
    <row r="57" spans="1:4">
      <c r="A57" s="3683"/>
      <c r="B57" s="1621" t="s">
        <v>867</v>
      </c>
      <c r="C57" s="1618" t="s">
        <v>1284</v>
      </c>
    </row>
    <row r="58" spans="1:4">
      <c r="A58" s="1622"/>
      <c r="B58" s="1618"/>
    </row>
    <row r="59" spans="1:4">
      <c r="A59" s="1622"/>
      <c r="B59" s="1618"/>
    </row>
    <row r="60" spans="1:4">
      <c r="A60" s="1622"/>
      <c r="B60" s="1618"/>
    </row>
    <row r="61" spans="1:4">
      <c r="A61" s="1622"/>
      <c r="B61" s="1618"/>
    </row>
    <row r="62" spans="1:4">
      <c r="A62" s="1622"/>
      <c r="B62" s="1618"/>
    </row>
    <row r="63" spans="1:4">
      <c r="A63" s="1622"/>
      <c r="B63" s="1618"/>
    </row>
    <row r="64" spans="1:4">
      <c r="A64" s="1622"/>
      <c r="B64" s="1618"/>
    </row>
    <row r="65" spans="1:2">
      <c r="A65" s="1622"/>
      <c r="B65" s="1618"/>
    </row>
    <row r="66" spans="1:2">
      <c r="A66" s="1622"/>
      <c r="B66" s="1618"/>
    </row>
    <row r="67" spans="1:2">
      <c r="A67" s="1622"/>
      <c r="B67" s="1618"/>
    </row>
    <row r="68" spans="1:2">
      <c r="A68" s="1622"/>
      <c r="B68" s="1618"/>
    </row>
    <row r="69" spans="1:2">
      <c r="A69" s="1622"/>
      <c r="B69" s="1618"/>
    </row>
    <row r="70" spans="1:2">
      <c r="A70" s="1622"/>
      <c r="B70" s="1618"/>
    </row>
    <row r="71" spans="1:2">
      <c r="A71" s="1622"/>
      <c r="B71" s="1618"/>
    </row>
    <row r="72" spans="1:2">
      <c r="A72" s="1622"/>
      <c r="B72" s="1618"/>
    </row>
    <row r="73" spans="1:2">
      <c r="A73" s="1622"/>
      <c r="B73" s="1618"/>
    </row>
    <row r="74" spans="1:2">
      <c r="A74" s="1622"/>
      <c r="B74" s="1618"/>
    </row>
    <row r="75" spans="1:2">
      <c r="A75" s="1622"/>
      <c r="B75" s="1618"/>
    </row>
    <row r="76" spans="1:2">
      <c r="A76" s="1622"/>
      <c r="B76" s="1618"/>
    </row>
    <row r="77" spans="1:2">
      <c r="A77" s="1622"/>
      <c r="B77" s="1618"/>
    </row>
    <row r="78" spans="1:2">
      <c r="A78" s="1622"/>
      <c r="B78" s="1618"/>
    </row>
    <row r="79" spans="1:2">
      <c r="A79" s="1622"/>
      <c r="B79" s="1618"/>
    </row>
    <row r="80" spans="1:2">
      <c r="A80" s="1622"/>
      <c r="B80" s="1618"/>
    </row>
    <row r="81" spans="1:2">
      <c r="A81" s="1622"/>
      <c r="B81" s="1618"/>
    </row>
    <row r="82" spans="1:2">
      <c r="A82" s="1622"/>
      <c r="B82" s="1618"/>
    </row>
    <row r="83" spans="1:2">
      <c r="A83" s="1622"/>
      <c r="B83" s="1618"/>
    </row>
    <row r="84" spans="1:2">
      <c r="A84" s="1622"/>
      <c r="B84" s="1618"/>
    </row>
    <row r="85" spans="1:2">
      <c r="A85" s="1622"/>
      <c r="B85" s="1618"/>
    </row>
    <row r="86" spans="1:2">
      <c r="A86" s="1622"/>
      <c r="B86" s="1618"/>
    </row>
    <row r="87" spans="1:2">
      <c r="A87" s="1622"/>
      <c r="B87" s="1618"/>
    </row>
    <row r="88" spans="1:2">
      <c r="A88" s="1622"/>
      <c r="B88" s="1618"/>
    </row>
    <row r="89" spans="1:2">
      <c r="A89" s="1622"/>
      <c r="B89" s="1618"/>
    </row>
    <row r="90" spans="1:2">
      <c r="A90" s="1622"/>
      <c r="B90" s="1618"/>
    </row>
    <row r="91" spans="1:2">
      <c r="A91" s="1622"/>
      <c r="B91" s="1618"/>
    </row>
    <row r="92" spans="1:2">
      <c r="A92" s="1622"/>
      <c r="B92" s="1618"/>
    </row>
    <row r="93" spans="1:2">
      <c r="A93" s="1622"/>
      <c r="B93" s="1618"/>
    </row>
    <row r="94" spans="1:2">
      <c r="A94" s="1622"/>
      <c r="B94" s="1618"/>
    </row>
    <row r="95" spans="1:2">
      <c r="A95" s="1622"/>
      <c r="B95" s="1618"/>
    </row>
    <row r="96" spans="1:2">
      <c r="A96" s="1622"/>
      <c r="B96" s="1618"/>
    </row>
    <row r="97" spans="1:2">
      <c r="A97" s="1622"/>
      <c r="B97" s="1618"/>
    </row>
    <row r="98" spans="1:2">
      <c r="A98" s="1622"/>
      <c r="B98" s="1618"/>
    </row>
    <row r="99" spans="1:2">
      <c r="A99" s="1622"/>
      <c r="B99" s="1618"/>
    </row>
    <row r="100" spans="1:2">
      <c r="A100" s="1622"/>
      <c r="B100" s="1618"/>
    </row>
    <row r="101" spans="1:2">
      <c r="A101" s="1622"/>
      <c r="B101" s="1618"/>
    </row>
    <row r="102" spans="1:2">
      <c r="A102" s="1622"/>
      <c r="B102" s="1618"/>
    </row>
    <row r="103" spans="1:2">
      <c r="A103" s="1622"/>
      <c r="B103" s="1618"/>
    </row>
    <row r="104" spans="1:2">
      <c r="A104" s="1622"/>
      <c r="B104" s="1618"/>
    </row>
    <row r="105" spans="1:2">
      <c r="A105" s="1622"/>
      <c r="B105" s="1618"/>
    </row>
    <row r="106" spans="1:2">
      <c r="A106" s="1622"/>
      <c r="B106" s="1618"/>
    </row>
    <row r="107" spans="1:2">
      <c r="A107" s="1622"/>
      <c r="B107" s="1618"/>
    </row>
    <row r="108" spans="1:2">
      <c r="A108" s="1622"/>
      <c r="B108" s="1618"/>
    </row>
    <row r="109" spans="1:2">
      <c r="A109" s="1622"/>
      <c r="B109" s="1618"/>
    </row>
    <row r="110" spans="1:2">
      <c r="A110" s="1622"/>
      <c r="B110" s="1618"/>
    </row>
    <row r="111" spans="1:2">
      <c r="A111" s="1622"/>
      <c r="B111" s="1618"/>
    </row>
    <row r="112" spans="1:2">
      <c r="A112" s="1622"/>
      <c r="B112" s="1618"/>
    </row>
    <row r="113" spans="1:2">
      <c r="A113" s="1622"/>
      <c r="B113" s="1618"/>
    </row>
    <row r="114" spans="1:2">
      <c r="A114" s="1622"/>
      <c r="B114" s="1618"/>
    </row>
    <row r="115" spans="1:2">
      <c r="A115" s="1622"/>
      <c r="B115" s="1618"/>
    </row>
    <row r="116" spans="1:2">
      <c r="A116" s="1622"/>
      <c r="B116" s="1618"/>
    </row>
    <row r="117" spans="1:2">
      <c r="A117" s="1622"/>
      <c r="B117" s="1618"/>
    </row>
    <row r="118" spans="1:2">
      <c r="A118" s="1622"/>
      <c r="B118" s="1618"/>
    </row>
    <row r="119" spans="1:2">
      <c r="A119" s="1622"/>
      <c r="B119" s="1618"/>
    </row>
    <row r="120" spans="1:2">
      <c r="A120" s="1622"/>
      <c r="B120" s="1618"/>
    </row>
    <row r="121" spans="1:2">
      <c r="A121" s="1622"/>
      <c r="B121" s="1618"/>
    </row>
    <row r="122" spans="1:2">
      <c r="A122" s="1622"/>
      <c r="B122" s="1618"/>
    </row>
    <row r="123" spans="1:2">
      <c r="A123" s="1622"/>
      <c r="B123" s="1618"/>
    </row>
    <row r="124" spans="1:2">
      <c r="A124" s="1622"/>
      <c r="B124" s="1618"/>
    </row>
    <row r="125" spans="1:2">
      <c r="A125" s="1622"/>
      <c r="B125" s="1618"/>
    </row>
    <row r="126" spans="1:2">
      <c r="A126" s="1622"/>
      <c r="B126" s="1618"/>
    </row>
    <row r="127" spans="1:2">
      <c r="A127" s="1622"/>
      <c r="B127" s="1618"/>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B9" sqref="B9"/>
    </sheetView>
  </sheetViews>
  <sheetFormatPr defaultColWidth="10" defaultRowHeight="18" customHeight="1"/>
  <cols>
    <col min="1" max="1" width="14.875" style="2151" customWidth="1"/>
    <col min="2" max="2" width="10" style="2151" customWidth="1"/>
    <col min="3" max="3" width="11.5" style="2151" customWidth="1"/>
    <col min="4" max="6" width="10" style="2151" customWidth="1"/>
    <col min="7" max="7" width="10.75" style="2151" customWidth="1"/>
    <col min="8" max="8" width="10" style="2151" customWidth="1"/>
    <col min="9" max="9" width="11.125" style="2278" customWidth="1"/>
    <col min="10" max="10" width="10" style="2151" customWidth="1"/>
    <col min="11" max="11" width="10" style="2279" customWidth="1"/>
    <col min="12" max="13" width="10" style="2278" customWidth="1"/>
    <col min="14" max="14" width="10" style="2151" customWidth="1"/>
    <col min="15" max="15" width="10" style="2278" customWidth="1"/>
    <col min="16" max="17" width="10" style="2151"/>
    <col min="18" max="18" width="10" style="2151" customWidth="1"/>
    <col min="19" max="16384" width="10" style="2151"/>
  </cols>
  <sheetData>
    <row r="1" spans="1:19" ht="38.25" customHeight="1" thickBot="1">
      <c r="A1" s="2145" t="s">
        <v>1778</v>
      </c>
      <c r="B1" s="3684" t="str">
        <f>IF(B10="北京市","北京市",C10)&amp;F10&amp;IF(结果表!G1="在建","出让国有建设用地使用权及在建建筑物",IF(结果表!G1="土地","出让国有建设用地使用权",))&amp;B9&amp;"预评估"</f>
        <v>福建省福州市仓山区盖山镇天水路6号（原天水路北侧）利嘉海峡商业城（二区）6A#、6B#、7A#、7B#、9#、11#、12#馆部分商业房地产抵押价值预评估</v>
      </c>
      <c r="C1" s="3685"/>
      <c r="D1" s="3685"/>
      <c r="E1" s="3685"/>
      <c r="F1" s="3685"/>
      <c r="G1" s="3685"/>
      <c r="H1" s="3685"/>
      <c r="I1" s="3686"/>
      <c r="J1" s="2146"/>
      <c r="K1" s="2147"/>
      <c r="L1" s="2148"/>
      <c r="M1" s="2148"/>
      <c r="N1" s="2149"/>
      <c r="O1" s="2148"/>
      <c r="P1" s="2149"/>
      <c r="Q1" s="2149"/>
      <c r="R1" s="2149"/>
      <c r="S1" s="2150" t="str">
        <f>IF(B10="北京市","北京市",C10)&amp;F10&amp;IF(结果表!G1="在建","出让国有建设用地使用权及在建建筑物房地产抵押价值",IF(结果表!G1="土地","出让国有建设用地使用权抵押价值",B9))</f>
        <v>福建省福州市仓山区盖山镇天水路6号（原天水路北侧）利嘉海峡商业城（二区）6A#、6B#、7A#、7B#、9#、11#、12#馆部分商业房地产抵押价值</v>
      </c>
    </row>
    <row r="2" spans="1:19" ht="18" customHeight="1">
      <c r="A2" s="2146" t="s">
        <v>1779</v>
      </c>
      <c r="B2" s="2152"/>
      <c r="C2" s="2153"/>
      <c r="D2" s="2146"/>
      <c r="E2" s="2154"/>
      <c r="F2" s="2154"/>
      <c r="G2" s="2146"/>
      <c r="H2" s="2146"/>
      <c r="I2" s="2146"/>
      <c r="J2" s="2146"/>
      <c r="K2" s="2147"/>
      <c r="L2" s="2148"/>
      <c r="M2" s="2148"/>
      <c r="N2" s="2149"/>
      <c r="O2" s="2148"/>
      <c r="P2" s="2149"/>
      <c r="Q2" s="2149"/>
      <c r="R2" s="2149"/>
      <c r="S2" s="2150" t="str">
        <f>IF(B10="北京市","北京市",C10)&amp;F10&amp;IF(结果表!G1="在建","出让国有建设用地使用权及在建建筑物房地产",IF(结果表!G1="土地","出让国有建设用地使用权","房地产"))</f>
        <v>福建省福州市仓山区盖山镇天水路6号（原天水路北侧）利嘉海峡商业城（二区）6A#、6B#、7A#、7B#、9#、11#、12#馆部分商业房地产</v>
      </c>
    </row>
    <row r="3" spans="1:19" ht="18" customHeight="1">
      <c r="A3" s="2155" t="s">
        <v>1780</v>
      </c>
      <c r="B3" s="3413">
        <v>43045</v>
      </c>
      <c r="C3" s="2156" t="s">
        <v>1781</v>
      </c>
      <c r="D3" s="3413">
        <v>43071</v>
      </c>
      <c r="E3" s="2146"/>
      <c r="F3" s="2146"/>
      <c r="G3" s="2146"/>
      <c r="H3" s="2146"/>
      <c r="I3" s="2146"/>
      <c r="J3" s="2146"/>
      <c r="K3" s="2147"/>
      <c r="L3" s="2148"/>
      <c r="M3" s="2148"/>
      <c r="N3" s="2149"/>
      <c r="O3" s="2148"/>
      <c r="P3" s="2149"/>
      <c r="Q3" s="2149"/>
      <c r="R3" s="2149"/>
      <c r="S3" s="2150"/>
    </row>
    <row r="4" spans="1:19" ht="18" customHeight="1" thickBot="1">
      <c r="A4" s="2157" t="s">
        <v>1782</v>
      </c>
      <c r="B4" s="2158" t="s">
        <v>7120</v>
      </c>
      <c r="C4" s="2159">
        <f ca="1">SUMIF(注册房地产估价师,B4,估价师及机构信息!B3:B24)</f>
        <v>1120070131</v>
      </c>
      <c r="D4" s="2158" t="s">
        <v>7121</v>
      </c>
      <c r="E4" s="2159">
        <f ca="1">SUMIF(注册房地产估价师,D4,估价师及机构信息!B3:B24)</f>
        <v>1120050019</v>
      </c>
      <c r="F4" s="2158" t="s">
        <v>70</v>
      </c>
      <c r="G4" s="2160">
        <f>SUMIF(注册房地产估价师,F4,估价师及机构信息!B3:B24)</f>
        <v>0</v>
      </c>
      <c r="H4" s="2158" t="s">
        <v>70</v>
      </c>
      <c r="I4" s="2161">
        <f>SUMIF(注册房地产估价师,H4,估价师及机构信息!B3:B24)</f>
        <v>0</v>
      </c>
      <c r="J4" s="2162"/>
      <c r="K4" s="2163" t="str">
        <f ca="1">CONCATENATE(B4,"（注册号：",C4,")、",D4,"（注册号：",E4,")")</f>
        <v>郑燚（注册号：1120070131)、王鹏（注册号：1120050019)</v>
      </c>
      <c r="L4" s="2148"/>
      <c r="M4" s="2148"/>
      <c r="N4" s="2149"/>
      <c r="O4" s="2148"/>
      <c r="P4" s="2149"/>
      <c r="Q4" s="2149"/>
      <c r="R4" s="2149"/>
      <c r="S4" s="2150"/>
    </row>
    <row r="5" spans="1:19" ht="18" customHeight="1" thickTop="1">
      <c r="A5" s="2164" t="s">
        <v>1783</v>
      </c>
      <c r="B5" s="2165"/>
      <c r="C5" s="2166"/>
      <c r="D5" s="2167"/>
      <c r="E5" s="2162"/>
      <c r="F5" s="2162"/>
      <c r="G5" s="2162"/>
      <c r="H5" s="2162"/>
      <c r="I5" s="2162"/>
      <c r="J5" s="2162"/>
      <c r="K5" s="2163" t="str">
        <f>IF(F4="——","",IF(H4="——",F4&amp;"（注册号："&amp;G4&amp;")",CONCATENATE(F4,"（注册号：",G4,")、",H4,"（注册号：",I4,")")))</f>
        <v/>
      </c>
      <c r="L5" s="2148"/>
      <c r="M5" s="2148"/>
      <c r="N5" s="2149"/>
      <c r="O5" s="2148"/>
      <c r="P5" s="2149"/>
      <c r="Q5" s="2149"/>
      <c r="R5" s="2149"/>
    </row>
    <row r="6" spans="1:19" ht="18" customHeight="1">
      <c r="A6" s="2168" t="s">
        <v>1784</v>
      </c>
      <c r="B6" s="2169"/>
      <c r="C6" s="2170"/>
      <c r="D6" s="2171"/>
      <c r="E6" s="2154"/>
      <c r="F6" s="2162"/>
      <c r="G6" s="2162"/>
      <c r="H6" s="2162"/>
      <c r="I6" s="2162"/>
      <c r="J6" s="2162"/>
      <c r="K6" s="2172" t="str">
        <f>IF(COUNTIF(B6,"*上海银行*"),"上海银行","")</f>
        <v/>
      </c>
      <c r="L6" s="2148"/>
      <c r="M6" s="2148"/>
      <c r="N6" s="2149"/>
      <c r="O6" s="2148"/>
      <c r="P6" s="2149"/>
      <c r="Q6" s="2149"/>
      <c r="R6" s="2149"/>
    </row>
    <row r="7" spans="1:19" ht="18" customHeight="1">
      <c r="A7" s="2168" t="s">
        <v>1785</v>
      </c>
      <c r="B7" s="2173"/>
      <c r="C7" s="2170"/>
      <c r="D7" s="2171"/>
      <c r="E7" s="2154"/>
      <c r="F7" s="2162"/>
      <c r="G7" s="2162"/>
      <c r="H7" s="2162"/>
      <c r="I7" s="2162"/>
      <c r="J7" s="2162"/>
      <c r="K7" s="2172"/>
      <c r="L7" s="2148"/>
      <c r="M7" s="2148"/>
      <c r="N7" s="2149"/>
      <c r="O7" s="2148"/>
      <c r="P7" s="2149"/>
      <c r="Q7" s="2149"/>
      <c r="R7" s="2149"/>
    </row>
    <row r="8" spans="1:19" ht="18" customHeight="1">
      <c r="A8" s="2168" t="s">
        <v>1786</v>
      </c>
      <c r="B8" s="2174" t="s">
        <v>3060</v>
      </c>
      <c r="C8" s="2175"/>
      <c r="D8" s="3687" t="s">
        <v>1787</v>
      </c>
      <c r="E8" s="2176"/>
      <c r="F8" s="2177"/>
      <c r="G8" s="2146"/>
      <c r="H8" s="2146"/>
      <c r="I8" s="2146"/>
      <c r="J8" s="2162"/>
      <c r="K8" s="2163"/>
      <c r="L8" s="2148"/>
      <c r="M8" s="2148"/>
      <c r="N8" s="2149"/>
      <c r="O8" s="2148"/>
      <c r="P8" s="2149"/>
      <c r="Q8" s="2149"/>
      <c r="R8" s="2149"/>
    </row>
    <row r="9" spans="1:19" ht="18" customHeight="1" thickBot="1">
      <c r="A9" s="2160" t="s">
        <v>1788</v>
      </c>
      <c r="B9" s="2178" t="s">
        <v>7168</v>
      </c>
      <c r="C9" s="2179"/>
      <c r="D9" s="3688"/>
      <c r="E9" s="2178"/>
      <c r="F9" s="2180"/>
      <c r="G9" s="2181"/>
      <c r="H9" s="2181"/>
      <c r="I9" s="2181"/>
      <c r="J9" s="2162"/>
      <c r="K9" s="2172"/>
      <c r="L9" s="2148"/>
      <c r="M9" s="2148"/>
      <c r="N9" s="2149"/>
      <c r="O9" s="2148"/>
      <c r="P9" s="2149"/>
      <c r="Q9" s="2149"/>
      <c r="R9" s="2149"/>
    </row>
    <row r="10" spans="1:19" ht="18" customHeight="1" thickTop="1">
      <c r="A10" s="2182" t="s">
        <v>1789</v>
      </c>
      <c r="B10" s="2183" t="s">
        <v>3061</v>
      </c>
      <c r="C10" s="2184" t="s">
        <v>7123</v>
      </c>
      <c r="D10" s="2167"/>
      <c r="E10" s="2185" t="s">
        <v>1790</v>
      </c>
      <c r="F10" s="2186" t="s">
        <v>7122</v>
      </c>
      <c r="G10" s="2187"/>
      <c r="H10" s="2188"/>
      <c r="I10" s="2167"/>
      <c r="J10" s="2162"/>
      <c r="K10" s="2172"/>
      <c r="L10" s="2148"/>
      <c r="M10" s="2148"/>
      <c r="N10" s="2149"/>
      <c r="O10" s="2148"/>
      <c r="P10" s="2149"/>
      <c r="Q10" s="2149"/>
      <c r="R10" s="2149"/>
    </row>
    <row r="11" spans="1:19" ht="18" customHeight="1">
      <c r="A11" s="2189" t="s">
        <v>1791</v>
      </c>
      <c r="B11" s="2190" t="s">
        <v>3062</v>
      </c>
      <c r="C11" s="2191"/>
      <c r="D11" s="2192"/>
      <c r="E11" s="2162"/>
      <c r="F11" s="2162"/>
      <c r="G11" s="2162"/>
      <c r="H11" s="2162"/>
      <c r="I11" s="2162"/>
      <c r="J11" s="2162"/>
      <c r="K11" s="2172"/>
      <c r="L11" s="2148"/>
      <c r="M11" s="2148"/>
      <c r="N11" s="2149"/>
      <c r="O11" s="2148"/>
      <c r="P11" s="2149"/>
      <c r="Q11" s="2149"/>
      <c r="R11" s="2149"/>
    </row>
    <row r="12" spans="1:19" ht="18" customHeight="1">
      <c r="A12" s="2193" t="s">
        <v>1792</v>
      </c>
      <c r="B12" s="2190" t="s">
        <v>3063</v>
      </c>
      <c r="C12" s="2194" t="s">
        <v>1793</v>
      </c>
      <c r="D12" s="28" t="s">
        <v>1794</v>
      </c>
      <c r="E12" s="28" t="s">
        <v>1795</v>
      </c>
      <c r="F12" s="28" t="s">
        <v>1796</v>
      </c>
      <c r="G12" s="28" t="s">
        <v>1797</v>
      </c>
      <c r="H12" s="28" t="s">
        <v>1798</v>
      </c>
      <c r="I12" s="28" t="s">
        <v>1799</v>
      </c>
      <c r="J12" s="2162"/>
      <c r="K12" s="2172"/>
      <c r="L12" s="2148"/>
      <c r="M12" s="2148"/>
      <c r="N12" s="2149"/>
      <c r="O12" s="2148"/>
      <c r="P12" s="2149"/>
      <c r="Q12" s="2149"/>
      <c r="R12" s="2149"/>
    </row>
    <row r="13" spans="1:19" ht="18" customHeight="1">
      <c r="A13" s="2195"/>
      <c r="B13" s="2196"/>
      <c r="C13" s="2197" t="s">
        <v>1800</v>
      </c>
      <c r="D13" s="2198"/>
      <c r="E13" s="3414">
        <v>56019</v>
      </c>
      <c r="F13" s="2198"/>
      <c r="G13" s="2198"/>
      <c r="H13" s="2198"/>
      <c r="I13" s="2199"/>
      <c r="J13" s="2162"/>
      <c r="K13" s="2172"/>
      <c r="L13" s="2148"/>
      <c r="M13" s="2148"/>
      <c r="N13" s="2149"/>
      <c r="O13" s="2148"/>
      <c r="P13" s="2149"/>
      <c r="Q13" s="2149"/>
      <c r="R13" s="2149"/>
    </row>
    <row r="14" spans="1:19" ht="18" customHeight="1">
      <c r="A14" s="2195"/>
      <c r="B14" s="2196"/>
      <c r="C14" s="2197" t="s">
        <v>1801</v>
      </c>
      <c r="D14" s="2200"/>
      <c r="E14" s="2200">
        <v>40</v>
      </c>
      <c r="F14" s="2200"/>
      <c r="G14" s="2200"/>
      <c r="H14" s="2200"/>
      <c r="I14" s="2200"/>
      <c r="J14" s="2162"/>
      <c r="K14" s="2172"/>
      <c r="L14" s="2148"/>
      <c r="M14" s="2148"/>
      <c r="N14" s="2149"/>
      <c r="O14" s="2148"/>
      <c r="P14" s="2149"/>
      <c r="Q14" s="2149"/>
      <c r="R14" s="2149"/>
    </row>
    <row r="15" spans="1:19" ht="18" customHeight="1">
      <c r="A15" s="2182"/>
      <c r="B15" s="2201"/>
      <c r="C15" s="2197" t="s">
        <v>1802</v>
      </c>
      <c r="D15" s="2202" t="str">
        <f>IF(B12="出让",IF(D13="","",ROUNDDOWN(MIN((D13-$D$3)/365,D14),2)),D14)</f>
        <v/>
      </c>
      <c r="E15" s="2202">
        <f>IF(B12="出让",IF(E13="","",ROUNDDOWN(MIN((E13-$D$3)/365,E14),2)),E14)</f>
        <v>35.47</v>
      </c>
      <c r="F15" s="2202" t="str">
        <f>IF(B12="出让",IF(F13="","",ROUNDDOWN(MIN((F13-$D$3)/365,F14),2)),F14)</f>
        <v/>
      </c>
      <c r="G15" s="2202" t="str">
        <f>IF(B12="出让",IF(G13="","",ROUNDDOWN(MIN((G13-$D$3)/365,G14),2)),G14)</f>
        <v/>
      </c>
      <c r="H15" s="2202" t="str">
        <f>IF(B12="出让",IF(H13="","",ROUNDDOWN(MIN((H13-$D$3)/365,H14),2)),H14)</f>
        <v/>
      </c>
      <c r="I15" s="2202" t="str">
        <f>IF(B12="出让",IF(I13="","",ROUNDDOWN(MIN((I13-$D$3)/365,I14),2)),I14)</f>
        <v/>
      </c>
      <c r="J15" s="2162"/>
      <c r="K15" s="2172"/>
      <c r="L15" s="2148"/>
      <c r="M15" s="2148"/>
      <c r="N15" s="2149"/>
      <c r="O15" s="2148"/>
      <c r="P15" s="2149"/>
      <c r="Q15" s="2149"/>
      <c r="R15" s="2149"/>
    </row>
    <row r="16" spans="1:19" ht="30.75" customHeight="1">
      <c r="A16" s="2185" t="s">
        <v>1803</v>
      </c>
      <c r="B16" s="3694"/>
      <c r="C16" s="3695"/>
      <c r="D16" s="3696"/>
      <c r="E16" s="2203" t="s">
        <v>1804</v>
      </c>
      <c r="F16" s="3697"/>
      <c r="G16" s="3698"/>
      <c r="H16" s="3698"/>
      <c r="I16" s="3699"/>
      <c r="J16" s="2149"/>
      <c r="K16" s="2172"/>
      <c r="L16" s="2148"/>
      <c r="M16" s="2148"/>
      <c r="N16" s="2149"/>
      <c r="O16" s="2148"/>
      <c r="P16" s="2149"/>
      <c r="Q16" s="2149"/>
      <c r="R16" s="2149"/>
    </row>
    <row r="17" spans="1:22" ht="18" customHeight="1">
      <c r="A17" s="2204" t="s">
        <v>1805</v>
      </c>
      <c r="B17" s="2155" t="s">
        <v>1806</v>
      </c>
      <c r="C17" s="2202">
        <f>'数据-汇总表'!E3</f>
        <v>44516.22</v>
      </c>
      <c r="D17" s="2205" t="s">
        <v>1807</v>
      </c>
      <c r="E17" s="3700" t="s">
        <v>1808</v>
      </c>
      <c r="F17" s="3701"/>
      <c r="G17" s="3701"/>
      <c r="H17" s="3701"/>
      <c r="I17" s="3702"/>
      <c r="J17" s="2149"/>
      <c r="K17" s="2163"/>
      <c r="L17" s="2148"/>
      <c r="M17" s="2148"/>
      <c r="N17" s="2149"/>
      <c r="O17" s="2148"/>
      <c r="P17" s="2149"/>
      <c r="Q17" s="2149"/>
      <c r="R17" s="2149"/>
      <c r="S17" s="2149"/>
      <c r="T17" s="2149"/>
      <c r="U17" s="2149"/>
      <c r="V17" s="2149"/>
    </row>
    <row r="18" spans="1:22" ht="36" customHeight="1" thickBot="1">
      <c r="A18" s="2206" t="s">
        <v>1809</v>
      </c>
      <c r="B18" s="2157" t="s">
        <v>1810</v>
      </c>
      <c r="C18" s="2207">
        <f>'数据-汇总表'!D3</f>
        <v>13197.02</v>
      </c>
      <c r="D18" s="2208" t="s">
        <v>1807</v>
      </c>
      <c r="E18" s="3703" t="s">
        <v>7128</v>
      </c>
      <c r="F18" s="3704"/>
      <c r="G18" s="3704"/>
      <c r="H18" s="3704"/>
      <c r="I18" s="3705"/>
      <c r="J18" s="2149"/>
      <c r="K18" s="2163"/>
      <c r="L18" s="2148"/>
      <c r="M18" s="2148"/>
      <c r="N18" s="2149"/>
      <c r="O18" s="2148"/>
      <c r="P18" s="2149"/>
      <c r="Q18" s="2149"/>
      <c r="R18" s="2149"/>
      <c r="S18" s="2149"/>
      <c r="T18" s="2149"/>
      <c r="U18" s="2149"/>
      <c r="V18" s="2149"/>
    </row>
    <row r="19" spans="1:22" ht="37.5" customHeight="1" thickTop="1" thickBot="1">
      <c r="A19" s="2209" t="s">
        <v>1811</v>
      </c>
      <c r="B19" s="2210" t="s">
        <v>1812</v>
      </c>
      <c r="C19" s="2211" t="s">
        <v>3064</v>
      </c>
      <c r="D19" s="2212" t="s">
        <v>1813</v>
      </c>
      <c r="E19" s="2213" t="s">
        <v>3064</v>
      </c>
      <c r="F19" s="2214" t="str">
        <f>IF(AND(C19="是",E19="否"),"是否提供他项权证或相关说明","")</f>
        <v/>
      </c>
      <c r="G19" s="2215"/>
      <c r="H19" s="2162"/>
      <c r="I19" s="2162"/>
      <c r="J19" s="2162"/>
      <c r="K19" s="2172"/>
      <c r="L19" s="2148"/>
      <c r="M19" s="2148"/>
      <c r="N19" s="2149"/>
      <c r="O19" s="2148"/>
      <c r="P19" s="2149"/>
      <c r="Q19" s="2149"/>
      <c r="R19" s="2149"/>
      <c r="S19" s="2149"/>
      <c r="T19" s="2149"/>
      <c r="U19" s="2149"/>
      <c r="V19" s="2149"/>
    </row>
    <row r="20" spans="1:22" ht="18" customHeight="1">
      <c r="A20" s="2216" t="s">
        <v>1814</v>
      </c>
      <c r="B20" s="3690" t="s">
        <v>1815</v>
      </c>
      <c r="C20" s="3691"/>
      <c r="D20" s="3692" t="s">
        <v>1816</v>
      </c>
      <c r="E20" s="3693"/>
      <c r="F20" s="2217" t="s">
        <v>1817</v>
      </c>
      <c r="G20" s="2162"/>
      <c r="H20" s="2162"/>
      <c r="I20" s="2162"/>
      <c r="J20" s="2162"/>
      <c r="K20" s="3689" t="s">
        <v>1818</v>
      </c>
      <c r="L20" s="221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148"/>
      <c r="N20" s="2149"/>
      <c r="O20" s="2148"/>
      <c r="P20" s="2149"/>
      <c r="Q20" s="2149"/>
      <c r="R20" s="2149"/>
      <c r="S20" s="2149"/>
      <c r="T20" s="2149"/>
      <c r="U20" s="2149"/>
      <c r="V20" s="2149"/>
    </row>
    <row r="21" spans="1:22" ht="24.75" customHeight="1">
      <c r="A21" s="2216"/>
      <c r="B21" s="2219" t="s">
        <v>1819</v>
      </c>
      <c r="C21" s="2220" t="s">
        <v>1820</v>
      </c>
      <c r="D21" s="2221" t="s">
        <v>1821</v>
      </c>
      <c r="E21" s="2222" t="s">
        <v>1820</v>
      </c>
      <c r="F21" s="2223"/>
      <c r="G21" s="2162"/>
      <c r="H21" s="2162"/>
      <c r="I21" s="2162"/>
      <c r="J21" s="2162"/>
      <c r="K21" s="3689"/>
      <c r="L21" s="221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c r="M21" s="2148"/>
      <c r="N21" s="2149"/>
      <c r="O21" s="2148"/>
      <c r="P21" s="2149"/>
      <c r="Q21" s="2149"/>
      <c r="R21" s="2149"/>
      <c r="S21" s="2149"/>
      <c r="T21" s="2149"/>
      <c r="U21" s="2149"/>
      <c r="V21" s="2149"/>
    </row>
    <row r="22" spans="1:22" ht="24.75" customHeight="1" thickBot="1">
      <c r="A22" s="2216"/>
      <c r="B22" s="2224" t="s">
        <v>1822</v>
      </c>
      <c r="C22" s="2220" t="s">
        <v>1823</v>
      </c>
      <c r="D22" s="2146"/>
      <c r="E22" s="2146"/>
      <c r="F22" s="2225"/>
      <c r="G22" s="2162"/>
      <c r="H22" s="2162"/>
      <c r="I22" s="2162"/>
      <c r="J22" s="2162"/>
      <c r="K22" s="3689"/>
      <c r="L22" s="221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48"/>
      <c r="N22" s="2149"/>
      <c r="O22" s="2148"/>
      <c r="P22" s="2149"/>
      <c r="Q22" s="2149"/>
      <c r="R22" s="2149"/>
      <c r="S22" s="2149"/>
      <c r="T22" s="2149"/>
      <c r="U22" s="2149"/>
      <c r="V22" s="2149"/>
    </row>
    <row r="23" spans="1:22" ht="18" customHeight="1">
      <c r="A23" s="2226" t="s">
        <v>1824</v>
      </c>
      <c r="B23" s="2227" t="s">
        <v>1825</v>
      </c>
      <c r="C23" s="2228"/>
      <c r="D23" s="2229" t="s">
        <v>1825</v>
      </c>
      <c r="E23" s="2230"/>
      <c r="F23" s="2225"/>
      <c r="G23" s="2162"/>
      <c r="H23" s="2162"/>
      <c r="I23" s="2162"/>
      <c r="J23" s="2162"/>
      <c r="K23" s="2231"/>
      <c r="L23" s="2218"/>
      <c r="M23" s="2148"/>
      <c r="N23" s="2149"/>
      <c r="O23" s="2148"/>
      <c r="P23" s="2149"/>
      <c r="Q23" s="2149"/>
      <c r="R23" s="2149"/>
      <c r="S23" s="2149"/>
      <c r="T23" s="2149"/>
      <c r="U23" s="2149"/>
      <c r="V23" s="2149"/>
    </row>
    <row r="24" spans="1:22" ht="18" customHeight="1">
      <c r="A24" s="2232"/>
      <c r="B24" s="2227" t="s">
        <v>1826</v>
      </c>
      <c r="C24" s="2233"/>
      <c r="D24" s="2226" t="s">
        <v>1826</v>
      </c>
      <c r="E24" s="2234"/>
      <c r="F24" s="2225"/>
      <c r="G24" s="2162"/>
      <c r="H24" s="2162"/>
      <c r="I24" s="2162"/>
      <c r="J24" s="2162"/>
      <c r="K24" s="2231"/>
      <c r="L24" s="2218"/>
      <c r="M24" s="2148"/>
      <c r="N24" s="2149"/>
      <c r="O24" s="2148"/>
      <c r="P24" s="2149"/>
      <c r="Q24" s="2149"/>
      <c r="R24" s="2149"/>
      <c r="S24" s="2149"/>
      <c r="T24" s="2149"/>
      <c r="U24" s="2149"/>
      <c r="V24" s="2149"/>
    </row>
    <row r="25" spans="1:22" ht="18" customHeight="1">
      <c r="A25" s="2232"/>
      <c r="B25" s="2227" t="s">
        <v>1827</v>
      </c>
      <c r="C25" s="2233"/>
      <c r="D25" s="2226" t="s">
        <v>1827</v>
      </c>
      <c r="E25" s="2234"/>
      <c r="F25" s="2225"/>
      <c r="G25" s="2162"/>
      <c r="H25" s="2162"/>
      <c r="I25" s="2162"/>
      <c r="J25" s="2162"/>
      <c r="K25" s="2172"/>
      <c r="L25" s="2148"/>
      <c r="M25" s="2148"/>
      <c r="N25" s="2149"/>
      <c r="O25" s="2148"/>
      <c r="P25" s="2149"/>
      <c r="Q25" s="2149"/>
      <c r="R25" s="2149"/>
      <c r="S25" s="2149"/>
      <c r="T25" s="2149"/>
      <c r="U25" s="2149"/>
      <c r="V25" s="2149"/>
    </row>
    <row r="26" spans="1:22" ht="18" customHeight="1" thickBot="1">
      <c r="A26" s="2235"/>
      <c r="B26" s="2236" t="s">
        <v>1828</v>
      </c>
      <c r="C26" s="2237"/>
      <c r="D26" s="2238" t="s">
        <v>1829</v>
      </c>
      <c r="E26" s="2239"/>
      <c r="F26" s="2240"/>
      <c r="G26" s="2181"/>
      <c r="H26" s="2181"/>
      <c r="I26" s="2181"/>
      <c r="J26" s="2162"/>
      <c r="K26" s="2172"/>
      <c r="L26" s="2148"/>
      <c r="M26" s="2148"/>
      <c r="N26" s="2149"/>
      <c r="O26" s="2148"/>
      <c r="P26" s="2149"/>
      <c r="Q26" s="2149"/>
      <c r="R26" s="2149"/>
      <c r="S26" s="2149"/>
      <c r="T26" s="2149"/>
      <c r="U26" s="2149"/>
      <c r="V26" s="2149"/>
    </row>
    <row r="27" spans="1:22" ht="18" customHeight="1" thickTop="1">
      <c r="A27" s="3707" t="s">
        <v>1830</v>
      </c>
      <c r="B27" s="2182" t="s">
        <v>1831</v>
      </c>
      <c r="C27" s="2241"/>
      <c r="D27" s="2242"/>
      <c r="E27" s="2162"/>
      <c r="F27" s="2162"/>
      <c r="G27" s="2162"/>
      <c r="H27" s="2162"/>
      <c r="I27" s="2162"/>
      <c r="J27" s="2149"/>
      <c r="K27" s="2172"/>
      <c r="L27" s="2148"/>
      <c r="M27" s="2148"/>
      <c r="N27" s="2149"/>
      <c r="O27" s="2148"/>
      <c r="P27" s="2149"/>
      <c r="Q27" s="2149"/>
      <c r="R27" s="2149"/>
      <c r="S27" s="2149"/>
      <c r="T27" s="2149"/>
      <c r="U27" s="2149"/>
      <c r="V27" s="2149"/>
    </row>
    <row r="28" spans="1:22" ht="18" customHeight="1">
      <c r="A28" s="3707"/>
      <c r="B28" s="2155" t="s">
        <v>1832</v>
      </c>
      <c r="C28" s="2243"/>
      <c r="D28" s="2244"/>
      <c r="E28" s="2162"/>
      <c r="F28" s="2162"/>
      <c r="G28" s="2162"/>
      <c r="H28" s="2162"/>
      <c r="I28" s="2162"/>
      <c r="J28" s="2149"/>
      <c r="K28" s="2245"/>
      <c r="L28" s="2148"/>
      <c r="M28" s="2148"/>
      <c r="N28" s="2149"/>
      <c r="O28" s="2148"/>
      <c r="P28" s="2149"/>
      <c r="Q28" s="2149"/>
      <c r="R28" s="2149"/>
      <c r="S28" s="2149"/>
      <c r="T28" s="2149"/>
      <c r="U28" s="2149"/>
      <c r="V28" s="2149"/>
    </row>
    <row r="29" spans="1:22" ht="18" customHeight="1">
      <c r="A29" s="3707"/>
      <c r="B29" s="2155" t="s">
        <v>1833</v>
      </c>
      <c r="C29" s="2246"/>
      <c r="D29" s="2247"/>
      <c r="E29" s="2162"/>
      <c r="F29" s="2162"/>
      <c r="G29" s="2162"/>
      <c r="H29" s="2162"/>
      <c r="I29" s="2162"/>
      <c r="J29" s="2149"/>
      <c r="K29" s="2245"/>
      <c r="L29" s="2148"/>
      <c r="M29" s="2148"/>
      <c r="N29" s="2149"/>
      <c r="O29" s="2148"/>
      <c r="P29" s="2149"/>
      <c r="Q29" s="2149"/>
      <c r="R29" s="2149"/>
      <c r="S29" s="2149"/>
      <c r="T29" s="2149"/>
      <c r="U29" s="2149"/>
      <c r="V29" s="2149"/>
    </row>
    <row r="30" spans="1:22" ht="18" customHeight="1">
      <c r="A30" s="3708"/>
      <c r="B30" s="2155" t="s">
        <v>1834</v>
      </c>
      <c r="C30" s="3709"/>
      <c r="D30" s="3710"/>
      <c r="E30" s="2162"/>
      <c r="F30" s="2162"/>
      <c r="G30" s="2162"/>
      <c r="H30" s="2162"/>
      <c r="I30" s="2162"/>
      <c r="J30" s="2149"/>
      <c r="K30" s="2245"/>
      <c r="L30" s="2148"/>
      <c r="M30" s="2148"/>
      <c r="N30" s="2149"/>
      <c r="O30" s="2148"/>
      <c r="P30" s="2149"/>
      <c r="Q30" s="2149"/>
      <c r="R30" s="2149"/>
      <c r="S30" s="2149"/>
      <c r="T30" s="2149"/>
      <c r="U30" s="2149"/>
      <c r="V30" s="2149"/>
    </row>
    <row r="31" spans="1:22" ht="18" customHeight="1">
      <c r="A31" s="3711" t="s">
        <v>1835</v>
      </c>
      <c r="B31" s="2248"/>
      <c r="C31" s="2249" t="str">
        <f>IF(B31="现房","成新及维护状况正常否",IF(B31="在建","工程状态是否正常",IF(B31="土地","是否闲置","-")))</f>
        <v>-</v>
      </c>
      <c r="D31" s="2250"/>
      <c r="E31" s="2251"/>
      <c r="F31" s="2162"/>
      <c r="G31" s="2162"/>
      <c r="H31" s="2162"/>
      <c r="I31" s="2162"/>
      <c r="J31" s="2162"/>
      <c r="K31" s="2172"/>
      <c r="L31" s="2148"/>
      <c r="M31" s="2148"/>
      <c r="N31" s="2149"/>
      <c r="O31" s="2148"/>
      <c r="P31" s="2149"/>
      <c r="Q31" s="2149"/>
      <c r="R31" s="2149"/>
      <c r="S31" s="2149"/>
      <c r="T31" s="2149"/>
      <c r="U31" s="2149"/>
      <c r="V31" s="2149"/>
    </row>
    <row r="32" spans="1:22" ht="18" customHeight="1">
      <c r="A32" s="3712"/>
      <c r="B32" s="2248"/>
      <c r="C32" s="2249" t="str">
        <f>IF(B32="现房","成新及维护状况是否正常",IF(B32="在建","工程状态是否正常",IF(B32="土地","是否闲置","-")))</f>
        <v>-</v>
      </c>
      <c r="D32" s="2250"/>
      <c r="E32" s="2251"/>
      <c r="F32" s="2162"/>
      <c r="G32" s="2162"/>
      <c r="H32" s="2162"/>
      <c r="I32" s="2162"/>
      <c r="J32" s="2162"/>
      <c r="K32" s="2172"/>
      <c r="L32" s="2148"/>
      <c r="M32" s="2148"/>
      <c r="N32" s="2149"/>
      <c r="O32" s="2148"/>
      <c r="P32" s="2149"/>
      <c r="Q32" s="2149"/>
      <c r="R32" s="2149"/>
      <c r="S32" s="2149"/>
      <c r="T32" s="2149"/>
      <c r="U32" s="2149"/>
      <c r="V32" s="2149"/>
    </row>
    <row r="33" spans="1:22" ht="18" customHeight="1">
      <c r="A33" s="3712"/>
      <c r="B33" s="2252"/>
      <c r="C33" s="2189" t="str">
        <f>IF(B33="现房","成新及维护状况是否正常",IF(B33="在建","工程状态是否正常",IF(B33="土地","是否闲置","-")))</f>
        <v>-</v>
      </c>
      <c r="D33" s="2253"/>
      <c r="E33" s="2254"/>
      <c r="F33" s="2162"/>
      <c r="G33" s="2162"/>
      <c r="H33" s="2162"/>
      <c r="I33" s="2162"/>
      <c r="J33" s="2162"/>
      <c r="K33" s="2172"/>
      <c r="L33" s="2148"/>
      <c r="M33" s="2148"/>
      <c r="N33" s="2149"/>
      <c r="O33" s="2148"/>
      <c r="P33" s="2149"/>
      <c r="Q33" s="2149"/>
      <c r="R33" s="2149"/>
      <c r="S33" s="2149"/>
      <c r="T33" s="2149"/>
      <c r="U33" s="2149"/>
      <c r="V33" s="2149"/>
    </row>
    <row r="34" spans="1:22" ht="18" customHeight="1">
      <c r="A34" s="2155" t="s">
        <v>1836</v>
      </c>
      <c r="B34" s="2255"/>
      <c r="C34" s="2255"/>
      <c r="D34" s="2255"/>
      <c r="E34" s="2255"/>
      <c r="F34" s="2255"/>
      <c r="G34" s="2255"/>
      <c r="H34" s="2255"/>
      <c r="I34" s="2162"/>
      <c r="J34" s="2162"/>
      <c r="K34" s="28">
        <f>COUNTIF(B34:H34,"——")</f>
        <v>0</v>
      </c>
      <c r="L34" s="2194" t="s">
        <v>1837</v>
      </c>
      <c r="M34" s="2194" t="s">
        <v>1838</v>
      </c>
      <c r="N34" s="2194" t="s">
        <v>1839</v>
      </c>
      <c r="O34" s="2194" t="s">
        <v>1840</v>
      </c>
      <c r="P34" s="2194" t="s">
        <v>1841</v>
      </c>
      <c r="Q34" s="2194" t="s">
        <v>1842</v>
      </c>
      <c r="R34" s="2194" t="s">
        <v>1843</v>
      </c>
      <c r="S34" s="3706" t="s">
        <v>1844</v>
      </c>
      <c r="T34" s="2194" t="str">
        <f>NUMBERSTRING(7-K34,1)&amp;"通"</f>
        <v>七通</v>
      </c>
      <c r="U34" s="2149"/>
      <c r="V34" s="2149"/>
    </row>
    <row r="35" spans="1:22" ht="18" customHeight="1">
      <c r="A35" s="2257"/>
      <c r="B35" s="3713" t="s">
        <v>1845</v>
      </c>
      <c r="C35" s="3713"/>
      <c r="D35" s="3713"/>
      <c r="E35" s="3713"/>
      <c r="F35" s="2202" t="str">
        <f>C10</f>
        <v>福建省福州市</v>
      </c>
      <c r="G35" s="2162"/>
      <c r="H35" s="2162"/>
      <c r="I35" s="2162"/>
      <c r="J35" s="2162"/>
      <c r="K35" s="2194"/>
      <c r="L35" s="2194">
        <f>B34</f>
        <v>0</v>
      </c>
      <c r="M35" s="41" t="str">
        <f>B34&amp;"、"&amp;C34</f>
        <v>、</v>
      </c>
      <c r="N35" s="41" t="str">
        <f>B34&amp;"、"&amp;C34&amp;"、"&amp;D34</f>
        <v>、、</v>
      </c>
      <c r="O35" s="41" t="str">
        <f>B34&amp;"、"&amp;C34&amp;"、"&amp;D34&amp;"、"&amp;E34</f>
        <v>、、、</v>
      </c>
      <c r="P35" s="41" t="str">
        <f>B34&amp;"、"&amp;C34&amp;"、"&amp;D34&amp;"、"&amp;E34&amp;"、"&amp;F34</f>
        <v>、、、、</v>
      </c>
      <c r="Q35" s="41" t="str">
        <f>B34&amp;"、"&amp;C34&amp;"、"&amp;D34&amp;"、"&amp;E34&amp;"、"&amp;F34&amp;"、"&amp;G34</f>
        <v>、、、、、</v>
      </c>
      <c r="R35" s="41" t="str">
        <f>B34&amp;"、"&amp;C34&amp;"、"&amp;D34&amp;"、"&amp;E34&amp;"、"&amp;F34&amp;"、"&amp;G34&amp;"、"&amp;H34</f>
        <v>、、、、、、</v>
      </c>
      <c r="S35" s="3706"/>
      <c r="T35" s="41" t="str">
        <f>IF(T34="一通",L35,IF(T34="二通",M35,IF(T34="三通",N35,IF(T34="四通",O35,IF(T34="五通",P35,IF(T34="六通",Q35,R35))))))</f>
        <v>、、、、、、</v>
      </c>
      <c r="U35" s="2149"/>
      <c r="V35" s="2149"/>
    </row>
    <row r="36" spans="1:22" ht="18" customHeight="1">
      <c r="A36" s="2147"/>
      <c r="B36" s="2202" t="s">
        <v>1846</v>
      </c>
      <c r="C36" s="2202" t="s">
        <v>1847</v>
      </c>
      <c r="D36" s="2202" t="s">
        <v>1848</v>
      </c>
      <c r="E36" s="2202" t="s">
        <v>1849</v>
      </c>
      <c r="F36" s="2258"/>
      <c r="G36" s="2162"/>
      <c r="H36" s="2162"/>
      <c r="I36" s="2162"/>
      <c r="J36" s="2162"/>
      <c r="K36" s="2172"/>
      <c r="L36" s="2148"/>
      <c r="M36" s="2148"/>
      <c r="N36" s="2149"/>
      <c r="O36" s="2148"/>
      <c r="P36" s="2149"/>
      <c r="Q36" s="2149"/>
      <c r="R36" s="2149"/>
      <c r="S36" s="2149"/>
      <c r="T36" s="2149"/>
      <c r="U36" s="2149"/>
      <c r="V36" s="2149"/>
    </row>
    <row r="37" spans="1:22" ht="18" customHeight="1">
      <c r="A37" s="2259" t="s">
        <v>1850</v>
      </c>
      <c r="B37" s="2260"/>
      <c r="C37" s="2260"/>
      <c r="D37" s="2260"/>
      <c r="E37" s="2260"/>
      <c r="F37" s="2258"/>
      <c r="G37" s="2162"/>
      <c r="H37" s="2162"/>
      <c r="I37" s="2162"/>
      <c r="J37" s="2162"/>
      <c r="K37" s="2172"/>
      <c r="L37" s="2148"/>
      <c r="M37" s="2148"/>
      <c r="N37" s="2149"/>
      <c r="O37" s="2148"/>
      <c r="P37" s="2149"/>
      <c r="Q37" s="2149"/>
      <c r="R37" s="2149"/>
      <c r="S37" s="2149"/>
      <c r="T37" s="2149"/>
      <c r="U37" s="2149"/>
      <c r="V37" s="2149"/>
    </row>
    <row r="38" spans="1:22" ht="18" customHeight="1" thickBot="1">
      <c r="A38" s="2261" t="s">
        <v>1851</v>
      </c>
      <c r="B38" s="2262"/>
      <c r="C38" s="2262"/>
      <c r="D38" s="2262"/>
      <c r="E38" s="2262"/>
      <c r="F38" s="2263"/>
      <c r="G38" s="2181"/>
      <c r="H38" s="2181"/>
      <c r="I38" s="2181"/>
      <c r="J38" s="2162"/>
      <c r="K38" s="2172"/>
      <c r="L38" s="2148"/>
      <c r="M38" s="2148"/>
      <c r="N38" s="2149"/>
      <c r="O38" s="2148"/>
      <c r="P38" s="2149"/>
      <c r="Q38" s="2149"/>
      <c r="R38" s="2149"/>
      <c r="S38" s="2149"/>
      <c r="T38" s="2149"/>
      <c r="U38" s="2149"/>
      <c r="V38" s="2149"/>
    </row>
    <row r="39" spans="1:22" s="2268" customFormat="1" ht="18" customHeight="1" thickTop="1" thickBot="1">
      <c r="A39" s="2264" t="s">
        <v>1852</v>
      </c>
      <c r="B39" s="2265"/>
      <c r="C39" s="2265"/>
      <c r="D39" s="2265"/>
      <c r="E39" s="2265"/>
      <c r="F39" s="2265"/>
      <c r="G39" s="2265"/>
      <c r="H39" s="2265"/>
      <c r="I39" s="2265"/>
      <c r="J39" s="2265"/>
      <c r="K39" s="2266"/>
      <c r="L39" s="2265"/>
      <c r="M39" s="2265"/>
      <c r="N39" s="2265"/>
      <c r="O39" s="2267"/>
      <c r="P39" s="2265"/>
      <c r="Q39" s="2265"/>
      <c r="R39" s="2265"/>
      <c r="S39" s="2265"/>
      <c r="T39" s="2265"/>
      <c r="U39" s="2265"/>
      <c r="V39" s="2265"/>
    </row>
    <row r="40" spans="1:22" ht="18" customHeight="1">
      <c r="A40" s="2149"/>
      <c r="B40" s="2149"/>
      <c r="C40" s="2149"/>
      <c r="D40" s="2149"/>
      <c r="E40" s="2149"/>
      <c r="F40" s="2149"/>
      <c r="G40" s="2149"/>
      <c r="H40" s="2149"/>
      <c r="I40" s="2269"/>
      <c r="J40" s="2149"/>
      <c r="K40" s="2245"/>
      <c r="L40" s="2148"/>
      <c r="M40" s="2148"/>
      <c r="N40" s="2149"/>
      <c r="O40" s="2148"/>
      <c r="P40" s="2149"/>
      <c r="Q40" s="2149"/>
      <c r="R40" s="2149"/>
      <c r="S40" s="2149"/>
      <c r="T40" s="2149"/>
      <c r="U40" s="2149"/>
      <c r="V40" s="2149"/>
    </row>
    <row r="41" spans="1:22" ht="18" customHeight="1">
      <c r="A41" s="2270" t="s">
        <v>1853</v>
      </c>
      <c r="B41" s="2271"/>
      <c r="C41" s="2272"/>
      <c r="D41" s="2149"/>
      <c r="E41" s="2149"/>
      <c r="F41" s="2149"/>
      <c r="G41" s="2149"/>
      <c r="H41" s="2149"/>
      <c r="I41" s="2148"/>
      <c r="J41" s="2149"/>
      <c r="K41" s="2245"/>
      <c r="L41" s="2148"/>
      <c r="M41" s="2148"/>
      <c r="N41" s="2149"/>
      <c r="O41" s="2148"/>
      <c r="P41" s="2149"/>
      <c r="Q41" s="2149"/>
      <c r="R41" s="2149"/>
      <c r="S41" s="2149"/>
      <c r="T41" s="2149"/>
      <c r="U41" s="2149"/>
      <c r="V41" s="2149"/>
    </row>
    <row r="42" spans="1:22" ht="18" customHeight="1">
      <c r="A42" s="2194" t="s">
        <v>1854</v>
      </c>
      <c r="B42" s="28" t="s">
        <v>1855</v>
      </c>
      <c r="C42" s="28" t="s">
        <v>1856</v>
      </c>
      <c r="D42" s="28" t="s">
        <v>1857</v>
      </c>
      <c r="E42" s="28" t="s">
        <v>1858</v>
      </c>
      <c r="F42" s="28" t="s">
        <v>1859</v>
      </c>
      <c r="G42" s="28" t="s">
        <v>1860</v>
      </c>
      <c r="H42" s="28" t="s">
        <v>1861</v>
      </c>
      <c r="I42" s="28" t="s">
        <v>1862</v>
      </c>
      <c r="J42" s="2273" t="s">
        <v>1863</v>
      </c>
      <c r="K42" s="28" t="s">
        <v>1864</v>
      </c>
      <c r="L42" s="28" t="s">
        <v>1865</v>
      </c>
      <c r="M42" s="28" t="s">
        <v>1866</v>
      </c>
      <c r="N42" s="28" t="s">
        <v>1867</v>
      </c>
      <c r="O42" s="28" t="s">
        <v>1868</v>
      </c>
      <c r="P42" s="28" t="s">
        <v>1869</v>
      </c>
      <c r="Q42" s="2194" t="s">
        <v>1870</v>
      </c>
      <c r="R42" s="2194" t="s">
        <v>1871</v>
      </c>
      <c r="S42" s="2149"/>
      <c r="T42" s="2149"/>
      <c r="U42" s="2149"/>
      <c r="V42" s="2149"/>
    </row>
    <row r="43" spans="1:22" s="2276" customFormat="1" ht="18" customHeight="1">
      <c r="A43" s="1674"/>
      <c r="B43" s="1675"/>
      <c r="C43" s="1675"/>
      <c r="D43" s="1675"/>
      <c r="E43" s="1675"/>
      <c r="F43" s="1675"/>
      <c r="G43" s="1675"/>
      <c r="H43" s="33"/>
      <c r="I43" s="33"/>
      <c r="J43" s="2274"/>
      <c r="K43" s="33"/>
      <c r="L43" s="33"/>
      <c r="M43" s="33"/>
      <c r="N43" s="1675"/>
      <c r="O43" s="33"/>
      <c r="P43" s="1675"/>
      <c r="Q43" s="1675"/>
      <c r="R43" s="1675"/>
      <c r="S43" s="2275"/>
      <c r="T43" s="2275"/>
      <c r="U43" s="2275"/>
      <c r="V43" s="2275"/>
    </row>
    <row r="44" spans="1:22" s="2276" customFormat="1" ht="18" customHeight="1">
      <c r="A44" s="1674"/>
      <c r="B44" s="1674"/>
      <c r="C44" s="1675"/>
      <c r="D44" s="1675"/>
      <c r="E44" s="1675"/>
      <c r="F44" s="1675"/>
      <c r="G44" s="1675"/>
      <c r="H44" s="33"/>
      <c r="I44" s="33"/>
      <c r="J44" s="2274"/>
      <c r="K44" s="33"/>
      <c r="L44" s="33"/>
      <c r="M44" s="33"/>
      <c r="N44" s="1675"/>
      <c r="O44" s="33"/>
      <c r="P44" s="1675"/>
      <c r="Q44" s="1675"/>
      <c r="R44" s="1675"/>
      <c r="S44" s="2275"/>
      <c r="T44" s="2275"/>
      <c r="U44" s="2275"/>
      <c r="V44" s="2275"/>
    </row>
    <row r="45" spans="1:22" s="2276" customFormat="1" ht="18" customHeight="1">
      <c r="A45" s="1674"/>
      <c r="B45" s="1674"/>
      <c r="C45" s="1675"/>
      <c r="D45" s="1675"/>
      <c r="E45" s="1675"/>
      <c r="F45" s="1675"/>
      <c r="G45" s="1675"/>
      <c r="H45" s="33"/>
      <c r="I45" s="33"/>
      <c r="J45" s="2274"/>
      <c r="K45" s="33"/>
      <c r="L45" s="33"/>
      <c r="M45" s="33"/>
      <c r="N45" s="1675"/>
      <c r="O45" s="33"/>
      <c r="P45" s="1675"/>
      <c r="Q45" s="1675"/>
      <c r="R45" s="1675"/>
      <c r="S45" s="2275"/>
      <c r="T45" s="2275"/>
      <c r="U45" s="2275"/>
      <c r="V45" s="2275"/>
    </row>
    <row r="46" spans="1:22" s="2276" customFormat="1" ht="18" customHeight="1">
      <c r="A46" s="1674"/>
      <c r="B46" s="1674"/>
      <c r="C46" s="1675"/>
      <c r="D46" s="1675"/>
      <c r="E46" s="1675"/>
      <c r="F46" s="1675"/>
      <c r="G46" s="1675"/>
      <c r="H46" s="33"/>
      <c r="I46" s="33"/>
      <c r="J46" s="2274"/>
      <c r="K46" s="33"/>
      <c r="L46" s="33"/>
      <c r="M46" s="33"/>
      <c r="N46" s="1675"/>
      <c r="O46" s="33"/>
      <c r="P46" s="1675"/>
      <c r="Q46" s="1675"/>
      <c r="R46" s="1675"/>
      <c r="S46" s="2275"/>
      <c r="T46" s="2275"/>
      <c r="U46" s="2275"/>
      <c r="V46" s="2275"/>
    </row>
    <row r="47" spans="1:22" s="2276" customFormat="1" ht="18" customHeight="1">
      <c r="A47" s="1674"/>
      <c r="B47" s="1674"/>
      <c r="C47" s="1675"/>
      <c r="D47" s="1675"/>
      <c r="E47" s="1675"/>
      <c r="F47" s="1675"/>
      <c r="G47" s="1675"/>
      <c r="H47" s="33"/>
      <c r="I47" s="33"/>
      <c r="J47" s="2274"/>
      <c r="K47" s="33"/>
      <c r="L47" s="33"/>
      <c r="M47" s="33"/>
      <c r="N47" s="1675"/>
      <c r="O47" s="33"/>
      <c r="P47" s="1675"/>
      <c r="Q47" s="1675"/>
      <c r="R47" s="1675"/>
      <c r="S47" s="2275"/>
      <c r="T47" s="2275"/>
      <c r="U47" s="2275"/>
      <c r="V47" s="2275"/>
    </row>
    <row r="48" spans="1:22" s="2276" customFormat="1" ht="18" customHeight="1">
      <c r="A48" s="1674"/>
      <c r="B48" s="1674"/>
      <c r="C48" s="1675"/>
      <c r="D48" s="1675"/>
      <c r="E48" s="1675"/>
      <c r="F48" s="1675"/>
      <c r="G48" s="1675"/>
      <c r="H48" s="33"/>
      <c r="I48" s="33"/>
      <c r="J48" s="2274"/>
      <c r="K48" s="33"/>
      <c r="L48" s="33"/>
      <c r="M48" s="33"/>
      <c r="N48" s="1675"/>
      <c r="O48" s="33"/>
      <c r="P48" s="1675"/>
      <c r="Q48" s="1675"/>
      <c r="R48" s="1675"/>
      <c r="S48" s="2275"/>
      <c r="T48" s="2275"/>
      <c r="U48" s="2275"/>
      <c r="V48" s="2275"/>
    </row>
    <row r="49" spans="1:22" s="2276" customFormat="1" ht="18" customHeight="1">
      <c r="A49" s="1674"/>
      <c r="B49" s="1674"/>
      <c r="C49" s="1675"/>
      <c r="D49" s="1675"/>
      <c r="E49" s="1675"/>
      <c r="F49" s="1675"/>
      <c r="G49" s="1675"/>
      <c r="H49" s="33"/>
      <c r="I49" s="33"/>
      <c r="J49" s="2274"/>
      <c r="K49" s="33"/>
      <c r="L49" s="33"/>
      <c r="M49" s="33"/>
      <c r="N49" s="1675"/>
      <c r="O49" s="33"/>
      <c r="P49" s="1675"/>
      <c r="Q49" s="1675"/>
      <c r="R49" s="1675"/>
      <c r="S49" s="2275"/>
      <c r="T49" s="2275"/>
      <c r="U49" s="2275"/>
      <c r="V49" s="2275"/>
    </row>
    <row r="50" spans="1:22" s="2276" customFormat="1" ht="18" customHeight="1">
      <c r="A50" s="1674"/>
      <c r="B50" s="1674"/>
      <c r="C50" s="1675"/>
      <c r="D50" s="1675"/>
      <c r="E50" s="1675"/>
      <c r="F50" s="1675"/>
      <c r="G50" s="1675"/>
      <c r="H50" s="33"/>
      <c r="I50" s="33"/>
      <c r="J50" s="2274"/>
      <c r="K50" s="33"/>
      <c r="L50" s="33"/>
      <c r="M50" s="33"/>
      <c r="N50" s="1675"/>
      <c r="O50" s="33"/>
      <c r="P50" s="1675"/>
      <c r="Q50" s="1675"/>
      <c r="R50" s="1675"/>
      <c r="S50" s="2275"/>
      <c r="T50" s="2275"/>
      <c r="U50" s="2275"/>
      <c r="V50" s="2275"/>
    </row>
    <row r="51" spans="1:22" s="2276" customFormat="1" ht="18" customHeight="1">
      <c r="A51" s="1674"/>
      <c r="B51" s="1674"/>
      <c r="C51" s="1675"/>
      <c r="D51" s="1675"/>
      <c r="E51" s="1675"/>
      <c r="F51" s="1675"/>
      <c r="G51" s="1675"/>
      <c r="H51" s="33"/>
      <c r="I51" s="33"/>
      <c r="J51" s="2274"/>
      <c r="K51" s="33"/>
      <c r="L51" s="33"/>
      <c r="M51" s="33"/>
      <c r="N51" s="1675"/>
      <c r="O51" s="33"/>
      <c r="P51" s="1675"/>
      <c r="Q51" s="1675"/>
      <c r="R51" s="1675"/>
    </row>
    <row r="52" spans="1:22" s="2276" customFormat="1" ht="18" customHeight="1">
      <c r="A52" s="32"/>
      <c r="B52" s="32"/>
      <c r="C52" s="32"/>
      <c r="D52" s="32"/>
      <c r="E52" s="32"/>
      <c r="F52" s="33"/>
      <c r="G52" s="32"/>
      <c r="H52" s="32"/>
      <c r="I52" s="32"/>
      <c r="J52" s="2277"/>
      <c r="K52" s="33"/>
      <c r="L52" s="33"/>
      <c r="M52" s="33"/>
      <c r="N52" s="32"/>
      <c r="O52" s="32"/>
      <c r="P52" s="32"/>
      <c r="Q52" s="32"/>
      <c r="R52" s="32"/>
    </row>
    <row r="53" spans="1:22" s="2276" customFormat="1" ht="18" customHeight="1">
      <c r="A53" s="32"/>
      <c r="B53" s="32"/>
      <c r="C53" s="32"/>
      <c r="D53" s="32"/>
      <c r="E53" s="32"/>
      <c r="F53" s="33"/>
      <c r="G53" s="32"/>
      <c r="H53" s="32"/>
      <c r="I53" s="32"/>
      <c r="J53" s="2277"/>
      <c r="K53" s="33"/>
      <c r="L53" s="33"/>
      <c r="M53" s="33"/>
      <c r="N53" s="32"/>
      <c r="O53" s="32"/>
      <c r="P53" s="32"/>
      <c r="Q53" s="32"/>
      <c r="R53" s="32"/>
    </row>
    <row r="54" spans="1:22" s="2276" customFormat="1" ht="18" customHeight="1">
      <c r="A54" s="32"/>
      <c r="B54" s="32"/>
      <c r="C54" s="32"/>
      <c r="D54" s="32"/>
      <c r="E54" s="32"/>
      <c r="F54" s="33"/>
      <c r="G54" s="32"/>
      <c r="H54" s="32"/>
      <c r="I54" s="32"/>
      <c r="J54" s="2277"/>
      <c r="K54" s="33"/>
      <c r="L54" s="33"/>
      <c r="M54" s="33"/>
      <c r="N54" s="32"/>
      <c r="O54" s="32"/>
      <c r="P54" s="32"/>
      <c r="Q54" s="32"/>
      <c r="R54" s="32"/>
    </row>
    <row r="55" spans="1:22" s="2276" customFormat="1" ht="18" customHeight="1">
      <c r="A55" s="32"/>
      <c r="B55" s="32"/>
      <c r="C55" s="32"/>
      <c r="D55" s="32"/>
      <c r="E55" s="32"/>
      <c r="F55" s="33"/>
      <c r="G55" s="32"/>
      <c r="H55" s="32"/>
      <c r="I55" s="32"/>
      <c r="J55" s="2277"/>
      <c r="K55" s="33"/>
      <c r="L55" s="33"/>
      <c r="M55" s="33"/>
      <c r="N55" s="32"/>
      <c r="O55" s="32"/>
      <c r="P55" s="32"/>
      <c r="Q55" s="32"/>
      <c r="R55" s="32"/>
    </row>
    <row r="56" spans="1:22" s="2276" customFormat="1" ht="18" customHeight="1">
      <c r="A56" s="32"/>
      <c r="B56" s="32"/>
      <c r="C56" s="32"/>
      <c r="D56" s="32"/>
      <c r="E56" s="32"/>
      <c r="F56" s="33"/>
      <c r="G56" s="32"/>
      <c r="H56" s="32"/>
      <c r="I56" s="32"/>
      <c r="J56" s="2277"/>
      <c r="K56" s="33"/>
      <c r="L56" s="33"/>
      <c r="M56" s="33"/>
      <c r="N56" s="32"/>
      <c r="O56" s="32"/>
      <c r="P56" s="32"/>
      <c r="Q56" s="32"/>
      <c r="R56" s="32"/>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3" sqref="A3"/>
    </sheetView>
  </sheetViews>
  <sheetFormatPr defaultColWidth="8.875" defaultRowHeight="14.25"/>
  <cols>
    <col min="1" max="1" width="10.625" style="1627" customWidth="1"/>
    <col min="2" max="2" width="11" style="1627" customWidth="1"/>
    <col min="3" max="3" width="10.375" style="1627" customWidth="1"/>
    <col min="4" max="4" width="9.125" style="1627" customWidth="1"/>
    <col min="5" max="6" width="10" style="1682" customWidth="1"/>
    <col min="7" max="8" width="10" style="1627" customWidth="1"/>
    <col min="9" max="9" width="10.625" style="1627" customWidth="1"/>
    <col min="10" max="10" width="9.5" style="1627" customWidth="1"/>
    <col min="11" max="11" width="11" style="1627" customWidth="1"/>
    <col min="12" max="12" width="9.5" style="1627" customWidth="1"/>
    <col min="13" max="14" width="9.5" style="1627" hidden="1" customWidth="1"/>
    <col min="15" max="15" width="9.875" style="1627" hidden="1" customWidth="1"/>
    <col min="16" max="16" width="9.75" style="1627" hidden="1" customWidth="1"/>
    <col min="17" max="17" width="9.375" style="1627" hidden="1" customWidth="1"/>
    <col min="18" max="18" width="9.25" style="1627" hidden="1" customWidth="1"/>
    <col min="19" max="19" width="10.875" style="1627" hidden="1" customWidth="1"/>
    <col min="20" max="21" width="10.75" style="1627" hidden="1" customWidth="1"/>
    <col min="22" max="22" width="10.875" style="1627" hidden="1" customWidth="1"/>
    <col min="23" max="27" width="10.75" style="1627" hidden="1" customWidth="1"/>
    <col min="28" max="28" width="10.875" style="1627" hidden="1" customWidth="1"/>
    <col min="29" max="29" width="11" style="1627" bestFit="1" customWidth="1"/>
    <col min="30" max="30" width="10" style="1627" hidden="1" customWidth="1"/>
    <col min="31" max="31" width="9.75" style="1627" hidden="1" customWidth="1"/>
    <col min="32" max="46" width="9.5" style="1627" hidden="1" customWidth="1"/>
    <col min="47" max="47" width="18.125" style="1627" hidden="1" customWidth="1"/>
    <col min="48" max="50" width="9.75" style="2278" customWidth="1"/>
    <col min="51" max="51" width="10.5" style="2278" bestFit="1" customWidth="1"/>
    <col min="52" max="55" width="10.5" style="1627" bestFit="1" customWidth="1"/>
    <col min="56" max="56" width="9.5" style="3442" bestFit="1" customWidth="1"/>
    <col min="57" max="63" width="9.125" style="3442" bestFit="1" customWidth="1"/>
    <col min="64" max="64" width="9.5" style="1627" bestFit="1" customWidth="1"/>
    <col min="65" max="65" width="9.125" style="1627" bestFit="1" customWidth="1"/>
    <col min="66" max="66" width="9.5" style="1627" bestFit="1" customWidth="1"/>
    <col min="67" max="68" width="9.125" style="1627" bestFit="1" customWidth="1"/>
    <col min="69" max="69" width="9.125" style="3442" bestFit="1" customWidth="1"/>
    <col min="70" max="70" width="9.5" style="3442" bestFit="1" customWidth="1"/>
    <col min="71" max="71" width="9" style="3442" customWidth="1"/>
    <col min="72" max="72" width="9.125" style="3442" bestFit="1" customWidth="1"/>
    <col min="73" max="16384" width="8.875" style="1627"/>
  </cols>
  <sheetData>
    <row r="1" spans="1:72" ht="20.25">
      <c r="A1" s="1628" t="s">
        <v>1872</v>
      </c>
      <c r="B1" s="1624"/>
      <c r="C1" s="1624"/>
      <c r="D1" s="1624"/>
      <c r="E1" s="1624"/>
      <c r="F1" s="1624"/>
      <c r="G1" s="1624"/>
      <c r="H1" s="1624"/>
      <c r="I1" s="1624"/>
      <c r="J1" s="1624"/>
      <c r="K1" s="1624"/>
      <c r="L1" s="1624"/>
      <c r="M1" s="1624"/>
      <c r="N1" s="1624"/>
      <c r="O1" s="1624"/>
      <c r="P1" s="1624"/>
      <c r="Q1" s="1624"/>
      <c r="R1" s="1624"/>
      <c r="S1" s="1624"/>
      <c r="T1" s="1624"/>
      <c r="U1" s="1624"/>
      <c r="V1" s="1624"/>
      <c r="W1" s="1624"/>
      <c r="X1" s="1624"/>
      <c r="Y1" s="1624"/>
      <c r="Z1" s="1624"/>
      <c r="AA1" s="1624"/>
      <c r="AB1" s="1624"/>
      <c r="AC1" s="1624"/>
      <c r="AD1" s="1624"/>
      <c r="AE1" s="1624"/>
      <c r="AF1" s="1624"/>
      <c r="AG1" s="1624"/>
      <c r="AH1" s="1624"/>
      <c r="AI1" s="1624"/>
      <c r="AJ1" s="1624"/>
      <c r="AK1" s="1624"/>
      <c r="AL1" s="1624"/>
      <c r="AM1" s="1624"/>
      <c r="AN1" s="1624"/>
      <c r="AO1" s="1624"/>
      <c r="AP1" s="1624"/>
      <c r="AQ1" s="1624"/>
      <c r="AR1" s="1624"/>
      <c r="AS1" s="1624"/>
      <c r="AT1" s="1624"/>
      <c r="AU1" s="1624"/>
      <c r="AV1" s="3422" t="s">
        <v>1873</v>
      </c>
      <c r="AW1" s="2148"/>
      <c r="AX1" s="2148"/>
      <c r="AY1" s="2148"/>
      <c r="AZ1" s="1624"/>
      <c r="BA1" s="1624"/>
      <c r="BB1" s="1624"/>
      <c r="BC1" s="1624"/>
      <c r="BD1" s="3428"/>
      <c r="BE1" s="3428"/>
      <c r="BF1" s="3428"/>
      <c r="BG1" s="3428"/>
      <c r="BH1" s="3428"/>
      <c r="BI1" s="3428"/>
      <c r="BJ1" s="3428"/>
      <c r="BK1" s="3428"/>
      <c r="BL1" s="1624"/>
      <c r="BM1" s="1624"/>
      <c r="BN1" s="1624"/>
      <c r="BO1" s="1624"/>
      <c r="BP1" s="1624"/>
      <c r="BQ1" s="3428"/>
      <c r="BR1" s="3428"/>
      <c r="BS1" s="3428"/>
      <c r="BT1" s="3428"/>
    </row>
    <row r="2" spans="1:72" s="1632" customFormat="1" ht="24">
      <c r="A2" s="11" t="s">
        <v>1874</v>
      </c>
      <c r="B2" s="11" t="s">
        <v>1875</v>
      </c>
      <c r="C2" s="11" t="s">
        <v>1876</v>
      </c>
      <c r="D2" s="1629"/>
      <c r="E2" s="1630"/>
      <c r="F2" s="1631"/>
      <c r="G2" s="1629"/>
      <c r="H2" s="1629"/>
      <c r="I2" s="1629"/>
      <c r="J2" s="1629"/>
      <c r="K2" s="1629"/>
      <c r="L2" s="1629"/>
      <c r="M2" s="1629"/>
      <c r="N2" s="1629"/>
      <c r="O2" s="1629"/>
      <c r="P2" s="1629"/>
      <c r="Q2" s="1629"/>
      <c r="R2" s="1629"/>
      <c r="S2" s="1629"/>
      <c r="T2" s="1629"/>
      <c r="U2" s="1629"/>
      <c r="V2" s="1629"/>
      <c r="W2" s="1629"/>
      <c r="X2" s="1629"/>
      <c r="Y2" s="1629"/>
      <c r="Z2" s="1629"/>
      <c r="AA2" s="1629"/>
      <c r="AB2" s="1629"/>
      <c r="AC2" s="1629"/>
      <c r="AD2" s="1629"/>
      <c r="AE2" s="1629"/>
      <c r="AF2" s="1629"/>
      <c r="AG2" s="1629"/>
      <c r="AH2" s="1629"/>
      <c r="AI2" s="1629"/>
      <c r="AJ2" s="1629"/>
      <c r="AK2" s="1629"/>
      <c r="AL2" s="1629"/>
      <c r="AM2" s="1629"/>
      <c r="AN2" s="1629"/>
      <c r="AO2" s="1629"/>
      <c r="AP2" s="1629"/>
      <c r="AQ2" s="1629"/>
      <c r="AR2" s="1629"/>
      <c r="AS2" s="1629"/>
      <c r="AT2" s="1629"/>
      <c r="AU2" s="1629"/>
      <c r="AV2" s="1637"/>
      <c r="AW2" s="1637"/>
      <c r="AX2" s="1637"/>
      <c r="AY2" s="3423" t="s">
        <v>1877</v>
      </c>
      <c r="AZ2" s="952" t="s">
        <v>1878</v>
      </c>
      <c r="BA2" s="11" t="s">
        <v>1879</v>
      </c>
      <c r="BB2" s="1629"/>
      <c r="BC2" s="1629"/>
      <c r="BD2" s="3429"/>
      <c r="BE2" s="3429"/>
      <c r="BF2" s="3429"/>
      <c r="BG2" s="3429"/>
      <c r="BH2" s="3429"/>
      <c r="BI2" s="3429"/>
      <c r="BJ2" s="3429"/>
      <c r="BK2" s="3429"/>
      <c r="BL2" s="1629"/>
      <c r="BM2" s="1629"/>
      <c r="BN2" s="1629"/>
      <c r="BO2" s="1629"/>
      <c r="BP2" s="1629"/>
      <c r="BQ2" s="3429"/>
      <c r="BR2" s="3429"/>
      <c r="BS2" s="3429"/>
      <c r="BT2" s="3429"/>
    </row>
    <row r="3" spans="1:72" s="1632" customFormat="1" ht="12.75">
      <c r="A3" s="12">
        <v>13197.02</v>
      </c>
      <c r="B3" s="13">
        <f>IF(C3="否",G5-AT5,G5)</f>
        <v>44516.22</v>
      </c>
      <c r="C3" s="1633" t="s">
        <v>1880</v>
      </c>
      <c r="D3" s="1629"/>
      <c r="E3" s="1629"/>
      <c r="F3" s="1629"/>
      <c r="G3" s="1629"/>
      <c r="H3" s="1629"/>
      <c r="I3" s="1629"/>
      <c r="J3" s="1629"/>
      <c r="K3" s="1629"/>
      <c r="L3" s="1629"/>
      <c r="M3" s="1629"/>
      <c r="N3" s="1629"/>
      <c r="O3" s="1629"/>
      <c r="P3" s="1629"/>
      <c r="Q3" s="1629"/>
      <c r="R3" s="1629"/>
      <c r="S3" s="1629"/>
      <c r="T3" s="1629"/>
      <c r="U3" s="1629"/>
      <c r="V3" s="1629"/>
      <c r="W3" s="1629"/>
      <c r="X3" s="1629"/>
      <c r="Y3" s="1629"/>
      <c r="Z3" s="1629"/>
      <c r="AA3" s="1629"/>
      <c r="AB3" s="1629"/>
      <c r="AC3" s="1629"/>
      <c r="AD3" s="1629"/>
      <c r="AE3" s="1629"/>
      <c r="AF3" s="1629"/>
      <c r="AG3" s="1629"/>
      <c r="AH3" s="1629"/>
      <c r="AI3" s="1629"/>
      <c r="AJ3" s="1629"/>
      <c r="AK3" s="1629"/>
      <c r="AL3" s="1629"/>
      <c r="AM3" s="1629"/>
      <c r="AN3" s="1629"/>
      <c r="AO3" s="1629"/>
      <c r="AP3" s="1629"/>
      <c r="AQ3" s="1629"/>
      <c r="AR3" s="1629"/>
      <c r="AS3" s="1629"/>
      <c r="AT3" s="1629"/>
      <c r="AU3" s="1629"/>
      <c r="AV3" s="1637"/>
      <c r="AW3" s="1637"/>
      <c r="AX3" s="1637"/>
      <c r="AY3" s="3424"/>
      <c r="AZ3" s="953"/>
      <c r="BA3" s="954"/>
      <c r="BB3" s="1629"/>
      <c r="BC3" s="1629"/>
      <c r="BD3" s="3429"/>
      <c r="BE3" s="3429"/>
      <c r="BF3" s="3429"/>
      <c r="BG3" s="3429"/>
      <c r="BH3" s="3429"/>
      <c r="BI3" s="3429"/>
      <c r="BJ3" s="3429"/>
      <c r="BK3" s="3429"/>
      <c r="BL3" s="1629"/>
      <c r="BM3" s="1629"/>
      <c r="BN3" s="1629"/>
      <c r="BO3" s="1629"/>
      <c r="BP3" s="1629"/>
      <c r="BQ3" s="3429"/>
      <c r="BR3" s="3429"/>
      <c r="BS3" s="3429"/>
      <c r="BT3" s="3429"/>
    </row>
    <row r="4" spans="1:72" s="1638" customFormat="1" ht="13.5" thickBot="1">
      <c r="A4" s="1634"/>
      <c r="B4" s="1635"/>
      <c r="C4" s="1636"/>
      <c r="D4" s="1629"/>
      <c r="E4" s="1629"/>
      <c r="F4" s="1629"/>
      <c r="G4" s="1629"/>
      <c r="H4" s="1629"/>
      <c r="I4" s="1629"/>
      <c r="J4" s="1629"/>
      <c r="K4" s="1629"/>
      <c r="L4" s="1629"/>
      <c r="M4" s="1629"/>
      <c r="N4" s="1629"/>
      <c r="O4" s="1629"/>
      <c r="P4" s="1629"/>
      <c r="Q4" s="1629"/>
      <c r="R4" s="1629"/>
      <c r="S4" s="1629"/>
      <c r="T4" s="1629"/>
      <c r="U4" s="1629"/>
      <c r="V4" s="1629"/>
      <c r="W4" s="1629"/>
      <c r="X4" s="1629"/>
      <c r="Y4" s="1629"/>
      <c r="Z4" s="1629"/>
      <c r="AA4" s="1629"/>
      <c r="AB4" s="1629"/>
      <c r="AC4" s="1629"/>
      <c r="AD4" s="1629"/>
      <c r="AE4" s="1629"/>
      <c r="AF4" s="1629"/>
      <c r="AG4" s="1629"/>
      <c r="AH4" s="1629"/>
      <c r="AI4" s="1629"/>
      <c r="AJ4" s="1629"/>
      <c r="AK4" s="1629"/>
      <c r="AL4" s="1629"/>
      <c r="AM4" s="1629"/>
      <c r="AN4" s="1629"/>
      <c r="AO4" s="1629"/>
      <c r="AP4" s="1629"/>
      <c r="AQ4" s="1629"/>
      <c r="AR4" s="1629"/>
      <c r="AS4" s="1629"/>
      <c r="AT4" s="1629"/>
      <c r="AU4" s="1629"/>
      <c r="AV4" s="1637"/>
      <c r="AW4" s="1637"/>
      <c r="AX4" s="1637"/>
      <c r="AY4" s="1637"/>
      <c r="AZ4" s="1629"/>
      <c r="BA4" s="1637"/>
      <c r="BB4" s="1629"/>
      <c r="BC4" s="1629"/>
      <c r="BD4" s="3429"/>
      <c r="BE4" s="3429"/>
      <c r="BF4" s="3429"/>
      <c r="BG4" s="3429"/>
      <c r="BH4" s="3429"/>
      <c r="BI4" s="3429"/>
      <c r="BJ4" s="3429"/>
      <c r="BK4" s="3429"/>
      <c r="BL4" s="1629"/>
      <c r="BM4" s="1629"/>
      <c r="BN4" s="1629"/>
      <c r="BO4" s="1629"/>
      <c r="BP4" s="1629"/>
      <c r="BQ4" s="3429"/>
      <c r="BR4" s="3429"/>
      <c r="BS4" s="3429"/>
      <c r="BT4" s="3429"/>
    </row>
    <row r="5" spans="1:72" s="1632" customFormat="1" ht="12.75">
      <c r="A5" s="14" t="s">
        <v>1881</v>
      </c>
      <c r="B5" s="1408"/>
      <c r="C5" s="1408"/>
      <c r="D5" s="1409"/>
      <c r="E5" s="15" t="s">
        <v>1</v>
      </c>
      <c r="F5" s="15">
        <f>SUM(F13:F587)</f>
        <v>0</v>
      </c>
      <c r="G5" s="15">
        <f>SUM(G13:G587)</f>
        <v>44516.22</v>
      </c>
      <c r="H5" s="15">
        <f t="shared" ref="H5:AT5" si="0">SUM(H13:H656)</f>
        <v>44516.22</v>
      </c>
      <c r="I5" s="15">
        <f t="shared" si="0"/>
        <v>22765.390000000003</v>
      </c>
      <c r="J5" s="15">
        <f t="shared" si="0"/>
        <v>0</v>
      </c>
      <c r="K5" s="15">
        <f t="shared" si="0"/>
        <v>21750.83</v>
      </c>
      <c r="L5" s="15">
        <f t="shared" si="0"/>
        <v>0</v>
      </c>
      <c r="M5" s="15">
        <f t="shared" si="0"/>
        <v>0</v>
      </c>
      <c r="N5" s="15">
        <f t="shared" si="0"/>
        <v>0</v>
      </c>
      <c r="O5" s="15">
        <f t="shared" si="0"/>
        <v>0</v>
      </c>
      <c r="P5" s="15">
        <f t="shared" si="0"/>
        <v>0</v>
      </c>
      <c r="Q5" s="15">
        <f t="shared" si="0"/>
        <v>0</v>
      </c>
      <c r="R5" s="15">
        <f t="shared" si="0"/>
        <v>0</v>
      </c>
      <c r="S5" s="15">
        <f t="shared" si="0"/>
        <v>0</v>
      </c>
      <c r="T5" s="15">
        <f t="shared" si="0"/>
        <v>0</v>
      </c>
      <c r="U5" s="15">
        <f t="shared" si="0"/>
        <v>0</v>
      </c>
      <c r="V5" s="15">
        <f t="shared" si="0"/>
        <v>0</v>
      </c>
      <c r="W5" s="15">
        <f t="shared" si="0"/>
        <v>0</v>
      </c>
      <c r="X5" s="15">
        <f t="shared" si="0"/>
        <v>0</v>
      </c>
      <c r="Y5" s="15">
        <f t="shared" si="0"/>
        <v>0</v>
      </c>
      <c r="Z5" s="15">
        <f t="shared" si="0"/>
        <v>0</v>
      </c>
      <c r="AA5" s="15">
        <f t="shared" si="0"/>
        <v>0</v>
      </c>
      <c r="AB5" s="15">
        <f t="shared" si="0"/>
        <v>0</v>
      </c>
      <c r="AC5" s="15">
        <f t="shared" si="0"/>
        <v>0</v>
      </c>
      <c r="AD5" s="15">
        <f t="shared" si="0"/>
        <v>0</v>
      </c>
      <c r="AE5" s="15">
        <f t="shared" si="0"/>
        <v>0</v>
      </c>
      <c r="AF5" s="15">
        <f t="shared" si="0"/>
        <v>0</v>
      </c>
      <c r="AG5" s="15">
        <f t="shared" si="0"/>
        <v>0</v>
      </c>
      <c r="AH5" s="15">
        <f t="shared" si="0"/>
        <v>0</v>
      </c>
      <c r="AI5" s="15">
        <f t="shared" si="0"/>
        <v>0</v>
      </c>
      <c r="AJ5" s="15">
        <f t="shared" si="0"/>
        <v>0</v>
      </c>
      <c r="AK5" s="15">
        <f t="shared" si="0"/>
        <v>0</v>
      </c>
      <c r="AL5" s="15">
        <f t="shared" si="0"/>
        <v>0</v>
      </c>
      <c r="AM5" s="15">
        <f t="shared" si="0"/>
        <v>0</v>
      </c>
      <c r="AN5" s="15">
        <f t="shared" si="0"/>
        <v>0</v>
      </c>
      <c r="AO5" s="15">
        <f t="shared" si="0"/>
        <v>0</v>
      </c>
      <c r="AP5" s="15">
        <f t="shared" si="0"/>
        <v>0</v>
      </c>
      <c r="AQ5" s="15">
        <f t="shared" si="0"/>
        <v>0</v>
      </c>
      <c r="AR5" s="15">
        <f t="shared" si="0"/>
        <v>0</v>
      </c>
      <c r="AS5" s="15">
        <f t="shared" si="0"/>
        <v>0</v>
      </c>
      <c r="AT5" s="15">
        <f t="shared" si="0"/>
        <v>0</v>
      </c>
      <c r="AU5" s="1407"/>
      <c r="AV5" s="2688" t="s">
        <v>1881</v>
      </c>
      <c r="AW5" s="2502"/>
      <c r="AX5" s="2502"/>
      <c r="AY5" s="3011" t="s">
        <v>3</v>
      </c>
      <c r="AZ5" s="16">
        <f t="shared" ref="AZ5:BT5" si="1">SUM(AZ13:AZ656)</f>
        <v>44516.22</v>
      </c>
      <c r="BA5" s="16">
        <f t="shared" si="1"/>
        <v>44516.22</v>
      </c>
      <c r="BB5" s="16">
        <f t="shared" si="1"/>
        <v>22765.390000000003</v>
      </c>
      <c r="BC5" s="16">
        <f t="shared" si="1"/>
        <v>21750.83</v>
      </c>
      <c r="BD5" s="3430">
        <f t="shared" si="1"/>
        <v>0</v>
      </c>
      <c r="BE5" s="3430">
        <f t="shared" si="1"/>
        <v>0</v>
      </c>
      <c r="BF5" s="3430">
        <f t="shared" si="1"/>
        <v>0</v>
      </c>
      <c r="BG5" s="3430">
        <f t="shared" si="1"/>
        <v>0</v>
      </c>
      <c r="BH5" s="3430">
        <f t="shared" si="1"/>
        <v>0</v>
      </c>
      <c r="BI5" s="3430">
        <f t="shared" si="1"/>
        <v>0</v>
      </c>
      <c r="BJ5" s="3430">
        <f t="shared" si="1"/>
        <v>0</v>
      </c>
      <c r="BK5" s="3430">
        <f t="shared" si="1"/>
        <v>0</v>
      </c>
      <c r="BL5" s="16">
        <f t="shared" si="1"/>
        <v>0</v>
      </c>
      <c r="BM5" s="16">
        <f t="shared" si="1"/>
        <v>0</v>
      </c>
      <c r="BN5" s="16">
        <f t="shared" si="1"/>
        <v>0</v>
      </c>
      <c r="BO5" s="16">
        <f t="shared" si="1"/>
        <v>0</v>
      </c>
      <c r="BP5" s="16">
        <f t="shared" si="1"/>
        <v>0</v>
      </c>
      <c r="BQ5" s="3430">
        <f t="shared" si="1"/>
        <v>0</v>
      </c>
      <c r="BR5" s="3430">
        <f t="shared" si="1"/>
        <v>0</v>
      </c>
      <c r="BS5" s="3430">
        <f t="shared" si="1"/>
        <v>0</v>
      </c>
      <c r="BT5" s="3443">
        <f t="shared" si="1"/>
        <v>0</v>
      </c>
    </row>
    <row r="6" spans="1:72" s="1642" customFormat="1" ht="12.75">
      <c r="A6" s="14" t="s">
        <v>1882</v>
      </c>
      <c r="B6" s="1639"/>
      <c r="C6" s="1639"/>
      <c r="D6" s="1640"/>
      <c r="E6" s="15">
        <f>H6+AC6+AT6</f>
        <v>13197.02</v>
      </c>
      <c r="F6" s="15" t="s">
        <v>1</v>
      </c>
      <c r="G6" s="15" t="s">
        <v>2</v>
      </c>
      <c r="H6" s="17">
        <f>SUMIF(I$12:AB$12,"总值",I6:AB6)</f>
        <v>13197.02</v>
      </c>
      <c r="I6" s="15">
        <f t="shared" ref="I6:AB6" si="2">ROUND($A$3*I5/$B$3,2)</f>
        <v>6748.9</v>
      </c>
      <c r="J6" s="15">
        <f t="shared" si="2"/>
        <v>0</v>
      </c>
      <c r="K6" s="15">
        <f t="shared" si="2"/>
        <v>6448.12</v>
      </c>
      <c r="L6" s="15">
        <f t="shared" si="2"/>
        <v>0</v>
      </c>
      <c r="M6" s="15">
        <f t="shared" si="2"/>
        <v>0</v>
      </c>
      <c r="N6" s="15">
        <f t="shared" si="2"/>
        <v>0</v>
      </c>
      <c r="O6" s="15">
        <f t="shared" si="2"/>
        <v>0</v>
      </c>
      <c r="P6" s="15">
        <f t="shared" si="2"/>
        <v>0</v>
      </c>
      <c r="Q6" s="15">
        <f t="shared" si="2"/>
        <v>0</v>
      </c>
      <c r="R6" s="15">
        <f t="shared" si="2"/>
        <v>0</v>
      </c>
      <c r="S6" s="15">
        <f t="shared" si="2"/>
        <v>0</v>
      </c>
      <c r="T6" s="15">
        <f t="shared" si="2"/>
        <v>0</v>
      </c>
      <c r="U6" s="15">
        <f t="shared" si="2"/>
        <v>0</v>
      </c>
      <c r="V6" s="15">
        <f t="shared" si="2"/>
        <v>0</v>
      </c>
      <c r="W6" s="15">
        <f t="shared" si="2"/>
        <v>0</v>
      </c>
      <c r="X6" s="15">
        <f t="shared" si="2"/>
        <v>0</v>
      </c>
      <c r="Y6" s="15">
        <f t="shared" si="2"/>
        <v>0</v>
      </c>
      <c r="Z6" s="15">
        <f t="shared" si="2"/>
        <v>0</v>
      </c>
      <c r="AA6" s="15">
        <f t="shared" si="2"/>
        <v>0</v>
      </c>
      <c r="AB6" s="15">
        <f t="shared" si="2"/>
        <v>0</v>
      </c>
      <c r="AC6" s="17">
        <f>SUMIF(AD$12:AS$12,"总值",AD6:AS6)</f>
        <v>0</v>
      </c>
      <c r="AD6" s="15">
        <f t="shared" ref="AD6:AS6" si="3">ROUND($A$3*AD5/$B$3,2)</f>
        <v>0</v>
      </c>
      <c r="AE6" s="15">
        <f t="shared" si="3"/>
        <v>0</v>
      </c>
      <c r="AF6" s="15">
        <f t="shared" si="3"/>
        <v>0</v>
      </c>
      <c r="AG6" s="15">
        <f t="shared" si="3"/>
        <v>0</v>
      </c>
      <c r="AH6" s="15">
        <f t="shared" si="3"/>
        <v>0</v>
      </c>
      <c r="AI6" s="15">
        <f t="shared" si="3"/>
        <v>0</v>
      </c>
      <c r="AJ6" s="15">
        <f t="shared" si="3"/>
        <v>0</v>
      </c>
      <c r="AK6" s="15">
        <f t="shared" si="3"/>
        <v>0</v>
      </c>
      <c r="AL6" s="15">
        <f t="shared" si="3"/>
        <v>0</v>
      </c>
      <c r="AM6" s="15">
        <f t="shared" si="3"/>
        <v>0</v>
      </c>
      <c r="AN6" s="15">
        <f t="shared" si="3"/>
        <v>0</v>
      </c>
      <c r="AO6" s="15">
        <f t="shared" si="3"/>
        <v>0</v>
      </c>
      <c r="AP6" s="15">
        <f t="shared" si="3"/>
        <v>0</v>
      </c>
      <c r="AQ6" s="15">
        <f t="shared" si="3"/>
        <v>0</v>
      </c>
      <c r="AR6" s="15">
        <f t="shared" si="3"/>
        <v>0</v>
      </c>
      <c r="AS6" s="15">
        <f t="shared" si="3"/>
        <v>0</v>
      </c>
      <c r="AT6" s="17">
        <f>IF(C3="是",ROUND($A$3*AT5/$B$3,2),0)</f>
        <v>0</v>
      </c>
      <c r="AU6" s="1641"/>
      <c r="AV6" s="2688" t="s">
        <v>1882</v>
      </c>
      <c r="AW6" s="2502"/>
      <c r="AX6" s="2502"/>
      <c r="AY6" s="18">
        <f>IF(AY3&gt;0,AY3,ROUND($A$3*AZ5/$B$3,2))</f>
        <v>13197.02</v>
      </c>
      <c r="AZ6" s="15" t="s">
        <v>3</v>
      </c>
      <c r="BA6" s="15">
        <f>ROUND($AY$6*BA5/$AZ$5,2)</f>
        <v>13197.02</v>
      </c>
      <c r="BB6" s="15">
        <f>ROUND($AY$6*BB5/$AZ$5,2)</f>
        <v>6748.9</v>
      </c>
      <c r="BC6" s="15">
        <f t="shared" ref="BC6:BH6" si="4">ROUND($AY$6*BC5/$AZ$5,2)</f>
        <v>6448.12</v>
      </c>
      <c r="BD6" s="3431">
        <f t="shared" si="4"/>
        <v>0</v>
      </c>
      <c r="BE6" s="3431">
        <f t="shared" si="4"/>
        <v>0</v>
      </c>
      <c r="BF6" s="3431">
        <f t="shared" si="4"/>
        <v>0</v>
      </c>
      <c r="BG6" s="3431">
        <f t="shared" si="4"/>
        <v>0</v>
      </c>
      <c r="BH6" s="3431">
        <f t="shared" si="4"/>
        <v>0</v>
      </c>
      <c r="BI6" s="3431">
        <f t="shared" ref="BI6:BT6" si="5">ROUND($AY$6*BI5/$AZ$5,2)</f>
        <v>0</v>
      </c>
      <c r="BJ6" s="3431">
        <f t="shared" si="5"/>
        <v>0</v>
      </c>
      <c r="BK6" s="3431">
        <f t="shared" si="5"/>
        <v>0</v>
      </c>
      <c r="BL6" s="15">
        <f t="shared" si="5"/>
        <v>0</v>
      </c>
      <c r="BM6" s="15">
        <f t="shared" si="5"/>
        <v>0</v>
      </c>
      <c r="BN6" s="15">
        <f t="shared" si="5"/>
        <v>0</v>
      </c>
      <c r="BO6" s="15">
        <f t="shared" si="5"/>
        <v>0</v>
      </c>
      <c r="BP6" s="15">
        <f t="shared" si="5"/>
        <v>0</v>
      </c>
      <c r="BQ6" s="3431">
        <f t="shared" si="5"/>
        <v>0</v>
      </c>
      <c r="BR6" s="3431">
        <f t="shared" si="5"/>
        <v>0</v>
      </c>
      <c r="BS6" s="3431">
        <f t="shared" si="5"/>
        <v>0</v>
      </c>
      <c r="BT6" s="3444">
        <f t="shared" si="5"/>
        <v>0</v>
      </c>
    </row>
    <row r="7" spans="1:72" s="1632" customFormat="1" ht="24.75">
      <c r="A7" s="1625" t="s">
        <v>1883</v>
      </c>
      <c r="B7" s="1625" t="s">
        <v>1884</v>
      </c>
      <c r="C7" s="1625" t="s">
        <v>1885</v>
      </c>
      <c r="D7" s="1625" t="s">
        <v>1886</v>
      </c>
      <c r="E7" s="1625" t="s">
        <v>1887</v>
      </c>
      <c r="F7" s="1625" t="s">
        <v>1888</v>
      </c>
      <c r="G7" s="1643" t="s">
        <v>1889</v>
      </c>
      <c r="H7" s="1644"/>
      <c r="I7" s="1644"/>
      <c r="J7" s="1644"/>
      <c r="K7" s="1644"/>
      <c r="L7" s="1644"/>
      <c r="M7" s="1644"/>
      <c r="N7" s="1644"/>
      <c r="O7" s="1644"/>
      <c r="P7" s="1644"/>
      <c r="Q7" s="1644"/>
      <c r="R7" s="1644"/>
      <c r="S7" s="1644"/>
      <c r="T7" s="1644"/>
      <c r="U7" s="1644"/>
      <c r="V7" s="1644"/>
      <c r="W7" s="1644"/>
      <c r="X7" s="1644"/>
      <c r="Y7" s="1644"/>
      <c r="Z7" s="1644"/>
      <c r="AA7" s="1644"/>
      <c r="AB7" s="1644"/>
      <c r="AC7" s="1644"/>
      <c r="AD7" s="1644"/>
      <c r="AE7" s="1644"/>
      <c r="AF7" s="1644"/>
      <c r="AG7" s="1644"/>
      <c r="AH7" s="1644"/>
      <c r="AI7" s="1644"/>
      <c r="AJ7" s="1644"/>
      <c r="AK7" s="1644"/>
      <c r="AL7" s="1644"/>
      <c r="AM7" s="1644"/>
      <c r="AN7" s="1644"/>
      <c r="AO7" s="1644"/>
      <c r="AP7" s="1644"/>
      <c r="AQ7" s="1644"/>
      <c r="AR7" s="1644"/>
      <c r="AS7" s="1644"/>
      <c r="AT7" s="1409"/>
      <c r="AU7" s="1644" t="s">
        <v>1890</v>
      </c>
      <c r="AV7" s="17" t="s">
        <v>1891</v>
      </c>
      <c r="AW7" s="2638" t="s">
        <v>1892</v>
      </c>
      <c r="AX7" s="17" t="s">
        <v>1885</v>
      </c>
      <c r="AY7" s="2502" t="s">
        <v>1893</v>
      </c>
      <c r="AZ7" s="1645"/>
      <c r="BA7" s="1644"/>
      <c r="BB7" s="1644"/>
      <c r="BC7" s="1644"/>
      <c r="BD7" s="3432"/>
      <c r="BE7" s="3432"/>
      <c r="BF7" s="3432"/>
      <c r="BG7" s="3432"/>
      <c r="BH7" s="3432"/>
      <c r="BI7" s="3432"/>
      <c r="BJ7" s="3432"/>
      <c r="BK7" s="3432"/>
      <c r="BL7" s="1644"/>
      <c r="BM7" s="1644"/>
      <c r="BN7" s="1644"/>
      <c r="BO7" s="1644"/>
      <c r="BP7" s="1644"/>
      <c r="BQ7" s="3432"/>
      <c r="BR7" s="3432"/>
      <c r="BS7" s="3432"/>
      <c r="BT7" s="3445"/>
    </row>
    <row r="8" spans="1:72" s="1653" customFormat="1" ht="24">
      <c r="A8" s="1646"/>
      <c r="B8" s="1646"/>
      <c r="C8" s="1646"/>
      <c r="D8" s="1646"/>
      <c r="E8" s="1646"/>
      <c r="F8" s="1646"/>
      <c r="G8" s="1647" t="s">
        <v>1894</v>
      </c>
      <c r="H8" s="1648" t="s">
        <v>1895</v>
      </c>
      <c r="I8" s="1649"/>
      <c r="J8" s="1419"/>
      <c r="K8" s="1419"/>
      <c r="L8" s="1419"/>
      <c r="M8" s="1419"/>
      <c r="N8" s="1419"/>
      <c r="O8" s="1419"/>
      <c r="P8" s="1419"/>
      <c r="Q8" s="1419"/>
      <c r="R8" s="1419"/>
      <c r="S8" s="1419"/>
      <c r="T8" s="1419"/>
      <c r="U8" s="1419"/>
      <c r="V8" s="1650"/>
      <c r="W8" s="1419"/>
      <c r="X8" s="1419"/>
      <c r="Y8" s="1419"/>
      <c r="Z8" s="1419"/>
      <c r="AA8" s="1650"/>
      <c r="AB8" s="1651"/>
      <c r="AC8" s="746" t="s">
        <v>1896</v>
      </c>
      <c r="AD8" s="1652"/>
      <c r="AE8" s="1645"/>
      <c r="AF8" s="1419"/>
      <c r="AG8" s="1419"/>
      <c r="AH8" s="1419"/>
      <c r="AI8" s="1419"/>
      <c r="AJ8" s="1419"/>
      <c r="AK8" s="1419"/>
      <c r="AL8" s="1419"/>
      <c r="AM8" s="1419"/>
      <c r="AN8" s="1419"/>
      <c r="AO8" s="1419"/>
      <c r="AP8" s="1419"/>
      <c r="AQ8" s="1419"/>
      <c r="AR8" s="1419"/>
      <c r="AS8" s="1419"/>
      <c r="AT8" s="972" t="s">
        <v>1897</v>
      </c>
      <c r="AU8" s="1646" t="s">
        <v>1898</v>
      </c>
      <c r="AV8" s="3161"/>
      <c r="AW8" s="2575"/>
      <c r="AX8" s="3161"/>
      <c r="AY8" s="2638" t="s">
        <v>1899</v>
      </c>
      <c r="AZ8" s="1418" t="s">
        <v>1900</v>
      </c>
      <c r="BA8" s="1419"/>
      <c r="BB8" s="1419"/>
      <c r="BC8" s="1419"/>
      <c r="BD8" s="3433"/>
      <c r="BE8" s="3433"/>
      <c r="BF8" s="3433"/>
      <c r="BG8" s="3433"/>
      <c r="BH8" s="3433"/>
      <c r="BI8" s="3433"/>
      <c r="BJ8" s="3433"/>
      <c r="BK8" s="3433"/>
      <c r="BL8" s="1419"/>
      <c r="BM8" s="1419"/>
      <c r="BN8" s="1419"/>
      <c r="BO8" s="1419"/>
      <c r="BP8" s="1419"/>
      <c r="BQ8" s="3433"/>
      <c r="BR8" s="3433"/>
      <c r="BS8" s="3433"/>
      <c r="BT8" s="3446"/>
    </row>
    <row r="9" spans="1:72" s="1653" customFormat="1" ht="12.75">
      <c r="A9" s="1646"/>
      <c r="B9" s="1646"/>
      <c r="C9" s="1646"/>
      <c r="D9" s="1646"/>
      <c r="E9" s="1646"/>
      <c r="F9" s="1646"/>
      <c r="G9" s="972"/>
      <c r="H9" s="1654" t="s">
        <v>1901</v>
      </c>
      <c r="I9" s="1655" t="s">
        <v>3046</v>
      </c>
      <c r="J9" s="746"/>
      <c r="K9" s="1655" t="s">
        <v>3048</v>
      </c>
      <c r="L9" s="746"/>
      <c r="M9" s="1655"/>
      <c r="N9" s="746"/>
      <c r="O9" s="1655"/>
      <c r="P9" s="746"/>
      <c r="Q9" s="1655"/>
      <c r="R9" s="746"/>
      <c r="S9" s="1655"/>
      <c r="T9" s="746"/>
      <c r="U9" s="1655"/>
      <c r="V9" s="746"/>
      <c r="W9" s="1655"/>
      <c r="X9" s="1656"/>
      <c r="Y9" s="1655"/>
      <c r="Z9" s="746"/>
      <c r="AA9" s="1655"/>
      <c r="AB9" s="746"/>
      <c r="AC9" s="1647" t="s">
        <v>1901</v>
      </c>
      <c r="AD9" s="14" t="s">
        <v>1902</v>
      </c>
      <c r="AE9" s="978"/>
      <c r="AF9" s="14" t="s">
        <v>1903</v>
      </c>
      <c r="AG9" s="978"/>
      <c r="AH9" s="14" t="s">
        <v>1902</v>
      </c>
      <c r="AI9" s="978"/>
      <c r="AJ9" s="14" t="s">
        <v>1903</v>
      </c>
      <c r="AK9" s="978"/>
      <c r="AL9" s="14" t="s">
        <v>1902</v>
      </c>
      <c r="AM9" s="978"/>
      <c r="AN9" s="14" t="s">
        <v>1903</v>
      </c>
      <c r="AO9" s="978"/>
      <c r="AP9" s="14" t="s">
        <v>1902</v>
      </c>
      <c r="AQ9" s="978"/>
      <c r="AR9" s="14" t="s">
        <v>1903</v>
      </c>
      <c r="AS9" s="1657"/>
      <c r="AT9" s="1646"/>
      <c r="AU9" s="1646" t="s">
        <v>1904</v>
      </c>
      <c r="AV9" s="3161"/>
      <c r="AW9" s="2575"/>
      <c r="AX9" s="3161"/>
      <c r="AY9" s="2601"/>
      <c r="AZ9" s="22" t="s">
        <v>1894</v>
      </c>
      <c r="BA9" s="1658" t="s">
        <v>1905</v>
      </c>
      <c r="BB9" s="1659"/>
      <c r="BC9" s="1017"/>
      <c r="BD9" s="3434"/>
      <c r="BE9" s="3434"/>
      <c r="BF9" s="3434"/>
      <c r="BG9" s="3434"/>
      <c r="BH9" s="3434"/>
      <c r="BI9" s="3434"/>
      <c r="BJ9" s="3434"/>
      <c r="BK9" s="3435"/>
      <c r="BL9" s="14" t="s">
        <v>1906</v>
      </c>
      <c r="BM9" s="1419"/>
      <c r="BN9" s="1649"/>
      <c r="BO9" s="1419"/>
      <c r="BP9" s="1419"/>
      <c r="BQ9" s="3433"/>
      <c r="BR9" s="3433"/>
      <c r="BS9" s="3433"/>
      <c r="BT9" s="3446"/>
    </row>
    <row r="10" spans="1:72" s="1653" customFormat="1" ht="12.75">
      <c r="A10" s="1646"/>
      <c r="B10" s="1646"/>
      <c r="C10" s="1646"/>
      <c r="D10" s="1646"/>
      <c r="E10" s="1646"/>
      <c r="F10" s="1646"/>
      <c r="G10" s="972"/>
      <c r="H10" s="22"/>
      <c r="I10" s="1655" t="s">
        <v>1378</v>
      </c>
      <c r="J10" s="746"/>
      <c r="K10" s="1660" t="s">
        <v>1378</v>
      </c>
      <c r="L10" s="746"/>
      <c r="M10" s="1660"/>
      <c r="N10" s="746"/>
      <c r="O10" s="1660"/>
      <c r="P10" s="746"/>
      <c r="Q10" s="1660"/>
      <c r="R10" s="746"/>
      <c r="S10" s="1660"/>
      <c r="T10" s="746"/>
      <c r="U10" s="1660"/>
      <c r="V10" s="746"/>
      <c r="W10" s="1660"/>
      <c r="X10" s="746"/>
      <c r="Y10" s="1660"/>
      <c r="Z10" s="746"/>
      <c r="AA10" s="1660"/>
      <c r="AB10" s="746"/>
      <c r="AC10" s="972"/>
      <c r="AD10" s="14" t="s">
        <v>1907</v>
      </c>
      <c r="AE10" s="1661"/>
      <c r="AF10" s="14" t="s">
        <v>1907</v>
      </c>
      <c r="AG10" s="1661"/>
      <c r="AH10" s="14" t="s">
        <v>1908</v>
      </c>
      <c r="AI10" s="1661"/>
      <c r="AJ10" s="14" t="s">
        <v>1908</v>
      </c>
      <c r="AK10" s="1661"/>
      <c r="AL10" s="14" t="s">
        <v>1909</v>
      </c>
      <c r="AM10" s="978"/>
      <c r="AN10" s="14" t="s">
        <v>1909</v>
      </c>
      <c r="AO10" s="978"/>
      <c r="AP10" s="14" t="s">
        <v>1910</v>
      </c>
      <c r="AQ10" s="978"/>
      <c r="AR10" s="14" t="s">
        <v>1910</v>
      </c>
      <c r="AS10" s="978"/>
      <c r="AT10" s="1646"/>
      <c r="AU10" s="1646"/>
      <c r="AV10" s="3161"/>
      <c r="AW10" s="2575"/>
      <c r="AX10" s="3161"/>
      <c r="AY10" s="2601"/>
      <c r="AZ10" s="22"/>
      <c r="BA10" s="1662" t="s">
        <v>1901</v>
      </c>
      <c r="BB10" s="1663" t="str">
        <f>I9</f>
        <v>地上</v>
      </c>
      <c r="BC10" s="23" t="str">
        <f>K9</f>
        <v>地下</v>
      </c>
      <c r="BD10" s="3436">
        <f>M9</f>
        <v>0</v>
      </c>
      <c r="BE10" s="3436">
        <f>O9</f>
        <v>0</v>
      </c>
      <c r="BF10" s="3436">
        <f>Q9</f>
        <v>0</v>
      </c>
      <c r="BG10" s="3436">
        <f>S9</f>
        <v>0</v>
      </c>
      <c r="BH10" s="3436">
        <f>U9</f>
        <v>0</v>
      </c>
      <c r="BI10" s="3436">
        <f>W9</f>
        <v>0</v>
      </c>
      <c r="BJ10" s="3436">
        <f>Y9</f>
        <v>0</v>
      </c>
      <c r="BK10" s="3436">
        <f>AA9</f>
        <v>0</v>
      </c>
      <c r="BL10" s="20" t="s">
        <v>1901</v>
      </c>
      <c r="BM10" s="1418" t="str">
        <f>AD9</f>
        <v>地上</v>
      </c>
      <c r="BN10" s="23" t="str">
        <f>AF9</f>
        <v>地下</v>
      </c>
      <c r="BO10" s="1418" t="str">
        <f>AH9</f>
        <v>地上</v>
      </c>
      <c r="BP10" s="23" t="str">
        <f>AJ9</f>
        <v>地下</v>
      </c>
      <c r="BQ10" s="3447" t="str">
        <f>AL9</f>
        <v>地上</v>
      </c>
      <c r="BR10" s="3436" t="str">
        <f>AN9</f>
        <v>地下</v>
      </c>
      <c r="BS10" s="3447" t="str">
        <f>AP9</f>
        <v>地上</v>
      </c>
      <c r="BT10" s="3448" t="str">
        <f>AR9</f>
        <v>地下</v>
      </c>
    </row>
    <row r="11" spans="1:72" s="1653" customFormat="1" ht="12.75">
      <c r="A11" s="1646"/>
      <c r="B11" s="1646"/>
      <c r="C11" s="1646"/>
      <c r="D11" s="1646"/>
      <c r="E11" s="1646"/>
      <c r="F11" s="1646"/>
      <c r="G11" s="972"/>
      <c r="H11" s="1662"/>
      <c r="I11" s="1664" t="s">
        <v>3047</v>
      </c>
      <c r="J11" s="1665"/>
      <c r="K11" s="1664" t="s">
        <v>3047</v>
      </c>
      <c r="L11" s="1665"/>
      <c r="M11" s="1664"/>
      <c r="N11" s="1665"/>
      <c r="O11" s="1664"/>
      <c r="P11" s="1665"/>
      <c r="Q11" s="1664"/>
      <c r="R11" s="1665"/>
      <c r="S11" s="1664"/>
      <c r="T11" s="1665"/>
      <c r="U11" s="1664"/>
      <c r="V11" s="1665"/>
      <c r="W11" s="1664"/>
      <c r="X11" s="1665"/>
      <c r="Y11" s="1664"/>
      <c r="Z11" s="1665"/>
      <c r="AA11" s="1664"/>
      <c r="AB11" s="1665"/>
      <c r="AC11" s="972"/>
      <c r="AD11" s="1666" t="s">
        <v>1911</v>
      </c>
      <c r="AE11" s="1420"/>
      <c r="AF11" s="1666" t="s">
        <v>1911</v>
      </c>
      <c r="AG11" s="1420"/>
      <c r="AH11" s="1666" t="s">
        <v>1912</v>
      </c>
      <c r="AI11" s="1667"/>
      <c r="AJ11" s="1666" t="s">
        <v>1912</v>
      </c>
      <c r="AK11" s="1420"/>
      <c r="AL11" s="1418"/>
      <c r="AM11" s="1420"/>
      <c r="AN11" s="1418"/>
      <c r="AO11" s="1420"/>
      <c r="AP11" s="1418"/>
      <c r="AQ11" s="1420"/>
      <c r="AR11" s="1418"/>
      <c r="AS11" s="1420"/>
      <c r="AT11" s="1630"/>
      <c r="AU11" s="1646"/>
      <c r="AV11" s="3161"/>
      <c r="AW11" s="2575"/>
      <c r="AX11" s="3161"/>
      <c r="AY11" s="2601"/>
      <c r="AZ11" s="22"/>
      <c r="BA11" s="22"/>
      <c r="BB11" s="1651" t="str">
        <f>I10</f>
        <v>商业</v>
      </c>
      <c r="BC11" s="1651" t="str">
        <f>K10</f>
        <v>商业</v>
      </c>
      <c r="BD11" s="3437">
        <f>M10</f>
        <v>0</v>
      </c>
      <c r="BE11" s="3437">
        <f>O10</f>
        <v>0</v>
      </c>
      <c r="BF11" s="3437">
        <f>Q10</f>
        <v>0</v>
      </c>
      <c r="BG11" s="3437">
        <f>S10</f>
        <v>0</v>
      </c>
      <c r="BH11" s="3437">
        <f>U10</f>
        <v>0</v>
      </c>
      <c r="BI11" s="3437">
        <f>W10</f>
        <v>0</v>
      </c>
      <c r="BJ11" s="3437">
        <f>Y10</f>
        <v>0</v>
      </c>
      <c r="BK11" s="3437">
        <f>AA10</f>
        <v>0</v>
      </c>
      <c r="BL11" s="972"/>
      <c r="BM11" s="1418" t="str">
        <f>AD10</f>
        <v>公共配套设施</v>
      </c>
      <c r="BN11" s="1418" t="str">
        <f>AF10</f>
        <v>公共配套设施</v>
      </c>
      <c r="BO11" s="19" t="str">
        <f>AH10</f>
        <v>物业管理用房</v>
      </c>
      <c r="BP11" s="19" t="str">
        <f>AJ10</f>
        <v>物业管理用房</v>
      </c>
      <c r="BQ11" s="3438" t="str">
        <f>AL10</f>
        <v>设备及其他</v>
      </c>
      <c r="BR11" s="3438" t="str">
        <f>AN10</f>
        <v>设备及其他</v>
      </c>
      <c r="BS11" s="3449" t="str">
        <f>AP10</f>
        <v>未注明</v>
      </c>
      <c r="BT11" s="3450" t="str">
        <f>AR10</f>
        <v>未注明</v>
      </c>
    </row>
    <row r="12" spans="1:72" s="1632" customFormat="1" ht="12.75">
      <c r="A12" s="1668"/>
      <c r="B12" s="1668"/>
      <c r="C12" s="1668"/>
      <c r="D12" s="1668"/>
      <c r="E12" s="1668"/>
      <c r="F12" s="1668"/>
      <c r="G12" s="24"/>
      <c r="H12" s="1669"/>
      <c r="I12" s="1409" t="s">
        <v>1913</v>
      </c>
      <c r="J12" s="11" t="s">
        <v>1914</v>
      </c>
      <c r="K12" s="11" t="s">
        <v>1913</v>
      </c>
      <c r="L12" s="11" t="s">
        <v>1914</v>
      </c>
      <c r="M12" s="11" t="s">
        <v>1913</v>
      </c>
      <c r="N12" s="11" t="s">
        <v>1914</v>
      </c>
      <c r="O12" s="11" t="s">
        <v>1913</v>
      </c>
      <c r="P12" s="11" t="s">
        <v>1914</v>
      </c>
      <c r="Q12" s="11" t="s">
        <v>1913</v>
      </c>
      <c r="R12" s="11" t="s">
        <v>1914</v>
      </c>
      <c r="S12" s="11" t="s">
        <v>1913</v>
      </c>
      <c r="T12" s="11" t="s">
        <v>1914</v>
      </c>
      <c r="U12" s="11" t="s">
        <v>1913</v>
      </c>
      <c r="V12" s="1407" t="s">
        <v>1914</v>
      </c>
      <c r="W12" s="11" t="s">
        <v>1913</v>
      </c>
      <c r="X12" s="11" t="s">
        <v>1914</v>
      </c>
      <c r="Y12" s="11" t="s">
        <v>1913</v>
      </c>
      <c r="Z12" s="11" t="s">
        <v>1914</v>
      </c>
      <c r="AA12" s="11" t="s">
        <v>1913</v>
      </c>
      <c r="AB12" s="11" t="s">
        <v>1914</v>
      </c>
      <c r="AC12" s="1670"/>
      <c r="AD12" s="1409" t="s">
        <v>1913</v>
      </c>
      <c r="AE12" s="11" t="s">
        <v>1914</v>
      </c>
      <c r="AF12" s="11" t="s">
        <v>1913</v>
      </c>
      <c r="AG12" s="11" t="s">
        <v>1914</v>
      </c>
      <c r="AH12" s="11" t="s">
        <v>1913</v>
      </c>
      <c r="AI12" s="11" t="s">
        <v>1914</v>
      </c>
      <c r="AJ12" s="11" t="s">
        <v>1913</v>
      </c>
      <c r="AK12" s="11" t="s">
        <v>1914</v>
      </c>
      <c r="AL12" s="11" t="s">
        <v>1913</v>
      </c>
      <c r="AM12" s="11" t="s">
        <v>1914</v>
      </c>
      <c r="AN12" s="11" t="s">
        <v>1913</v>
      </c>
      <c r="AO12" s="11" t="s">
        <v>1914</v>
      </c>
      <c r="AP12" s="11" t="s">
        <v>1913</v>
      </c>
      <c r="AQ12" s="11" t="s">
        <v>1914</v>
      </c>
      <c r="AR12" s="24" t="s">
        <v>1913</v>
      </c>
      <c r="AS12" s="1668" t="s">
        <v>1914</v>
      </c>
      <c r="AT12" s="1671"/>
      <c r="AU12" s="1668"/>
      <c r="AV12" s="2604"/>
      <c r="AW12" s="2638"/>
      <c r="AX12" s="2604"/>
      <c r="AY12" s="3425"/>
      <c r="AZ12" s="22"/>
      <c r="BA12" s="1662"/>
      <c r="BB12" s="19" t="str">
        <f>I11</f>
        <v>独立商业</v>
      </c>
      <c r="BC12" s="1672" t="str">
        <f>K11</f>
        <v>独立商业</v>
      </c>
      <c r="BD12" s="3438">
        <f>M11</f>
        <v>0</v>
      </c>
      <c r="BE12" s="3437">
        <f>O11</f>
        <v>0</v>
      </c>
      <c r="BF12" s="3437">
        <f>Q11</f>
        <v>0</v>
      </c>
      <c r="BG12" s="3437">
        <f>S11</f>
        <v>0</v>
      </c>
      <c r="BH12" s="3437">
        <f>U11</f>
        <v>0</v>
      </c>
      <c r="BI12" s="3437">
        <f>W11</f>
        <v>0</v>
      </c>
      <c r="BJ12" s="3437">
        <f>Y11</f>
        <v>0</v>
      </c>
      <c r="BK12" s="3437">
        <f>AA11</f>
        <v>0</v>
      </c>
      <c r="BL12" s="972"/>
      <c r="BM12" s="1418" t="str">
        <f>AD11</f>
        <v>（住宅）</v>
      </c>
      <c r="BN12" s="1418" t="str">
        <f>AF11</f>
        <v>（住宅）</v>
      </c>
      <c r="BO12" s="19" t="str">
        <f>AH11</f>
        <v>（住宅、计出让金）</v>
      </c>
      <c r="BP12" s="19" t="str">
        <f>AJ11</f>
        <v>（住宅、计出让金）</v>
      </c>
      <c r="BQ12" s="3438">
        <f>AL11</f>
        <v>0</v>
      </c>
      <c r="BR12" s="3438">
        <f>AN11</f>
        <v>0</v>
      </c>
      <c r="BS12" s="3449">
        <f>AP11</f>
        <v>0</v>
      </c>
      <c r="BT12" s="3450">
        <f>AR11</f>
        <v>0</v>
      </c>
    </row>
    <row r="13" spans="1:72" s="1632" customFormat="1" ht="12.75">
      <c r="A13" s="953"/>
      <c r="B13" s="953"/>
      <c r="C13" s="953" t="s">
        <v>3075</v>
      </c>
      <c r="D13" s="1673" t="s">
        <v>3064</v>
      </c>
      <c r="E13" s="15">
        <f>IF($C$3="是",ROUND($A$3*G13/$B$3,2),ROUND($A$3*(G13-AT13)/$B$3,2))</f>
        <v>4738.18</v>
      </c>
      <c r="F13" s="25"/>
      <c r="G13" s="26">
        <f>H13+AC13+AT13</f>
        <v>15982.84</v>
      </c>
      <c r="H13" s="17">
        <f>SUMIF(I$12:AB$12,"总值",I13:AB13)</f>
        <v>15982.84</v>
      </c>
      <c r="I13" s="1674">
        <f>面积表!B9</f>
        <v>15982.84</v>
      </c>
      <c r="J13" s="1674"/>
      <c r="K13" s="1674"/>
      <c r="L13" s="1674"/>
      <c r="M13" s="1674"/>
      <c r="N13" s="1674"/>
      <c r="O13" s="1674"/>
      <c r="P13" s="1674"/>
      <c r="Q13" s="1674"/>
      <c r="R13" s="1674"/>
      <c r="S13" s="1674"/>
      <c r="T13" s="1674"/>
      <c r="U13" s="1674"/>
      <c r="V13" s="1674"/>
      <c r="W13" s="1674"/>
      <c r="X13" s="1674"/>
      <c r="Y13" s="1674"/>
      <c r="Z13" s="1674"/>
      <c r="AA13" s="1674"/>
      <c r="AB13" s="1674"/>
      <c r="AC13" s="15">
        <f>SUMIF(AD$12:AS$12,"总值",AD13:AS13)</f>
        <v>0</v>
      </c>
      <c r="AD13" s="1675"/>
      <c r="AE13" s="1675"/>
      <c r="AF13" s="1675"/>
      <c r="AG13" s="1675"/>
      <c r="AH13" s="1675"/>
      <c r="AI13" s="1675"/>
      <c r="AJ13" s="1675"/>
      <c r="AK13" s="1675"/>
      <c r="AL13" s="1675"/>
      <c r="AM13" s="1675"/>
      <c r="AN13" s="1675"/>
      <c r="AO13" s="1675"/>
      <c r="AP13" s="1675"/>
      <c r="AQ13" s="1675"/>
      <c r="AR13" s="1675"/>
      <c r="AS13" s="1675"/>
      <c r="AT13" s="1676"/>
      <c r="AU13" s="1677"/>
      <c r="AV13" s="15">
        <f t="shared" ref="AV13:AX17" si="6">A13</f>
        <v>0</v>
      </c>
      <c r="AW13" s="15">
        <f t="shared" si="6"/>
        <v>0</v>
      </c>
      <c r="AX13" s="15" t="str">
        <f t="shared" si="6"/>
        <v>1层</v>
      </c>
      <c r="AY13" s="2503">
        <f>ROUND($AY$6*AZ13/$AZ$5,2)</f>
        <v>4738.18</v>
      </c>
      <c r="AZ13" s="15">
        <f>BA13+BL13</f>
        <v>15982.84</v>
      </c>
      <c r="BA13" s="15">
        <f>SUM(BB13:BK13)</f>
        <v>15982.84</v>
      </c>
      <c r="BB13" s="15">
        <f>IF($D13="是",I13-J13,0)</f>
        <v>15982.84</v>
      </c>
      <c r="BC13" s="15">
        <f>IF($D13="是",K13-L13,0)</f>
        <v>0</v>
      </c>
      <c r="BD13" s="3431">
        <f>IF($D13="是",M13-N13,0)</f>
        <v>0</v>
      </c>
      <c r="BE13" s="3431">
        <f>IF($D13="是",O13-P13,0)</f>
        <v>0</v>
      </c>
      <c r="BF13" s="3431">
        <f>IF($D13="是",Q13-R13,0)</f>
        <v>0</v>
      </c>
      <c r="BG13" s="3431">
        <f>IF($D13="是",S13-T13,0)</f>
        <v>0</v>
      </c>
      <c r="BH13" s="3431">
        <f>IF($D13="是",U13-V13,0)</f>
        <v>0</v>
      </c>
      <c r="BI13" s="3431">
        <f>IF($D13="是",W13-X13,0)</f>
        <v>0</v>
      </c>
      <c r="BJ13" s="3431">
        <f>IF($D13="是",Y13-Z13,0)</f>
        <v>0</v>
      </c>
      <c r="BK13" s="3431">
        <f>IF($D13="是",AA13-AB13,0)</f>
        <v>0</v>
      </c>
      <c r="BL13" s="15">
        <f>SUM(BM13:BT13)</f>
        <v>0</v>
      </c>
      <c r="BM13" s="15">
        <f>IF($D13="是",AD13-AE13,0)</f>
        <v>0</v>
      </c>
      <c r="BN13" s="15">
        <f>IF($D13="是",AF13-AG13,0)</f>
        <v>0</v>
      </c>
      <c r="BO13" s="15">
        <f>IF($D13="是",AH13-AI13,0)</f>
        <v>0</v>
      </c>
      <c r="BP13" s="15">
        <f>IF($D13="是",AJ13-AK13,0)</f>
        <v>0</v>
      </c>
      <c r="BQ13" s="3431">
        <f>IF($D13="是",AL13-AM13,0)</f>
        <v>0</v>
      </c>
      <c r="BR13" s="3431">
        <f>IF($D13="是",AN13-AO13,0)</f>
        <v>0</v>
      </c>
      <c r="BS13" s="3431">
        <f>IF($D13="是",AP13-AQ13,0)</f>
        <v>0</v>
      </c>
      <c r="BT13" s="3444">
        <f>IF($D13="是",AR13-AS13,0)</f>
        <v>0</v>
      </c>
    </row>
    <row r="14" spans="1:72" s="1632" customFormat="1" ht="12.75">
      <c r="A14" s="953"/>
      <c r="B14" s="953"/>
      <c r="C14" s="953" t="s">
        <v>3076</v>
      </c>
      <c r="D14" s="1673" t="s">
        <v>3064</v>
      </c>
      <c r="E14" s="15">
        <f>IF($C$3="是",ROUND($A$3*G14/$B$3,2),ROUND($A$3*(G14-AT14)/$B$3,2))</f>
        <v>475.31</v>
      </c>
      <c r="F14" s="25"/>
      <c r="G14" s="26">
        <f>H14+AC14+AT14</f>
        <v>1603.32</v>
      </c>
      <c r="H14" s="17">
        <f>SUMIF(I$12:AB$12,"总值",I14:AB14)</f>
        <v>1603.32</v>
      </c>
      <c r="I14" s="1674">
        <f>面积表!D9</f>
        <v>1603.32</v>
      </c>
      <c r="J14" s="1674"/>
      <c r="K14" s="1674"/>
      <c r="L14" s="1674"/>
      <c r="M14" s="1674"/>
      <c r="N14" s="1674"/>
      <c r="O14" s="1674"/>
      <c r="P14" s="1674"/>
      <c r="Q14" s="1674"/>
      <c r="R14" s="1674"/>
      <c r="S14" s="1674"/>
      <c r="T14" s="1674"/>
      <c r="U14" s="1674"/>
      <c r="V14" s="1674"/>
      <c r="W14" s="1674"/>
      <c r="X14" s="1674"/>
      <c r="Y14" s="1674"/>
      <c r="Z14" s="1674"/>
      <c r="AA14" s="1674"/>
      <c r="AB14" s="1674"/>
      <c r="AC14" s="15">
        <f>SUMIF(AD$12:AS$12,"总值",AD14:AS14)</f>
        <v>0</v>
      </c>
      <c r="AD14" s="1675"/>
      <c r="AE14" s="1675"/>
      <c r="AF14" s="1675"/>
      <c r="AG14" s="1675"/>
      <c r="AH14" s="1675"/>
      <c r="AI14" s="1675"/>
      <c r="AJ14" s="1675"/>
      <c r="AK14" s="1675"/>
      <c r="AL14" s="1675"/>
      <c r="AM14" s="1675"/>
      <c r="AN14" s="1675"/>
      <c r="AO14" s="1675"/>
      <c r="AP14" s="1675"/>
      <c r="AQ14" s="1675"/>
      <c r="AR14" s="1675"/>
      <c r="AS14" s="1675"/>
      <c r="AT14" s="1676"/>
      <c r="AU14" s="1677"/>
      <c r="AV14" s="15">
        <f t="shared" si="6"/>
        <v>0</v>
      </c>
      <c r="AW14" s="15">
        <f t="shared" si="6"/>
        <v>0</v>
      </c>
      <c r="AX14" s="15" t="str">
        <f t="shared" si="6"/>
        <v>2层</v>
      </c>
      <c r="AY14" s="2503">
        <f>ROUND($AY$6*AZ14/$AZ$5,2)</f>
        <v>475.31</v>
      </c>
      <c r="AZ14" s="15">
        <f>BA14+BL14</f>
        <v>1603.32</v>
      </c>
      <c r="BA14" s="15">
        <f>SUM(BB14:BK14)</f>
        <v>1603.32</v>
      </c>
      <c r="BB14" s="15">
        <f>IF($D14="是",I14-J14,0)</f>
        <v>1603.32</v>
      </c>
      <c r="BC14" s="15">
        <f>IF($D14="是",K14-L14,0)</f>
        <v>0</v>
      </c>
      <c r="BD14" s="3431">
        <f>IF($D14="是",M14-N14,0)</f>
        <v>0</v>
      </c>
      <c r="BE14" s="3431">
        <f>IF($D14="是",O14-P14,0)</f>
        <v>0</v>
      </c>
      <c r="BF14" s="3431">
        <f>IF($D14="是",Q14-R14,0)</f>
        <v>0</v>
      </c>
      <c r="BG14" s="3431">
        <f>IF($D14="是",S14-T14,0)</f>
        <v>0</v>
      </c>
      <c r="BH14" s="3431">
        <f>IF($D14="是",U14-V14,0)</f>
        <v>0</v>
      </c>
      <c r="BI14" s="3431">
        <f>IF($D14="是",W14-X14,0)</f>
        <v>0</v>
      </c>
      <c r="BJ14" s="3431">
        <f>IF($D14="是",Y14-Z14,0)</f>
        <v>0</v>
      </c>
      <c r="BK14" s="3431">
        <f>IF($D14="是",AA14-AB14,0)</f>
        <v>0</v>
      </c>
      <c r="BL14" s="15">
        <f>SUM(BM14:BT14)</f>
        <v>0</v>
      </c>
      <c r="BM14" s="15">
        <f>IF($D14="是",AD14-AE14,0)</f>
        <v>0</v>
      </c>
      <c r="BN14" s="15">
        <f>IF($D14="是",AF14-AG14,0)</f>
        <v>0</v>
      </c>
      <c r="BO14" s="15">
        <f>IF($D14="是",AH14-AI14,0)</f>
        <v>0</v>
      </c>
      <c r="BP14" s="15">
        <f>IF($D14="是",AJ14-AK14,0)</f>
        <v>0</v>
      </c>
      <c r="BQ14" s="3431">
        <f>IF($D14="是",AL14-AM14,0)</f>
        <v>0</v>
      </c>
      <c r="BR14" s="3431">
        <f>IF($D14="是",AN14-AO14,0)</f>
        <v>0</v>
      </c>
      <c r="BS14" s="3431">
        <f>IF($D14="是",AP14-AQ14,0)</f>
        <v>0</v>
      </c>
      <c r="BT14" s="3444">
        <f>IF($D14="是",AR14-AS14,0)</f>
        <v>0</v>
      </c>
    </row>
    <row r="15" spans="1:72" s="1632" customFormat="1" ht="12.75">
      <c r="A15" s="953"/>
      <c r="B15" s="953"/>
      <c r="C15" s="953" t="s">
        <v>3077</v>
      </c>
      <c r="D15" s="1673" t="s">
        <v>3064</v>
      </c>
      <c r="E15" s="15">
        <f>IF($C$3="是",ROUND($A$3*G15/$B$3,2),ROUND($A$3*(G15-AT15)/$B$3,2))</f>
        <v>308.72000000000003</v>
      </c>
      <c r="F15" s="25"/>
      <c r="G15" s="26">
        <f>H15+AC15+AT15</f>
        <v>1041.3799999999999</v>
      </c>
      <c r="H15" s="17">
        <f>SUMIF(I$12:AB$12,"总值",I15:AB15)</f>
        <v>1041.3799999999999</v>
      </c>
      <c r="I15" s="1674">
        <f>面积表!F9</f>
        <v>1041.3799999999999</v>
      </c>
      <c r="J15" s="1674"/>
      <c r="K15" s="1674"/>
      <c r="L15" s="1674"/>
      <c r="M15" s="1674"/>
      <c r="N15" s="1674"/>
      <c r="O15" s="1674"/>
      <c r="P15" s="1674"/>
      <c r="Q15" s="1674"/>
      <c r="R15" s="1674"/>
      <c r="S15" s="1674"/>
      <c r="T15" s="1674"/>
      <c r="U15" s="1674"/>
      <c r="V15" s="1674"/>
      <c r="W15" s="1674"/>
      <c r="X15" s="1674"/>
      <c r="Y15" s="1674"/>
      <c r="Z15" s="1674"/>
      <c r="AA15" s="1674"/>
      <c r="AB15" s="1674"/>
      <c r="AC15" s="15">
        <f>SUMIF(AD$12:AS$12,"总值",AD15:AS15)</f>
        <v>0</v>
      </c>
      <c r="AD15" s="1675"/>
      <c r="AE15" s="1675"/>
      <c r="AF15" s="1675"/>
      <c r="AG15" s="1675"/>
      <c r="AH15" s="1675"/>
      <c r="AI15" s="1675"/>
      <c r="AJ15" s="1675"/>
      <c r="AK15" s="1675"/>
      <c r="AL15" s="1675"/>
      <c r="AM15" s="1675"/>
      <c r="AN15" s="1675"/>
      <c r="AO15" s="1675"/>
      <c r="AP15" s="1675"/>
      <c r="AQ15" s="1675"/>
      <c r="AR15" s="1675"/>
      <c r="AS15" s="1675"/>
      <c r="AT15" s="1676"/>
      <c r="AU15" s="1677"/>
      <c r="AV15" s="15">
        <f t="shared" si="6"/>
        <v>0</v>
      </c>
      <c r="AW15" s="15">
        <f t="shared" si="6"/>
        <v>0</v>
      </c>
      <c r="AX15" s="15" t="str">
        <f t="shared" si="6"/>
        <v>3层</v>
      </c>
      <c r="AY15" s="2503">
        <f>ROUND($AY$6*AZ15/$AZ$5,2)</f>
        <v>308.72000000000003</v>
      </c>
      <c r="AZ15" s="15">
        <f>BA15+BL15</f>
        <v>1041.3799999999999</v>
      </c>
      <c r="BA15" s="15">
        <f>SUM(BB15:BK15)</f>
        <v>1041.3799999999999</v>
      </c>
      <c r="BB15" s="15">
        <f>IF($D15="是",I15-J15,0)</f>
        <v>1041.3799999999999</v>
      </c>
      <c r="BC15" s="15">
        <f>IF($D15="是",K15-L15,0)</f>
        <v>0</v>
      </c>
      <c r="BD15" s="3431">
        <f>IF($D15="是",M15-N15,0)</f>
        <v>0</v>
      </c>
      <c r="BE15" s="3431">
        <f>IF($D15="是",O15-P15,0)</f>
        <v>0</v>
      </c>
      <c r="BF15" s="3431">
        <f>IF($D15="是",Q15-R15,0)</f>
        <v>0</v>
      </c>
      <c r="BG15" s="3431">
        <f>IF($D15="是",S15-T15,0)</f>
        <v>0</v>
      </c>
      <c r="BH15" s="3431">
        <f>IF($D15="是",U15-V15,0)</f>
        <v>0</v>
      </c>
      <c r="BI15" s="3431">
        <f>IF($D15="是",W15-X15,0)</f>
        <v>0</v>
      </c>
      <c r="BJ15" s="3431">
        <f>IF($D15="是",Y15-Z15,0)</f>
        <v>0</v>
      </c>
      <c r="BK15" s="3431">
        <f>IF($D15="是",AA15-AB15,0)</f>
        <v>0</v>
      </c>
      <c r="BL15" s="15">
        <f>SUM(BM15:BT15)</f>
        <v>0</v>
      </c>
      <c r="BM15" s="15">
        <f>IF($D15="是",AD15-AE15,0)</f>
        <v>0</v>
      </c>
      <c r="BN15" s="15">
        <f>IF($D15="是",AF15-AG15,0)</f>
        <v>0</v>
      </c>
      <c r="BO15" s="15">
        <f>IF($D15="是",AH15-AI15,0)</f>
        <v>0</v>
      </c>
      <c r="BP15" s="15">
        <f>IF($D15="是",AJ15-AK15,0)</f>
        <v>0</v>
      </c>
      <c r="BQ15" s="3431">
        <f>IF($D15="是",AL15-AM15,0)</f>
        <v>0</v>
      </c>
      <c r="BR15" s="3431">
        <f>IF($D15="是",AN15-AO15,0)</f>
        <v>0</v>
      </c>
      <c r="BS15" s="3431">
        <f>IF($D15="是",AP15-AQ15,0)</f>
        <v>0</v>
      </c>
      <c r="BT15" s="3444">
        <f>IF($D15="是",AR15-AS15,0)</f>
        <v>0</v>
      </c>
    </row>
    <row r="16" spans="1:72" s="1632" customFormat="1" ht="12.75">
      <c r="A16" s="953"/>
      <c r="B16" s="953"/>
      <c r="C16" s="953" t="s">
        <v>3078</v>
      </c>
      <c r="D16" s="1673" t="s">
        <v>3064</v>
      </c>
      <c r="E16" s="15">
        <f>IF($C$3="是",ROUND($A$3*G16/$B$3,2),ROUND($A$3*(G16-AT16)/$B$3,2))</f>
        <v>1214.8499999999999</v>
      </c>
      <c r="F16" s="25"/>
      <c r="G16" s="26">
        <f>H16+AC16+AT16</f>
        <v>4097.9400000000005</v>
      </c>
      <c r="H16" s="17">
        <f>SUMIF(I$12:AB$12,"总值",I16:AB16)</f>
        <v>4097.9400000000005</v>
      </c>
      <c r="I16" s="1674">
        <f>面积表!H9</f>
        <v>4097.9400000000005</v>
      </c>
      <c r="J16" s="1674"/>
      <c r="K16" s="1674"/>
      <c r="L16" s="1674"/>
      <c r="M16" s="1674"/>
      <c r="N16" s="1674"/>
      <c r="O16" s="1674"/>
      <c r="P16" s="1674"/>
      <c r="Q16" s="1674"/>
      <c r="R16" s="1674"/>
      <c r="S16" s="1674"/>
      <c r="T16" s="1674"/>
      <c r="U16" s="1674"/>
      <c r="V16" s="1674"/>
      <c r="W16" s="1674"/>
      <c r="X16" s="1674"/>
      <c r="Y16" s="1674"/>
      <c r="Z16" s="1674"/>
      <c r="AA16" s="1674"/>
      <c r="AB16" s="1674"/>
      <c r="AC16" s="15">
        <f>SUMIF(AD$12:AS$12,"总值",AD16:AS16)</f>
        <v>0</v>
      </c>
      <c r="AD16" s="1675"/>
      <c r="AE16" s="1675"/>
      <c r="AF16" s="1675"/>
      <c r="AG16" s="1675"/>
      <c r="AH16" s="1675"/>
      <c r="AI16" s="1675"/>
      <c r="AJ16" s="1675"/>
      <c r="AK16" s="1675"/>
      <c r="AL16" s="1675"/>
      <c r="AM16" s="1675"/>
      <c r="AN16" s="1675"/>
      <c r="AO16" s="1675"/>
      <c r="AP16" s="1675"/>
      <c r="AQ16" s="1675"/>
      <c r="AR16" s="1675"/>
      <c r="AS16" s="1675"/>
      <c r="AT16" s="1676"/>
      <c r="AU16" s="1677"/>
      <c r="AV16" s="15">
        <f t="shared" si="6"/>
        <v>0</v>
      </c>
      <c r="AW16" s="15">
        <f t="shared" si="6"/>
        <v>0</v>
      </c>
      <c r="AX16" s="15" t="str">
        <f t="shared" si="6"/>
        <v>4层</v>
      </c>
      <c r="AY16" s="2503">
        <f>ROUND($AY$6*AZ16/$AZ$5,2)</f>
        <v>1214.8499999999999</v>
      </c>
      <c r="AZ16" s="15">
        <f>BA16+BL16</f>
        <v>4097.9400000000005</v>
      </c>
      <c r="BA16" s="15">
        <f>SUM(BB16:BK16)</f>
        <v>4097.9400000000005</v>
      </c>
      <c r="BB16" s="15">
        <f>IF($D16="是",I16-J16,0)</f>
        <v>4097.9400000000005</v>
      </c>
      <c r="BC16" s="15">
        <f>IF($D16="是",K16-L16,0)</f>
        <v>0</v>
      </c>
      <c r="BD16" s="3431">
        <f>IF($D16="是",M16-N16,0)</f>
        <v>0</v>
      </c>
      <c r="BE16" s="3431">
        <f>IF($D16="是",O16-P16,0)</f>
        <v>0</v>
      </c>
      <c r="BF16" s="3431">
        <f>IF($D16="是",Q16-R16,0)</f>
        <v>0</v>
      </c>
      <c r="BG16" s="3431">
        <f>IF($D16="是",S16-T16,0)</f>
        <v>0</v>
      </c>
      <c r="BH16" s="3431">
        <f>IF($D16="是",U16-V16,0)</f>
        <v>0</v>
      </c>
      <c r="BI16" s="3431">
        <f>IF($D16="是",W16-X16,0)</f>
        <v>0</v>
      </c>
      <c r="BJ16" s="3431">
        <f>IF($D16="是",Y16-Z16,0)</f>
        <v>0</v>
      </c>
      <c r="BK16" s="3431">
        <f>IF($D16="是",AA16-AB16,0)</f>
        <v>0</v>
      </c>
      <c r="BL16" s="15">
        <f>SUM(BM16:BT16)</f>
        <v>0</v>
      </c>
      <c r="BM16" s="15">
        <f>IF($D16="是",AD16-AE16,0)</f>
        <v>0</v>
      </c>
      <c r="BN16" s="15">
        <f>IF($D16="是",AF16-AG16,0)</f>
        <v>0</v>
      </c>
      <c r="BO16" s="15">
        <f>IF($D16="是",AH16-AI16,0)</f>
        <v>0</v>
      </c>
      <c r="BP16" s="15">
        <f>IF($D16="是",AJ16-AK16,0)</f>
        <v>0</v>
      </c>
      <c r="BQ16" s="3431">
        <f>IF($D16="是",AL16-AM16,0)</f>
        <v>0</v>
      </c>
      <c r="BR16" s="3431">
        <f>IF($D16="是",AN16-AO16,0)</f>
        <v>0</v>
      </c>
      <c r="BS16" s="3431">
        <f>IF($D16="是",AP16-AQ16,0)</f>
        <v>0</v>
      </c>
      <c r="BT16" s="3444">
        <f>IF($D16="是",AR16-AS16,0)</f>
        <v>0</v>
      </c>
    </row>
    <row r="17" spans="1:72" s="1632" customFormat="1" ht="12.75">
      <c r="A17" s="953"/>
      <c r="B17" s="953"/>
      <c r="C17" s="953" t="s">
        <v>3079</v>
      </c>
      <c r="D17" s="1673" t="s">
        <v>3064</v>
      </c>
      <c r="E17" s="15">
        <f>IF($C$3="是",ROUND($A$3*G17/$B$3,2),ROUND($A$3*(G17-AT17)/$B$3,2))</f>
        <v>11.83</v>
      </c>
      <c r="F17" s="25"/>
      <c r="G17" s="26">
        <f>H17+AC17+AT17</f>
        <v>39.909999999999997</v>
      </c>
      <c r="H17" s="17">
        <f>SUMIF(I$12:AB$12,"总值",I17:AB17)</f>
        <v>39.909999999999997</v>
      </c>
      <c r="I17" s="1674">
        <f>面积表!J9</f>
        <v>39.909999999999997</v>
      </c>
      <c r="J17" s="1674"/>
      <c r="K17" s="1674"/>
      <c r="L17" s="1674"/>
      <c r="M17" s="1674"/>
      <c r="N17" s="1674"/>
      <c r="O17" s="1674"/>
      <c r="P17" s="1674"/>
      <c r="Q17" s="1674"/>
      <c r="R17" s="1674"/>
      <c r="S17" s="1674"/>
      <c r="T17" s="1674"/>
      <c r="U17" s="1674"/>
      <c r="V17" s="1674"/>
      <c r="W17" s="1674"/>
      <c r="X17" s="1674"/>
      <c r="Y17" s="1674"/>
      <c r="Z17" s="1674"/>
      <c r="AA17" s="1674"/>
      <c r="AB17" s="1674"/>
      <c r="AC17" s="15">
        <f>SUMIF(AD$12:AS$12,"总值",AD17:AS17)</f>
        <v>0</v>
      </c>
      <c r="AD17" s="1675"/>
      <c r="AE17" s="1675"/>
      <c r="AF17" s="1675"/>
      <c r="AG17" s="1675"/>
      <c r="AH17" s="1675"/>
      <c r="AI17" s="1675"/>
      <c r="AJ17" s="1675"/>
      <c r="AK17" s="1675"/>
      <c r="AL17" s="1675"/>
      <c r="AM17" s="1675"/>
      <c r="AN17" s="1675"/>
      <c r="AO17" s="1675"/>
      <c r="AP17" s="1675"/>
      <c r="AQ17" s="1675"/>
      <c r="AR17" s="1675"/>
      <c r="AS17" s="1675"/>
      <c r="AT17" s="1676"/>
      <c r="AU17" s="1677"/>
      <c r="AV17" s="15">
        <f t="shared" si="6"/>
        <v>0</v>
      </c>
      <c r="AW17" s="15">
        <f t="shared" si="6"/>
        <v>0</v>
      </c>
      <c r="AX17" s="15" t="str">
        <f t="shared" si="6"/>
        <v>5层</v>
      </c>
      <c r="AY17" s="2503">
        <f>ROUND($AY$6*AZ17/$AZ$5,2)</f>
        <v>11.83</v>
      </c>
      <c r="AZ17" s="15">
        <f>BA17+BL17</f>
        <v>39.909999999999997</v>
      </c>
      <c r="BA17" s="15">
        <f>SUM(BB17:BK17)</f>
        <v>39.909999999999997</v>
      </c>
      <c r="BB17" s="15">
        <f>IF($D17="是",I17-J17,0)</f>
        <v>39.909999999999997</v>
      </c>
      <c r="BC17" s="15">
        <f>IF($D17="是",K17-L17,0)</f>
        <v>0</v>
      </c>
      <c r="BD17" s="3431">
        <f>IF($D17="是",M17-N17,0)</f>
        <v>0</v>
      </c>
      <c r="BE17" s="3431">
        <f>IF($D17="是",O17-P17,0)</f>
        <v>0</v>
      </c>
      <c r="BF17" s="3431">
        <f>IF($D17="是",Q17-R17,0)</f>
        <v>0</v>
      </c>
      <c r="BG17" s="3431">
        <f>IF($D17="是",S17-T17,0)</f>
        <v>0</v>
      </c>
      <c r="BH17" s="3431">
        <f>IF($D17="是",U17-V17,0)</f>
        <v>0</v>
      </c>
      <c r="BI17" s="3431">
        <f>IF($D17="是",W17-X17,0)</f>
        <v>0</v>
      </c>
      <c r="BJ17" s="3431">
        <f>IF($D17="是",Y17-Z17,0)</f>
        <v>0</v>
      </c>
      <c r="BK17" s="3431">
        <f>IF($D17="是",AA17-AB17,0)</f>
        <v>0</v>
      </c>
      <c r="BL17" s="15">
        <f>SUM(BM17:BT17)</f>
        <v>0</v>
      </c>
      <c r="BM17" s="15">
        <f>IF($D17="是",AD17-AE17,0)</f>
        <v>0</v>
      </c>
      <c r="BN17" s="15">
        <f>IF($D17="是",AF17-AG17,0)</f>
        <v>0</v>
      </c>
      <c r="BO17" s="15">
        <f>IF($D17="是",AH17-AI17,0)</f>
        <v>0</v>
      </c>
      <c r="BP17" s="15">
        <f>IF($D17="是",AJ17-AK17,0)</f>
        <v>0</v>
      </c>
      <c r="BQ17" s="3431">
        <f>IF($D17="是",AL17-AM17,0)</f>
        <v>0</v>
      </c>
      <c r="BR17" s="3431">
        <f>IF($D17="是",AN17-AO17,0)</f>
        <v>0</v>
      </c>
      <c r="BS17" s="3431">
        <f>IF($D17="是",AP17-AQ17,0)</f>
        <v>0</v>
      </c>
      <c r="BT17" s="3444">
        <f>IF($D17="是",AR17-AS17,0)</f>
        <v>0</v>
      </c>
    </row>
    <row r="18" spans="1:72">
      <c r="A18" s="9"/>
      <c r="B18" s="27"/>
      <c r="C18" s="953" t="s">
        <v>7125</v>
      </c>
      <c r="D18" s="1673" t="s">
        <v>3064</v>
      </c>
      <c r="E18" s="15">
        <f t="shared" ref="E18:E112" si="7">IF($C$3="是",ROUND($A$3*G18/$B$3,2),ROUND($A$3*(G18-AT18)/$B$3,2))</f>
        <v>4428.21</v>
      </c>
      <c r="F18" s="25"/>
      <c r="G18" s="26">
        <f t="shared" ref="G18:G109" si="8">H18+AC18+AT18</f>
        <v>14937.26</v>
      </c>
      <c r="H18" s="17">
        <f t="shared" ref="H18:H109" si="9">SUMIF(I$12:AB$12,"总值",I18:AB18)</f>
        <v>14937.26</v>
      </c>
      <c r="I18" s="1674"/>
      <c r="J18" s="1674"/>
      <c r="K18" s="1674">
        <f>面积表!L9</f>
        <v>14937.26</v>
      </c>
      <c r="L18" s="1674"/>
      <c r="M18" s="32"/>
      <c r="N18" s="32"/>
      <c r="O18" s="32"/>
      <c r="P18" s="32"/>
      <c r="Q18" s="32"/>
      <c r="R18" s="32"/>
      <c r="S18" s="32"/>
      <c r="T18" s="32"/>
      <c r="U18" s="32"/>
      <c r="V18" s="32"/>
      <c r="W18" s="32"/>
      <c r="X18" s="32"/>
      <c r="Y18" s="32"/>
      <c r="Z18" s="32"/>
      <c r="AA18" s="32"/>
      <c r="AB18" s="32"/>
      <c r="AC18" s="28">
        <f t="shared" ref="AC18:AC109" si="10">SUMIF(AD$12:AS$12,"总值",AD18:AS18)</f>
        <v>0</v>
      </c>
      <c r="AD18" s="33"/>
      <c r="AE18" s="33"/>
      <c r="AF18" s="33"/>
      <c r="AG18" s="33"/>
      <c r="AH18" s="33"/>
      <c r="AI18" s="33"/>
      <c r="AJ18" s="33"/>
      <c r="AK18" s="33"/>
      <c r="AL18" s="33"/>
      <c r="AM18" s="33"/>
      <c r="AN18" s="33"/>
      <c r="AO18" s="33"/>
      <c r="AP18" s="33"/>
      <c r="AQ18" s="33"/>
      <c r="AR18" s="33"/>
      <c r="AS18" s="33"/>
      <c r="AT18" s="34"/>
      <c r="AU18" s="1679"/>
      <c r="AV18" s="2256">
        <f t="shared" ref="AV18:AV112" si="11">A18</f>
        <v>0</v>
      </c>
      <c r="AW18" s="2256">
        <f t="shared" ref="AW18:AW112" si="12">B18</f>
        <v>0</v>
      </c>
      <c r="AX18" s="2256" t="str">
        <f t="shared" ref="AX18:AX112" si="13">C18</f>
        <v>—1层</v>
      </c>
      <c r="AY18" s="2781">
        <f t="shared" ref="AY18:AY109" si="14">ROUND($AY$6*AZ18/$AZ$5,2)</f>
        <v>4428.21</v>
      </c>
      <c r="AZ18" s="28">
        <f t="shared" ref="AZ18:AZ109" si="15">BA18+BL18</f>
        <v>14937.26</v>
      </c>
      <c r="BA18" s="28">
        <f t="shared" ref="BA18:BA109" si="16">SUM(BB18:BK18)</f>
        <v>14937.26</v>
      </c>
      <c r="BB18" s="28">
        <f t="shared" ref="BB18:BB109" si="17">IF($D18="是",I18-J18,0)</f>
        <v>0</v>
      </c>
      <c r="BC18" s="28">
        <f t="shared" ref="BC18:BC109" si="18">IF($D18="是",K18-L18,0)</f>
        <v>14937.26</v>
      </c>
      <c r="BD18" s="3439">
        <f t="shared" ref="BD18:BD109" si="19">IF($D18="是",M18-N18,0)</f>
        <v>0</v>
      </c>
      <c r="BE18" s="3439">
        <f t="shared" ref="BE18:BE109" si="20">IF($D18="是",O18-P18,0)</f>
        <v>0</v>
      </c>
      <c r="BF18" s="3439">
        <f t="shared" ref="BF18:BF109" si="21">IF($D18="是",Q18-R18,0)</f>
        <v>0</v>
      </c>
      <c r="BG18" s="3439">
        <f t="shared" ref="BG18:BG109" si="22">IF($D18="是",S18-T18,0)</f>
        <v>0</v>
      </c>
      <c r="BH18" s="3439">
        <f t="shared" ref="BH18:BH109" si="23">IF($D18="是",U18-V18,0)</f>
        <v>0</v>
      </c>
      <c r="BI18" s="3439">
        <f t="shared" ref="BI18:BI109" si="24">IF($D18="是",W18-X18,0)</f>
        <v>0</v>
      </c>
      <c r="BJ18" s="3439">
        <f t="shared" ref="BJ18:BJ109" si="25">IF($D18="是",Y18-Z18,0)</f>
        <v>0</v>
      </c>
      <c r="BK18" s="3439">
        <f t="shared" ref="BK18:BK109" si="26">IF($D18="是",AA18-AB18,0)</f>
        <v>0</v>
      </c>
      <c r="BL18" s="28">
        <f t="shared" ref="BL18:BL109" si="27">SUM(BM18:BT18)</f>
        <v>0</v>
      </c>
      <c r="BM18" s="28">
        <f t="shared" ref="BM18:BM109" si="28">IF($D18="是",AD18-AE18,0)</f>
        <v>0</v>
      </c>
      <c r="BN18" s="28">
        <f t="shared" ref="BN18:BN109" si="29">IF($D18="是",AF18-AG18,0)</f>
        <v>0</v>
      </c>
      <c r="BO18" s="28">
        <f t="shared" ref="BO18:BO109" si="30">IF($D18="是",AH18-AI18,0)</f>
        <v>0</v>
      </c>
      <c r="BP18" s="28">
        <f t="shared" ref="BP18:BP109" si="31">IF($D18="是",AJ18-AK18,0)</f>
        <v>0</v>
      </c>
      <c r="BQ18" s="3439">
        <f t="shared" ref="BQ18:BQ109" si="32">IF($D18="是",AL18-AM18,0)</f>
        <v>0</v>
      </c>
      <c r="BR18" s="3439">
        <f t="shared" ref="BR18:BR109" si="33">IF($D18="是",AN18-AO18,0)</f>
        <v>0</v>
      </c>
      <c r="BS18" s="3439">
        <f t="shared" ref="BS18:BS109" si="34">IF($D18="是",AP18-AQ18,0)</f>
        <v>0</v>
      </c>
      <c r="BT18" s="3451">
        <f t="shared" ref="BT18:BT109" si="35">IF($D18="是",AR18-AS18,0)</f>
        <v>0</v>
      </c>
    </row>
    <row r="19" spans="1:72">
      <c r="A19" s="3452" t="s">
        <v>7127</v>
      </c>
      <c r="B19" s="27"/>
      <c r="C19" s="953" t="s">
        <v>7126</v>
      </c>
      <c r="D19" s="1673" t="s">
        <v>3064</v>
      </c>
      <c r="E19" s="15">
        <f t="shared" si="7"/>
        <v>2019.91</v>
      </c>
      <c r="F19" s="25"/>
      <c r="G19" s="26">
        <f t="shared" si="8"/>
        <v>6813.5700000000006</v>
      </c>
      <c r="H19" s="17">
        <f t="shared" si="9"/>
        <v>6813.5700000000006</v>
      </c>
      <c r="I19" s="1674"/>
      <c r="J19" s="1674"/>
      <c r="K19" s="1674">
        <f>面积表!N9</f>
        <v>6813.5700000000006</v>
      </c>
      <c r="L19" s="1674"/>
      <c r="M19" s="32"/>
      <c r="N19" s="32"/>
      <c r="O19" s="32"/>
      <c r="P19" s="32"/>
      <c r="Q19" s="32"/>
      <c r="R19" s="32"/>
      <c r="S19" s="32"/>
      <c r="T19" s="32"/>
      <c r="U19" s="32"/>
      <c r="V19" s="32"/>
      <c r="W19" s="32"/>
      <c r="X19" s="32"/>
      <c r="Y19" s="32"/>
      <c r="Z19" s="32"/>
      <c r="AA19" s="32"/>
      <c r="AB19" s="32"/>
      <c r="AC19" s="28">
        <f t="shared" si="10"/>
        <v>0</v>
      </c>
      <c r="AD19" s="33"/>
      <c r="AE19" s="33"/>
      <c r="AF19" s="33"/>
      <c r="AG19" s="33"/>
      <c r="AH19" s="33"/>
      <c r="AI19" s="33"/>
      <c r="AJ19" s="33"/>
      <c r="AK19" s="33"/>
      <c r="AL19" s="33"/>
      <c r="AM19" s="33"/>
      <c r="AN19" s="33"/>
      <c r="AO19" s="33"/>
      <c r="AP19" s="33"/>
      <c r="AQ19" s="33"/>
      <c r="AR19" s="33"/>
      <c r="AS19" s="33"/>
      <c r="AT19" s="34"/>
      <c r="AU19" s="1679"/>
      <c r="AV19" s="2306" t="str">
        <f t="shared" si="11"/>
        <v>分摊土地面积暂按容积率倒推计算</v>
      </c>
      <c r="AW19" s="2256">
        <f t="shared" si="12"/>
        <v>0</v>
      </c>
      <c r="AX19" s="2256" t="str">
        <f t="shared" si="13"/>
        <v>—2层</v>
      </c>
      <c r="AY19" s="2781">
        <f t="shared" si="14"/>
        <v>2019.91</v>
      </c>
      <c r="AZ19" s="28">
        <f t="shared" si="15"/>
        <v>6813.5700000000006</v>
      </c>
      <c r="BA19" s="28">
        <f t="shared" si="16"/>
        <v>6813.5700000000006</v>
      </c>
      <c r="BB19" s="28">
        <f t="shared" si="17"/>
        <v>0</v>
      </c>
      <c r="BC19" s="28">
        <f t="shared" si="18"/>
        <v>6813.5700000000006</v>
      </c>
      <c r="BD19" s="3439">
        <f t="shared" si="19"/>
        <v>0</v>
      </c>
      <c r="BE19" s="3439">
        <f t="shared" si="20"/>
        <v>0</v>
      </c>
      <c r="BF19" s="3439">
        <f t="shared" si="21"/>
        <v>0</v>
      </c>
      <c r="BG19" s="3439">
        <f t="shared" si="22"/>
        <v>0</v>
      </c>
      <c r="BH19" s="3439">
        <f t="shared" si="23"/>
        <v>0</v>
      </c>
      <c r="BI19" s="3439">
        <f t="shared" si="24"/>
        <v>0</v>
      </c>
      <c r="BJ19" s="3439">
        <f t="shared" si="25"/>
        <v>0</v>
      </c>
      <c r="BK19" s="3439">
        <f t="shared" si="26"/>
        <v>0</v>
      </c>
      <c r="BL19" s="28">
        <f t="shared" si="27"/>
        <v>0</v>
      </c>
      <c r="BM19" s="28">
        <f t="shared" si="28"/>
        <v>0</v>
      </c>
      <c r="BN19" s="28">
        <f t="shared" si="29"/>
        <v>0</v>
      </c>
      <c r="BO19" s="28">
        <f t="shared" si="30"/>
        <v>0</v>
      </c>
      <c r="BP19" s="28">
        <f t="shared" si="31"/>
        <v>0</v>
      </c>
      <c r="BQ19" s="3439">
        <f t="shared" si="32"/>
        <v>0</v>
      </c>
      <c r="BR19" s="3439">
        <f t="shared" si="33"/>
        <v>0</v>
      </c>
      <c r="BS19" s="3439">
        <f t="shared" si="34"/>
        <v>0</v>
      </c>
      <c r="BT19" s="3451">
        <f t="shared" si="35"/>
        <v>0</v>
      </c>
    </row>
    <row r="20" spans="1:72">
      <c r="A20" s="9"/>
      <c r="B20" s="27"/>
      <c r="C20" s="27"/>
      <c r="D20" s="1673"/>
      <c r="E20" s="28">
        <f t="shared" si="7"/>
        <v>0</v>
      </c>
      <c r="F20" s="29"/>
      <c r="G20" s="30">
        <f t="shared" si="8"/>
        <v>0</v>
      </c>
      <c r="H20" s="31">
        <f t="shared" si="9"/>
        <v>0</v>
      </c>
      <c r="I20" s="32"/>
      <c r="J20" s="32"/>
      <c r="K20" s="32"/>
      <c r="L20" s="32"/>
      <c r="M20" s="32"/>
      <c r="N20" s="32"/>
      <c r="O20" s="32"/>
      <c r="P20" s="32"/>
      <c r="Q20" s="32"/>
      <c r="R20" s="32"/>
      <c r="S20" s="32"/>
      <c r="T20" s="32"/>
      <c r="U20" s="32"/>
      <c r="V20" s="32"/>
      <c r="W20" s="32"/>
      <c r="X20" s="32"/>
      <c r="Y20" s="32"/>
      <c r="Z20" s="32"/>
      <c r="AA20" s="32"/>
      <c r="AB20" s="32"/>
      <c r="AC20" s="28">
        <f t="shared" si="10"/>
        <v>0</v>
      </c>
      <c r="AD20" s="33"/>
      <c r="AE20" s="33"/>
      <c r="AF20" s="33"/>
      <c r="AG20" s="33"/>
      <c r="AH20" s="33"/>
      <c r="AI20" s="33"/>
      <c r="AJ20" s="33"/>
      <c r="AK20" s="33"/>
      <c r="AL20" s="33"/>
      <c r="AM20" s="33"/>
      <c r="AN20" s="33"/>
      <c r="AO20" s="33"/>
      <c r="AP20" s="33"/>
      <c r="AQ20" s="33"/>
      <c r="AR20" s="33"/>
      <c r="AS20" s="33"/>
      <c r="AT20" s="34"/>
      <c r="AU20" s="1679"/>
      <c r="AV20" s="2256">
        <f t="shared" si="11"/>
        <v>0</v>
      </c>
      <c r="AW20" s="2256">
        <f t="shared" si="12"/>
        <v>0</v>
      </c>
      <c r="AX20" s="2256">
        <f t="shared" si="13"/>
        <v>0</v>
      </c>
      <c r="AY20" s="2781">
        <f t="shared" si="14"/>
        <v>0</v>
      </c>
      <c r="AZ20" s="28">
        <f t="shared" si="15"/>
        <v>0</v>
      </c>
      <c r="BA20" s="28">
        <f t="shared" si="16"/>
        <v>0</v>
      </c>
      <c r="BB20" s="28">
        <f t="shared" si="17"/>
        <v>0</v>
      </c>
      <c r="BC20" s="28">
        <f t="shared" si="18"/>
        <v>0</v>
      </c>
      <c r="BD20" s="3439">
        <f t="shared" si="19"/>
        <v>0</v>
      </c>
      <c r="BE20" s="3439">
        <f t="shared" si="20"/>
        <v>0</v>
      </c>
      <c r="BF20" s="3439">
        <f t="shared" si="21"/>
        <v>0</v>
      </c>
      <c r="BG20" s="3439">
        <f t="shared" si="22"/>
        <v>0</v>
      </c>
      <c r="BH20" s="3439">
        <f t="shared" si="23"/>
        <v>0</v>
      </c>
      <c r="BI20" s="3439">
        <f t="shared" si="24"/>
        <v>0</v>
      </c>
      <c r="BJ20" s="3439">
        <f t="shared" si="25"/>
        <v>0</v>
      </c>
      <c r="BK20" s="3439">
        <f t="shared" si="26"/>
        <v>0</v>
      </c>
      <c r="BL20" s="28">
        <f t="shared" si="27"/>
        <v>0</v>
      </c>
      <c r="BM20" s="28">
        <f t="shared" si="28"/>
        <v>0</v>
      </c>
      <c r="BN20" s="28">
        <f t="shared" si="29"/>
        <v>0</v>
      </c>
      <c r="BO20" s="28">
        <f t="shared" si="30"/>
        <v>0</v>
      </c>
      <c r="BP20" s="28">
        <f t="shared" si="31"/>
        <v>0</v>
      </c>
      <c r="BQ20" s="3439">
        <f t="shared" si="32"/>
        <v>0</v>
      </c>
      <c r="BR20" s="3439">
        <f t="shared" si="33"/>
        <v>0</v>
      </c>
      <c r="BS20" s="3439">
        <f t="shared" si="34"/>
        <v>0</v>
      </c>
      <c r="BT20" s="3451">
        <f t="shared" si="35"/>
        <v>0</v>
      </c>
    </row>
    <row r="21" spans="1:72">
      <c r="A21" s="9"/>
      <c r="B21" s="27"/>
      <c r="C21" s="27"/>
      <c r="D21" s="1678"/>
      <c r="E21" s="28">
        <f t="shared" si="7"/>
        <v>0</v>
      </c>
      <c r="F21" s="29"/>
      <c r="G21" s="30">
        <f t="shared" si="8"/>
        <v>0</v>
      </c>
      <c r="H21" s="31">
        <f t="shared" si="9"/>
        <v>0</v>
      </c>
      <c r="I21" s="32"/>
      <c r="J21" s="32"/>
      <c r="K21" s="32"/>
      <c r="L21" s="32"/>
      <c r="M21" s="32"/>
      <c r="N21" s="32"/>
      <c r="O21" s="32"/>
      <c r="P21" s="32"/>
      <c r="Q21" s="32"/>
      <c r="R21" s="32"/>
      <c r="S21" s="32"/>
      <c r="T21" s="32"/>
      <c r="U21" s="32"/>
      <c r="V21" s="32"/>
      <c r="W21" s="32"/>
      <c r="X21" s="32"/>
      <c r="Y21" s="32"/>
      <c r="Z21" s="32"/>
      <c r="AA21" s="32"/>
      <c r="AB21" s="32"/>
      <c r="AC21" s="28">
        <f t="shared" si="10"/>
        <v>0</v>
      </c>
      <c r="AD21" s="33"/>
      <c r="AE21" s="33"/>
      <c r="AF21" s="33"/>
      <c r="AG21" s="33"/>
      <c r="AH21" s="33"/>
      <c r="AI21" s="33"/>
      <c r="AJ21" s="33"/>
      <c r="AK21" s="33"/>
      <c r="AL21" s="33"/>
      <c r="AM21" s="33"/>
      <c r="AN21" s="33"/>
      <c r="AO21" s="33"/>
      <c r="AP21" s="33"/>
      <c r="AQ21" s="33"/>
      <c r="AR21" s="33"/>
      <c r="AS21" s="33"/>
      <c r="AT21" s="34"/>
      <c r="AU21" s="1679"/>
      <c r="AV21" s="2256">
        <f t="shared" si="11"/>
        <v>0</v>
      </c>
      <c r="AW21" s="2256">
        <f t="shared" si="12"/>
        <v>0</v>
      </c>
      <c r="AX21" s="2256">
        <f t="shared" si="13"/>
        <v>0</v>
      </c>
      <c r="AY21" s="2781">
        <f t="shared" si="14"/>
        <v>0</v>
      </c>
      <c r="AZ21" s="28">
        <f t="shared" si="15"/>
        <v>0</v>
      </c>
      <c r="BA21" s="28">
        <f t="shared" si="16"/>
        <v>0</v>
      </c>
      <c r="BB21" s="28">
        <f t="shared" si="17"/>
        <v>0</v>
      </c>
      <c r="BC21" s="28">
        <f t="shared" si="18"/>
        <v>0</v>
      </c>
      <c r="BD21" s="3439">
        <f t="shared" si="19"/>
        <v>0</v>
      </c>
      <c r="BE21" s="3439">
        <f t="shared" si="20"/>
        <v>0</v>
      </c>
      <c r="BF21" s="3439">
        <f t="shared" si="21"/>
        <v>0</v>
      </c>
      <c r="BG21" s="3439">
        <f t="shared" si="22"/>
        <v>0</v>
      </c>
      <c r="BH21" s="3439">
        <f t="shared" si="23"/>
        <v>0</v>
      </c>
      <c r="BI21" s="3439">
        <f t="shared" si="24"/>
        <v>0</v>
      </c>
      <c r="BJ21" s="3439">
        <f t="shared" si="25"/>
        <v>0</v>
      </c>
      <c r="BK21" s="3439">
        <f t="shared" si="26"/>
        <v>0</v>
      </c>
      <c r="BL21" s="28">
        <f t="shared" si="27"/>
        <v>0</v>
      </c>
      <c r="BM21" s="28">
        <f t="shared" si="28"/>
        <v>0</v>
      </c>
      <c r="BN21" s="28">
        <f t="shared" si="29"/>
        <v>0</v>
      </c>
      <c r="BO21" s="28">
        <f t="shared" si="30"/>
        <v>0</v>
      </c>
      <c r="BP21" s="28">
        <f t="shared" si="31"/>
        <v>0</v>
      </c>
      <c r="BQ21" s="3439">
        <f t="shared" si="32"/>
        <v>0</v>
      </c>
      <c r="BR21" s="3439">
        <f t="shared" si="33"/>
        <v>0</v>
      </c>
      <c r="BS21" s="3439">
        <f t="shared" si="34"/>
        <v>0</v>
      </c>
      <c r="BT21" s="3451">
        <f t="shared" si="35"/>
        <v>0</v>
      </c>
    </row>
    <row r="22" spans="1:72">
      <c r="A22" s="9"/>
      <c r="B22" s="27"/>
      <c r="C22" s="27"/>
      <c r="D22" s="1678"/>
      <c r="E22" s="28">
        <f t="shared" si="7"/>
        <v>0</v>
      </c>
      <c r="F22" s="29"/>
      <c r="G22" s="30">
        <f t="shared" si="8"/>
        <v>0</v>
      </c>
      <c r="H22" s="31">
        <f t="shared" si="9"/>
        <v>0</v>
      </c>
      <c r="I22" s="32"/>
      <c r="J22" s="32"/>
      <c r="K22" s="32"/>
      <c r="L22" s="32"/>
      <c r="M22" s="32"/>
      <c r="N22" s="32"/>
      <c r="O22" s="32"/>
      <c r="P22" s="32"/>
      <c r="Q22" s="32"/>
      <c r="R22" s="32"/>
      <c r="S22" s="32"/>
      <c r="T22" s="32"/>
      <c r="U22" s="32"/>
      <c r="V22" s="32"/>
      <c r="W22" s="32"/>
      <c r="X22" s="32"/>
      <c r="Y22" s="32"/>
      <c r="Z22" s="32"/>
      <c r="AA22" s="32"/>
      <c r="AB22" s="32"/>
      <c r="AC22" s="28">
        <f t="shared" si="10"/>
        <v>0</v>
      </c>
      <c r="AD22" s="33"/>
      <c r="AE22" s="33"/>
      <c r="AF22" s="33"/>
      <c r="AG22" s="33"/>
      <c r="AH22" s="33"/>
      <c r="AI22" s="33"/>
      <c r="AJ22" s="33"/>
      <c r="AK22" s="33"/>
      <c r="AL22" s="33"/>
      <c r="AM22" s="33"/>
      <c r="AN22" s="33"/>
      <c r="AO22" s="33"/>
      <c r="AP22" s="33"/>
      <c r="AQ22" s="33"/>
      <c r="AR22" s="33"/>
      <c r="AS22" s="33"/>
      <c r="AT22" s="34"/>
      <c r="AU22" s="1679"/>
      <c r="AV22" s="2256">
        <f t="shared" si="11"/>
        <v>0</v>
      </c>
      <c r="AW22" s="2256">
        <f t="shared" si="12"/>
        <v>0</v>
      </c>
      <c r="AX22" s="2256">
        <f t="shared" si="13"/>
        <v>0</v>
      </c>
      <c r="AY22" s="2781">
        <f t="shared" si="14"/>
        <v>0</v>
      </c>
      <c r="AZ22" s="28">
        <f t="shared" si="15"/>
        <v>0</v>
      </c>
      <c r="BA22" s="28">
        <f t="shared" si="16"/>
        <v>0</v>
      </c>
      <c r="BB22" s="28">
        <f t="shared" si="17"/>
        <v>0</v>
      </c>
      <c r="BC22" s="28">
        <f t="shared" si="18"/>
        <v>0</v>
      </c>
      <c r="BD22" s="3439">
        <f t="shared" si="19"/>
        <v>0</v>
      </c>
      <c r="BE22" s="3439">
        <f t="shared" si="20"/>
        <v>0</v>
      </c>
      <c r="BF22" s="3439">
        <f t="shared" si="21"/>
        <v>0</v>
      </c>
      <c r="BG22" s="3439">
        <f t="shared" si="22"/>
        <v>0</v>
      </c>
      <c r="BH22" s="3439">
        <f t="shared" si="23"/>
        <v>0</v>
      </c>
      <c r="BI22" s="3439">
        <f t="shared" si="24"/>
        <v>0</v>
      </c>
      <c r="BJ22" s="3439">
        <f t="shared" si="25"/>
        <v>0</v>
      </c>
      <c r="BK22" s="3439">
        <f t="shared" si="26"/>
        <v>0</v>
      </c>
      <c r="BL22" s="28">
        <f t="shared" si="27"/>
        <v>0</v>
      </c>
      <c r="BM22" s="28">
        <f t="shared" si="28"/>
        <v>0</v>
      </c>
      <c r="BN22" s="28">
        <f t="shared" si="29"/>
        <v>0</v>
      </c>
      <c r="BO22" s="28">
        <f t="shared" si="30"/>
        <v>0</v>
      </c>
      <c r="BP22" s="28">
        <f t="shared" si="31"/>
        <v>0</v>
      </c>
      <c r="BQ22" s="3439">
        <f t="shared" si="32"/>
        <v>0</v>
      </c>
      <c r="BR22" s="3439">
        <f t="shared" si="33"/>
        <v>0</v>
      </c>
      <c r="BS22" s="3439">
        <f t="shared" si="34"/>
        <v>0</v>
      </c>
      <c r="BT22" s="3451">
        <f t="shared" si="35"/>
        <v>0</v>
      </c>
    </row>
    <row r="23" spans="1:72">
      <c r="A23" s="9"/>
      <c r="B23" s="27"/>
      <c r="C23" s="27"/>
      <c r="D23" s="1678"/>
      <c r="E23" s="28">
        <f t="shared" si="7"/>
        <v>0</v>
      </c>
      <c r="F23" s="29"/>
      <c r="G23" s="30">
        <f t="shared" si="8"/>
        <v>0</v>
      </c>
      <c r="H23" s="31">
        <f t="shared" si="9"/>
        <v>0</v>
      </c>
      <c r="I23" s="32"/>
      <c r="J23" s="32"/>
      <c r="K23" s="32"/>
      <c r="L23" s="32"/>
      <c r="M23" s="32"/>
      <c r="N23" s="32"/>
      <c r="O23" s="32"/>
      <c r="P23" s="32"/>
      <c r="Q23" s="32"/>
      <c r="R23" s="32"/>
      <c r="S23" s="32"/>
      <c r="T23" s="32"/>
      <c r="U23" s="32"/>
      <c r="V23" s="32"/>
      <c r="W23" s="32"/>
      <c r="X23" s="32"/>
      <c r="Y23" s="32"/>
      <c r="Z23" s="32"/>
      <c r="AA23" s="32"/>
      <c r="AB23" s="32"/>
      <c r="AC23" s="28">
        <f t="shared" si="10"/>
        <v>0</v>
      </c>
      <c r="AD23" s="33"/>
      <c r="AE23" s="33"/>
      <c r="AF23" s="33"/>
      <c r="AG23" s="33"/>
      <c r="AH23" s="33"/>
      <c r="AI23" s="33"/>
      <c r="AJ23" s="33"/>
      <c r="AK23" s="33"/>
      <c r="AL23" s="33"/>
      <c r="AM23" s="33"/>
      <c r="AN23" s="33"/>
      <c r="AO23" s="33"/>
      <c r="AP23" s="33"/>
      <c r="AQ23" s="33"/>
      <c r="AR23" s="33"/>
      <c r="AS23" s="33"/>
      <c r="AT23" s="34"/>
      <c r="AU23" s="1679"/>
      <c r="AV23" s="2256">
        <f t="shared" si="11"/>
        <v>0</v>
      </c>
      <c r="AW23" s="2256">
        <f t="shared" si="12"/>
        <v>0</v>
      </c>
      <c r="AX23" s="2256">
        <f t="shared" si="13"/>
        <v>0</v>
      </c>
      <c r="AY23" s="2781">
        <f t="shared" si="14"/>
        <v>0</v>
      </c>
      <c r="AZ23" s="28">
        <f t="shared" si="15"/>
        <v>0</v>
      </c>
      <c r="BA23" s="28">
        <f t="shared" si="16"/>
        <v>0</v>
      </c>
      <c r="BB23" s="28">
        <f t="shared" si="17"/>
        <v>0</v>
      </c>
      <c r="BC23" s="28">
        <f t="shared" si="18"/>
        <v>0</v>
      </c>
      <c r="BD23" s="3439">
        <f t="shared" si="19"/>
        <v>0</v>
      </c>
      <c r="BE23" s="3439">
        <f t="shared" si="20"/>
        <v>0</v>
      </c>
      <c r="BF23" s="3439">
        <f t="shared" si="21"/>
        <v>0</v>
      </c>
      <c r="BG23" s="3439">
        <f t="shared" si="22"/>
        <v>0</v>
      </c>
      <c r="BH23" s="3439">
        <f t="shared" si="23"/>
        <v>0</v>
      </c>
      <c r="BI23" s="3439">
        <f t="shared" si="24"/>
        <v>0</v>
      </c>
      <c r="BJ23" s="3439">
        <f t="shared" si="25"/>
        <v>0</v>
      </c>
      <c r="BK23" s="3439">
        <f t="shared" si="26"/>
        <v>0</v>
      </c>
      <c r="BL23" s="28">
        <f t="shared" si="27"/>
        <v>0</v>
      </c>
      <c r="BM23" s="28">
        <f t="shared" si="28"/>
        <v>0</v>
      </c>
      <c r="BN23" s="28">
        <f t="shared" si="29"/>
        <v>0</v>
      </c>
      <c r="BO23" s="28">
        <f t="shared" si="30"/>
        <v>0</v>
      </c>
      <c r="BP23" s="28">
        <f t="shared" si="31"/>
        <v>0</v>
      </c>
      <c r="BQ23" s="3439">
        <f t="shared" si="32"/>
        <v>0</v>
      </c>
      <c r="BR23" s="3439">
        <f t="shared" si="33"/>
        <v>0</v>
      </c>
      <c r="BS23" s="3439">
        <f t="shared" si="34"/>
        <v>0</v>
      </c>
      <c r="BT23" s="3451">
        <f t="shared" si="35"/>
        <v>0</v>
      </c>
    </row>
    <row r="24" spans="1:72">
      <c r="A24" s="9"/>
      <c r="B24" s="27"/>
      <c r="C24" s="27"/>
      <c r="D24" s="1678"/>
      <c r="E24" s="28">
        <f t="shared" si="7"/>
        <v>0</v>
      </c>
      <c r="F24" s="29"/>
      <c r="G24" s="30">
        <f t="shared" si="8"/>
        <v>0</v>
      </c>
      <c r="H24" s="31">
        <f t="shared" si="9"/>
        <v>0</v>
      </c>
      <c r="I24" s="32"/>
      <c r="J24" s="32"/>
      <c r="K24" s="32"/>
      <c r="L24" s="32"/>
      <c r="M24" s="32"/>
      <c r="N24" s="32"/>
      <c r="O24" s="32"/>
      <c r="P24" s="32"/>
      <c r="Q24" s="32"/>
      <c r="R24" s="32"/>
      <c r="S24" s="32"/>
      <c r="T24" s="32"/>
      <c r="U24" s="32"/>
      <c r="V24" s="32"/>
      <c r="W24" s="32"/>
      <c r="X24" s="32"/>
      <c r="Y24" s="32"/>
      <c r="Z24" s="32"/>
      <c r="AA24" s="32"/>
      <c r="AB24" s="32"/>
      <c r="AC24" s="28">
        <f t="shared" si="10"/>
        <v>0</v>
      </c>
      <c r="AD24" s="33"/>
      <c r="AE24" s="33"/>
      <c r="AF24" s="33"/>
      <c r="AG24" s="33"/>
      <c r="AH24" s="33"/>
      <c r="AI24" s="33"/>
      <c r="AJ24" s="33"/>
      <c r="AK24" s="33"/>
      <c r="AL24" s="33"/>
      <c r="AM24" s="33"/>
      <c r="AN24" s="33"/>
      <c r="AO24" s="33"/>
      <c r="AP24" s="33"/>
      <c r="AQ24" s="33"/>
      <c r="AR24" s="33"/>
      <c r="AS24" s="33"/>
      <c r="AT24" s="34"/>
      <c r="AU24" s="1679"/>
      <c r="AV24" s="2256">
        <f t="shared" si="11"/>
        <v>0</v>
      </c>
      <c r="AW24" s="2256">
        <f t="shared" si="12"/>
        <v>0</v>
      </c>
      <c r="AX24" s="2256">
        <f t="shared" si="13"/>
        <v>0</v>
      </c>
      <c r="AY24" s="2781">
        <f t="shared" si="14"/>
        <v>0</v>
      </c>
      <c r="AZ24" s="28">
        <f t="shared" si="15"/>
        <v>0</v>
      </c>
      <c r="BA24" s="28">
        <f t="shared" si="16"/>
        <v>0</v>
      </c>
      <c r="BB24" s="28">
        <f t="shared" si="17"/>
        <v>0</v>
      </c>
      <c r="BC24" s="28">
        <f t="shared" si="18"/>
        <v>0</v>
      </c>
      <c r="BD24" s="3439">
        <f t="shared" si="19"/>
        <v>0</v>
      </c>
      <c r="BE24" s="3439">
        <f t="shared" si="20"/>
        <v>0</v>
      </c>
      <c r="BF24" s="3439">
        <f t="shared" si="21"/>
        <v>0</v>
      </c>
      <c r="BG24" s="3439">
        <f t="shared" si="22"/>
        <v>0</v>
      </c>
      <c r="BH24" s="3439">
        <f t="shared" si="23"/>
        <v>0</v>
      </c>
      <c r="BI24" s="3439">
        <f t="shared" si="24"/>
        <v>0</v>
      </c>
      <c r="BJ24" s="3439">
        <f t="shared" si="25"/>
        <v>0</v>
      </c>
      <c r="BK24" s="3439">
        <f t="shared" si="26"/>
        <v>0</v>
      </c>
      <c r="BL24" s="28">
        <f t="shared" si="27"/>
        <v>0</v>
      </c>
      <c r="BM24" s="28">
        <f t="shared" si="28"/>
        <v>0</v>
      </c>
      <c r="BN24" s="28">
        <f t="shared" si="29"/>
        <v>0</v>
      </c>
      <c r="BO24" s="28">
        <f t="shared" si="30"/>
        <v>0</v>
      </c>
      <c r="BP24" s="28">
        <f t="shared" si="31"/>
        <v>0</v>
      </c>
      <c r="BQ24" s="3439">
        <f t="shared" si="32"/>
        <v>0</v>
      </c>
      <c r="BR24" s="3439">
        <f t="shared" si="33"/>
        <v>0</v>
      </c>
      <c r="BS24" s="3439">
        <f t="shared" si="34"/>
        <v>0</v>
      </c>
      <c r="BT24" s="3451">
        <f t="shared" si="35"/>
        <v>0</v>
      </c>
    </row>
    <row r="25" spans="1:72">
      <c r="A25" s="9"/>
      <c r="B25" s="27"/>
      <c r="C25" s="27"/>
      <c r="D25" s="1678"/>
      <c r="E25" s="28">
        <f t="shared" si="7"/>
        <v>0</v>
      </c>
      <c r="F25" s="29"/>
      <c r="G25" s="30">
        <f t="shared" si="8"/>
        <v>0</v>
      </c>
      <c r="H25" s="31">
        <f t="shared" si="9"/>
        <v>0</v>
      </c>
      <c r="I25" s="32"/>
      <c r="J25" s="32"/>
      <c r="K25" s="32"/>
      <c r="L25" s="32"/>
      <c r="M25" s="32"/>
      <c r="N25" s="32"/>
      <c r="O25" s="32"/>
      <c r="P25" s="32"/>
      <c r="Q25" s="32"/>
      <c r="R25" s="32"/>
      <c r="S25" s="32"/>
      <c r="T25" s="32"/>
      <c r="U25" s="32"/>
      <c r="V25" s="32"/>
      <c r="W25" s="32"/>
      <c r="X25" s="32"/>
      <c r="Y25" s="32"/>
      <c r="Z25" s="32"/>
      <c r="AA25" s="32"/>
      <c r="AB25" s="32"/>
      <c r="AC25" s="28">
        <f t="shared" si="10"/>
        <v>0</v>
      </c>
      <c r="AD25" s="33"/>
      <c r="AE25" s="33"/>
      <c r="AF25" s="33"/>
      <c r="AG25" s="33"/>
      <c r="AH25" s="33"/>
      <c r="AI25" s="33"/>
      <c r="AJ25" s="33"/>
      <c r="AK25" s="33"/>
      <c r="AL25" s="33"/>
      <c r="AM25" s="33"/>
      <c r="AN25" s="33"/>
      <c r="AO25" s="33"/>
      <c r="AP25" s="33"/>
      <c r="AQ25" s="33"/>
      <c r="AR25" s="33"/>
      <c r="AS25" s="33"/>
      <c r="AT25" s="34"/>
      <c r="AU25" s="1679"/>
      <c r="AV25" s="2256">
        <f t="shared" si="11"/>
        <v>0</v>
      </c>
      <c r="AW25" s="2256">
        <f t="shared" si="12"/>
        <v>0</v>
      </c>
      <c r="AX25" s="2256">
        <f t="shared" si="13"/>
        <v>0</v>
      </c>
      <c r="AY25" s="2781">
        <f t="shared" si="14"/>
        <v>0</v>
      </c>
      <c r="AZ25" s="28">
        <f t="shared" si="15"/>
        <v>0</v>
      </c>
      <c r="BA25" s="28">
        <f t="shared" si="16"/>
        <v>0</v>
      </c>
      <c r="BB25" s="28">
        <f t="shared" si="17"/>
        <v>0</v>
      </c>
      <c r="BC25" s="28">
        <f t="shared" si="18"/>
        <v>0</v>
      </c>
      <c r="BD25" s="3439">
        <f t="shared" si="19"/>
        <v>0</v>
      </c>
      <c r="BE25" s="3439">
        <f t="shared" si="20"/>
        <v>0</v>
      </c>
      <c r="BF25" s="3439">
        <f t="shared" si="21"/>
        <v>0</v>
      </c>
      <c r="BG25" s="3439">
        <f t="shared" si="22"/>
        <v>0</v>
      </c>
      <c r="BH25" s="3439">
        <f t="shared" si="23"/>
        <v>0</v>
      </c>
      <c r="BI25" s="3439">
        <f t="shared" si="24"/>
        <v>0</v>
      </c>
      <c r="BJ25" s="3439">
        <f t="shared" si="25"/>
        <v>0</v>
      </c>
      <c r="BK25" s="3439">
        <f t="shared" si="26"/>
        <v>0</v>
      </c>
      <c r="BL25" s="28">
        <f t="shared" si="27"/>
        <v>0</v>
      </c>
      <c r="BM25" s="28">
        <f t="shared" si="28"/>
        <v>0</v>
      </c>
      <c r="BN25" s="28">
        <f t="shared" si="29"/>
        <v>0</v>
      </c>
      <c r="BO25" s="28">
        <f t="shared" si="30"/>
        <v>0</v>
      </c>
      <c r="BP25" s="28">
        <f t="shared" si="31"/>
        <v>0</v>
      </c>
      <c r="BQ25" s="3439">
        <f t="shared" si="32"/>
        <v>0</v>
      </c>
      <c r="BR25" s="3439">
        <f t="shared" si="33"/>
        <v>0</v>
      </c>
      <c r="BS25" s="3439">
        <f t="shared" si="34"/>
        <v>0</v>
      </c>
      <c r="BT25" s="3451">
        <f t="shared" si="35"/>
        <v>0</v>
      </c>
    </row>
    <row r="26" spans="1:72">
      <c r="A26" s="9"/>
      <c r="B26" s="27"/>
      <c r="C26" s="27"/>
      <c r="D26" s="1678"/>
      <c r="E26" s="28">
        <f t="shared" si="7"/>
        <v>0</v>
      </c>
      <c r="F26" s="29"/>
      <c r="G26" s="30">
        <f t="shared" si="8"/>
        <v>0</v>
      </c>
      <c r="H26" s="31">
        <f t="shared" si="9"/>
        <v>0</v>
      </c>
      <c r="I26" s="32"/>
      <c r="J26" s="32"/>
      <c r="K26" s="32"/>
      <c r="L26" s="32"/>
      <c r="M26" s="32"/>
      <c r="N26" s="32"/>
      <c r="O26" s="32"/>
      <c r="P26" s="32"/>
      <c r="Q26" s="32"/>
      <c r="R26" s="32"/>
      <c r="S26" s="32"/>
      <c r="T26" s="32"/>
      <c r="U26" s="32"/>
      <c r="V26" s="32"/>
      <c r="W26" s="32"/>
      <c r="X26" s="32"/>
      <c r="Y26" s="32"/>
      <c r="Z26" s="32"/>
      <c r="AA26" s="32"/>
      <c r="AB26" s="32"/>
      <c r="AC26" s="28">
        <f t="shared" si="10"/>
        <v>0</v>
      </c>
      <c r="AD26" s="33"/>
      <c r="AE26" s="33"/>
      <c r="AF26" s="33"/>
      <c r="AG26" s="33"/>
      <c r="AH26" s="33"/>
      <c r="AI26" s="33"/>
      <c r="AJ26" s="33"/>
      <c r="AK26" s="33"/>
      <c r="AL26" s="33"/>
      <c r="AM26" s="33"/>
      <c r="AN26" s="33"/>
      <c r="AO26" s="33"/>
      <c r="AP26" s="33"/>
      <c r="AQ26" s="33"/>
      <c r="AR26" s="33"/>
      <c r="AS26" s="33"/>
      <c r="AT26" s="34"/>
      <c r="AU26" s="1679"/>
      <c r="AV26" s="2256">
        <f t="shared" si="11"/>
        <v>0</v>
      </c>
      <c r="AW26" s="2256">
        <f t="shared" si="12"/>
        <v>0</v>
      </c>
      <c r="AX26" s="2256">
        <f t="shared" si="13"/>
        <v>0</v>
      </c>
      <c r="AY26" s="2781">
        <f t="shared" si="14"/>
        <v>0</v>
      </c>
      <c r="AZ26" s="28">
        <f t="shared" si="15"/>
        <v>0</v>
      </c>
      <c r="BA26" s="28">
        <f t="shared" si="16"/>
        <v>0</v>
      </c>
      <c r="BB26" s="28">
        <f t="shared" si="17"/>
        <v>0</v>
      </c>
      <c r="BC26" s="28">
        <f t="shared" si="18"/>
        <v>0</v>
      </c>
      <c r="BD26" s="3439">
        <f t="shared" si="19"/>
        <v>0</v>
      </c>
      <c r="BE26" s="3439">
        <f t="shared" si="20"/>
        <v>0</v>
      </c>
      <c r="BF26" s="3439">
        <f t="shared" si="21"/>
        <v>0</v>
      </c>
      <c r="BG26" s="3439">
        <f t="shared" si="22"/>
        <v>0</v>
      </c>
      <c r="BH26" s="3439">
        <f t="shared" si="23"/>
        <v>0</v>
      </c>
      <c r="BI26" s="3439">
        <f t="shared" si="24"/>
        <v>0</v>
      </c>
      <c r="BJ26" s="3439">
        <f t="shared" si="25"/>
        <v>0</v>
      </c>
      <c r="BK26" s="3439">
        <f t="shared" si="26"/>
        <v>0</v>
      </c>
      <c r="BL26" s="28">
        <f t="shared" si="27"/>
        <v>0</v>
      </c>
      <c r="BM26" s="28">
        <f t="shared" si="28"/>
        <v>0</v>
      </c>
      <c r="BN26" s="28">
        <f t="shared" si="29"/>
        <v>0</v>
      </c>
      <c r="BO26" s="28">
        <f t="shared" si="30"/>
        <v>0</v>
      </c>
      <c r="BP26" s="28">
        <f t="shared" si="31"/>
        <v>0</v>
      </c>
      <c r="BQ26" s="3439">
        <f t="shared" si="32"/>
        <v>0</v>
      </c>
      <c r="BR26" s="3439">
        <f t="shared" si="33"/>
        <v>0</v>
      </c>
      <c r="BS26" s="3439">
        <f t="shared" si="34"/>
        <v>0</v>
      </c>
      <c r="BT26" s="3451">
        <f t="shared" si="35"/>
        <v>0</v>
      </c>
    </row>
    <row r="27" spans="1:72">
      <c r="A27" s="9"/>
      <c r="B27" s="27"/>
      <c r="C27" s="27"/>
      <c r="D27" s="1678"/>
      <c r="E27" s="28">
        <f t="shared" si="7"/>
        <v>0</v>
      </c>
      <c r="F27" s="29"/>
      <c r="G27" s="30">
        <f t="shared" si="8"/>
        <v>0</v>
      </c>
      <c r="H27" s="31">
        <f t="shared" si="9"/>
        <v>0</v>
      </c>
      <c r="I27" s="32"/>
      <c r="J27" s="32"/>
      <c r="K27" s="32"/>
      <c r="L27" s="32"/>
      <c r="M27" s="32"/>
      <c r="N27" s="32"/>
      <c r="O27" s="32"/>
      <c r="P27" s="32"/>
      <c r="Q27" s="32"/>
      <c r="R27" s="32"/>
      <c r="S27" s="32"/>
      <c r="T27" s="32"/>
      <c r="U27" s="32"/>
      <c r="V27" s="32"/>
      <c r="W27" s="32"/>
      <c r="X27" s="32"/>
      <c r="Y27" s="32"/>
      <c r="Z27" s="32"/>
      <c r="AA27" s="32"/>
      <c r="AB27" s="32"/>
      <c r="AC27" s="28">
        <f t="shared" si="10"/>
        <v>0</v>
      </c>
      <c r="AD27" s="33"/>
      <c r="AE27" s="33"/>
      <c r="AF27" s="33"/>
      <c r="AG27" s="33"/>
      <c r="AH27" s="33"/>
      <c r="AI27" s="33"/>
      <c r="AJ27" s="33"/>
      <c r="AK27" s="33"/>
      <c r="AL27" s="33"/>
      <c r="AM27" s="33"/>
      <c r="AN27" s="33"/>
      <c r="AO27" s="33"/>
      <c r="AP27" s="33"/>
      <c r="AQ27" s="33"/>
      <c r="AR27" s="33"/>
      <c r="AS27" s="33"/>
      <c r="AT27" s="34"/>
      <c r="AU27" s="1679"/>
      <c r="AV27" s="2256">
        <f t="shared" si="11"/>
        <v>0</v>
      </c>
      <c r="AW27" s="2256">
        <f t="shared" si="12"/>
        <v>0</v>
      </c>
      <c r="AX27" s="2256">
        <f t="shared" si="13"/>
        <v>0</v>
      </c>
      <c r="AY27" s="2781">
        <f t="shared" si="14"/>
        <v>0</v>
      </c>
      <c r="AZ27" s="28">
        <f t="shared" si="15"/>
        <v>0</v>
      </c>
      <c r="BA27" s="28">
        <f t="shared" si="16"/>
        <v>0</v>
      </c>
      <c r="BB27" s="28">
        <f t="shared" si="17"/>
        <v>0</v>
      </c>
      <c r="BC27" s="28">
        <f t="shared" si="18"/>
        <v>0</v>
      </c>
      <c r="BD27" s="3439">
        <f t="shared" si="19"/>
        <v>0</v>
      </c>
      <c r="BE27" s="3439">
        <f t="shared" si="20"/>
        <v>0</v>
      </c>
      <c r="BF27" s="3439">
        <f t="shared" si="21"/>
        <v>0</v>
      </c>
      <c r="BG27" s="3439">
        <f t="shared" si="22"/>
        <v>0</v>
      </c>
      <c r="BH27" s="3439">
        <f t="shared" si="23"/>
        <v>0</v>
      </c>
      <c r="BI27" s="3439">
        <f t="shared" si="24"/>
        <v>0</v>
      </c>
      <c r="BJ27" s="3439">
        <f t="shared" si="25"/>
        <v>0</v>
      </c>
      <c r="BK27" s="3439">
        <f t="shared" si="26"/>
        <v>0</v>
      </c>
      <c r="BL27" s="28">
        <f t="shared" si="27"/>
        <v>0</v>
      </c>
      <c r="BM27" s="28">
        <f t="shared" si="28"/>
        <v>0</v>
      </c>
      <c r="BN27" s="28">
        <f t="shared" si="29"/>
        <v>0</v>
      </c>
      <c r="BO27" s="28">
        <f t="shared" si="30"/>
        <v>0</v>
      </c>
      <c r="BP27" s="28">
        <f t="shared" si="31"/>
        <v>0</v>
      </c>
      <c r="BQ27" s="3439">
        <f t="shared" si="32"/>
        <v>0</v>
      </c>
      <c r="BR27" s="3439">
        <f t="shared" si="33"/>
        <v>0</v>
      </c>
      <c r="BS27" s="3439">
        <f t="shared" si="34"/>
        <v>0</v>
      </c>
      <c r="BT27" s="3451">
        <f t="shared" si="35"/>
        <v>0</v>
      </c>
    </row>
    <row r="28" spans="1:72">
      <c r="A28" s="9"/>
      <c r="B28" s="27"/>
      <c r="C28" s="27"/>
      <c r="D28" s="1678"/>
      <c r="E28" s="28">
        <f t="shared" si="7"/>
        <v>0</v>
      </c>
      <c r="F28" s="29"/>
      <c r="G28" s="30">
        <f t="shared" si="8"/>
        <v>0</v>
      </c>
      <c r="H28" s="31">
        <f t="shared" si="9"/>
        <v>0</v>
      </c>
      <c r="I28" s="32"/>
      <c r="J28" s="32"/>
      <c r="K28" s="32"/>
      <c r="L28" s="32"/>
      <c r="M28" s="32"/>
      <c r="N28" s="32"/>
      <c r="O28" s="32"/>
      <c r="P28" s="32"/>
      <c r="Q28" s="32"/>
      <c r="R28" s="32"/>
      <c r="S28" s="32"/>
      <c r="T28" s="32"/>
      <c r="U28" s="32"/>
      <c r="V28" s="32"/>
      <c r="W28" s="32"/>
      <c r="X28" s="32"/>
      <c r="Y28" s="32"/>
      <c r="Z28" s="32"/>
      <c r="AA28" s="32"/>
      <c r="AB28" s="32"/>
      <c r="AC28" s="28">
        <f t="shared" si="10"/>
        <v>0</v>
      </c>
      <c r="AD28" s="33"/>
      <c r="AE28" s="33"/>
      <c r="AF28" s="33"/>
      <c r="AG28" s="33"/>
      <c r="AH28" s="33"/>
      <c r="AI28" s="33"/>
      <c r="AJ28" s="33"/>
      <c r="AK28" s="33"/>
      <c r="AL28" s="33"/>
      <c r="AM28" s="33"/>
      <c r="AN28" s="33"/>
      <c r="AO28" s="33"/>
      <c r="AP28" s="33"/>
      <c r="AQ28" s="33"/>
      <c r="AR28" s="33"/>
      <c r="AS28" s="33"/>
      <c r="AT28" s="34"/>
      <c r="AU28" s="1679"/>
      <c r="AV28" s="2256">
        <f t="shared" si="11"/>
        <v>0</v>
      </c>
      <c r="AW28" s="2256">
        <f t="shared" si="12"/>
        <v>0</v>
      </c>
      <c r="AX28" s="2256">
        <f t="shared" si="13"/>
        <v>0</v>
      </c>
      <c r="AY28" s="2781">
        <f t="shared" si="14"/>
        <v>0</v>
      </c>
      <c r="AZ28" s="28">
        <f t="shared" si="15"/>
        <v>0</v>
      </c>
      <c r="BA28" s="28">
        <f t="shared" si="16"/>
        <v>0</v>
      </c>
      <c r="BB28" s="28">
        <f t="shared" si="17"/>
        <v>0</v>
      </c>
      <c r="BC28" s="28">
        <f t="shared" si="18"/>
        <v>0</v>
      </c>
      <c r="BD28" s="3439">
        <f t="shared" si="19"/>
        <v>0</v>
      </c>
      <c r="BE28" s="3439">
        <f t="shared" si="20"/>
        <v>0</v>
      </c>
      <c r="BF28" s="3439">
        <f t="shared" si="21"/>
        <v>0</v>
      </c>
      <c r="BG28" s="3439">
        <f t="shared" si="22"/>
        <v>0</v>
      </c>
      <c r="BH28" s="3439">
        <f t="shared" si="23"/>
        <v>0</v>
      </c>
      <c r="BI28" s="3439">
        <f t="shared" si="24"/>
        <v>0</v>
      </c>
      <c r="BJ28" s="3439">
        <f t="shared" si="25"/>
        <v>0</v>
      </c>
      <c r="BK28" s="3439">
        <f t="shared" si="26"/>
        <v>0</v>
      </c>
      <c r="BL28" s="28">
        <f t="shared" si="27"/>
        <v>0</v>
      </c>
      <c r="BM28" s="28">
        <f t="shared" si="28"/>
        <v>0</v>
      </c>
      <c r="BN28" s="28">
        <f t="shared" si="29"/>
        <v>0</v>
      </c>
      <c r="BO28" s="28">
        <f t="shared" si="30"/>
        <v>0</v>
      </c>
      <c r="BP28" s="28">
        <f t="shared" si="31"/>
        <v>0</v>
      </c>
      <c r="BQ28" s="3439">
        <f t="shared" si="32"/>
        <v>0</v>
      </c>
      <c r="BR28" s="3439">
        <f t="shared" si="33"/>
        <v>0</v>
      </c>
      <c r="BS28" s="3439">
        <f t="shared" si="34"/>
        <v>0</v>
      </c>
      <c r="BT28" s="3451">
        <f t="shared" si="35"/>
        <v>0</v>
      </c>
    </row>
    <row r="29" spans="1:72">
      <c r="A29" s="9"/>
      <c r="B29" s="27"/>
      <c r="C29" s="27"/>
      <c r="D29" s="1678"/>
      <c r="E29" s="28">
        <f t="shared" si="7"/>
        <v>0</v>
      </c>
      <c r="F29" s="29"/>
      <c r="G29" s="30">
        <f t="shared" si="8"/>
        <v>0</v>
      </c>
      <c r="H29" s="31">
        <f t="shared" si="9"/>
        <v>0</v>
      </c>
      <c r="I29" s="32"/>
      <c r="J29" s="32"/>
      <c r="K29" s="32"/>
      <c r="L29" s="32"/>
      <c r="M29" s="32"/>
      <c r="N29" s="32"/>
      <c r="O29" s="32"/>
      <c r="P29" s="32"/>
      <c r="Q29" s="32"/>
      <c r="R29" s="32"/>
      <c r="S29" s="32"/>
      <c r="T29" s="32"/>
      <c r="U29" s="32"/>
      <c r="V29" s="32"/>
      <c r="W29" s="32"/>
      <c r="X29" s="32"/>
      <c r="Y29" s="32"/>
      <c r="Z29" s="32"/>
      <c r="AA29" s="32"/>
      <c r="AB29" s="32"/>
      <c r="AC29" s="28">
        <f t="shared" si="10"/>
        <v>0</v>
      </c>
      <c r="AD29" s="33"/>
      <c r="AE29" s="33"/>
      <c r="AF29" s="33"/>
      <c r="AG29" s="33"/>
      <c r="AH29" s="33"/>
      <c r="AI29" s="33"/>
      <c r="AJ29" s="33"/>
      <c r="AK29" s="33"/>
      <c r="AL29" s="33"/>
      <c r="AM29" s="33"/>
      <c r="AN29" s="33"/>
      <c r="AO29" s="33"/>
      <c r="AP29" s="33"/>
      <c r="AQ29" s="33"/>
      <c r="AR29" s="33"/>
      <c r="AS29" s="33"/>
      <c r="AT29" s="34"/>
      <c r="AU29" s="1679"/>
      <c r="AV29" s="2256">
        <f t="shared" si="11"/>
        <v>0</v>
      </c>
      <c r="AW29" s="2256">
        <f t="shared" si="12"/>
        <v>0</v>
      </c>
      <c r="AX29" s="2256">
        <f t="shared" si="13"/>
        <v>0</v>
      </c>
      <c r="AY29" s="2781">
        <f t="shared" si="14"/>
        <v>0</v>
      </c>
      <c r="AZ29" s="28">
        <f t="shared" si="15"/>
        <v>0</v>
      </c>
      <c r="BA29" s="28">
        <f t="shared" si="16"/>
        <v>0</v>
      </c>
      <c r="BB29" s="28">
        <f t="shared" si="17"/>
        <v>0</v>
      </c>
      <c r="BC29" s="28">
        <f t="shared" si="18"/>
        <v>0</v>
      </c>
      <c r="BD29" s="3439">
        <f t="shared" si="19"/>
        <v>0</v>
      </c>
      <c r="BE29" s="3439">
        <f t="shared" si="20"/>
        <v>0</v>
      </c>
      <c r="BF29" s="3439">
        <f t="shared" si="21"/>
        <v>0</v>
      </c>
      <c r="BG29" s="3439">
        <f t="shared" si="22"/>
        <v>0</v>
      </c>
      <c r="BH29" s="3439">
        <f t="shared" si="23"/>
        <v>0</v>
      </c>
      <c r="BI29" s="3439">
        <f t="shared" si="24"/>
        <v>0</v>
      </c>
      <c r="BJ29" s="3439">
        <f t="shared" si="25"/>
        <v>0</v>
      </c>
      <c r="BK29" s="3439">
        <f t="shared" si="26"/>
        <v>0</v>
      </c>
      <c r="BL29" s="28">
        <f t="shared" si="27"/>
        <v>0</v>
      </c>
      <c r="BM29" s="28">
        <f t="shared" si="28"/>
        <v>0</v>
      </c>
      <c r="BN29" s="28">
        <f t="shared" si="29"/>
        <v>0</v>
      </c>
      <c r="BO29" s="28">
        <f t="shared" si="30"/>
        <v>0</v>
      </c>
      <c r="BP29" s="28">
        <f t="shared" si="31"/>
        <v>0</v>
      </c>
      <c r="BQ29" s="3439">
        <f t="shared" si="32"/>
        <v>0</v>
      </c>
      <c r="BR29" s="3439">
        <f t="shared" si="33"/>
        <v>0</v>
      </c>
      <c r="BS29" s="3439">
        <f t="shared" si="34"/>
        <v>0</v>
      </c>
      <c r="BT29" s="3451">
        <f t="shared" si="35"/>
        <v>0</v>
      </c>
    </row>
    <row r="30" spans="1:72">
      <c r="A30" s="9"/>
      <c r="B30" s="27"/>
      <c r="C30" s="27"/>
      <c r="D30" s="1678"/>
      <c r="E30" s="28">
        <f t="shared" si="7"/>
        <v>0</v>
      </c>
      <c r="F30" s="29"/>
      <c r="G30" s="30">
        <f t="shared" si="8"/>
        <v>0</v>
      </c>
      <c r="H30" s="31">
        <f t="shared" si="9"/>
        <v>0</v>
      </c>
      <c r="I30" s="32"/>
      <c r="J30" s="32"/>
      <c r="K30" s="32"/>
      <c r="L30" s="32"/>
      <c r="M30" s="32"/>
      <c r="N30" s="32"/>
      <c r="O30" s="32"/>
      <c r="P30" s="32"/>
      <c r="Q30" s="32"/>
      <c r="R30" s="32"/>
      <c r="S30" s="32"/>
      <c r="T30" s="32"/>
      <c r="U30" s="32"/>
      <c r="V30" s="32"/>
      <c r="W30" s="32"/>
      <c r="X30" s="32"/>
      <c r="Y30" s="32"/>
      <c r="Z30" s="32"/>
      <c r="AA30" s="32"/>
      <c r="AB30" s="32"/>
      <c r="AC30" s="28">
        <f t="shared" si="10"/>
        <v>0</v>
      </c>
      <c r="AD30" s="33"/>
      <c r="AE30" s="33"/>
      <c r="AF30" s="33"/>
      <c r="AG30" s="33"/>
      <c r="AH30" s="33"/>
      <c r="AI30" s="33"/>
      <c r="AJ30" s="33"/>
      <c r="AK30" s="33"/>
      <c r="AL30" s="33"/>
      <c r="AM30" s="33"/>
      <c r="AN30" s="33"/>
      <c r="AO30" s="33"/>
      <c r="AP30" s="33"/>
      <c r="AQ30" s="33"/>
      <c r="AR30" s="33"/>
      <c r="AS30" s="33"/>
      <c r="AT30" s="34"/>
      <c r="AU30" s="1679"/>
      <c r="AV30" s="2256">
        <f t="shared" si="11"/>
        <v>0</v>
      </c>
      <c r="AW30" s="2256">
        <f t="shared" si="12"/>
        <v>0</v>
      </c>
      <c r="AX30" s="2256">
        <f t="shared" si="13"/>
        <v>0</v>
      </c>
      <c r="AY30" s="2781">
        <f t="shared" si="14"/>
        <v>0</v>
      </c>
      <c r="AZ30" s="28">
        <f t="shared" si="15"/>
        <v>0</v>
      </c>
      <c r="BA30" s="28">
        <f t="shared" si="16"/>
        <v>0</v>
      </c>
      <c r="BB30" s="28">
        <f t="shared" si="17"/>
        <v>0</v>
      </c>
      <c r="BC30" s="28">
        <f t="shared" si="18"/>
        <v>0</v>
      </c>
      <c r="BD30" s="3439">
        <f t="shared" si="19"/>
        <v>0</v>
      </c>
      <c r="BE30" s="3439">
        <f t="shared" si="20"/>
        <v>0</v>
      </c>
      <c r="BF30" s="3439">
        <f t="shared" si="21"/>
        <v>0</v>
      </c>
      <c r="BG30" s="3439">
        <f t="shared" si="22"/>
        <v>0</v>
      </c>
      <c r="BH30" s="3439">
        <f t="shared" si="23"/>
        <v>0</v>
      </c>
      <c r="BI30" s="3439">
        <f t="shared" si="24"/>
        <v>0</v>
      </c>
      <c r="BJ30" s="3439">
        <f t="shared" si="25"/>
        <v>0</v>
      </c>
      <c r="BK30" s="3439">
        <f t="shared" si="26"/>
        <v>0</v>
      </c>
      <c r="BL30" s="28">
        <f t="shared" si="27"/>
        <v>0</v>
      </c>
      <c r="BM30" s="28">
        <f t="shared" si="28"/>
        <v>0</v>
      </c>
      <c r="BN30" s="28">
        <f t="shared" si="29"/>
        <v>0</v>
      </c>
      <c r="BO30" s="28">
        <f t="shared" si="30"/>
        <v>0</v>
      </c>
      <c r="BP30" s="28">
        <f t="shared" si="31"/>
        <v>0</v>
      </c>
      <c r="BQ30" s="3439">
        <f t="shared" si="32"/>
        <v>0</v>
      </c>
      <c r="BR30" s="3439">
        <f t="shared" si="33"/>
        <v>0</v>
      </c>
      <c r="BS30" s="3439">
        <f t="shared" si="34"/>
        <v>0</v>
      </c>
      <c r="BT30" s="3451">
        <f t="shared" si="35"/>
        <v>0</v>
      </c>
    </row>
    <row r="31" spans="1:72">
      <c r="A31" s="9"/>
      <c r="B31" s="27"/>
      <c r="C31" s="27"/>
      <c r="D31" s="1678"/>
      <c r="E31" s="28">
        <f t="shared" si="7"/>
        <v>0</v>
      </c>
      <c r="F31" s="29"/>
      <c r="G31" s="30">
        <f t="shared" si="8"/>
        <v>0</v>
      </c>
      <c r="H31" s="31">
        <f t="shared" si="9"/>
        <v>0</v>
      </c>
      <c r="I31" s="32"/>
      <c r="J31" s="32"/>
      <c r="K31" s="32"/>
      <c r="L31" s="32"/>
      <c r="M31" s="32"/>
      <c r="N31" s="32"/>
      <c r="O31" s="32"/>
      <c r="P31" s="32"/>
      <c r="Q31" s="32"/>
      <c r="R31" s="32"/>
      <c r="S31" s="32"/>
      <c r="T31" s="32"/>
      <c r="U31" s="32"/>
      <c r="V31" s="32"/>
      <c r="W31" s="32"/>
      <c r="X31" s="32"/>
      <c r="Y31" s="32"/>
      <c r="Z31" s="32"/>
      <c r="AA31" s="32"/>
      <c r="AB31" s="32"/>
      <c r="AC31" s="28">
        <f t="shared" si="10"/>
        <v>0</v>
      </c>
      <c r="AD31" s="33"/>
      <c r="AE31" s="33"/>
      <c r="AF31" s="33"/>
      <c r="AG31" s="33"/>
      <c r="AH31" s="33"/>
      <c r="AI31" s="33"/>
      <c r="AJ31" s="33"/>
      <c r="AK31" s="33"/>
      <c r="AL31" s="33"/>
      <c r="AM31" s="33"/>
      <c r="AN31" s="33"/>
      <c r="AO31" s="33"/>
      <c r="AP31" s="33"/>
      <c r="AQ31" s="33"/>
      <c r="AR31" s="33"/>
      <c r="AS31" s="33"/>
      <c r="AT31" s="34"/>
      <c r="AU31" s="1679"/>
      <c r="AV31" s="2256">
        <f t="shared" si="11"/>
        <v>0</v>
      </c>
      <c r="AW31" s="2256">
        <f t="shared" si="12"/>
        <v>0</v>
      </c>
      <c r="AX31" s="2256">
        <f t="shared" si="13"/>
        <v>0</v>
      </c>
      <c r="AY31" s="2781">
        <f t="shared" si="14"/>
        <v>0</v>
      </c>
      <c r="AZ31" s="28">
        <f t="shared" si="15"/>
        <v>0</v>
      </c>
      <c r="BA31" s="28">
        <f t="shared" si="16"/>
        <v>0</v>
      </c>
      <c r="BB31" s="28">
        <f t="shared" si="17"/>
        <v>0</v>
      </c>
      <c r="BC31" s="28">
        <f t="shared" si="18"/>
        <v>0</v>
      </c>
      <c r="BD31" s="3439">
        <f t="shared" si="19"/>
        <v>0</v>
      </c>
      <c r="BE31" s="3439">
        <f t="shared" si="20"/>
        <v>0</v>
      </c>
      <c r="BF31" s="3439">
        <f t="shared" si="21"/>
        <v>0</v>
      </c>
      <c r="BG31" s="3439">
        <f t="shared" si="22"/>
        <v>0</v>
      </c>
      <c r="BH31" s="3439">
        <f t="shared" si="23"/>
        <v>0</v>
      </c>
      <c r="BI31" s="3439">
        <f t="shared" si="24"/>
        <v>0</v>
      </c>
      <c r="BJ31" s="3439">
        <f t="shared" si="25"/>
        <v>0</v>
      </c>
      <c r="BK31" s="3439">
        <f t="shared" si="26"/>
        <v>0</v>
      </c>
      <c r="BL31" s="28">
        <f t="shared" si="27"/>
        <v>0</v>
      </c>
      <c r="BM31" s="28">
        <f t="shared" si="28"/>
        <v>0</v>
      </c>
      <c r="BN31" s="28">
        <f t="shared" si="29"/>
        <v>0</v>
      </c>
      <c r="BO31" s="28">
        <f t="shared" si="30"/>
        <v>0</v>
      </c>
      <c r="BP31" s="28">
        <f t="shared" si="31"/>
        <v>0</v>
      </c>
      <c r="BQ31" s="3439">
        <f t="shared" si="32"/>
        <v>0</v>
      </c>
      <c r="BR31" s="3439">
        <f t="shared" si="33"/>
        <v>0</v>
      </c>
      <c r="BS31" s="3439">
        <f t="shared" si="34"/>
        <v>0</v>
      </c>
      <c r="BT31" s="3451">
        <f t="shared" si="35"/>
        <v>0</v>
      </c>
    </row>
    <row r="32" spans="1:72">
      <c r="A32" s="9"/>
      <c r="B32" s="27"/>
      <c r="C32" s="27"/>
      <c r="D32" s="1678"/>
      <c r="E32" s="28">
        <f t="shared" si="7"/>
        <v>0</v>
      </c>
      <c r="F32" s="29"/>
      <c r="G32" s="30">
        <f t="shared" si="8"/>
        <v>0</v>
      </c>
      <c r="H32" s="31">
        <f t="shared" si="9"/>
        <v>0</v>
      </c>
      <c r="I32" s="32"/>
      <c r="J32" s="32"/>
      <c r="K32" s="32"/>
      <c r="L32" s="32"/>
      <c r="M32" s="32"/>
      <c r="N32" s="32"/>
      <c r="O32" s="32"/>
      <c r="P32" s="32"/>
      <c r="Q32" s="32"/>
      <c r="R32" s="32"/>
      <c r="S32" s="32"/>
      <c r="T32" s="32"/>
      <c r="U32" s="32"/>
      <c r="V32" s="32"/>
      <c r="W32" s="32"/>
      <c r="X32" s="32"/>
      <c r="Y32" s="32"/>
      <c r="Z32" s="32"/>
      <c r="AA32" s="32"/>
      <c r="AB32" s="32"/>
      <c r="AC32" s="28">
        <f t="shared" si="10"/>
        <v>0</v>
      </c>
      <c r="AD32" s="33"/>
      <c r="AE32" s="33"/>
      <c r="AF32" s="33"/>
      <c r="AG32" s="33"/>
      <c r="AH32" s="33"/>
      <c r="AI32" s="33"/>
      <c r="AJ32" s="33"/>
      <c r="AK32" s="33"/>
      <c r="AL32" s="33"/>
      <c r="AM32" s="33"/>
      <c r="AN32" s="33"/>
      <c r="AO32" s="33"/>
      <c r="AP32" s="33"/>
      <c r="AQ32" s="33"/>
      <c r="AR32" s="33"/>
      <c r="AS32" s="33"/>
      <c r="AT32" s="34"/>
      <c r="AU32" s="1679"/>
      <c r="AV32" s="2256">
        <f t="shared" si="11"/>
        <v>0</v>
      </c>
      <c r="AW32" s="2256">
        <f t="shared" si="12"/>
        <v>0</v>
      </c>
      <c r="AX32" s="2256">
        <f t="shared" si="13"/>
        <v>0</v>
      </c>
      <c r="AY32" s="2781">
        <f t="shared" si="14"/>
        <v>0</v>
      </c>
      <c r="AZ32" s="28">
        <f t="shared" si="15"/>
        <v>0</v>
      </c>
      <c r="BA32" s="28">
        <f t="shared" si="16"/>
        <v>0</v>
      </c>
      <c r="BB32" s="28">
        <f t="shared" si="17"/>
        <v>0</v>
      </c>
      <c r="BC32" s="28">
        <f t="shared" si="18"/>
        <v>0</v>
      </c>
      <c r="BD32" s="3439">
        <f t="shared" si="19"/>
        <v>0</v>
      </c>
      <c r="BE32" s="3439">
        <f t="shared" si="20"/>
        <v>0</v>
      </c>
      <c r="BF32" s="3439">
        <f t="shared" si="21"/>
        <v>0</v>
      </c>
      <c r="BG32" s="3439">
        <f t="shared" si="22"/>
        <v>0</v>
      </c>
      <c r="BH32" s="3439">
        <f t="shared" si="23"/>
        <v>0</v>
      </c>
      <c r="BI32" s="3439">
        <f t="shared" si="24"/>
        <v>0</v>
      </c>
      <c r="BJ32" s="3439">
        <f t="shared" si="25"/>
        <v>0</v>
      </c>
      <c r="BK32" s="3439">
        <f t="shared" si="26"/>
        <v>0</v>
      </c>
      <c r="BL32" s="28">
        <f t="shared" si="27"/>
        <v>0</v>
      </c>
      <c r="BM32" s="28">
        <f t="shared" si="28"/>
        <v>0</v>
      </c>
      <c r="BN32" s="28">
        <f t="shared" si="29"/>
        <v>0</v>
      </c>
      <c r="BO32" s="28">
        <f t="shared" si="30"/>
        <v>0</v>
      </c>
      <c r="BP32" s="28">
        <f t="shared" si="31"/>
        <v>0</v>
      </c>
      <c r="BQ32" s="3439">
        <f t="shared" si="32"/>
        <v>0</v>
      </c>
      <c r="BR32" s="3439">
        <f t="shared" si="33"/>
        <v>0</v>
      </c>
      <c r="BS32" s="3439">
        <f t="shared" si="34"/>
        <v>0</v>
      </c>
      <c r="BT32" s="3451">
        <f t="shared" si="35"/>
        <v>0</v>
      </c>
    </row>
    <row r="33" spans="1:72">
      <c r="A33" s="9"/>
      <c r="B33" s="27"/>
      <c r="C33" s="27"/>
      <c r="D33" s="1678"/>
      <c r="E33" s="28">
        <f t="shared" si="7"/>
        <v>0</v>
      </c>
      <c r="F33" s="29"/>
      <c r="G33" s="30">
        <f t="shared" si="8"/>
        <v>0</v>
      </c>
      <c r="H33" s="31">
        <f t="shared" si="9"/>
        <v>0</v>
      </c>
      <c r="I33" s="32"/>
      <c r="J33" s="32"/>
      <c r="K33" s="32"/>
      <c r="L33" s="32"/>
      <c r="M33" s="32"/>
      <c r="N33" s="32"/>
      <c r="O33" s="32"/>
      <c r="P33" s="32"/>
      <c r="Q33" s="32"/>
      <c r="R33" s="32"/>
      <c r="S33" s="32"/>
      <c r="T33" s="32"/>
      <c r="U33" s="32"/>
      <c r="V33" s="32"/>
      <c r="W33" s="32"/>
      <c r="X33" s="32"/>
      <c r="Y33" s="32"/>
      <c r="Z33" s="32"/>
      <c r="AA33" s="32"/>
      <c r="AB33" s="32"/>
      <c r="AC33" s="28">
        <f t="shared" si="10"/>
        <v>0</v>
      </c>
      <c r="AD33" s="33"/>
      <c r="AE33" s="33"/>
      <c r="AF33" s="33"/>
      <c r="AG33" s="33"/>
      <c r="AH33" s="33"/>
      <c r="AI33" s="33"/>
      <c r="AJ33" s="33"/>
      <c r="AK33" s="33"/>
      <c r="AL33" s="33"/>
      <c r="AM33" s="33"/>
      <c r="AN33" s="33"/>
      <c r="AO33" s="33"/>
      <c r="AP33" s="33"/>
      <c r="AQ33" s="33"/>
      <c r="AR33" s="33"/>
      <c r="AS33" s="33"/>
      <c r="AT33" s="34"/>
      <c r="AU33" s="1679"/>
      <c r="AV33" s="2256">
        <f t="shared" si="11"/>
        <v>0</v>
      </c>
      <c r="AW33" s="2256">
        <f t="shared" si="12"/>
        <v>0</v>
      </c>
      <c r="AX33" s="2256">
        <f t="shared" si="13"/>
        <v>0</v>
      </c>
      <c r="AY33" s="2781">
        <f t="shared" si="14"/>
        <v>0</v>
      </c>
      <c r="AZ33" s="28">
        <f t="shared" si="15"/>
        <v>0</v>
      </c>
      <c r="BA33" s="28">
        <f t="shared" si="16"/>
        <v>0</v>
      </c>
      <c r="BB33" s="28">
        <f t="shared" si="17"/>
        <v>0</v>
      </c>
      <c r="BC33" s="28">
        <f t="shared" si="18"/>
        <v>0</v>
      </c>
      <c r="BD33" s="3439">
        <f t="shared" si="19"/>
        <v>0</v>
      </c>
      <c r="BE33" s="3439">
        <f t="shared" si="20"/>
        <v>0</v>
      </c>
      <c r="BF33" s="3439">
        <f t="shared" si="21"/>
        <v>0</v>
      </c>
      <c r="BG33" s="3439">
        <f t="shared" si="22"/>
        <v>0</v>
      </c>
      <c r="BH33" s="3439">
        <f t="shared" si="23"/>
        <v>0</v>
      </c>
      <c r="BI33" s="3439">
        <f t="shared" si="24"/>
        <v>0</v>
      </c>
      <c r="BJ33" s="3439">
        <f t="shared" si="25"/>
        <v>0</v>
      </c>
      <c r="BK33" s="3439">
        <f t="shared" si="26"/>
        <v>0</v>
      </c>
      <c r="BL33" s="28">
        <f t="shared" si="27"/>
        <v>0</v>
      </c>
      <c r="BM33" s="28">
        <f t="shared" si="28"/>
        <v>0</v>
      </c>
      <c r="BN33" s="28">
        <f t="shared" si="29"/>
        <v>0</v>
      </c>
      <c r="BO33" s="28">
        <f t="shared" si="30"/>
        <v>0</v>
      </c>
      <c r="BP33" s="28">
        <f t="shared" si="31"/>
        <v>0</v>
      </c>
      <c r="BQ33" s="3439">
        <f t="shared" si="32"/>
        <v>0</v>
      </c>
      <c r="BR33" s="3439">
        <f t="shared" si="33"/>
        <v>0</v>
      </c>
      <c r="BS33" s="3439">
        <f t="shared" si="34"/>
        <v>0</v>
      </c>
      <c r="BT33" s="3451">
        <f t="shared" si="35"/>
        <v>0</v>
      </c>
    </row>
    <row r="34" spans="1:72">
      <c r="A34" s="9"/>
      <c r="B34" s="27"/>
      <c r="C34" s="27"/>
      <c r="D34" s="1678"/>
      <c r="E34" s="28">
        <f t="shared" si="7"/>
        <v>0</v>
      </c>
      <c r="F34" s="29"/>
      <c r="G34" s="30">
        <f t="shared" si="8"/>
        <v>0</v>
      </c>
      <c r="H34" s="31">
        <f t="shared" si="9"/>
        <v>0</v>
      </c>
      <c r="I34" s="32"/>
      <c r="J34" s="32"/>
      <c r="K34" s="32"/>
      <c r="L34" s="32"/>
      <c r="M34" s="32"/>
      <c r="N34" s="32"/>
      <c r="O34" s="32"/>
      <c r="P34" s="32"/>
      <c r="Q34" s="32"/>
      <c r="R34" s="32"/>
      <c r="S34" s="32"/>
      <c r="T34" s="32"/>
      <c r="U34" s="32"/>
      <c r="V34" s="32"/>
      <c r="W34" s="32"/>
      <c r="X34" s="32"/>
      <c r="Y34" s="32"/>
      <c r="Z34" s="32"/>
      <c r="AA34" s="32"/>
      <c r="AB34" s="32"/>
      <c r="AC34" s="28">
        <f t="shared" si="10"/>
        <v>0</v>
      </c>
      <c r="AD34" s="33"/>
      <c r="AE34" s="33"/>
      <c r="AF34" s="33"/>
      <c r="AG34" s="33"/>
      <c r="AH34" s="33"/>
      <c r="AI34" s="33"/>
      <c r="AJ34" s="33"/>
      <c r="AK34" s="33"/>
      <c r="AL34" s="33"/>
      <c r="AM34" s="33"/>
      <c r="AN34" s="33"/>
      <c r="AO34" s="33"/>
      <c r="AP34" s="33"/>
      <c r="AQ34" s="33"/>
      <c r="AR34" s="33"/>
      <c r="AS34" s="33"/>
      <c r="AT34" s="34"/>
      <c r="AU34" s="1679"/>
      <c r="AV34" s="2256">
        <f t="shared" si="11"/>
        <v>0</v>
      </c>
      <c r="AW34" s="2256">
        <f t="shared" si="12"/>
        <v>0</v>
      </c>
      <c r="AX34" s="2256">
        <f t="shared" si="13"/>
        <v>0</v>
      </c>
      <c r="AY34" s="2781">
        <f t="shared" si="14"/>
        <v>0</v>
      </c>
      <c r="AZ34" s="28">
        <f t="shared" si="15"/>
        <v>0</v>
      </c>
      <c r="BA34" s="28">
        <f t="shared" si="16"/>
        <v>0</v>
      </c>
      <c r="BB34" s="28">
        <f t="shared" si="17"/>
        <v>0</v>
      </c>
      <c r="BC34" s="28">
        <f t="shared" si="18"/>
        <v>0</v>
      </c>
      <c r="BD34" s="3439">
        <f t="shared" si="19"/>
        <v>0</v>
      </c>
      <c r="BE34" s="3439">
        <f t="shared" si="20"/>
        <v>0</v>
      </c>
      <c r="BF34" s="3439">
        <f t="shared" si="21"/>
        <v>0</v>
      </c>
      <c r="BG34" s="3439">
        <f t="shared" si="22"/>
        <v>0</v>
      </c>
      <c r="BH34" s="3439">
        <f t="shared" si="23"/>
        <v>0</v>
      </c>
      <c r="BI34" s="3439">
        <f t="shared" si="24"/>
        <v>0</v>
      </c>
      <c r="BJ34" s="3439">
        <f t="shared" si="25"/>
        <v>0</v>
      </c>
      <c r="BK34" s="3439">
        <f t="shared" si="26"/>
        <v>0</v>
      </c>
      <c r="BL34" s="28">
        <f t="shared" si="27"/>
        <v>0</v>
      </c>
      <c r="BM34" s="28">
        <f t="shared" si="28"/>
        <v>0</v>
      </c>
      <c r="BN34" s="28">
        <f t="shared" si="29"/>
        <v>0</v>
      </c>
      <c r="BO34" s="28">
        <f t="shared" si="30"/>
        <v>0</v>
      </c>
      <c r="BP34" s="28">
        <f t="shared" si="31"/>
        <v>0</v>
      </c>
      <c r="BQ34" s="3439">
        <f t="shared" si="32"/>
        <v>0</v>
      </c>
      <c r="BR34" s="3439">
        <f t="shared" si="33"/>
        <v>0</v>
      </c>
      <c r="BS34" s="3439">
        <f t="shared" si="34"/>
        <v>0</v>
      </c>
      <c r="BT34" s="3451">
        <f t="shared" si="35"/>
        <v>0</v>
      </c>
    </row>
    <row r="35" spans="1:72">
      <c r="A35" s="9"/>
      <c r="B35" s="27"/>
      <c r="C35" s="27"/>
      <c r="D35" s="1678"/>
      <c r="E35" s="28">
        <f t="shared" si="7"/>
        <v>0</v>
      </c>
      <c r="F35" s="29"/>
      <c r="G35" s="30">
        <f t="shared" si="8"/>
        <v>0</v>
      </c>
      <c r="H35" s="31">
        <f t="shared" si="9"/>
        <v>0</v>
      </c>
      <c r="I35" s="32"/>
      <c r="J35" s="32"/>
      <c r="K35" s="32"/>
      <c r="L35" s="32"/>
      <c r="M35" s="32"/>
      <c r="N35" s="32"/>
      <c r="O35" s="32"/>
      <c r="P35" s="32"/>
      <c r="Q35" s="32"/>
      <c r="R35" s="32"/>
      <c r="S35" s="32"/>
      <c r="T35" s="32"/>
      <c r="U35" s="32"/>
      <c r="V35" s="32"/>
      <c r="W35" s="32"/>
      <c r="X35" s="32"/>
      <c r="Y35" s="32"/>
      <c r="Z35" s="32"/>
      <c r="AA35" s="32"/>
      <c r="AB35" s="32"/>
      <c r="AC35" s="28">
        <f t="shared" si="10"/>
        <v>0</v>
      </c>
      <c r="AD35" s="33"/>
      <c r="AE35" s="33"/>
      <c r="AF35" s="33"/>
      <c r="AG35" s="33"/>
      <c r="AH35" s="33"/>
      <c r="AI35" s="33"/>
      <c r="AJ35" s="33"/>
      <c r="AK35" s="33"/>
      <c r="AL35" s="33"/>
      <c r="AM35" s="33"/>
      <c r="AN35" s="33"/>
      <c r="AO35" s="33"/>
      <c r="AP35" s="33"/>
      <c r="AQ35" s="33"/>
      <c r="AR35" s="33"/>
      <c r="AS35" s="33"/>
      <c r="AT35" s="34"/>
      <c r="AU35" s="1679"/>
      <c r="AV35" s="2256">
        <f t="shared" si="11"/>
        <v>0</v>
      </c>
      <c r="AW35" s="2256">
        <f t="shared" si="12"/>
        <v>0</v>
      </c>
      <c r="AX35" s="2256">
        <f t="shared" si="13"/>
        <v>0</v>
      </c>
      <c r="AY35" s="2781">
        <f t="shared" si="14"/>
        <v>0</v>
      </c>
      <c r="AZ35" s="28">
        <f t="shared" si="15"/>
        <v>0</v>
      </c>
      <c r="BA35" s="28">
        <f t="shared" si="16"/>
        <v>0</v>
      </c>
      <c r="BB35" s="28">
        <f t="shared" si="17"/>
        <v>0</v>
      </c>
      <c r="BC35" s="28">
        <f t="shared" si="18"/>
        <v>0</v>
      </c>
      <c r="BD35" s="3439">
        <f t="shared" si="19"/>
        <v>0</v>
      </c>
      <c r="BE35" s="3439">
        <f t="shared" si="20"/>
        <v>0</v>
      </c>
      <c r="BF35" s="3439">
        <f t="shared" si="21"/>
        <v>0</v>
      </c>
      <c r="BG35" s="3439">
        <f t="shared" si="22"/>
        <v>0</v>
      </c>
      <c r="BH35" s="3439">
        <f t="shared" si="23"/>
        <v>0</v>
      </c>
      <c r="BI35" s="3439">
        <f t="shared" si="24"/>
        <v>0</v>
      </c>
      <c r="BJ35" s="3439">
        <f t="shared" si="25"/>
        <v>0</v>
      </c>
      <c r="BK35" s="3439">
        <f t="shared" si="26"/>
        <v>0</v>
      </c>
      <c r="BL35" s="28">
        <f t="shared" si="27"/>
        <v>0</v>
      </c>
      <c r="BM35" s="28">
        <f t="shared" si="28"/>
        <v>0</v>
      </c>
      <c r="BN35" s="28">
        <f t="shared" si="29"/>
        <v>0</v>
      </c>
      <c r="BO35" s="28">
        <f t="shared" si="30"/>
        <v>0</v>
      </c>
      <c r="BP35" s="28">
        <f t="shared" si="31"/>
        <v>0</v>
      </c>
      <c r="BQ35" s="3439">
        <f t="shared" si="32"/>
        <v>0</v>
      </c>
      <c r="BR35" s="3439">
        <f t="shared" si="33"/>
        <v>0</v>
      </c>
      <c r="BS35" s="3439">
        <f t="shared" si="34"/>
        <v>0</v>
      </c>
      <c r="BT35" s="3451">
        <f t="shared" si="35"/>
        <v>0</v>
      </c>
    </row>
    <row r="36" spans="1:72">
      <c r="A36" s="9"/>
      <c r="B36" s="27"/>
      <c r="C36" s="27"/>
      <c r="D36" s="1678"/>
      <c r="E36" s="28">
        <f t="shared" si="7"/>
        <v>0</v>
      </c>
      <c r="F36" s="29"/>
      <c r="G36" s="30">
        <f t="shared" si="8"/>
        <v>0</v>
      </c>
      <c r="H36" s="31">
        <f t="shared" si="9"/>
        <v>0</v>
      </c>
      <c r="I36" s="32"/>
      <c r="J36" s="32"/>
      <c r="K36" s="32"/>
      <c r="L36" s="32"/>
      <c r="M36" s="32"/>
      <c r="N36" s="32"/>
      <c r="O36" s="32"/>
      <c r="P36" s="32"/>
      <c r="Q36" s="32"/>
      <c r="R36" s="32"/>
      <c r="S36" s="32"/>
      <c r="T36" s="32"/>
      <c r="U36" s="32"/>
      <c r="V36" s="32"/>
      <c r="W36" s="32"/>
      <c r="X36" s="32"/>
      <c r="Y36" s="32"/>
      <c r="Z36" s="32"/>
      <c r="AA36" s="32"/>
      <c r="AB36" s="32"/>
      <c r="AC36" s="28">
        <f t="shared" si="10"/>
        <v>0</v>
      </c>
      <c r="AD36" s="33"/>
      <c r="AE36" s="33"/>
      <c r="AF36" s="33"/>
      <c r="AG36" s="33"/>
      <c r="AH36" s="33"/>
      <c r="AI36" s="33"/>
      <c r="AJ36" s="33"/>
      <c r="AK36" s="33"/>
      <c r="AL36" s="33"/>
      <c r="AM36" s="33"/>
      <c r="AN36" s="33"/>
      <c r="AO36" s="33"/>
      <c r="AP36" s="33"/>
      <c r="AQ36" s="33"/>
      <c r="AR36" s="33"/>
      <c r="AS36" s="33"/>
      <c r="AT36" s="34"/>
      <c r="AU36" s="1679"/>
      <c r="AV36" s="2256">
        <f t="shared" si="11"/>
        <v>0</v>
      </c>
      <c r="AW36" s="2256">
        <f t="shared" si="12"/>
        <v>0</v>
      </c>
      <c r="AX36" s="2256">
        <f t="shared" si="13"/>
        <v>0</v>
      </c>
      <c r="AY36" s="2781">
        <f t="shared" si="14"/>
        <v>0</v>
      </c>
      <c r="AZ36" s="28">
        <f t="shared" si="15"/>
        <v>0</v>
      </c>
      <c r="BA36" s="28">
        <f t="shared" si="16"/>
        <v>0</v>
      </c>
      <c r="BB36" s="28">
        <f t="shared" si="17"/>
        <v>0</v>
      </c>
      <c r="BC36" s="28">
        <f t="shared" si="18"/>
        <v>0</v>
      </c>
      <c r="BD36" s="3439">
        <f t="shared" si="19"/>
        <v>0</v>
      </c>
      <c r="BE36" s="3439">
        <f t="shared" si="20"/>
        <v>0</v>
      </c>
      <c r="BF36" s="3439">
        <f t="shared" si="21"/>
        <v>0</v>
      </c>
      <c r="BG36" s="3439">
        <f t="shared" si="22"/>
        <v>0</v>
      </c>
      <c r="BH36" s="3439">
        <f t="shared" si="23"/>
        <v>0</v>
      </c>
      <c r="BI36" s="3439">
        <f t="shared" si="24"/>
        <v>0</v>
      </c>
      <c r="BJ36" s="3439">
        <f t="shared" si="25"/>
        <v>0</v>
      </c>
      <c r="BK36" s="3439">
        <f t="shared" si="26"/>
        <v>0</v>
      </c>
      <c r="BL36" s="28">
        <f t="shared" si="27"/>
        <v>0</v>
      </c>
      <c r="BM36" s="28">
        <f t="shared" si="28"/>
        <v>0</v>
      </c>
      <c r="BN36" s="28">
        <f t="shared" si="29"/>
        <v>0</v>
      </c>
      <c r="BO36" s="28">
        <f t="shared" si="30"/>
        <v>0</v>
      </c>
      <c r="BP36" s="28">
        <f t="shared" si="31"/>
        <v>0</v>
      </c>
      <c r="BQ36" s="3439">
        <f t="shared" si="32"/>
        <v>0</v>
      </c>
      <c r="BR36" s="3439">
        <f t="shared" si="33"/>
        <v>0</v>
      </c>
      <c r="BS36" s="3439">
        <f t="shared" si="34"/>
        <v>0</v>
      </c>
      <c r="BT36" s="3451">
        <f t="shared" si="35"/>
        <v>0</v>
      </c>
    </row>
    <row r="37" spans="1:72">
      <c r="A37" s="9"/>
      <c r="B37" s="27"/>
      <c r="C37" s="27"/>
      <c r="D37" s="1678"/>
      <c r="E37" s="28">
        <f t="shared" si="7"/>
        <v>0</v>
      </c>
      <c r="F37" s="29"/>
      <c r="G37" s="30">
        <f t="shared" si="8"/>
        <v>0</v>
      </c>
      <c r="H37" s="31">
        <f t="shared" si="9"/>
        <v>0</v>
      </c>
      <c r="I37" s="32"/>
      <c r="J37" s="32"/>
      <c r="K37" s="32"/>
      <c r="L37" s="32"/>
      <c r="M37" s="32"/>
      <c r="N37" s="32"/>
      <c r="O37" s="32"/>
      <c r="P37" s="32"/>
      <c r="Q37" s="32"/>
      <c r="R37" s="32"/>
      <c r="S37" s="32"/>
      <c r="T37" s="32"/>
      <c r="U37" s="32"/>
      <c r="V37" s="32"/>
      <c r="W37" s="32"/>
      <c r="X37" s="32"/>
      <c r="Y37" s="32"/>
      <c r="Z37" s="32"/>
      <c r="AA37" s="32"/>
      <c r="AB37" s="32"/>
      <c r="AC37" s="28">
        <f t="shared" si="10"/>
        <v>0</v>
      </c>
      <c r="AD37" s="33"/>
      <c r="AE37" s="33"/>
      <c r="AF37" s="33"/>
      <c r="AG37" s="33"/>
      <c r="AH37" s="33"/>
      <c r="AI37" s="33"/>
      <c r="AJ37" s="33"/>
      <c r="AK37" s="33"/>
      <c r="AL37" s="33"/>
      <c r="AM37" s="33"/>
      <c r="AN37" s="33"/>
      <c r="AO37" s="33"/>
      <c r="AP37" s="33"/>
      <c r="AQ37" s="33"/>
      <c r="AR37" s="33"/>
      <c r="AS37" s="33"/>
      <c r="AT37" s="34"/>
      <c r="AU37" s="1679"/>
      <c r="AV37" s="2256">
        <f t="shared" si="11"/>
        <v>0</v>
      </c>
      <c r="AW37" s="2256">
        <f t="shared" si="12"/>
        <v>0</v>
      </c>
      <c r="AX37" s="2256">
        <f t="shared" si="13"/>
        <v>0</v>
      </c>
      <c r="AY37" s="2781">
        <f t="shared" si="14"/>
        <v>0</v>
      </c>
      <c r="AZ37" s="28">
        <f t="shared" si="15"/>
        <v>0</v>
      </c>
      <c r="BA37" s="28">
        <f t="shared" si="16"/>
        <v>0</v>
      </c>
      <c r="BB37" s="28">
        <f t="shared" si="17"/>
        <v>0</v>
      </c>
      <c r="BC37" s="28">
        <f t="shared" si="18"/>
        <v>0</v>
      </c>
      <c r="BD37" s="3439">
        <f t="shared" si="19"/>
        <v>0</v>
      </c>
      <c r="BE37" s="3439">
        <f t="shared" si="20"/>
        <v>0</v>
      </c>
      <c r="BF37" s="3439">
        <f t="shared" si="21"/>
        <v>0</v>
      </c>
      <c r="BG37" s="3439">
        <f t="shared" si="22"/>
        <v>0</v>
      </c>
      <c r="BH37" s="3439">
        <f t="shared" si="23"/>
        <v>0</v>
      </c>
      <c r="BI37" s="3439">
        <f t="shared" si="24"/>
        <v>0</v>
      </c>
      <c r="BJ37" s="3439">
        <f t="shared" si="25"/>
        <v>0</v>
      </c>
      <c r="BK37" s="3439">
        <f t="shared" si="26"/>
        <v>0</v>
      </c>
      <c r="BL37" s="28">
        <f t="shared" si="27"/>
        <v>0</v>
      </c>
      <c r="BM37" s="28">
        <f t="shared" si="28"/>
        <v>0</v>
      </c>
      <c r="BN37" s="28">
        <f t="shared" si="29"/>
        <v>0</v>
      </c>
      <c r="BO37" s="28">
        <f t="shared" si="30"/>
        <v>0</v>
      </c>
      <c r="BP37" s="28">
        <f t="shared" si="31"/>
        <v>0</v>
      </c>
      <c r="BQ37" s="3439">
        <f t="shared" si="32"/>
        <v>0</v>
      </c>
      <c r="BR37" s="3439">
        <f t="shared" si="33"/>
        <v>0</v>
      </c>
      <c r="BS37" s="3439">
        <f t="shared" si="34"/>
        <v>0</v>
      </c>
      <c r="BT37" s="3451">
        <f t="shared" si="35"/>
        <v>0</v>
      </c>
    </row>
    <row r="38" spans="1:72">
      <c r="A38" s="9"/>
      <c r="B38" s="27"/>
      <c r="C38" s="27"/>
      <c r="D38" s="1678"/>
      <c r="E38" s="28">
        <f t="shared" si="7"/>
        <v>0</v>
      </c>
      <c r="F38" s="29"/>
      <c r="G38" s="30">
        <f t="shared" si="8"/>
        <v>0</v>
      </c>
      <c r="H38" s="31">
        <f t="shared" si="9"/>
        <v>0</v>
      </c>
      <c r="I38" s="32"/>
      <c r="J38" s="32"/>
      <c r="K38" s="32"/>
      <c r="L38" s="32"/>
      <c r="M38" s="32"/>
      <c r="N38" s="32"/>
      <c r="O38" s="32"/>
      <c r="P38" s="32"/>
      <c r="Q38" s="32"/>
      <c r="R38" s="32"/>
      <c r="S38" s="32"/>
      <c r="T38" s="32"/>
      <c r="U38" s="32"/>
      <c r="V38" s="32"/>
      <c r="W38" s="32"/>
      <c r="X38" s="32"/>
      <c r="Y38" s="32"/>
      <c r="Z38" s="32"/>
      <c r="AA38" s="32"/>
      <c r="AB38" s="32"/>
      <c r="AC38" s="28">
        <f t="shared" si="10"/>
        <v>0</v>
      </c>
      <c r="AD38" s="33"/>
      <c r="AE38" s="33"/>
      <c r="AF38" s="33"/>
      <c r="AG38" s="33"/>
      <c r="AH38" s="33"/>
      <c r="AI38" s="33"/>
      <c r="AJ38" s="33"/>
      <c r="AK38" s="33"/>
      <c r="AL38" s="33"/>
      <c r="AM38" s="33"/>
      <c r="AN38" s="33"/>
      <c r="AO38" s="33"/>
      <c r="AP38" s="33"/>
      <c r="AQ38" s="33"/>
      <c r="AR38" s="33"/>
      <c r="AS38" s="33"/>
      <c r="AT38" s="34"/>
      <c r="AU38" s="1679"/>
      <c r="AV38" s="2256">
        <f t="shared" si="11"/>
        <v>0</v>
      </c>
      <c r="AW38" s="2256">
        <f t="shared" si="12"/>
        <v>0</v>
      </c>
      <c r="AX38" s="2256">
        <f t="shared" si="13"/>
        <v>0</v>
      </c>
      <c r="AY38" s="2781">
        <f t="shared" si="14"/>
        <v>0</v>
      </c>
      <c r="AZ38" s="28">
        <f t="shared" si="15"/>
        <v>0</v>
      </c>
      <c r="BA38" s="28">
        <f t="shared" si="16"/>
        <v>0</v>
      </c>
      <c r="BB38" s="28">
        <f t="shared" si="17"/>
        <v>0</v>
      </c>
      <c r="BC38" s="28">
        <f t="shared" si="18"/>
        <v>0</v>
      </c>
      <c r="BD38" s="3439">
        <f t="shared" si="19"/>
        <v>0</v>
      </c>
      <c r="BE38" s="3439">
        <f t="shared" si="20"/>
        <v>0</v>
      </c>
      <c r="BF38" s="3439">
        <f t="shared" si="21"/>
        <v>0</v>
      </c>
      <c r="BG38" s="3439">
        <f t="shared" si="22"/>
        <v>0</v>
      </c>
      <c r="BH38" s="3439">
        <f t="shared" si="23"/>
        <v>0</v>
      </c>
      <c r="BI38" s="3439">
        <f t="shared" si="24"/>
        <v>0</v>
      </c>
      <c r="BJ38" s="3439">
        <f t="shared" si="25"/>
        <v>0</v>
      </c>
      <c r="BK38" s="3439">
        <f t="shared" si="26"/>
        <v>0</v>
      </c>
      <c r="BL38" s="28">
        <f t="shared" si="27"/>
        <v>0</v>
      </c>
      <c r="BM38" s="28">
        <f t="shared" si="28"/>
        <v>0</v>
      </c>
      <c r="BN38" s="28">
        <f t="shared" si="29"/>
        <v>0</v>
      </c>
      <c r="BO38" s="28">
        <f t="shared" si="30"/>
        <v>0</v>
      </c>
      <c r="BP38" s="28">
        <f t="shared" si="31"/>
        <v>0</v>
      </c>
      <c r="BQ38" s="3439">
        <f t="shared" si="32"/>
        <v>0</v>
      </c>
      <c r="BR38" s="3439">
        <f t="shared" si="33"/>
        <v>0</v>
      </c>
      <c r="BS38" s="3439">
        <f t="shared" si="34"/>
        <v>0</v>
      </c>
      <c r="BT38" s="3451">
        <f t="shared" si="35"/>
        <v>0</v>
      </c>
    </row>
    <row r="39" spans="1:72">
      <c r="A39" s="9"/>
      <c r="B39" s="27"/>
      <c r="C39" s="27"/>
      <c r="D39" s="1678"/>
      <c r="E39" s="28">
        <f t="shared" si="7"/>
        <v>0</v>
      </c>
      <c r="F39" s="29"/>
      <c r="G39" s="30">
        <f t="shared" si="8"/>
        <v>0</v>
      </c>
      <c r="H39" s="31">
        <f t="shared" si="9"/>
        <v>0</v>
      </c>
      <c r="I39" s="32"/>
      <c r="J39" s="32"/>
      <c r="K39" s="32"/>
      <c r="L39" s="32"/>
      <c r="M39" s="32"/>
      <c r="N39" s="32"/>
      <c r="O39" s="32"/>
      <c r="P39" s="32"/>
      <c r="Q39" s="32"/>
      <c r="R39" s="32"/>
      <c r="S39" s="32"/>
      <c r="T39" s="32"/>
      <c r="U39" s="32"/>
      <c r="V39" s="32"/>
      <c r="W39" s="32"/>
      <c r="X39" s="32"/>
      <c r="Y39" s="32"/>
      <c r="Z39" s="32"/>
      <c r="AA39" s="32"/>
      <c r="AB39" s="32"/>
      <c r="AC39" s="28">
        <f t="shared" si="10"/>
        <v>0</v>
      </c>
      <c r="AD39" s="33"/>
      <c r="AE39" s="33"/>
      <c r="AF39" s="33"/>
      <c r="AG39" s="33"/>
      <c r="AH39" s="33"/>
      <c r="AI39" s="33"/>
      <c r="AJ39" s="33"/>
      <c r="AK39" s="33"/>
      <c r="AL39" s="33"/>
      <c r="AM39" s="33"/>
      <c r="AN39" s="33"/>
      <c r="AO39" s="33"/>
      <c r="AP39" s="33"/>
      <c r="AQ39" s="33"/>
      <c r="AR39" s="33"/>
      <c r="AS39" s="33"/>
      <c r="AT39" s="34"/>
      <c r="AU39" s="1679"/>
      <c r="AV39" s="2256">
        <f t="shared" si="11"/>
        <v>0</v>
      </c>
      <c r="AW39" s="2256">
        <f t="shared" si="12"/>
        <v>0</v>
      </c>
      <c r="AX39" s="2256">
        <f t="shared" si="13"/>
        <v>0</v>
      </c>
      <c r="AY39" s="2781">
        <f t="shared" si="14"/>
        <v>0</v>
      </c>
      <c r="AZ39" s="28">
        <f t="shared" si="15"/>
        <v>0</v>
      </c>
      <c r="BA39" s="28">
        <f t="shared" si="16"/>
        <v>0</v>
      </c>
      <c r="BB39" s="28">
        <f t="shared" si="17"/>
        <v>0</v>
      </c>
      <c r="BC39" s="28">
        <f t="shared" si="18"/>
        <v>0</v>
      </c>
      <c r="BD39" s="3439">
        <f t="shared" si="19"/>
        <v>0</v>
      </c>
      <c r="BE39" s="3439">
        <f t="shared" si="20"/>
        <v>0</v>
      </c>
      <c r="BF39" s="3439">
        <f t="shared" si="21"/>
        <v>0</v>
      </c>
      <c r="BG39" s="3439">
        <f t="shared" si="22"/>
        <v>0</v>
      </c>
      <c r="BH39" s="3439">
        <f t="shared" si="23"/>
        <v>0</v>
      </c>
      <c r="BI39" s="3439">
        <f t="shared" si="24"/>
        <v>0</v>
      </c>
      <c r="BJ39" s="3439">
        <f t="shared" si="25"/>
        <v>0</v>
      </c>
      <c r="BK39" s="3439">
        <f t="shared" si="26"/>
        <v>0</v>
      </c>
      <c r="BL39" s="28">
        <f t="shared" si="27"/>
        <v>0</v>
      </c>
      <c r="BM39" s="28">
        <f t="shared" si="28"/>
        <v>0</v>
      </c>
      <c r="BN39" s="28">
        <f t="shared" si="29"/>
        <v>0</v>
      </c>
      <c r="BO39" s="28">
        <f t="shared" si="30"/>
        <v>0</v>
      </c>
      <c r="BP39" s="28">
        <f t="shared" si="31"/>
        <v>0</v>
      </c>
      <c r="BQ39" s="3439">
        <f t="shared" si="32"/>
        <v>0</v>
      </c>
      <c r="BR39" s="3439">
        <f t="shared" si="33"/>
        <v>0</v>
      </c>
      <c r="BS39" s="3439">
        <f t="shared" si="34"/>
        <v>0</v>
      </c>
      <c r="BT39" s="3451">
        <f t="shared" si="35"/>
        <v>0</v>
      </c>
    </row>
    <row r="40" spans="1:72">
      <c r="A40" s="9"/>
      <c r="B40" s="27"/>
      <c r="C40" s="27"/>
      <c r="D40" s="1678"/>
      <c r="E40" s="28">
        <f t="shared" si="7"/>
        <v>0</v>
      </c>
      <c r="F40" s="29"/>
      <c r="G40" s="30">
        <f t="shared" si="8"/>
        <v>0</v>
      </c>
      <c r="H40" s="31">
        <f t="shared" si="9"/>
        <v>0</v>
      </c>
      <c r="I40" s="32"/>
      <c r="J40" s="32"/>
      <c r="K40" s="32"/>
      <c r="L40" s="32"/>
      <c r="M40" s="32"/>
      <c r="N40" s="32"/>
      <c r="O40" s="32"/>
      <c r="P40" s="32"/>
      <c r="Q40" s="32"/>
      <c r="R40" s="32"/>
      <c r="S40" s="32"/>
      <c r="T40" s="32"/>
      <c r="U40" s="32"/>
      <c r="V40" s="32"/>
      <c r="W40" s="32"/>
      <c r="X40" s="32"/>
      <c r="Y40" s="32"/>
      <c r="Z40" s="32"/>
      <c r="AA40" s="32"/>
      <c r="AB40" s="32"/>
      <c r="AC40" s="28">
        <f t="shared" si="10"/>
        <v>0</v>
      </c>
      <c r="AD40" s="33"/>
      <c r="AE40" s="33"/>
      <c r="AF40" s="33"/>
      <c r="AG40" s="33"/>
      <c r="AH40" s="33"/>
      <c r="AI40" s="33"/>
      <c r="AJ40" s="33"/>
      <c r="AK40" s="33"/>
      <c r="AL40" s="33"/>
      <c r="AM40" s="33"/>
      <c r="AN40" s="33"/>
      <c r="AO40" s="33"/>
      <c r="AP40" s="33"/>
      <c r="AQ40" s="33"/>
      <c r="AR40" s="33"/>
      <c r="AS40" s="33"/>
      <c r="AT40" s="34"/>
      <c r="AU40" s="1679"/>
      <c r="AV40" s="2256">
        <f t="shared" si="11"/>
        <v>0</v>
      </c>
      <c r="AW40" s="2256">
        <f t="shared" si="12"/>
        <v>0</v>
      </c>
      <c r="AX40" s="2256">
        <f t="shared" si="13"/>
        <v>0</v>
      </c>
      <c r="AY40" s="2781">
        <f t="shared" si="14"/>
        <v>0</v>
      </c>
      <c r="AZ40" s="28">
        <f t="shared" si="15"/>
        <v>0</v>
      </c>
      <c r="BA40" s="28">
        <f t="shared" si="16"/>
        <v>0</v>
      </c>
      <c r="BB40" s="28">
        <f t="shared" si="17"/>
        <v>0</v>
      </c>
      <c r="BC40" s="28">
        <f t="shared" si="18"/>
        <v>0</v>
      </c>
      <c r="BD40" s="3439">
        <f t="shared" si="19"/>
        <v>0</v>
      </c>
      <c r="BE40" s="3439">
        <f t="shared" si="20"/>
        <v>0</v>
      </c>
      <c r="BF40" s="3439">
        <f t="shared" si="21"/>
        <v>0</v>
      </c>
      <c r="BG40" s="3439">
        <f t="shared" si="22"/>
        <v>0</v>
      </c>
      <c r="BH40" s="3439">
        <f t="shared" si="23"/>
        <v>0</v>
      </c>
      <c r="BI40" s="3439">
        <f t="shared" si="24"/>
        <v>0</v>
      </c>
      <c r="BJ40" s="3439">
        <f t="shared" si="25"/>
        <v>0</v>
      </c>
      <c r="BK40" s="3439">
        <f t="shared" si="26"/>
        <v>0</v>
      </c>
      <c r="BL40" s="28">
        <f t="shared" si="27"/>
        <v>0</v>
      </c>
      <c r="BM40" s="28">
        <f t="shared" si="28"/>
        <v>0</v>
      </c>
      <c r="BN40" s="28">
        <f t="shared" si="29"/>
        <v>0</v>
      </c>
      <c r="BO40" s="28">
        <f t="shared" si="30"/>
        <v>0</v>
      </c>
      <c r="BP40" s="28">
        <f t="shared" si="31"/>
        <v>0</v>
      </c>
      <c r="BQ40" s="3439">
        <f t="shared" si="32"/>
        <v>0</v>
      </c>
      <c r="BR40" s="3439">
        <f t="shared" si="33"/>
        <v>0</v>
      </c>
      <c r="BS40" s="3439">
        <f t="shared" si="34"/>
        <v>0</v>
      </c>
      <c r="BT40" s="3451">
        <f t="shared" si="35"/>
        <v>0</v>
      </c>
    </row>
    <row r="41" spans="1:72">
      <c r="A41" s="9"/>
      <c r="B41" s="27"/>
      <c r="C41" s="27"/>
      <c r="D41" s="1678"/>
      <c r="E41" s="28">
        <f t="shared" si="7"/>
        <v>0</v>
      </c>
      <c r="F41" s="29"/>
      <c r="G41" s="30">
        <f t="shared" si="8"/>
        <v>0</v>
      </c>
      <c r="H41" s="31">
        <f t="shared" si="9"/>
        <v>0</v>
      </c>
      <c r="I41" s="32"/>
      <c r="J41" s="32"/>
      <c r="K41" s="32"/>
      <c r="L41" s="32"/>
      <c r="M41" s="32"/>
      <c r="N41" s="32"/>
      <c r="O41" s="32"/>
      <c r="P41" s="32"/>
      <c r="Q41" s="32"/>
      <c r="R41" s="32"/>
      <c r="S41" s="32"/>
      <c r="T41" s="32"/>
      <c r="U41" s="32"/>
      <c r="V41" s="32"/>
      <c r="W41" s="32"/>
      <c r="X41" s="32"/>
      <c r="Y41" s="32"/>
      <c r="Z41" s="32"/>
      <c r="AA41" s="32"/>
      <c r="AB41" s="32"/>
      <c r="AC41" s="28">
        <f t="shared" si="10"/>
        <v>0</v>
      </c>
      <c r="AD41" s="33"/>
      <c r="AE41" s="33"/>
      <c r="AF41" s="33"/>
      <c r="AG41" s="33"/>
      <c r="AH41" s="33"/>
      <c r="AI41" s="33"/>
      <c r="AJ41" s="33"/>
      <c r="AK41" s="33"/>
      <c r="AL41" s="33"/>
      <c r="AM41" s="33"/>
      <c r="AN41" s="33"/>
      <c r="AO41" s="33"/>
      <c r="AP41" s="33"/>
      <c r="AQ41" s="33"/>
      <c r="AR41" s="33"/>
      <c r="AS41" s="33"/>
      <c r="AT41" s="34"/>
      <c r="AU41" s="1679"/>
      <c r="AV41" s="2256">
        <f t="shared" si="11"/>
        <v>0</v>
      </c>
      <c r="AW41" s="2256">
        <f t="shared" si="12"/>
        <v>0</v>
      </c>
      <c r="AX41" s="2256">
        <f t="shared" si="13"/>
        <v>0</v>
      </c>
      <c r="AY41" s="2781">
        <f t="shared" si="14"/>
        <v>0</v>
      </c>
      <c r="AZ41" s="28">
        <f t="shared" si="15"/>
        <v>0</v>
      </c>
      <c r="BA41" s="28">
        <f t="shared" si="16"/>
        <v>0</v>
      </c>
      <c r="BB41" s="28">
        <f t="shared" si="17"/>
        <v>0</v>
      </c>
      <c r="BC41" s="28">
        <f t="shared" si="18"/>
        <v>0</v>
      </c>
      <c r="BD41" s="3439">
        <f t="shared" si="19"/>
        <v>0</v>
      </c>
      <c r="BE41" s="3439">
        <f t="shared" si="20"/>
        <v>0</v>
      </c>
      <c r="BF41" s="3439">
        <f t="shared" si="21"/>
        <v>0</v>
      </c>
      <c r="BG41" s="3439">
        <f t="shared" si="22"/>
        <v>0</v>
      </c>
      <c r="BH41" s="3439">
        <f t="shared" si="23"/>
        <v>0</v>
      </c>
      <c r="BI41" s="3439">
        <f t="shared" si="24"/>
        <v>0</v>
      </c>
      <c r="BJ41" s="3439">
        <f t="shared" si="25"/>
        <v>0</v>
      </c>
      <c r="BK41" s="3439">
        <f t="shared" si="26"/>
        <v>0</v>
      </c>
      <c r="BL41" s="28">
        <f t="shared" si="27"/>
        <v>0</v>
      </c>
      <c r="BM41" s="28">
        <f t="shared" si="28"/>
        <v>0</v>
      </c>
      <c r="BN41" s="28">
        <f t="shared" si="29"/>
        <v>0</v>
      </c>
      <c r="BO41" s="28">
        <f t="shared" si="30"/>
        <v>0</v>
      </c>
      <c r="BP41" s="28">
        <f t="shared" si="31"/>
        <v>0</v>
      </c>
      <c r="BQ41" s="3439">
        <f t="shared" si="32"/>
        <v>0</v>
      </c>
      <c r="BR41" s="3439">
        <f t="shared" si="33"/>
        <v>0</v>
      </c>
      <c r="BS41" s="3439">
        <f t="shared" si="34"/>
        <v>0</v>
      </c>
      <c r="BT41" s="3451">
        <f t="shared" si="35"/>
        <v>0</v>
      </c>
    </row>
    <row r="42" spans="1:72">
      <c r="A42" s="9"/>
      <c r="B42" s="27"/>
      <c r="C42" s="27"/>
      <c r="D42" s="1678"/>
      <c r="E42" s="28">
        <f t="shared" si="7"/>
        <v>0</v>
      </c>
      <c r="F42" s="29"/>
      <c r="G42" s="30">
        <f t="shared" si="8"/>
        <v>0</v>
      </c>
      <c r="H42" s="31">
        <f t="shared" si="9"/>
        <v>0</v>
      </c>
      <c r="I42" s="32"/>
      <c r="J42" s="32"/>
      <c r="K42" s="32"/>
      <c r="L42" s="32"/>
      <c r="M42" s="32"/>
      <c r="N42" s="32"/>
      <c r="O42" s="32"/>
      <c r="P42" s="32"/>
      <c r="Q42" s="32"/>
      <c r="R42" s="32"/>
      <c r="S42" s="32"/>
      <c r="T42" s="32"/>
      <c r="U42" s="32"/>
      <c r="V42" s="32"/>
      <c r="W42" s="32"/>
      <c r="X42" s="32"/>
      <c r="Y42" s="32"/>
      <c r="Z42" s="32"/>
      <c r="AA42" s="32"/>
      <c r="AB42" s="32"/>
      <c r="AC42" s="28">
        <f t="shared" si="10"/>
        <v>0</v>
      </c>
      <c r="AD42" s="33"/>
      <c r="AE42" s="33"/>
      <c r="AF42" s="33"/>
      <c r="AG42" s="33"/>
      <c r="AH42" s="33"/>
      <c r="AI42" s="33"/>
      <c r="AJ42" s="33"/>
      <c r="AK42" s="33"/>
      <c r="AL42" s="33"/>
      <c r="AM42" s="33"/>
      <c r="AN42" s="33"/>
      <c r="AO42" s="33"/>
      <c r="AP42" s="33"/>
      <c r="AQ42" s="33"/>
      <c r="AR42" s="33"/>
      <c r="AS42" s="33"/>
      <c r="AT42" s="34"/>
      <c r="AU42" s="1679"/>
      <c r="AV42" s="2256">
        <f t="shared" si="11"/>
        <v>0</v>
      </c>
      <c r="AW42" s="2256">
        <f t="shared" si="12"/>
        <v>0</v>
      </c>
      <c r="AX42" s="2256">
        <f t="shared" si="13"/>
        <v>0</v>
      </c>
      <c r="AY42" s="2781">
        <f t="shared" si="14"/>
        <v>0</v>
      </c>
      <c r="AZ42" s="28">
        <f t="shared" si="15"/>
        <v>0</v>
      </c>
      <c r="BA42" s="28">
        <f t="shared" si="16"/>
        <v>0</v>
      </c>
      <c r="BB42" s="28">
        <f t="shared" si="17"/>
        <v>0</v>
      </c>
      <c r="BC42" s="28">
        <f t="shared" si="18"/>
        <v>0</v>
      </c>
      <c r="BD42" s="3439">
        <f t="shared" si="19"/>
        <v>0</v>
      </c>
      <c r="BE42" s="3439">
        <f t="shared" si="20"/>
        <v>0</v>
      </c>
      <c r="BF42" s="3439">
        <f t="shared" si="21"/>
        <v>0</v>
      </c>
      <c r="BG42" s="3439">
        <f t="shared" si="22"/>
        <v>0</v>
      </c>
      <c r="BH42" s="3439">
        <f t="shared" si="23"/>
        <v>0</v>
      </c>
      <c r="BI42" s="3439">
        <f t="shared" si="24"/>
        <v>0</v>
      </c>
      <c r="BJ42" s="3439">
        <f t="shared" si="25"/>
        <v>0</v>
      </c>
      <c r="BK42" s="3439">
        <f t="shared" si="26"/>
        <v>0</v>
      </c>
      <c r="BL42" s="28">
        <f t="shared" si="27"/>
        <v>0</v>
      </c>
      <c r="BM42" s="28">
        <f t="shared" si="28"/>
        <v>0</v>
      </c>
      <c r="BN42" s="28">
        <f t="shared" si="29"/>
        <v>0</v>
      </c>
      <c r="BO42" s="28">
        <f t="shared" si="30"/>
        <v>0</v>
      </c>
      <c r="BP42" s="28">
        <f t="shared" si="31"/>
        <v>0</v>
      </c>
      <c r="BQ42" s="3439">
        <f t="shared" si="32"/>
        <v>0</v>
      </c>
      <c r="BR42" s="3439">
        <f t="shared" si="33"/>
        <v>0</v>
      </c>
      <c r="BS42" s="3439">
        <f t="shared" si="34"/>
        <v>0</v>
      </c>
      <c r="BT42" s="3451">
        <f t="shared" si="35"/>
        <v>0</v>
      </c>
    </row>
    <row r="43" spans="1:72">
      <c r="A43" s="9"/>
      <c r="B43" s="27"/>
      <c r="C43" s="27"/>
      <c r="D43" s="1678"/>
      <c r="E43" s="28">
        <f t="shared" si="7"/>
        <v>0</v>
      </c>
      <c r="F43" s="29"/>
      <c r="G43" s="30">
        <f t="shared" si="8"/>
        <v>0</v>
      </c>
      <c r="H43" s="31">
        <f t="shared" si="9"/>
        <v>0</v>
      </c>
      <c r="I43" s="32"/>
      <c r="J43" s="32"/>
      <c r="K43" s="32"/>
      <c r="L43" s="32"/>
      <c r="M43" s="32"/>
      <c r="N43" s="32"/>
      <c r="O43" s="32"/>
      <c r="P43" s="32"/>
      <c r="Q43" s="32"/>
      <c r="R43" s="32"/>
      <c r="S43" s="32"/>
      <c r="T43" s="32"/>
      <c r="U43" s="32"/>
      <c r="V43" s="32"/>
      <c r="W43" s="32"/>
      <c r="X43" s="32"/>
      <c r="Y43" s="32"/>
      <c r="Z43" s="32"/>
      <c r="AA43" s="32"/>
      <c r="AB43" s="32"/>
      <c r="AC43" s="28">
        <f t="shared" si="10"/>
        <v>0</v>
      </c>
      <c r="AD43" s="33"/>
      <c r="AE43" s="33"/>
      <c r="AF43" s="33"/>
      <c r="AG43" s="33"/>
      <c r="AH43" s="33"/>
      <c r="AI43" s="33"/>
      <c r="AJ43" s="33"/>
      <c r="AK43" s="33"/>
      <c r="AL43" s="33"/>
      <c r="AM43" s="33"/>
      <c r="AN43" s="33"/>
      <c r="AO43" s="33"/>
      <c r="AP43" s="33"/>
      <c r="AQ43" s="33"/>
      <c r="AR43" s="33"/>
      <c r="AS43" s="33"/>
      <c r="AT43" s="34"/>
      <c r="AU43" s="1679"/>
      <c r="AV43" s="2256">
        <f t="shared" si="11"/>
        <v>0</v>
      </c>
      <c r="AW43" s="2256">
        <f t="shared" si="12"/>
        <v>0</v>
      </c>
      <c r="AX43" s="2256">
        <f t="shared" si="13"/>
        <v>0</v>
      </c>
      <c r="AY43" s="2781">
        <f t="shared" si="14"/>
        <v>0</v>
      </c>
      <c r="AZ43" s="28">
        <f t="shared" si="15"/>
        <v>0</v>
      </c>
      <c r="BA43" s="28">
        <f t="shared" si="16"/>
        <v>0</v>
      </c>
      <c r="BB43" s="28">
        <f t="shared" si="17"/>
        <v>0</v>
      </c>
      <c r="BC43" s="28">
        <f t="shared" si="18"/>
        <v>0</v>
      </c>
      <c r="BD43" s="3439">
        <f t="shared" si="19"/>
        <v>0</v>
      </c>
      <c r="BE43" s="3439">
        <f t="shared" si="20"/>
        <v>0</v>
      </c>
      <c r="BF43" s="3439">
        <f t="shared" si="21"/>
        <v>0</v>
      </c>
      <c r="BG43" s="3439">
        <f t="shared" si="22"/>
        <v>0</v>
      </c>
      <c r="BH43" s="3439">
        <f t="shared" si="23"/>
        <v>0</v>
      </c>
      <c r="BI43" s="3439">
        <f t="shared" si="24"/>
        <v>0</v>
      </c>
      <c r="BJ43" s="3439">
        <f t="shared" si="25"/>
        <v>0</v>
      </c>
      <c r="BK43" s="3439">
        <f t="shared" si="26"/>
        <v>0</v>
      </c>
      <c r="BL43" s="28">
        <f t="shared" si="27"/>
        <v>0</v>
      </c>
      <c r="BM43" s="28">
        <f t="shared" si="28"/>
        <v>0</v>
      </c>
      <c r="BN43" s="28">
        <f t="shared" si="29"/>
        <v>0</v>
      </c>
      <c r="BO43" s="28">
        <f t="shared" si="30"/>
        <v>0</v>
      </c>
      <c r="BP43" s="28">
        <f t="shared" si="31"/>
        <v>0</v>
      </c>
      <c r="BQ43" s="3439">
        <f t="shared" si="32"/>
        <v>0</v>
      </c>
      <c r="BR43" s="3439">
        <f t="shared" si="33"/>
        <v>0</v>
      </c>
      <c r="BS43" s="3439">
        <f t="shared" si="34"/>
        <v>0</v>
      </c>
      <c r="BT43" s="3451">
        <f t="shared" si="35"/>
        <v>0</v>
      </c>
    </row>
    <row r="44" spans="1:72">
      <c r="A44" s="9"/>
      <c r="B44" s="27"/>
      <c r="C44" s="27"/>
      <c r="D44" s="1678"/>
      <c r="E44" s="28">
        <f t="shared" si="7"/>
        <v>0</v>
      </c>
      <c r="F44" s="29"/>
      <c r="G44" s="30">
        <f t="shared" si="8"/>
        <v>0</v>
      </c>
      <c r="H44" s="31">
        <f t="shared" si="9"/>
        <v>0</v>
      </c>
      <c r="I44" s="32"/>
      <c r="J44" s="32"/>
      <c r="K44" s="32"/>
      <c r="L44" s="32"/>
      <c r="M44" s="32"/>
      <c r="N44" s="32"/>
      <c r="O44" s="32"/>
      <c r="P44" s="32"/>
      <c r="Q44" s="32"/>
      <c r="R44" s="32"/>
      <c r="S44" s="32"/>
      <c r="T44" s="32"/>
      <c r="U44" s="32"/>
      <c r="V44" s="32"/>
      <c r="W44" s="32"/>
      <c r="X44" s="32"/>
      <c r="Y44" s="32"/>
      <c r="Z44" s="32"/>
      <c r="AA44" s="32"/>
      <c r="AB44" s="32"/>
      <c r="AC44" s="28">
        <f t="shared" si="10"/>
        <v>0</v>
      </c>
      <c r="AD44" s="33"/>
      <c r="AE44" s="33"/>
      <c r="AF44" s="33"/>
      <c r="AG44" s="33"/>
      <c r="AH44" s="33"/>
      <c r="AI44" s="33"/>
      <c r="AJ44" s="33"/>
      <c r="AK44" s="33"/>
      <c r="AL44" s="33"/>
      <c r="AM44" s="33"/>
      <c r="AN44" s="33"/>
      <c r="AO44" s="33"/>
      <c r="AP44" s="33"/>
      <c r="AQ44" s="33"/>
      <c r="AR44" s="33"/>
      <c r="AS44" s="33"/>
      <c r="AT44" s="34"/>
      <c r="AU44" s="1679"/>
      <c r="AV44" s="2256">
        <f t="shared" si="11"/>
        <v>0</v>
      </c>
      <c r="AW44" s="2256">
        <f t="shared" si="12"/>
        <v>0</v>
      </c>
      <c r="AX44" s="2256">
        <f t="shared" si="13"/>
        <v>0</v>
      </c>
      <c r="AY44" s="2781">
        <f t="shared" si="14"/>
        <v>0</v>
      </c>
      <c r="AZ44" s="28">
        <f t="shared" si="15"/>
        <v>0</v>
      </c>
      <c r="BA44" s="28">
        <f t="shared" si="16"/>
        <v>0</v>
      </c>
      <c r="BB44" s="28">
        <f t="shared" si="17"/>
        <v>0</v>
      </c>
      <c r="BC44" s="28">
        <f t="shared" si="18"/>
        <v>0</v>
      </c>
      <c r="BD44" s="3439">
        <f t="shared" si="19"/>
        <v>0</v>
      </c>
      <c r="BE44" s="3439">
        <f t="shared" si="20"/>
        <v>0</v>
      </c>
      <c r="BF44" s="3439">
        <f t="shared" si="21"/>
        <v>0</v>
      </c>
      <c r="BG44" s="3439">
        <f t="shared" si="22"/>
        <v>0</v>
      </c>
      <c r="BH44" s="3439">
        <f t="shared" si="23"/>
        <v>0</v>
      </c>
      <c r="BI44" s="3439">
        <f t="shared" si="24"/>
        <v>0</v>
      </c>
      <c r="BJ44" s="3439">
        <f t="shared" si="25"/>
        <v>0</v>
      </c>
      <c r="BK44" s="3439">
        <f t="shared" si="26"/>
        <v>0</v>
      </c>
      <c r="BL44" s="28">
        <f t="shared" si="27"/>
        <v>0</v>
      </c>
      <c r="BM44" s="28">
        <f t="shared" si="28"/>
        <v>0</v>
      </c>
      <c r="BN44" s="28">
        <f t="shared" si="29"/>
        <v>0</v>
      </c>
      <c r="BO44" s="28">
        <f t="shared" si="30"/>
        <v>0</v>
      </c>
      <c r="BP44" s="28">
        <f t="shared" si="31"/>
        <v>0</v>
      </c>
      <c r="BQ44" s="3439">
        <f t="shared" si="32"/>
        <v>0</v>
      </c>
      <c r="BR44" s="3439">
        <f t="shared" si="33"/>
        <v>0</v>
      </c>
      <c r="BS44" s="3439">
        <f t="shared" si="34"/>
        <v>0</v>
      </c>
      <c r="BT44" s="3451">
        <f t="shared" si="35"/>
        <v>0</v>
      </c>
    </row>
    <row r="45" spans="1:72">
      <c r="A45" s="9"/>
      <c r="B45" s="27"/>
      <c r="C45" s="27"/>
      <c r="D45" s="1678"/>
      <c r="E45" s="28">
        <f t="shared" si="7"/>
        <v>0</v>
      </c>
      <c r="F45" s="29"/>
      <c r="G45" s="30">
        <f t="shared" si="8"/>
        <v>0</v>
      </c>
      <c r="H45" s="31">
        <f t="shared" si="9"/>
        <v>0</v>
      </c>
      <c r="I45" s="32"/>
      <c r="J45" s="32"/>
      <c r="K45" s="32"/>
      <c r="L45" s="32"/>
      <c r="M45" s="32"/>
      <c r="N45" s="32"/>
      <c r="O45" s="32"/>
      <c r="P45" s="32"/>
      <c r="Q45" s="32"/>
      <c r="R45" s="32"/>
      <c r="S45" s="32"/>
      <c r="T45" s="32"/>
      <c r="U45" s="32"/>
      <c r="V45" s="32"/>
      <c r="W45" s="32"/>
      <c r="X45" s="32"/>
      <c r="Y45" s="32"/>
      <c r="Z45" s="32"/>
      <c r="AA45" s="32"/>
      <c r="AB45" s="32"/>
      <c r="AC45" s="28">
        <f t="shared" si="10"/>
        <v>0</v>
      </c>
      <c r="AD45" s="33"/>
      <c r="AE45" s="33"/>
      <c r="AF45" s="33"/>
      <c r="AG45" s="33"/>
      <c r="AH45" s="33"/>
      <c r="AI45" s="33"/>
      <c r="AJ45" s="33"/>
      <c r="AK45" s="33"/>
      <c r="AL45" s="33"/>
      <c r="AM45" s="33"/>
      <c r="AN45" s="33"/>
      <c r="AO45" s="33"/>
      <c r="AP45" s="33"/>
      <c r="AQ45" s="33"/>
      <c r="AR45" s="33"/>
      <c r="AS45" s="33"/>
      <c r="AT45" s="34"/>
      <c r="AU45" s="1679"/>
      <c r="AV45" s="2256">
        <f t="shared" si="11"/>
        <v>0</v>
      </c>
      <c r="AW45" s="2256">
        <f t="shared" si="12"/>
        <v>0</v>
      </c>
      <c r="AX45" s="2256">
        <f t="shared" si="13"/>
        <v>0</v>
      </c>
      <c r="AY45" s="2781">
        <f t="shared" si="14"/>
        <v>0</v>
      </c>
      <c r="AZ45" s="28">
        <f t="shared" si="15"/>
        <v>0</v>
      </c>
      <c r="BA45" s="28">
        <f t="shared" si="16"/>
        <v>0</v>
      </c>
      <c r="BB45" s="28">
        <f t="shared" si="17"/>
        <v>0</v>
      </c>
      <c r="BC45" s="28">
        <f t="shared" si="18"/>
        <v>0</v>
      </c>
      <c r="BD45" s="3439">
        <f t="shared" si="19"/>
        <v>0</v>
      </c>
      <c r="BE45" s="3439">
        <f t="shared" si="20"/>
        <v>0</v>
      </c>
      <c r="BF45" s="3439">
        <f t="shared" si="21"/>
        <v>0</v>
      </c>
      <c r="BG45" s="3439">
        <f t="shared" si="22"/>
        <v>0</v>
      </c>
      <c r="BH45" s="3439">
        <f t="shared" si="23"/>
        <v>0</v>
      </c>
      <c r="BI45" s="3439">
        <f t="shared" si="24"/>
        <v>0</v>
      </c>
      <c r="BJ45" s="3439">
        <f t="shared" si="25"/>
        <v>0</v>
      </c>
      <c r="BK45" s="3439">
        <f t="shared" si="26"/>
        <v>0</v>
      </c>
      <c r="BL45" s="28">
        <f t="shared" si="27"/>
        <v>0</v>
      </c>
      <c r="BM45" s="28">
        <f t="shared" si="28"/>
        <v>0</v>
      </c>
      <c r="BN45" s="28">
        <f t="shared" si="29"/>
        <v>0</v>
      </c>
      <c r="BO45" s="28">
        <f t="shared" si="30"/>
        <v>0</v>
      </c>
      <c r="BP45" s="28">
        <f t="shared" si="31"/>
        <v>0</v>
      </c>
      <c r="BQ45" s="3439">
        <f t="shared" si="32"/>
        <v>0</v>
      </c>
      <c r="BR45" s="3439">
        <f t="shared" si="33"/>
        <v>0</v>
      </c>
      <c r="BS45" s="3439">
        <f t="shared" si="34"/>
        <v>0</v>
      </c>
      <c r="BT45" s="3451">
        <f t="shared" si="35"/>
        <v>0</v>
      </c>
    </row>
    <row r="46" spans="1:72">
      <c r="A46" s="9"/>
      <c r="B46" s="27"/>
      <c r="C46" s="27"/>
      <c r="D46" s="1678"/>
      <c r="E46" s="28">
        <f t="shared" si="7"/>
        <v>0</v>
      </c>
      <c r="F46" s="29"/>
      <c r="G46" s="30">
        <f t="shared" si="8"/>
        <v>0</v>
      </c>
      <c r="H46" s="31">
        <f t="shared" si="9"/>
        <v>0</v>
      </c>
      <c r="I46" s="32"/>
      <c r="J46" s="32"/>
      <c r="K46" s="32"/>
      <c r="L46" s="32"/>
      <c r="M46" s="32"/>
      <c r="N46" s="32"/>
      <c r="O46" s="32"/>
      <c r="P46" s="32"/>
      <c r="Q46" s="32"/>
      <c r="R46" s="32"/>
      <c r="S46" s="32"/>
      <c r="T46" s="32"/>
      <c r="U46" s="32"/>
      <c r="V46" s="32"/>
      <c r="W46" s="32"/>
      <c r="X46" s="32"/>
      <c r="Y46" s="32"/>
      <c r="Z46" s="32"/>
      <c r="AA46" s="32"/>
      <c r="AB46" s="32"/>
      <c r="AC46" s="28">
        <f t="shared" si="10"/>
        <v>0</v>
      </c>
      <c r="AD46" s="33"/>
      <c r="AE46" s="33"/>
      <c r="AF46" s="33"/>
      <c r="AG46" s="33"/>
      <c r="AH46" s="33"/>
      <c r="AI46" s="33"/>
      <c r="AJ46" s="33"/>
      <c r="AK46" s="33"/>
      <c r="AL46" s="33"/>
      <c r="AM46" s="33"/>
      <c r="AN46" s="33"/>
      <c r="AO46" s="33"/>
      <c r="AP46" s="33"/>
      <c r="AQ46" s="33"/>
      <c r="AR46" s="33"/>
      <c r="AS46" s="33"/>
      <c r="AT46" s="34"/>
      <c r="AU46" s="1679"/>
      <c r="AV46" s="2256">
        <f t="shared" si="11"/>
        <v>0</v>
      </c>
      <c r="AW46" s="2256">
        <f t="shared" si="12"/>
        <v>0</v>
      </c>
      <c r="AX46" s="2256">
        <f t="shared" si="13"/>
        <v>0</v>
      </c>
      <c r="AY46" s="2781">
        <f t="shared" si="14"/>
        <v>0</v>
      </c>
      <c r="AZ46" s="28">
        <f t="shared" si="15"/>
        <v>0</v>
      </c>
      <c r="BA46" s="28">
        <f t="shared" si="16"/>
        <v>0</v>
      </c>
      <c r="BB46" s="28">
        <f t="shared" si="17"/>
        <v>0</v>
      </c>
      <c r="BC46" s="28">
        <f t="shared" si="18"/>
        <v>0</v>
      </c>
      <c r="BD46" s="3439">
        <f t="shared" si="19"/>
        <v>0</v>
      </c>
      <c r="BE46" s="3439">
        <f t="shared" si="20"/>
        <v>0</v>
      </c>
      <c r="BF46" s="3439">
        <f t="shared" si="21"/>
        <v>0</v>
      </c>
      <c r="BG46" s="3439">
        <f t="shared" si="22"/>
        <v>0</v>
      </c>
      <c r="BH46" s="3439">
        <f t="shared" si="23"/>
        <v>0</v>
      </c>
      <c r="BI46" s="3439">
        <f t="shared" si="24"/>
        <v>0</v>
      </c>
      <c r="BJ46" s="3439">
        <f t="shared" si="25"/>
        <v>0</v>
      </c>
      <c r="BK46" s="3439">
        <f t="shared" si="26"/>
        <v>0</v>
      </c>
      <c r="BL46" s="28">
        <f t="shared" si="27"/>
        <v>0</v>
      </c>
      <c r="BM46" s="28">
        <f t="shared" si="28"/>
        <v>0</v>
      </c>
      <c r="BN46" s="28">
        <f t="shared" si="29"/>
        <v>0</v>
      </c>
      <c r="BO46" s="28">
        <f t="shared" si="30"/>
        <v>0</v>
      </c>
      <c r="BP46" s="28">
        <f t="shared" si="31"/>
        <v>0</v>
      </c>
      <c r="BQ46" s="3439">
        <f t="shared" si="32"/>
        <v>0</v>
      </c>
      <c r="BR46" s="3439">
        <f t="shared" si="33"/>
        <v>0</v>
      </c>
      <c r="BS46" s="3439">
        <f t="shared" si="34"/>
        <v>0</v>
      </c>
      <c r="BT46" s="3451">
        <f t="shared" si="35"/>
        <v>0</v>
      </c>
    </row>
    <row r="47" spans="1:72">
      <c r="A47" s="9"/>
      <c r="B47" s="27"/>
      <c r="C47" s="27"/>
      <c r="D47" s="1678"/>
      <c r="E47" s="28">
        <f t="shared" si="7"/>
        <v>0</v>
      </c>
      <c r="F47" s="29"/>
      <c r="G47" s="30">
        <f t="shared" si="8"/>
        <v>0</v>
      </c>
      <c r="H47" s="31">
        <f t="shared" si="9"/>
        <v>0</v>
      </c>
      <c r="I47" s="32"/>
      <c r="J47" s="32"/>
      <c r="K47" s="32"/>
      <c r="L47" s="32"/>
      <c r="M47" s="32"/>
      <c r="N47" s="32"/>
      <c r="O47" s="32"/>
      <c r="P47" s="32"/>
      <c r="Q47" s="32"/>
      <c r="R47" s="32"/>
      <c r="S47" s="32"/>
      <c r="T47" s="32"/>
      <c r="U47" s="32"/>
      <c r="V47" s="32"/>
      <c r="W47" s="32"/>
      <c r="X47" s="32"/>
      <c r="Y47" s="32"/>
      <c r="Z47" s="32"/>
      <c r="AA47" s="32"/>
      <c r="AB47" s="32"/>
      <c r="AC47" s="28">
        <f t="shared" si="10"/>
        <v>0</v>
      </c>
      <c r="AD47" s="33"/>
      <c r="AE47" s="33"/>
      <c r="AF47" s="33"/>
      <c r="AG47" s="33"/>
      <c r="AH47" s="33"/>
      <c r="AI47" s="33"/>
      <c r="AJ47" s="33"/>
      <c r="AK47" s="33"/>
      <c r="AL47" s="33"/>
      <c r="AM47" s="33"/>
      <c r="AN47" s="33"/>
      <c r="AO47" s="33"/>
      <c r="AP47" s="33"/>
      <c r="AQ47" s="33"/>
      <c r="AR47" s="33"/>
      <c r="AS47" s="33"/>
      <c r="AT47" s="34"/>
      <c r="AU47" s="1679"/>
      <c r="AV47" s="2256">
        <f t="shared" si="11"/>
        <v>0</v>
      </c>
      <c r="AW47" s="2256">
        <f t="shared" si="12"/>
        <v>0</v>
      </c>
      <c r="AX47" s="2256">
        <f t="shared" si="13"/>
        <v>0</v>
      </c>
      <c r="AY47" s="2781">
        <f t="shared" si="14"/>
        <v>0</v>
      </c>
      <c r="AZ47" s="28">
        <f t="shared" si="15"/>
        <v>0</v>
      </c>
      <c r="BA47" s="28">
        <f t="shared" si="16"/>
        <v>0</v>
      </c>
      <c r="BB47" s="28">
        <f t="shared" si="17"/>
        <v>0</v>
      </c>
      <c r="BC47" s="28">
        <f t="shared" si="18"/>
        <v>0</v>
      </c>
      <c r="BD47" s="3439">
        <f t="shared" si="19"/>
        <v>0</v>
      </c>
      <c r="BE47" s="3439">
        <f t="shared" si="20"/>
        <v>0</v>
      </c>
      <c r="BF47" s="3439">
        <f t="shared" si="21"/>
        <v>0</v>
      </c>
      <c r="BG47" s="3439">
        <f t="shared" si="22"/>
        <v>0</v>
      </c>
      <c r="BH47" s="3439">
        <f t="shared" si="23"/>
        <v>0</v>
      </c>
      <c r="BI47" s="3439">
        <f t="shared" si="24"/>
        <v>0</v>
      </c>
      <c r="BJ47" s="3439">
        <f t="shared" si="25"/>
        <v>0</v>
      </c>
      <c r="BK47" s="3439">
        <f t="shared" si="26"/>
        <v>0</v>
      </c>
      <c r="BL47" s="28">
        <f t="shared" si="27"/>
        <v>0</v>
      </c>
      <c r="BM47" s="28">
        <f t="shared" si="28"/>
        <v>0</v>
      </c>
      <c r="BN47" s="28">
        <f t="shared" si="29"/>
        <v>0</v>
      </c>
      <c r="BO47" s="28">
        <f t="shared" si="30"/>
        <v>0</v>
      </c>
      <c r="BP47" s="28">
        <f t="shared" si="31"/>
        <v>0</v>
      </c>
      <c r="BQ47" s="3439">
        <f t="shared" si="32"/>
        <v>0</v>
      </c>
      <c r="BR47" s="3439">
        <f t="shared" si="33"/>
        <v>0</v>
      </c>
      <c r="BS47" s="3439">
        <f t="shared" si="34"/>
        <v>0</v>
      </c>
      <c r="BT47" s="3451">
        <f t="shared" si="35"/>
        <v>0</v>
      </c>
    </row>
    <row r="48" spans="1:72">
      <c r="A48" s="9"/>
      <c r="B48" s="27"/>
      <c r="C48" s="27"/>
      <c r="D48" s="1678"/>
      <c r="E48" s="28">
        <f t="shared" si="7"/>
        <v>0</v>
      </c>
      <c r="F48" s="29"/>
      <c r="G48" s="30">
        <f t="shared" si="8"/>
        <v>0</v>
      </c>
      <c r="H48" s="31">
        <f t="shared" si="9"/>
        <v>0</v>
      </c>
      <c r="I48" s="32"/>
      <c r="J48" s="32"/>
      <c r="K48" s="32"/>
      <c r="L48" s="32"/>
      <c r="M48" s="32"/>
      <c r="N48" s="32"/>
      <c r="O48" s="32"/>
      <c r="P48" s="32"/>
      <c r="Q48" s="32"/>
      <c r="R48" s="32"/>
      <c r="S48" s="32"/>
      <c r="T48" s="32"/>
      <c r="U48" s="32"/>
      <c r="V48" s="32"/>
      <c r="W48" s="32"/>
      <c r="X48" s="32"/>
      <c r="Y48" s="32"/>
      <c r="Z48" s="32"/>
      <c r="AA48" s="32"/>
      <c r="AB48" s="32"/>
      <c r="AC48" s="28">
        <f t="shared" si="10"/>
        <v>0</v>
      </c>
      <c r="AD48" s="33"/>
      <c r="AE48" s="33"/>
      <c r="AF48" s="33"/>
      <c r="AG48" s="33"/>
      <c r="AH48" s="33"/>
      <c r="AI48" s="33"/>
      <c r="AJ48" s="33"/>
      <c r="AK48" s="33"/>
      <c r="AL48" s="33"/>
      <c r="AM48" s="33"/>
      <c r="AN48" s="33"/>
      <c r="AO48" s="33"/>
      <c r="AP48" s="33"/>
      <c r="AQ48" s="33"/>
      <c r="AR48" s="33"/>
      <c r="AS48" s="33"/>
      <c r="AT48" s="34"/>
      <c r="AU48" s="1679"/>
      <c r="AV48" s="2256">
        <f t="shared" si="11"/>
        <v>0</v>
      </c>
      <c r="AW48" s="2256">
        <f t="shared" si="12"/>
        <v>0</v>
      </c>
      <c r="AX48" s="2256">
        <f t="shared" si="13"/>
        <v>0</v>
      </c>
      <c r="AY48" s="2781">
        <f t="shared" si="14"/>
        <v>0</v>
      </c>
      <c r="AZ48" s="28">
        <f t="shared" si="15"/>
        <v>0</v>
      </c>
      <c r="BA48" s="28">
        <f t="shared" si="16"/>
        <v>0</v>
      </c>
      <c r="BB48" s="28">
        <f t="shared" si="17"/>
        <v>0</v>
      </c>
      <c r="BC48" s="28">
        <f t="shared" si="18"/>
        <v>0</v>
      </c>
      <c r="BD48" s="3439">
        <f t="shared" si="19"/>
        <v>0</v>
      </c>
      <c r="BE48" s="3439">
        <f t="shared" si="20"/>
        <v>0</v>
      </c>
      <c r="BF48" s="3439">
        <f t="shared" si="21"/>
        <v>0</v>
      </c>
      <c r="BG48" s="3439">
        <f t="shared" si="22"/>
        <v>0</v>
      </c>
      <c r="BH48" s="3439">
        <f t="shared" si="23"/>
        <v>0</v>
      </c>
      <c r="BI48" s="3439">
        <f t="shared" si="24"/>
        <v>0</v>
      </c>
      <c r="BJ48" s="3439">
        <f t="shared" si="25"/>
        <v>0</v>
      </c>
      <c r="BK48" s="3439">
        <f t="shared" si="26"/>
        <v>0</v>
      </c>
      <c r="BL48" s="28">
        <f t="shared" si="27"/>
        <v>0</v>
      </c>
      <c r="BM48" s="28">
        <f t="shared" si="28"/>
        <v>0</v>
      </c>
      <c r="BN48" s="28">
        <f t="shared" si="29"/>
        <v>0</v>
      </c>
      <c r="BO48" s="28">
        <f t="shared" si="30"/>
        <v>0</v>
      </c>
      <c r="BP48" s="28">
        <f t="shared" si="31"/>
        <v>0</v>
      </c>
      <c r="BQ48" s="3439">
        <f t="shared" si="32"/>
        <v>0</v>
      </c>
      <c r="BR48" s="3439">
        <f t="shared" si="33"/>
        <v>0</v>
      </c>
      <c r="BS48" s="3439">
        <f t="shared" si="34"/>
        <v>0</v>
      </c>
      <c r="BT48" s="3451">
        <f t="shared" si="35"/>
        <v>0</v>
      </c>
    </row>
    <row r="49" spans="1:72">
      <c r="A49" s="9"/>
      <c r="B49" s="27"/>
      <c r="C49" s="27"/>
      <c r="D49" s="1678"/>
      <c r="E49" s="28">
        <f t="shared" si="7"/>
        <v>0</v>
      </c>
      <c r="F49" s="29"/>
      <c r="G49" s="30">
        <f t="shared" si="8"/>
        <v>0</v>
      </c>
      <c r="H49" s="31">
        <f t="shared" si="9"/>
        <v>0</v>
      </c>
      <c r="I49" s="32"/>
      <c r="J49" s="32"/>
      <c r="K49" s="32"/>
      <c r="L49" s="32"/>
      <c r="M49" s="32"/>
      <c r="N49" s="32"/>
      <c r="O49" s="32"/>
      <c r="P49" s="32"/>
      <c r="Q49" s="32"/>
      <c r="R49" s="32"/>
      <c r="S49" s="32"/>
      <c r="T49" s="32"/>
      <c r="U49" s="32"/>
      <c r="V49" s="32"/>
      <c r="W49" s="32"/>
      <c r="X49" s="32"/>
      <c r="Y49" s="32"/>
      <c r="Z49" s="32"/>
      <c r="AA49" s="32"/>
      <c r="AB49" s="32"/>
      <c r="AC49" s="28">
        <f t="shared" si="10"/>
        <v>0</v>
      </c>
      <c r="AD49" s="33"/>
      <c r="AE49" s="33"/>
      <c r="AF49" s="33"/>
      <c r="AG49" s="33"/>
      <c r="AH49" s="33"/>
      <c r="AI49" s="33"/>
      <c r="AJ49" s="33"/>
      <c r="AK49" s="33"/>
      <c r="AL49" s="33"/>
      <c r="AM49" s="33"/>
      <c r="AN49" s="33"/>
      <c r="AO49" s="33"/>
      <c r="AP49" s="33"/>
      <c r="AQ49" s="33"/>
      <c r="AR49" s="33"/>
      <c r="AS49" s="33"/>
      <c r="AT49" s="34"/>
      <c r="AU49" s="1679"/>
      <c r="AV49" s="2256">
        <f t="shared" si="11"/>
        <v>0</v>
      </c>
      <c r="AW49" s="2256">
        <f t="shared" si="12"/>
        <v>0</v>
      </c>
      <c r="AX49" s="2256">
        <f t="shared" si="13"/>
        <v>0</v>
      </c>
      <c r="AY49" s="2781">
        <f t="shared" si="14"/>
        <v>0</v>
      </c>
      <c r="AZ49" s="28">
        <f t="shared" si="15"/>
        <v>0</v>
      </c>
      <c r="BA49" s="28">
        <f t="shared" si="16"/>
        <v>0</v>
      </c>
      <c r="BB49" s="28">
        <f t="shared" si="17"/>
        <v>0</v>
      </c>
      <c r="BC49" s="28">
        <f t="shared" si="18"/>
        <v>0</v>
      </c>
      <c r="BD49" s="3439">
        <f t="shared" si="19"/>
        <v>0</v>
      </c>
      <c r="BE49" s="3439">
        <f t="shared" si="20"/>
        <v>0</v>
      </c>
      <c r="BF49" s="3439">
        <f t="shared" si="21"/>
        <v>0</v>
      </c>
      <c r="BG49" s="3439">
        <f t="shared" si="22"/>
        <v>0</v>
      </c>
      <c r="BH49" s="3439">
        <f t="shared" si="23"/>
        <v>0</v>
      </c>
      <c r="BI49" s="3439">
        <f t="shared" si="24"/>
        <v>0</v>
      </c>
      <c r="BJ49" s="3439">
        <f t="shared" si="25"/>
        <v>0</v>
      </c>
      <c r="BK49" s="3439">
        <f t="shared" si="26"/>
        <v>0</v>
      </c>
      <c r="BL49" s="28">
        <f t="shared" si="27"/>
        <v>0</v>
      </c>
      <c r="BM49" s="28">
        <f t="shared" si="28"/>
        <v>0</v>
      </c>
      <c r="BN49" s="28">
        <f t="shared" si="29"/>
        <v>0</v>
      </c>
      <c r="BO49" s="28">
        <f t="shared" si="30"/>
        <v>0</v>
      </c>
      <c r="BP49" s="28">
        <f t="shared" si="31"/>
        <v>0</v>
      </c>
      <c r="BQ49" s="3439">
        <f t="shared" si="32"/>
        <v>0</v>
      </c>
      <c r="BR49" s="3439">
        <f t="shared" si="33"/>
        <v>0</v>
      </c>
      <c r="BS49" s="3439">
        <f t="shared" si="34"/>
        <v>0</v>
      </c>
      <c r="BT49" s="3451">
        <f t="shared" si="35"/>
        <v>0</v>
      </c>
    </row>
    <row r="50" spans="1:72">
      <c r="A50" s="9"/>
      <c r="B50" s="27"/>
      <c r="C50" s="27"/>
      <c r="D50" s="1678"/>
      <c r="E50" s="28">
        <f t="shared" si="7"/>
        <v>0</v>
      </c>
      <c r="F50" s="29"/>
      <c r="G50" s="30">
        <f t="shared" si="8"/>
        <v>0</v>
      </c>
      <c r="H50" s="31">
        <f t="shared" si="9"/>
        <v>0</v>
      </c>
      <c r="I50" s="32"/>
      <c r="J50" s="32"/>
      <c r="K50" s="32"/>
      <c r="L50" s="32"/>
      <c r="M50" s="32"/>
      <c r="N50" s="32"/>
      <c r="O50" s="32"/>
      <c r="P50" s="32"/>
      <c r="Q50" s="32"/>
      <c r="R50" s="32"/>
      <c r="S50" s="32"/>
      <c r="T50" s="32"/>
      <c r="U50" s="32"/>
      <c r="V50" s="32"/>
      <c r="W50" s="32"/>
      <c r="X50" s="32"/>
      <c r="Y50" s="32"/>
      <c r="Z50" s="32"/>
      <c r="AA50" s="32"/>
      <c r="AB50" s="32"/>
      <c r="AC50" s="28">
        <f t="shared" si="10"/>
        <v>0</v>
      </c>
      <c r="AD50" s="33"/>
      <c r="AE50" s="33"/>
      <c r="AF50" s="33"/>
      <c r="AG50" s="33"/>
      <c r="AH50" s="33"/>
      <c r="AI50" s="33"/>
      <c r="AJ50" s="33"/>
      <c r="AK50" s="33"/>
      <c r="AL50" s="33"/>
      <c r="AM50" s="33"/>
      <c r="AN50" s="33"/>
      <c r="AO50" s="33"/>
      <c r="AP50" s="33"/>
      <c r="AQ50" s="33"/>
      <c r="AR50" s="33"/>
      <c r="AS50" s="33"/>
      <c r="AT50" s="34"/>
      <c r="AU50" s="1679"/>
      <c r="AV50" s="2256">
        <f t="shared" si="11"/>
        <v>0</v>
      </c>
      <c r="AW50" s="2256">
        <f t="shared" si="12"/>
        <v>0</v>
      </c>
      <c r="AX50" s="2256">
        <f t="shared" si="13"/>
        <v>0</v>
      </c>
      <c r="AY50" s="2781">
        <f t="shared" si="14"/>
        <v>0</v>
      </c>
      <c r="AZ50" s="28">
        <f t="shared" si="15"/>
        <v>0</v>
      </c>
      <c r="BA50" s="28">
        <f t="shared" si="16"/>
        <v>0</v>
      </c>
      <c r="BB50" s="28">
        <f t="shared" si="17"/>
        <v>0</v>
      </c>
      <c r="BC50" s="28">
        <f t="shared" si="18"/>
        <v>0</v>
      </c>
      <c r="BD50" s="3439">
        <f t="shared" si="19"/>
        <v>0</v>
      </c>
      <c r="BE50" s="3439">
        <f t="shared" si="20"/>
        <v>0</v>
      </c>
      <c r="BF50" s="3439">
        <f t="shared" si="21"/>
        <v>0</v>
      </c>
      <c r="BG50" s="3439">
        <f t="shared" si="22"/>
        <v>0</v>
      </c>
      <c r="BH50" s="3439">
        <f t="shared" si="23"/>
        <v>0</v>
      </c>
      <c r="BI50" s="3439">
        <f t="shared" si="24"/>
        <v>0</v>
      </c>
      <c r="BJ50" s="3439">
        <f t="shared" si="25"/>
        <v>0</v>
      </c>
      <c r="BK50" s="3439">
        <f t="shared" si="26"/>
        <v>0</v>
      </c>
      <c r="BL50" s="28">
        <f t="shared" si="27"/>
        <v>0</v>
      </c>
      <c r="BM50" s="28">
        <f t="shared" si="28"/>
        <v>0</v>
      </c>
      <c r="BN50" s="28">
        <f t="shared" si="29"/>
        <v>0</v>
      </c>
      <c r="BO50" s="28">
        <f t="shared" si="30"/>
        <v>0</v>
      </c>
      <c r="BP50" s="28">
        <f t="shared" si="31"/>
        <v>0</v>
      </c>
      <c r="BQ50" s="3439">
        <f t="shared" si="32"/>
        <v>0</v>
      </c>
      <c r="BR50" s="3439">
        <f t="shared" si="33"/>
        <v>0</v>
      </c>
      <c r="BS50" s="3439">
        <f t="shared" si="34"/>
        <v>0</v>
      </c>
      <c r="BT50" s="3451">
        <f t="shared" si="35"/>
        <v>0</v>
      </c>
    </row>
    <row r="51" spans="1:72">
      <c r="A51" s="9"/>
      <c r="B51" s="27"/>
      <c r="C51" s="27"/>
      <c r="D51" s="1678"/>
      <c r="E51" s="28">
        <f t="shared" si="7"/>
        <v>0</v>
      </c>
      <c r="F51" s="29"/>
      <c r="G51" s="30">
        <f t="shared" si="8"/>
        <v>0</v>
      </c>
      <c r="H51" s="31">
        <f t="shared" si="9"/>
        <v>0</v>
      </c>
      <c r="I51" s="32"/>
      <c r="J51" s="32"/>
      <c r="K51" s="32"/>
      <c r="L51" s="32"/>
      <c r="M51" s="32"/>
      <c r="N51" s="32"/>
      <c r="O51" s="32"/>
      <c r="P51" s="32"/>
      <c r="Q51" s="32"/>
      <c r="R51" s="32"/>
      <c r="S51" s="32"/>
      <c r="T51" s="32"/>
      <c r="U51" s="32"/>
      <c r="V51" s="32"/>
      <c r="W51" s="32"/>
      <c r="X51" s="32"/>
      <c r="Y51" s="32"/>
      <c r="Z51" s="32"/>
      <c r="AA51" s="32"/>
      <c r="AB51" s="32"/>
      <c r="AC51" s="28">
        <f t="shared" si="10"/>
        <v>0</v>
      </c>
      <c r="AD51" s="33"/>
      <c r="AE51" s="33"/>
      <c r="AF51" s="33"/>
      <c r="AG51" s="33"/>
      <c r="AH51" s="33"/>
      <c r="AI51" s="33"/>
      <c r="AJ51" s="33"/>
      <c r="AK51" s="33"/>
      <c r="AL51" s="33"/>
      <c r="AM51" s="33"/>
      <c r="AN51" s="33"/>
      <c r="AO51" s="33"/>
      <c r="AP51" s="33"/>
      <c r="AQ51" s="33"/>
      <c r="AR51" s="33"/>
      <c r="AS51" s="33"/>
      <c r="AT51" s="34"/>
      <c r="AU51" s="1679"/>
      <c r="AV51" s="2256">
        <f t="shared" si="11"/>
        <v>0</v>
      </c>
      <c r="AW51" s="2256">
        <f t="shared" si="12"/>
        <v>0</v>
      </c>
      <c r="AX51" s="2256">
        <f t="shared" si="13"/>
        <v>0</v>
      </c>
      <c r="AY51" s="2781">
        <f t="shared" si="14"/>
        <v>0</v>
      </c>
      <c r="AZ51" s="28">
        <f t="shared" si="15"/>
        <v>0</v>
      </c>
      <c r="BA51" s="28">
        <f t="shared" si="16"/>
        <v>0</v>
      </c>
      <c r="BB51" s="28">
        <f t="shared" si="17"/>
        <v>0</v>
      </c>
      <c r="BC51" s="28">
        <f t="shared" si="18"/>
        <v>0</v>
      </c>
      <c r="BD51" s="3439">
        <f t="shared" si="19"/>
        <v>0</v>
      </c>
      <c r="BE51" s="3439">
        <f t="shared" si="20"/>
        <v>0</v>
      </c>
      <c r="BF51" s="3439">
        <f t="shared" si="21"/>
        <v>0</v>
      </c>
      <c r="BG51" s="3439">
        <f t="shared" si="22"/>
        <v>0</v>
      </c>
      <c r="BH51" s="3439">
        <f t="shared" si="23"/>
        <v>0</v>
      </c>
      <c r="BI51" s="3439">
        <f t="shared" si="24"/>
        <v>0</v>
      </c>
      <c r="BJ51" s="3439">
        <f t="shared" si="25"/>
        <v>0</v>
      </c>
      <c r="BK51" s="3439">
        <f t="shared" si="26"/>
        <v>0</v>
      </c>
      <c r="BL51" s="28">
        <f t="shared" si="27"/>
        <v>0</v>
      </c>
      <c r="BM51" s="28">
        <f t="shared" si="28"/>
        <v>0</v>
      </c>
      <c r="BN51" s="28">
        <f t="shared" si="29"/>
        <v>0</v>
      </c>
      <c r="BO51" s="28">
        <f t="shared" si="30"/>
        <v>0</v>
      </c>
      <c r="BP51" s="28">
        <f t="shared" si="31"/>
        <v>0</v>
      </c>
      <c r="BQ51" s="3439">
        <f t="shared" si="32"/>
        <v>0</v>
      </c>
      <c r="BR51" s="3439">
        <f t="shared" si="33"/>
        <v>0</v>
      </c>
      <c r="BS51" s="3439">
        <f t="shared" si="34"/>
        <v>0</v>
      </c>
      <c r="BT51" s="3451">
        <f t="shared" si="35"/>
        <v>0</v>
      </c>
    </row>
    <row r="52" spans="1:72">
      <c r="A52" s="9"/>
      <c r="B52" s="27"/>
      <c r="C52" s="27"/>
      <c r="D52" s="1678"/>
      <c r="E52" s="28">
        <f t="shared" si="7"/>
        <v>0</v>
      </c>
      <c r="F52" s="29"/>
      <c r="G52" s="30">
        <f t="shared" si="8"/>
        <v>0</v>
      </c>
      <c r="H52" s="31">
        <f t="shared" si="9"/>
        <v>0</v>
      </c>
      <c r="I52" s="32"/>
      <c r="J52" s="32"/>
      <c r="K52" s="32"/>
      <c r="L52" s="32"/>
      <c r="M52" s="32"/>
      <c r="N52" s="32"/>
      <c r="O52" s="32"/>
      <c r="P52" s="32"/>
      <c r="Q52" s="32"/>
      <c r="R52" s="32"/>
      <c r="S52" s="32"/>
      <c r="T52" s="32"/>
      <c r="U52" s="32"/>
      <c r="V52" s="32"/>
      <c r="W52" s="32"/>
      <c r="X52" s="32"/>
      <c r="Y52" s="32"/>
      <c r="Z52" s="32"/>
      <c r="AA52" s="32"/>
      <c r="AB52" s="32"/>
      <c r="AC52" s="28">
        <f t="shared" si="10"/>
        <v>0</v>
      </c>
      <c r="AD52" s="33"/>
      <c r="AE52" s="33"/>
      <c r="AF52" s="33"/>
      <c r="AG52" s="33"/>
      <c r="AH52" s="33"/>
      <c r="AI52" s="33"/>
      <c r="AJ52" s="33"/>
      <c r="AK52" s="33"/>
      <c r="AL52" s="33"/>
      <c r="AM52" s="33"/>
      <c r="AN52" s="33"/>
      <c r="AO52" s="33"/>
      <c r="AP52" s="33"/>
      <c r="AQ52" s="33"/>
      <c r="AR52" s="33"/>
      <c r="AS52" s="33"/>
      <c r="AT52" s="34"/>
      <c r="AU52" s="1679"/>
      <c r="AV52" s="2256">
        <f t="shared" si="11"/>
        <v>0</v>
      </c>
      <c r="AW52" s="2256">
        <f t="shared" si="12"/>
        <v>0</v>
      </c>
      <c r="AX52" s="2256">
        <f t="shared" si="13"/>
        <v>0</v>
      </c>
      <c r="AY52" s="2781">
        <f t="shared" si="14"/>
        <v>0</v>
      </c>
      <c r="AZ52" s="28">
        <f t="shared" si="15"/>
        <v>0</v>
      </c>
      <c r="BA52" s="28">
        <f t="shared" si="16"/>
        <v>0</v>
      </c>
      <c r="BB52" s="28">
        <f t="shared" si="17"/>
        <v>0</v>
      </c>
      <c r="BC52" s="28">
        <f t="shared" si="18"/>
        <v>0</v>
      </c>
      <c r="BD52" s="3439">
        <f t="shared" si="19"/>
        <v>0</v>
      </c>
      <c r="BE52" s="3439">
        <f t="shared" si="20"/>
        <v>0</v>
      </c>
      <c r="BF52" s="3439">
        <f t="shared" si="21"/>
        <v>0</v>
      </c>
      <c r="BG52" s="3439">
        <f t="shared" si="22"/>
        <v>0</v>
      </c>
      <c r="BH52" s="3439">
        <f t="shared" si="23"/>
        <v>0</v>
      </c>
      <c r="BI52" s="3439">
        <f t="shared" si="24"/>
        <v>0</v>
      </c>
      <c r="BJ52" s="3439">
        <f t="shared" si="25"/>
        <v>0</v>
      </c>
      <c r="BK52" s="3439">
        <f t="shared" si="26"/>
        <v>0</v>
      </c>
      <c r="BL52" s="28">
        <f t="shared" si="27"/>
        <v>0</v>
      </c>
      <c r="BM52" s="28">
        <f t="shared" si="28"/>
        <v>0</v>
      </c>
      <c r="BN52" s="28">
        <f t="shared" si="29"/>
        <v>0</v>
      </c>
      <c r="BO52" s="28">
        <f t="shared" si="30"/>
        <v>0</v>
      </c>
      <c r="BP52" s="28">
        <f t="shared" si="31"/>
        <v>0</v>
      </c>
      <c r="BQ52" s="3439">
        <f t="shared" si="32"/>
        <v>0</v>
      </c>
      <c r="BR52" s="3439">
        <f t="shared" si="33"/>
        <v>0</v>
      </c>
      <c r="BS52" s="3439">
        <f t="shared" si="34"/>
        <v>0</v>
      </c>
      <c r="BT52" s="3451">
        <f t="shared" si="35"/>
        <v>0</v>
      </c>
    </row>
    <row r="53" spans="1:72">
      <c r="A53" s="9"/>
      <c r="B53" s="27"/>
      <c r="C53" s="27"/>
      <c r="D53" s="1678"/>
      <c r="E53" s="28">
        <f t="shared" si="7"/>
        <v>0</v>
      </c>
      <c r="F53" s="29"/>
      <c r="G53" s="30">
        <f t="shared" si="8"/>
        <v>0</v>
      </c>
      <c r="H53" s="31">
        <f t="shared" si="9"/>
        <v>0</v>
      </c>
      <c r="I53" s="32"/>
      <c r="J53" s="32"/>
      <c r="K53" s="32"/>
      <c r="L53" s="32"/>
      <c r="M53" s="32"/>
      <c r="N53" s="32"/>
      <c r="O53" s="32"/>
      <c r="P53" s="32"/>
      <c r="Q53" s="32"/>
      <c r="R53" s="32"/>
      <c r="S53" s="32"/>
      <c r="T53" s="32"/>
      <c r="U53" s="32"/>
      <c r="V53" s="32"/>
      <c r="W53" s="32"/>
      <c r="X53" s="32"/>
      <c r="Y53" s="32"/>
      <c r="Z53" s="32"/>
      <c r="AA53" s="32"/>
      <c r="AB53" s="32"/>
      <c r="AC53" s="28">
        <f t="shared" si="10"/>
        <v>0</v>
      </c>
      <c r="AD53" s="33"/>
      <c r="AE53" s="33"/>
      <c r="AF53" s="33"/>
      <c r="AG53" s="33"/>
      <c r="AH53" s="33"/>
      <c r="AI53" s="33"/>
      <c r="AJ53" s="33"/>
      <c r="AK53" s="33"/>
      <c r="AL53" s="33"/>
      <c r="AM53" s="33"/>
      <c r="AN53" s="33"/>
      <c r="AO53" s="33"/>
      <c r="AP53" s="33"/>
      <c r="AQ53" s="33"/>
      <c r="AR53" s="33"/>
      <c r="AS53" s="33"/>
      <c r="AT53" s="34"/>
      <c r="AU53" s="1679"/>
      <c r="AV53" s="2256">
        <f t="shared" si="11"/>
        <v>0</v>
      </c>
      <c r="AW53" s="2256">
        <f t="shared" si="12"/>
        <v>0</v>
      </c>
      <c r="AX53" s="2256">
        <f t="shared" si="13"/>
        <v>0</v>
      </c>
      <c r="AY53" s="2781">
        <f t="shared" si="14"/>
        <v>0</v>
      </c>
      <c r="AZ53" s="28">
        <f t="shared" si="15"/>
        <v>0</v>
      </c>
      <c r="BA53" s="28">
        <f t="shared" si="16"/>
        <v>0</v>
      </c>
      <c r="BB53" s="28">
        <f t="shared" si="17"/>
        <v>0</v>
      </c>
      <c r="BC53" s="28">
        <f t="shared" si="18"/>
        <v>0</v>
      </c>
      <c r="BD53" s="3439">
        <f t="shared" si="19"/>
        <v>0</v>
      </c>
      <c r="BE53" s="3439">
        <f t="shared" si="20"/>
        <v>0</v>
      </c>
      <c r="BF53" s="3439">
        <f t="shared" si="21"/>
        <v>0</v>
      </c>
      <c r="BG53" s="3439">
        <f t="shared" si="22"/>
        <v>0</v>
      </c>
      <c r="BH53" s="3439">
        <f t="shared" si="23"/>
        <v>0</v>
      </c>
      <c r="BI53" s="3439">
        <f t="shared" si="24"/>
        <v>0</v>
      </c>
      <c r="BJ53" s="3439">
        <f t="shared" si="25"/>
        <v>0</v>
      </c>
      <c r="BK53" s="3439">
        <f t="shared" si="26"/>
        <v>0</v>
      </c>
      <c r="BL53" s="28">
        <f t="shared" si="27"/>
        <v>0</v>
      </c>
      <c r="BM53" s="28">
        <f t="shared" si="28"/>
        <v>0</v>
      </c>
      <c r="BN53" s="28">
        <f t="shared" si="29"/>
        <v>0</v>
      </c>
      <c r="BO53" s="28">
        <f t="shared" si="30"/>
        <v>0</v>
      </c>
      <c r="BP53" s="28">
        <f t="shared" si="31"/>
        <v>0</v>
      </c>
      <c r="BQ53" s="3439">
        <f t="shared" si="32"/>
        <v>0</v>
      </c>
      <c r="BR53" s="3439">
        <f t="shared" si="33"/>
        <v>0</v>
      </c>
      <c r="BS53" s="3439">
        <f t="shared" si="34"/>
        <v>0</v>
      </c>
      <c r="BT53" s="3451">
        <f t="shared" si="35"/>
        <v>0</v>
      </c>
    </row>
    <row r="54" spans="1:72">
      <c r="A54" s="9"/>
      <c r="B54" s="27"/>
      <c r="C54" s="27"/>
      <c r="D54" s="1678"/>
      <c r="E54" s="28">
        <f t="shared" si="7"/>
        <v>0</v>
      </c>
      <c r="F54" s="29"/>
      <c r="G54" s="30">
        <f t="shared" si="8"/>
        <v>0</v>
      </c>
      <c r="H54" s="31">
        <f t="shared" si="9"/>
        <v>0</v>
      </c>
      <c r="I54" s="32"/>
      <c r="J54" s="32"/>
      <c r="K54" s="32"/>
      <c r="L54" s="32"/>
      <c r="M54" s="32"/>
      <c r="N54" s="32"/>
      <c r="O54" s="32"/>
      <c r="P54" s="32"/>
      <c r="Q54" s="32"/>
      <c r="R54" s="32"/>
      <c r="S54" s="32"/>
      <c r="T54" s="32"/>
      <c r="U54" s="32"/>
      <c r="V54" s="32"/>
      <c r="W54" s="32"/>
      <c r="X54" s="32"/>
      <c r="Y54" s="32"/>
      <c r="Z54" s="32"/>
      <c r="AA54" s="32"/>
      <c r="AB54" s="32"/>
      <c r="AC54" s="28">
        <f t="shared" si="10"/>
        <v>0</v>
      </c>
      <c r="AD54" s="33"/>
      <c r="AE54" s="33"/>
      <c r="AF54" s="33"/>
      <c r="AG54" s="33"/>
      <c r="AH54" s="33"/>
      <c r="AI54" s="33"/>
      <c r="AJ54" s="33"/>
      <c r="AK54" s="33"/>
      <c r="AL54" s="33"/>
      <c r="AM54" s="33"/>
      <c r="AN54" s="33"/>
      <c r="AO54" s="33"/>
      <c r="AP54" s="33"/>
      <c r="AQ54" s="33"/>
      <c r="AR54" s="33"/>
      <c r="AS54" s="33"/>
      <c r="AT54" s="34"/>
      <c r="AU54" s="1679"/>
      <c r="AV54" s="2256">
        <f t="shared" si="11"/>
        <v>0</v>
      </c>
      <c r="AW54" s="2256">
        <f t="shared" si="12"/>
        <v>0</v>
      </c>
      <c r="AX54" s="2256">
        <f t="shared" si="13"/>
        <v>0</v>
      </c>
      <c r="AY54" s="2781">
        <f t="shared" si="14"/>
        <v>0</v>
      </c>
      <c r="AZ54" s="28">
        <f t="shared" si="15"/>
        <v>0</v>
      </c>
      <c r="BA54" s="28">
        <f t="shared" si="16"/>
        <v>0</v>
      </c>
      <c r="BB54" s="28">
        <f t="shared" si="17"/>
        <v>0</v>
      </c>
      <c r="BC54" s="28">
        <f t="shared" si="18"/>
        <v>0</v>
      </c>
      <c r="BD54" s="3439">
        <f t="shared" si="19"/>
        <v>0</v>
      </c>
      <c r="BE54" s="3439">
        <f t="shared" si="20"/>
        <v>0</v>
      </c>
      <c r="BF54" s="3439">
        <f t="shared" si="21"/>
        <v>0</v>
      </c>
      <c r="BG54" s="3439">
        <f t="shared" si="22"/>
        <v>0</v>
      </c>
      <c r="BH54" s="3439">
        <f t="shared" si="23"/>
        <v>0</v>
      </c>
      <c r="BI54" s="3439">
        <f t="shared" si="24"/>
        <v>0</v>
      </c>
      <c r="BJ54" s="3439">
        <f t="shared" si="25"/>
        <v>0</v>
      </c>
      <c r="BK54" s="3439">
        <f t="shared" si="26"/>
        <v>0</v>
      </c>
      <c r="BL54" s="28">
        <f t="shared" si="27"/>
        <v>0</v>
      </c>
      <c r="BM54" s="28">
        <f t="shared" si="28"/>
        <v>0</v>
      </c>
      <c r="BN54" s="28">
        <f t="shared" si="29"/>
        <v>0</v>
      </c>
      <c r="BO54" s="28">
        <f t="shared" si="30"/>
        <v>0</v>
      </c>
      <c r="BP54" s="28">
        <f t="shared" si="31"/>
        <v>0</v>
      </c>
      <c r="BQ54" s="3439">
        <f t="shared" si="32"/>
        <v>0</v>
      </c>
      <c r="BR54" s="3439">
        <f t="shared" si="33"/>
        <v>0</v>
      </c>
      <c r="BS54" s="3439">
        <f t="shared" si="34"/>
        <v>0</v>
      </c>
      <c r="BT54" s="3451">
        <f t="shared" si="35"/>
        <v>0</v>
      </c>
    </row>
    <row r="55" spans="1:72">
      <c r="A55" s="9"/>
      <c r="B55" s="27"/>
      <c r="C55" s="27"/>
      <c r="D55" s="1678"/>
      <c r="E55" s="28">
        <f t="shared" si="7"/>
        <v>0</v>
      </c>
      <c r="F55" s="29"/>
      <c r="G55" s="30">
        <f t="shared" si="8"/>
        <v>0</v>
      </c>
      <c r="H55" s="31">
        <f t="shared" si="9"/>
        <v>0</v>
      </c>
      <c r="I55" s="32"/>
      <c r="J55" s="32"/>
      <c r="K55" s="32"/>
      <c r="L55" s="32"/>
      <c r="M55" s="32"/>
      <c r="N55" s="32"/>
      <c r="O55" s="32"/>
      <c r="P55" s="32"/>
      <c r="Q55" s="32"/>
      <c r="R55" s="32"/>
      <c r="S55" s="32"/>
      <c r="T55" s="32"/>
      <c r="U55" s="32"/>
      <c r="V55" s="32"/>
      <c r="W55" s="32"/>
      <c r="X55" s="32"/>
      <c r="Y55" s="32"/>
      <c r="Z55" s="32"/>
      <c r="AA55" s="32"/>
      <c r="AB55" s="32"/>
      <c r="AC55" s="28">
        <f t="shared" si="10"/>
        <v>0</v>
      </c>
      <c r="AD55" s="33"/>
      <c r="AE55" s="33"/>
      <c r="AF55" s="33"/>
      <c r="AG55" s="33"/>
      <c r="AH55" s="33"/>
      <c r="AI55" s="33"/>
      <c r="AJ55" s="33"/>
      <c r="AK55" s="33"/>
      <c r="AL55" s="33"/>
      <c r="AM55" s="33"/>
      <c r="AN55" s="33"/>
      <c r="AO55" s="33"/>
      <c r="AP55" s="33"/>
      <c r="AQ55" s="33"/>
      <c r="AR55" s="33"/>
      <c r="AS55" s="33"/>
      <c r="AT55" s="34"/>
      <c r="AU55" s="1679"/>
      <c r="AV55" s="2256">
        <f t="shared" si="11"/>
        <v>0</v>
      </c>
      <c r="AW55" s="2256">
        <f t="shared" si="12"/>
        <v>0</v>
      </c>
      <c r="AX55" s="2256">
        <f t="shared" si="13"/>
        <v>0</v>
      </c>
      <c r="AY55" s="2781">
        <f t="shared" si="14"/>
        <v>0</v>
      </c>
      <c r="AZ55" s="28">
        <f t="shared" si="15"/>
        <v>0</v>
      </c>
      <c r="BA55" s="28">
        <f t="shared" si="16"/>
        <v>0</v>
      </c>
      <c r="BB55" s="28">
        <f t="shared" si="17"/>
        <v>0</v>
      </c>
      <c r="BC55" s="28">
        <f t="shared" si="18"/>
        <v>0</v>
      </c>
      <c r="BD55" s="3439">
        <f t="shared" si="19"/>
        <v>0</v>
      </c>
      <c r="BE55" s="3439">
        <f t="shared" si="20"/>
        <v>0</v>
      </c>
      <c r="BF55" s="3439">
        <f t="shared" si="21"/>
        <v>0</v>
      </c>
      <c r="BG55" s="3439">
        <f t="shared" si="22"/>
        <v>0</v>
      </c>
      <c r="BH55" s="3439">
        <f t="shared" si="23"/>
        <v>0</v>
      </c>
      <c r="BI55" s="3439">
        <f t="shared" si="24"/>
        <v>0</v>
      </c>
      <c r="BJ55" s="3439">
        <f t="shared" si="25"/>
        <v>0</v>
      </c>
      <c r="BK55" s="3439">
        <f t="shared" si="26"/>
        <v>0</v>
      </c>
      <c r="BL55" s="28">
        <f t="shared" si="27"/>
        <v>0</v>
      </c>
      <c r="BM55" s="28">
        <f t="shared" si="28"/>
        <v>0</v>
      </c>
      <c r="BN55" s="28">
        <f t="shared" si="29"/>
        <v>0</v>
      </c>
      <c r="BO55" s="28">
        <f t="shared" si="30"/>
        <v>0</v>
      </c>
      <c r="BP55" s="28">
        <f t="shared" si="31"/>
        <v>0</v>
      </c>
      <c r="BQ55" s="3439">
        <f t="shared" si="32"/>
        <v>0</v>
      </c>
      <c r="BR55" s="3439">
        <f t="shared" si="33"/>
        <v>0</v>
      </c>
      <c r="BS55" s="3439">
        <f t="shared" si="34"/>
        <v>0</v>
      </c>
      <c r="BT55" s="3451">
        <f t="shared" si="35"/>
        <v>0</v>
      </c>
    </row>
    <row r="56" spans="1:72">
      <c r="A56" s="9"/>
      <c r="B56" s="27"/>
      <c r="C56" s="27"/>
      <c r="D56" s="1678"/>
      <c r="E56" s="28">
        <f t="shared" si="7"/>
        <v>0</v>
      </c>
      <c r="F56" s="29"/>
      <c r="G56" s="30">
        <f t="shared" si="8"/>
        <v>0</v>
      </c>
      <c r="H56" s="31">
        <f t="shared" si="9"/>
        <v>0</v>
      </c>
      <c r="I56" s="32"/>
      <c r="J56" s="32"/>
      <c r="K56" s="32"/>
      <c r="L56" s="32"/>
      <c r="M56" s="32"/>
      <c r="N56" s="32"/>
      <c r="O56" s="32"/>
      <c r="P56" s="32"/>
      <c r="Q56" s="32"/>
      <c r="R56" s="32"/>
      <c r="S56" s="32"/>
      <c r="T56" s="32"/>
      <c r="U56" s="32"/>
      <c r="V56" s="32"/>
      <c r="W56" s="32"/>
      <c r="X56" s="32"/>
      <c r="Y56" s="32"/>
      <c r="Z56" s="32"/>
      <c r="AA56" s="32"/>
      <c r="AB56" s="32"/>
      <c r="AC56" s="28">
        <f t="shared" si="10"/>
        <v>0</v>
      </c>
      <c r="AD56" s="33"/>
      <c r="AE56" s="33"/>
      <c r="AF56" s="33"/>
      <c r="AG56" s="33"/>
      <c r="AH56" s="33"/>
      <c r="AI56" s="33"/>
      <c r="AJ56" s="33"/>
      <c r="AK56" s="33"/>
      <c r="AL56" s="33"/>
      <c r="AM56" s="33"/>
      <c r="AN56" s="33"/>
      <c r="AO56" s="33"/>
      <c r="AP56" s="33"/>
      <c r="AQ56" s="33"/>
      <c r="AR56" s="33"/>
      <c r="AS56" s="33"/>
      <c r="AT56" s="34"/>
      <c r="AU56" s="1679"/>
      <c r="AV56" s="2256">
        <f t="shared" si="11"/>
        <v>0</v>
      </c>
      <c r="AW56" s="2256">
        <f t="shared" si="12"/>
        <v>0</v>
      </c>
      <c r="AX56" s="2256">
        <f t="shared" si="13"/>
        <v>0</v>
      </c>
      <c r="AY56" s="2781">
        <f t="shared" si="14"/>
        <v>0</v>
      </c>
      <c r="AZ56" s="28">
        <f t="shared" si="15"/>
        <v>0</v>
      </c>
      <c r="BA56" s="28">
        <f t="shared" si="16"/>
        <v>0</v>
      </c>
      <c r="BB56" s="28">
        <f t="shared" si="17"/>
        <v>0</v>
      </c>
      <c r="BC56" s="28">
        <f t="shared" si="18"/>
        <v>0</v>
      </c>
      <c r="BD56" s="3439">
        <f t="shared" si="19"/>
        <v>0</v>
      </c>
      <c r="BE56" s="3439">
        <f t="shared" si="20"/>
        <v>0</v>
      </c>
      <c r="BF56" s="3439">
        <f t="shared" si="21"/>
        <v>0</v>
      </c>
      <c r="BG56" s="3439">
        <f t="shared" si="22"/>
        <v>0</v>
      </c>
      <c r="BH56" s="3439">
        <f t="shared" si="23"/>
        <v>0</v>
      </c>
      <c r="BI56" s="3439">
        <f t="shared" si="24"/>
        <v>0</v>
      </c>
      <c r="BJ56" s="3439">
        <f t="shared" si="25"/>
        <v>0</v>
      </c>
      <c r="BK56" s="3439">
        <f t="shared" si="26"/>
        <v>0</v>
      </c>
      <c r="BL56" s="28">
        <f t="shared" si="27"/>
        <v>0</v>
      </c>
      <c r="BM56" s="28">
        <f t="shared" si="28"/>
        <v>0</v>
      </c>
      <c r="BN56" s="28">
        <f t="shared" si="29"/>
        <v>0</v>
      </c>
      <c r="BO56" s="28">
        <f t="shared" si="30"/>
        <v>0</v>
      </c>
      <c r="BP56" s="28">
        <f t="shared" si="31"/>
        <v>0</v>
      </c>
      <c r="BQ56" s="3439">
        <f t="shared" si="32"/>
        <v>0</v>
      </c>
      <c r="BR56" s="3439">
        <f t="shared" si="33"/>
        <v>0</v>
      </c>
      <c r="BS56" s="3439">
        <f t="shared" si="34"/>
        <v>0</v>
      </c>
      <c r="BT56" s="3451">
        <f t="shared" si="35"/>
        <v>0</v>
      </c>
    </row>
    <row r="57" spans="1:72">
      <c r="A57" s="9"/>
      <c r="B57" s="27"/>
      <c r="C57" s="27"/>
      <c r="D57" s="1678"/>
      <c r="E57" s="28">
        <f t="shared" si="7"/>
        <v>0</v>
      </c>
      <c r="F57" s="29"/>
      <c r="G57" s="30">
        <f t="shared" si="8"/>
        <v>0</v>
      </c>
      <c r="H57" s="31">
        <f t="shared" si="9"/>
        <v>0</v>
      </c>
      <c r="I57" s="32"/>
      <c r="J57" s="32"/>
      <c r="K57" s="32"/>
      <c r="L57" s="32"/>
      <c r="M57" s="32"/>
      <c r="N57" s="32"/>
      <c r="O57" s="32"/>
      <c r="P57" s="32"/>
      <c r="Q57" s="32"/>
      <c r="R57" s="32"/>
      <c r="S57" s="32"/>
      <c r="T57" s="32"/>
      <c r="U57" s="32"/>
      <c r="V57" s="32"/>
      <c r="W57" s="32"/>
      <c r="X57" s="32"/>
      <c r="Y57" s="32"/>
      <c r="Z57" s="32"/>
      <c r="AA57" s="32"/>
      <c r="AB57" s="32"/>
      <c r="AC57" s="28">
        <f t="shared" si="10"/>
        <v>0</v>
      </c>
      <c r="AD57" s="33"/>
      <c r="AE57" s="33"/>
      <c r="AF57" s="33"/>
      <c r="AG57" s="33"/>
      <c r="AH57" s="33"/>
      <c r="AI57" s="33"/>
      <c r="AJ57" s="33"/>
      <c r="AK57" s="33"/>
      <c r="AL57" s="33"/>
      <c r="AM57" s="33"/>
      <c r="AN57" s="33"/>
      <c r="AO57" s="33"/>
      <c r="AP57" s="33"/>
      <c r="AQ57" s="33"/>
      <c r="AR57" s="33"/>
      <c r="AS57" s="33"/>
      <c r="AT57" s="34"/>
      <c r="AU57" s="1679"/>
      <c r="AV57" s="2256">
        <f t="shared" si="11"/>
        <v>0</v>
      </c>
      <c r="AW57" s="2256">
        <f t="shared" si="12"/>
        <v>0</v>
      </c>
      <c r="AX57" s="2256">
        <f t="shared" si="13"/>
        <v>0</v>
      </c>
      <c r="AY57" s="2781">
        <f t="shared" si="14"/>
        <v>0</v>
      </c>
      <c r="AZ57" s="28">
        <f t="shared" si="15"/>
        <v>0</v>
      </c>
      <c r="BA57" s="28">
        <f t="shared" si="16"/>
        <v>0</v>
      </c>
      <c r="BB57" s="28">
        <f t="shared" si="17"/>
        <v>0</v>
      </c>
      <c r="BC57" s="28">
        <f t="shared" si="18"/>
        <v>0</v>
      </c>
      <c r="BD57" s="3439">
        <f t="shared" si="19"/>
        <v>0</v>
      </c>
      <c r="BE57" s="3439">
        <f t="shared" si="20"/>
        <v>0</v>
      </c>
      <c r="BF57" s="3439">
        <f t="shared" si="21"/>
        <v>0</v>
      </c>
      <c r="BG57" s="3439">
        <f t="shared" si="22"/>
        <v>0</v>
      </c>
      <c r="BH57" s="3439">
        <f t="shared" si="23"/>
        <v>0</v>
      </c>
      <c r="BI57" s="3439">
        <f t="shared" si="24"/>
        <v>0</v>
      </c>
      <c r="BJ57" s="3439">
        <f t="shared" si="25"/>
        <v>0</v>
      </c>
      <c r="BK57" s="3439">
        <f t="shared" si="26"/>
        <v>0</v>
      </c>
      <c r="BL57" s="28">
        <f t="shared" si="27"/>
        <v>0</v>
      </c>
      <c r="BM57" s="28">
        <f t="shared" si="28"/>
        <v>0</v>
      </c>
      <c r="BN57" s="28">
        <f t="shared" si="29"/>
        <v>0</v>
      </c>
      <c r="BO57" s="28">
        <f t="shared" si="30"/>
        <v>0</v>
      </c>
      <c r="BP57" s="28">
        <f t="shared" si="31"/>
        <v>0</v>
      </c>
      <c r="BQ57" s="3439">
        <f t="shared" si="32"/>
        <v>0</v>
      </c>
      <c r="BR57" s="3439">
        <f t="shared" si="33"/>
        <v>0</v>
      </c>
      <c r="BS57" s="3439">
        <f t="shared" si="34"/>
        <v>0</v>
      </c>
      <c r="BT57" s="3451">
        <f t="shared" si="35"/>
        <v>0</v>
      </c>
    </row>
    <row r="58" spans="1:72">
      <c r="A58" s="9"/>
      <c r="B58" s="27"/>
      <c r="C58" s="27"/>
      <c r="D58" s="1678"/>
      <c r="E58" s="28">
        <f t="shared" si="7"/>
        <v>0</v>
      </c>
      <c r="F58" s="29"/>
      <c r="G58" s="30">
        <f t="shared" si="8"/>
        <v>0</v>
      </c>
      <c r="H58" s="31">
        <f t="shared" si="9"/>
        <v>0</v>
      </c>
      <c r="I58" s="32"/>
      <c r="J58" s="32"/>
      <c r="K58" s="32"/>
      <c r="L58" s="32"/>
      <c r="M58" s="32"/>
      <c r="N58" s="32"/>
      <c r="O58" s="32"/>
      <c r="P58" s="32"/>
      <c r="Q58" s="32"/>
      <c r="R58" s="32"/>
      <c r="S58" s="32"/>
      <c r="T58" s="32"/>
      <c r="U58" s="32"/>
      <c r="V58" s="32"/>
      <c r="W58" s="32"/>
      <c r="X58" s="32"/>
      <c r="Y58" s="32"/>
      <c r="Z58" s="32"/>
      <c r="AA58" s="32"/>
      <c r="AB58" s="32"/>
      <c r="AC58" s="28">
        <f t="shared" si="10"/>
        <v>0</v>
      </c>
      <c r="AD58" s="33"/>
      <c r="AE58" s="33"/>
      <c r="AF58" s="33"/>
      <c r="AG58" s="33"/>
      <c r="AH58" s="33"/>
      <c r="AI58" s="33"/>
      <c r="AJ58" s="33"/>
      <c r="AK58" s="33"/>
      <c r="AL58" s="33"/>
      <c r="AM58" s="33"/>
      <c r="AN58" s="33"/>
      <c r="AO58" s="33"/>
      <c r="AP58" s="33"/>
      <c r="AQ58" s="33"/>
      <c r="AR58" s="33"/>
      <c r="AS58" s="33"/>
      <c r="AT58" s="34"/>
      <c r="AU58" s="1679"/>
      <c r="AV58" s="2256">
        <f t="shared" si="11"/>
        <v>0</v>
      </c>
      <c r="AW58" s="2256">
        <f t="shared" si="12"/>
        <v>0</v>
      </c>
      <c r="AX58" s="2256">
        <f t="shared" si="13"/>
        <v>0</v>
      </c>
      <c r="AY58" s="2781">
        <f t="shared" si="14"/>
        <v>0</v>
      </c>
      <c r="AZ58" s="28">
        <f t="shared" si="15"/>
        <v>0</v>
      </c>
      <c r="BA58" s="28">
        <f t="shared" si="16"/>
        <v>0</v>
      </c>
      <c r="BB58" s="28">
        <f t="shared" si="17"/>
        <v>0</v>
      </c>
      <c r="BC58" s="28">
        <f t="shared" si="18"/>
        <v>0</v>
      </c>
      <c r="BD58" s="3439">
        <f t="shared" si="19"/>
        <v>0</v>
      </c>
      <c r="BE58" s="3439">
        <f t="shared" si="20"/>
        <v>0</v>
      </c>
      <c r="BF58" s="3439">
        <f t="shared" si="21"/>
        <v>0</v>
      </c>
      <c r="BG58" s="3439">
        <f t="shared" si="22"/>
        <v>0</v>
      </c>
      <c r="BH58" s="3439">
        <f t="shared" si="23"/>
        <v>0</v>
      </c>
      <c r="BI58" s="3439">
        <f t="shared" si="24"/>
        <v>0</v>
      </c>
      <c r="BJ58" s="3439">
        <f t="shared" si="25"/>
        <v>0</v>
      </c>
      <c r="BK58" s="3439">
        <f t="shared" si="26"/>
        <v>0</v>
      </c>
      <c r="BL58" s="28">
        <f t="shared" si="27"/>
        <v>0</v>
      </c>
      <c r="BM58" s="28">
        <f t="shared" si="28"/>
        <v>0</v>
      </c>
      <c r="BN58" s="28">
        <f t="shared" si="29"/>
        <v>0</v>
      </c>
      <c r="BO58" s="28">
        <f t="shared" si="30"/>
        <v>0</v>
      </c>
      <c r="BP58" s="28">
        <f t="shared" si="31"/>
        <v>0</v>
      </c>
      <c r="BQ58" s="3439">
        <f t="shared" si="32"/>
        <v>0</v>
      </c>
      <c r="BR58" s="3439">
        <f t="shared" si="33"/>
        <v>0</v>
      </c>
      <c r="BS58" s="3439">
        <f t="shared" si="34"/>
        <v>0</v>
      </c>
      <c r="BT58" s="3451">
        <f t="shared" si="35"/>
        <v>0</v>
      </c>
    </row>
    <row r="59" spans="1:72">
      <c r="A59" s="9"/>
      <c r="B59" s="27"/>
      <c r="C59" s="27"/>
      <c r="D59" s="1678"/>
      <c r="E59" s="28">
        <f t="shared" si="7"/>
        <v>0</v>
      </c>
      <c r="F59" s="29"/>
      <c r="G59" s="30">
        <f t="shared" si="8"/>
        <v>0</v>
      </c>
      <c r="H59" s="31">
        <f t="shared" si="9"/>
        <v>0</v>
      </c>
      <c r="I59" s="32"/>
      <c r="J59" s="32"/>
      <c r="K59" s="32"/>
      <c r="L59" s="32"/>
      <c r="M59" s="32"/>
      <c r="N59" s="32"/>
      <c r="O59" s="32"/>
      <c r="P59" s="32"/>
      <c r="Q59" s="32"/>
      <c r="R59" s="32"/>
      <c r="S59" s="32"/>
      <c r="T59" s="32"/>
      <c r="U59" s="32"/>
      <c r="V59" s="32"/>
      <c r="W59" s="32"/>
      <c r="X59" s="32"/>
      <c r="Y59" s="32"/>
      <c r="Z59" s="32"/>
      <c r="AA59" s="32"/>
      <c r="AB59" s="32"/>
      <c r="AC59" s="28">
        <f t="shared" si="10"/>
        <v>0</v>
      </c>
      <c r="AD59" s="33"/>
      <c r="AE59" s="33"/>
      <c r="AF59" s="33"/>
      <c r="AG59" s="33"/>
      <c r="AH59" s="33"/>
      <c r="AI59" s="33"/>
      <c r="AJ59" s="33"/>
      <c r="AK59" s="33"/>
      <c r="AL59" s="33"/>
      <c r="AM59" s="33"/>
      <c r="AN59" s="33"/>
      <c r="AO59" s="33"/>
      <c r="AP59" s="33"/>
      <c r="AQ59" s="33"/>
      <c r="AR59" s="33"/>
      <c r="AS59" s="33"/>
      <c r="AT59" s="34"/>
      <c r="AU59" s="1679"/>
      <c r="AV59" s="2256">
        <f t="shared" si="11"/>
        <v>0</v>
      </c>
      <c r="AW59" s="2256">
        <f t="shared" si="12"/>
        <v>0</v>
      </c>
      <c r="AX59" s="2256">
        <f t="shared" si="13"/>
        <v>0</v>
      </c>
      <c r="AY59" s="2781">
        <f t="shared" si="14"/>
        <v>0</v>
      </c>
      <c r="AZ59" s="28">
        <f t="shared" si="15"/>
        <v>0</v>
      </c>
      <c r="BA59" s="28">
        <f t="shared" si="16"/>
        <v>0</v>
      </c>
      <c r="BB59" s="28">
        <f t="shared" si="17"/>
        <v>0</v>
      </c>
      <c r="BC59" s="28">
        <f t="shared" si="18"/>
        <v>0</v>
      </c>
      <c r="BD59" s="3439">
        <f t="shared" si="19"/>
        <v>0</v>
      </c>
      <c r="BE59" s="3439">
        <f t="shared" si="20"/>
        <v>0</v>
      </c>
      <c r="BF59" s="3439">
        <f t="shared" si="21"/>
        <v>0</v>
      </c>
      <c r="BG59" s="3439">
        <f t="shared" si="22"/>
        <v>0</v>
      </c>
      <c r="BH59" s="3439">
        <f t="shared" si="23"/>
        <v>0</v>
      </c>
      <c r="BI59" s="3439">
        <f t="shared" si="24"/>
        <v>0</v>
      </c>
      <c r="BJ59" s="3439">
        <f t="shared" si="25"/>
        <v>0</v>
      </c>
      <c r="BK59" s="3439">
        <f t="shared" si="26"/>
        <v>0</v>
      </c>
      <c r="BL59" s="28">
        <f t="shared" si="27"/>
        <v>0</v>
      </c>
      <c r="BM59" s="28">
        <f t="shared" si="28"/>
        <v>0</v>
      </c>
      <c r="BN59" s="28">
        <f t="shared" si="29"/>
        <v>0</v>
      </c>
      <c r="BO59" s="28">
        <f t="shared" si="30"/>
        <v>0</v>
      </c>
      <c r="BP59" s="28">
        <f t="shared" si="31"/>
        <v>0</v>
      </c>
      <c r="BQ59" s="3439">
        <f t="shared" si="32"/>
        <v>0</v>
      </c>
      <c r="BR59" s="3439">
        <f t="shared" si="33"/>
        <v>0</v>
      </c>
      <c r="BS59" s="3439">
        <f t="shared" si="34"/>
        <v>0</v>
      </c>
      <c r="BT59" s="3451">
        <f t="shared" si="35"/>
        <v>0</v>
      </c>
    </row>
    <row r="60" spans="1:72">
      <c r="A60" s="9"/>
      <c r="B60" s="27"/>
      <c r="C60" s="27"/>
      <c r="D60" s="1678"/>
      <c r="E60" s="28">
        <f t="shared" si="7"/>
        <v>0</v>
      </c>
      <c r="F60" s="29"/>
      <c r="G60" s="30">
        <f t="shared" si="8"/>
        <v>0</v>
      </c>
      <c r="H60" s="31">
        <f t="shared" si="9"/>
        <v>0</v>
      </c>
      <c r="I60" s="32"/>
      <c r="J60" s="32"/>
      <c r="K60" s="32"/>
      <c r="L60" s="32"/>
      <c r="M60" s="32"/>
      <c r="N60" s="32"/>
      <c r="O60" s="32"/>
      <c r="P60" s="32"/>
      <c r="Q60" s="32"/>
      <c r="R60" s="32"/>
      <c r="S60" s="32"/>
      <c r="T60" s="32"/>
      <c r="U60" s="32"/>
      <c r="V60" s="32"/>
      <c r="W60" s="32"/>
      <c r="X60" s="32"/>
      <c r="Y60" s="32"/>
      <c r="Z60" s="32"/>
      <c r="AA60" s="32"/>
      <c r="AB60" s="32"/>
      <c r="AC60" s="28">
        <f t="shared" si="10"/>
        <v>0</v>
      </c>
      <c r="AD60" s="33"/>
      <c r="AE60" s="33"/>
      <c r="AF60" s="33"/>
      <c r="AG60" s="33"/>
      <c r="AH60" s="33"/>
      <c r="AI60" s="33"/>
      <c r="AJ60" s="33"/>
      <c r="AK60" s="33"/>
      <c r="AL60" s="33"/>
      <c r="AM60" s="33"/>
      <c r="AN60" s="33"/>
      <c r="AO60" s="33"/>
      <c r="AP60" s="33"/>
      <c r="AQ60" s="33"/>
      <c r="AR60" s="33"/>
      <c r="AS60" s="33"/>
      <c r="AT60" s="34"/>
      <c r="AU60" s="1679"/>
      <c r="AV60" s="2256">
        <f t="shared" si="11"/>
        <v>0</v>
      </c>
      <c r="AW60" s="2256">
        <f t="shared" si="12"/>
        <v>0</v>
      </c>
      <c r="AX60" s="2256">
        <f t="shared" si="13"/>
        <v>0</v>
      </c>
      <c r="AY60" s="2781">
        <f t="shared" si="14"/>
        <v>0</v>
      </c>
      <c r="AZ60" s="28">
        <f t="shared" si="15"/>
        <v>0</v>
      </c>
      <c r="BA60" s="28">
        <f t="shared" si="16"/>
        <v>0</v>
      </c>
      <c r="BB60" s="28">
        <f t="shared" si="17"/>
        <v>0</v>
      </c>
      <c r="BC60" s="28">
        <f t="shared" si="18"/>
        <v>0</v>
      </c>
      <c r="BD60" s="3439">
        <f t="shared" si="19"/>
        <v>0</v>
      </c>
      <c r="BE60" s="3439">
        <f t="shared" si="20"/>
        <v>0</v>
      </c>
      <c r="BF60" s="3439">
        <f t="shared" si="21"/>
        <v>0</v>
      </c>
      <c r="BG60" s="3439">
        <f t="shared" si="22"/>
        <v>0</v>
      </c>
      <c r="BH60" s="3439">
        <f t="shared" si="23"/>
        <v>0</v>
      </c>
      <c r="BI60" s="3439">
        <f t="shared" si="24"/>
        <v>0</v>
      </c>
      <c r="BJ60" s="3439">
        <f t="shared" si="25"/>
        <v>0</v>
      </c>
      <c r="BK60" s="3439">
        <f t="shared" si="26"/>
        <v>0</v>
      </c>
      <c r="BL60" s="28">
        <f t="shared" si="27"/>
        <v>0</v>
      </c>
      <c r="BM60" s="28">
        <f t="shared" si="28"/>
        <v>0</v>
      </c>
      <c r="BN60" s="28">
        <f t="shared" si="29"/>
        <v>0</v>
      </c>
      <c r="BO60" s="28">
        <f t="shared" si="30"/>
        <v>0</v>
      </c>
      <c r="BP60" s="28">
        <f t="shared" si="31"/>
        <v>0</v>
      </c>
      <c r="BQ60" s="3439">
        <f t="shared" si="32"/>
        <v>0</v>
      </c>
      <c r="BR60" s="3439">
        <f t="shared" si="33"/>
        <v>0</v>
      </c>
      <c r="BS60" s="3439">
        <f t="shared" si="34"/>
        <v>0</v>
      </c>
      <c r="BT60" s="3451">
        <f t="shared" si="35"/>
        <v>0</v>
      </c>
    </row>
    <row r="61" spans="1:72">
      <c r="A61" s="9"/>
      <c r="B61" s="27"/>
      <c r="C61" s="27"/>
      <c r="D61" s="1678"/>
      <c r="E61" s="28">
        <f t="shared" si="7"/>
        <v>0</v>
      </c>
      <c r="F61" s="29"/>
      <c r="G61" s="30">
        <f t="shared" si="8"/>
        <v>0</v>
      </c>
      <c r="H61" s="31">
        <f t="shared" si="9"/>
        <v>0</v>
      </c>
      <c r="I61" s="32"/>
      <c r="J61" s="32"/>
      <c r="K61" s="32"/>
      <c r="L61" s="32"/>
      <c r="M61" s="32"/>
      <c r="N61" s="32"/>
      <c r="O61" s="32"/>
      <c r="P61" s="32"/>
      <c r="Q61" s="32"/>
      <c r="R61" s="32"/>
      <c r="S61" s="32"/>
      <c r="T61" s="32"/>
      <c r="U61" s="32"/>
      <c r="V61" s="32"/>
      <c r="W61" s="32"/>
      <c r="X61" s="32"/>
      <c r="Y61" s="32"/>
      <c r="Z61" s="32"/>
      <c r="AA61" s="32"/>
      <c r="AB61" s="32"/>
      <c r="AC61" s="28">
        <f t="shared" si="10"/>
        <v>0</v>
      </c>
      <c r="AD61" s="33"/>
      <c r="AE61" s="33"/>
      <c r="AF61" s="33"/>
      <c r="AG61" s="33"/>
      <c r="AH61" s="33"/>
      <c r="AI61" s="33"/>
      <c r="AJ61" s="33"/>
      <c r="AK61" s="33"/>
      <c r="AL61" s="33"/>
      <c r="AM61" s="33"/>
      <c r="AN61" s="33"/>
      <c r="AO61" s="33"/>
      <c r="AP61" s="33"/>
      <c r="AQ61" s="33"/>
      <c r="AR61" s="33"/>
      <c r="AS61" s="33"/>
      <c r="AT61" s="34"/>
      <c r="AU61" s="1679"/>
      <c r="AV61" s="2256">
        <f t="shared" si="11"/>
        <v>0</v>
      </c>
      <c r="AW61" s="2256">
        <f t="shared" si="12"/>
        <v>0</v>
      </c>
      <c r="AX61" s="2256">
        <f t="shared" si="13"/>
        <v>0</v>
      </c>
      <c r="AY61" s="2781">
        <f t="shared" si="14"/>
        <v>0</v>
      </c>
      <c r="AZ61" s="28">
        <f t="shared" si="15"/>
        <v>0</v>
      </c>
      <c r="BA61" s="28">
        <f t="shared" si="16"/>
        <v>0</v>
      </c>
      <c r="BB61" s="28">
        <f t="shared" si="17"/>
        <v>0</v>
      </c>
      <c r="BC61" s="28">
        <f t="shared" si="18"/>
        <v>0</v>
      </c>
      <c r="BD61" s="3439">
        <f t="shared" si="19"/>
        <v>0</v>
      </c>
      <c r="BE61" s="3439">
        <f t="shared" si="20"/>
        <v>0</v>
      </c>
      <c r="BF61" s="3439">
        <f t="shared" si="21"/>
        <v>0</v>
      </c>
      <c r="BG61" s="3439">
        <f t="shared" si="22"/>
        <v>0</v>
      </c>
      <c r="BH61" s="3439">
        <f t="shared" si="23"/>
        <v>0</v>
      </c>
      <c r="BI61" s="3439">
        <f t="shared" si="24"/>
        <v>0</v>
      </c>
      <c r="BJ61" s="3439">
        <f t="shared" si="25"/>
        <v>0</v>
      </c>
      <c r="BK61" s="3439">
        <f t="shared" si="26"/>
        <v>0</v>
      </c>
      <c r="BL61" s="28">
        <f t="shared" si="27"/>
        <v>0</v>
      </c>
      <c r="BM61" s="28">
        <f t="shared" si="28"/>
        <v>0</v>
      </c>
      <c r="BN61" s="28">
        <f t="shared" si="29"/>
        <v>0</v>
      </c>
      <c r="BO61" s="28">
        <f t="shared" si="30"/>
        <v>0</v>
      </c>
      <c r="BP61" s="28">
        <f t="shared" si="31"/>
        <v>0</v>
      </c>
      <c r="BQ61" s="3439">
        <f t="shared" si="32"/>
        <v>0</v>
      </c>
      <c r="BR61" s="3439">
        <f t="shared" si="33"/>
        <v>0</v>
      </c>
      <c r="BS61" s="3439">
        <f t="shared" si="34"/>
        <v>0</v>
      </c>
      <c r="BT61" s="3451">
        <f t="shared" si="35"/>
        <v>0</v>
      </c>
    </row>
    <row r="62" spans="1:72">
      <c r="A62" s="9"/>
      <c r="B62" s="27"/>
      <c r="C62" s="27"/>
      <c r="D62" s="1678"/>
      <c r="E62" s="28">
        <f t="shared" si="7"/>
        <v>0</v>
      </c>
      <c r="F62" s="29"/>
      <c r="G62" s="30">
        <f t="shared" si="8"/>
        <v>0</v>
      </c>
      <c r="H62" s="31">
        <f t="shared" si="9"/>
        <v>0</v>
      </c>
      <c r="I62" s="32"/>
      <c r="J62" s="32"/>
      <c r="K62" s="32"/>
      <c r="L62" s="32"/>
      <c r="M62" s="32"/>
      <c r="N62" s="32"/>
      <c r="O62" s="32"/>
      <c r="P62" s="32"/>
      <c r="Q62" s="32"/>
      <c r="R62" s="32"/>
      <c r="S62" s="32"/>
      <c r="T62" s="32"/>
      <c r="U62" s="32"/>
      <c r="V62" s="32"/>
      <c r="W62" s="32"/>
      <c r="X62" s="32"/>
      <c r="Y62" s="32"/>
      <c r="Z62" s="32"/>
      <c r="AA62" s="32"/>
      <c r="AB62" s="32"/>
      <c r="AC62" s="28">
        <f t="shared" si="10"/>
        <v>0</v>
      </c>
      <c r="AD62" s="33"/>
      <c r="AE62" s="33"/>
      <c r="AF62" s="33"/>
      <c r="AG62" s="33"/>
      <c r="AH62" s="33"/>
      <c r="AI62" s="33"/>
      <c r="AJ62" s="33"/>
      <c r="AK62" s="33"/>
      <c r="AL62" s="33"/>
      <c r="AM62" s="33"/>
      <c r="AN62" s="33"/>
      <c r="AO62" s="33"/>
      <c r="AP62" s="33"/>
      <c r="AQ62" s="33"/>
      <c r="AR62" s="33"/>
      <c r="AS62" s="33"/>
      <c r="AT62" s="34"/>
      <c r="AU62" s="1679"/>
      <c r="AV62" s="2256">
        <f t="shared" si="11"/>
        <v>0</v>
      </c>
      <c r="AW62" s="2256">
        <f t="shared" si="12"/>
        <v>0</v>
      </c>
      <c r="AX62" s="2256">
        <f t="shared" si="13"/>
        <v>0</v>
      </c>
      <c r="AY62" s="2781">
        <f t="shared" si="14"/>
        <v>0</v>
      </c>
      <c r="AZ62" s="28">
        <f t="shared" si="15"/>
        <v>0</v>
      </c>
      <c r="BA62" s="28">
        <f t="shared" si="16"/>
        <v>0</v>
      </c>
      <c r="BB62" s="28">
        <f t="shared" si="17"/>
        <v>0</v>
      </c>
      <c r="BC62" s="28">
        <f t="shared" si="18"/>
        <v>0</v>
      </c>
      <c r="BD62" s="3439">
        <f t="shared" si="19"/>
        <v>0</v>
      </c>
      <c r="BE62" s="3439">
        <f t="shared" si="20"/>
        <v>0</v>
      </c>
      <c r="BF62" s="3439">
        <f t="shared" si="21"/>
        <v>0</v>
      </c>
      <c r="BG62" s="3439">
        <f t="shared" si="22"/>
        <v>0</v>
      </c>
      <c r="BH62" s="3439">
        <f t="shared" si="23"/>
        <v>0</v>
      </c>
      <c r="BI62" s="3439">
        <f t="shared" si="24"/>
        <v>0</v>
      </c>
      <c r="BJ62" s="3439">
        <f t="shared" si="25"/>
        <v>0</v>
      </c>
      <c r="BK62" s="3439">
        <f t="shared" si="26"/>
        <v>0</v>
      </c>
      <c r="BL62" s="28">
        <f t="shared" si="27"/>
        <v>0</v>
      </c>
      <c r="BM62" s="28">
        <f t="shared" si="28"/>
        <v>0</v>
      </c>
      <c r="BN62" s="28">
        <f t="shared" si="29"/>
        <v>0</v>
      </c>
      <c r="BO62" s="28">
        <f t="shared" si="30"/>
        <v>0</v>
      </c>
      <c r="BP62" s="28">
        <f t="shared" si="31"/>
        <v>0</v>
      </c>
      <c r="BQ62" s="3439">
        <f t="shared" si="32"/>
        <v>0</v>
      </c>
      <c r="BR62" s="3439">
        <f t="shared" si="33"/>
        <v>0</v>
      </c>
      <c r="BS62" s="3439">
        <f t="shared" si="34"/>
        <v>0</v>
      </c>
      <c r="BT62" s="3451">
        <f t="shared" si="35"/>
        <v>0</v>
      </c>
    </row>
    <row r="63" spans="1:72">
      <c r="A63" s="9"/>
      <c r="B63" s="27"/>
      <c r="C63" s="27"/>
      <c r="D63" s="1678"/>
      <c r="E63" s="28">
        <f t="shared" si="7"/>
        <v>0</v>
      </c>
      <c r="F63" s="29"/>
      <c r="G63" s="30">
        <f t="shared" si="8"/>
        <v>0</v>
      </c>
      <c r="H63" s="31">
        <f t="shared" si="9"/>
        <v>0</v>
      </c>
      <c r="I63" s="32"/>
      <c r="J63" s="32"/>
      <c r="K63" s="32"/>
      <c r="L63" s="32"/>
      <c r="M63" s="32"/>
      <c r="N63" s="32"/>
      <c r="O63" s="32"/>
      <c r="P63" s="32"/>
      <c r="Q63" s="32"/>
      <c r="R63" s="32"/>
      <c r="S63" s="32"/>
      <c r="T63" s="32"/>
      <c r="U63" s="32"/>
      <c r="V63" s="32"/>
      <c r="W63" s="32"/>
      <c r="X63" s="32"/>
      <c r="Y63" s="32"/>
      <c r="Z63" s="32"/>
      <c r="AA63" s="32"/>
      <c r="AB63" s="32"/>
      <c r="AC63" s="28">
        <f t="shared" si="10"/>
        <v>0</v>
      </c>
      <c r="AD63" s="33"/>
      <c r="AE63" s="33"/>
      <c r="AF63" s="33"/>
      <c r="AG63" s="33"/>
      <c r="AH63" s="33"/>
      <c r="AI63" s="33"/>
      <c r="AJ63" s="33"/>
      <c r="AK63" s="33"/>
      <c r="AL63" s="33"/>
      <c r="AM63" s="33"/>
      <c r="AN63" s="33"/>
      <c r="AO63" s="33"/>
      <c r="AP63" s="33"/>
      <c r="AQ63" s="33"/>
      <c r="AR63" s="33"/>
      <c r="AS63" s="33"/>
      <c r="AT63" s="34"/>
      <c r="AU63" s="1679"/>
      <c r="AV63" s="2256">
        <f t="shared" si="11"/>
        <v>0</v>
      </c>
      <c r="AW63" s="2256">
        <f t="shared" si="12"/>
        <v>0</v>
      </c>
      <c r="AX63" s="2256">
        <f t="shared" si="13"/>
        <v>0</v>
      </c>
      <c r="AY63" s="2781">
        <f t="shared" si="14"/>
        <v>0</v>
      </c>
      <c r="AZ63" s="28">
        <f t="shared" si="15"/>
        <v>0</v>
      </c>
      <c r="BA63" s="28">
        <f t="shared" si="16"/>
        <v>0</v>
      </c>
      <c r="BB63" s="28">
        <f t="shared" si="17"/>
        <v>0</v>
      </c>
      <c r="BC63" s="28">
        <f t="shared" si="18"/>
        <v>0</v>
      </c>
      <c r="BD63" s="3439">
        <f t="shared" si="19"/>
        <v>0</v>
      </c>
      <c r="BE63" s="3439">
        <f t="shared" si="20"/>
        <v>0</v>
      </c>
      <c r="BF63" s="3439">
        <f t="shared" si="21"/>
        <v>0</v>
      </c>
      <c r="BG63" s="3439">
        <f t="shared" si="22"/>
        <v>0</v>
      </c>
      <c r="BH63" s="3439">
        <f t="shared" si="23"/>
        <v>0</v>
      </c>
      <c r="BI63" s="3439">
        <f t="shared" si="24"/>
        <v>0</v>
      </c>
      <c r="BJ63" s="3439">
        <f t="shared" si="25"/>
        <v>0</v>
      </c>
      <c r="BK63" s="3439">
        <f t="shared" si="26"/>
        <v>0</v>
      </c>
      <c r="BL63" s="28">
        <f t="shared" si="27"/>
        <v>0</v>
      </c>
      <c r="BM63" s="28">
        <f t="shared" si="28"/>
        <v>0</v>
      </c>
      <c r="BN63" s="28">
        <f t="shared" si="29"/>
        <v>0</v>
      </c>
      <c r="BO63" s="28">
        <f t="shared" si="30"/>
        <v>0</v>
      </c>
      <c r="BP63" s="28">
        <f t="shared" si="31"/>
        <v>0</v>
      </c>
      <c r="BQ63" s="3439">
        <f t="shared" si="32"/>
        <v>0</v>
      </c>
      <c r="BR63" s="3439">
        <f t="shared" si="33"/>
        <v>0</v>
      </c>
      <c r="BS63" s="3439">
        <f t="shared" si="34"/>
        <v>0</v>
      </c>
      <c r="BT63" s="3451">
        <f t="shared" si="35"/>
        <v>0</v>
      </c>
    </row>
    <row r="64" spans="1:72">
      <c r="A64" s="9"/>
      <c r="B64" s="27"/>
      <c r="C64" s="27"/>
      <c r="D64" s="1678"/>
      <c r="E64" s="28">
        <f t="shared" si="7"/>
        <v>0</v>
      </c>
      <c r="F64" s="29"/>
      <c r="G64" s="30">
        <f t="shared" si="8"/>
        <v>0</v>
      </c>
      <c r="H64" s="31">
        <f t="shared" si="9"/>
        <v>0</v>
      </c>
      <c r="I64" s="32"/>
      <c r="J64" s="32"/>
      <c r="K64" s="32"/>
      <c r="L64" s="32"/>
      <c r="M64" s="32"/>
      <c r="N64" s="32"/>
      <c r="O64" s="32"/>
      <c r="P64" s="32"/>
      <c r="Q64" s="32"/>
      <c r="R64" s="32"/>
      <c r="S64" s="32"/>
      <c r="T64" s="32"/>
      <c r="U64" s="32"/>
      <c r="V64" s="32"/>
      <c r="W64" s="32"/>
      <c r="X64" s="32"/>
      <c r="Y64" s="32"/>
      <c r="Z64" s="32"/>
      <c r="AA64" s="32"/>
      <c r="AB64" s="32"/>
      <c r="AC64" s="28">
        <f t="shared" si="10"/>
        <v>0</v>
      </c>
      <c r="AD64" s="33"/>
      <c r="AE64" s="33"/>
      <c r="AF64" s="33"/>
      <c r="AG64" s="33"/>
      <c r="AH64" s="33"/>
      <c r="AI64" s="33"/>
      <c r="AJ64" s="33"/>
      <c r="AK64" s="33"/>
      <c r="AL64" s="33"/>
      <c r="AM64" s="33"/>
      <c r="AN64" s="33"/>
      <c r="AO64" s="33"/>
      <c r="AP64" s="33"/>
      <c r="AQ64" s="33"/>
      <c r="AR64" s="33"/>
      <c r="AS64" s="33"/>
      <c r="AT64" s="34"/>
      <c r="AU64" s="1679"/>
      <c r="AV64" s="2256">
        <f t="shared" si="11"/>
        <v>0</v>
      </c>
      <c r="AW64" s="2256">
        <f t="shared" si="12"/>
        <v>0</v>
      </c>
      <c r="AX64" s="2256">
        <f t="shared" si="13"/>
        <v>0</v>
      </c>
      <c r="AY64" s="2781">
        <f t="shared" si="14"/>
        <v>0</v>
      </c>
      <c r="AZ64" s="28">
        <f t="shared" si="15"/>
        <v>0</v>
      </c>
      <c r="BA64" s="28">
        <f t="shared" si="16"/>
        <v>0</v>
      </c>
      <c r="BB64" s="28">
        <f t="shared" si="17"/>
        <v>0</v>
      </c>
      <c r="BC64" s="28">
        <f t="shared" si="18"/>
        <v>0</v>
      </c>
      <c r="BD64" s="3439">
        <f t="shared" si="19"/>
        <v>0</v>
      </c>
      <c r="BE64" s="3439">
        <f t="shared" si="20"/>
        <v>0</v>
      </c>
      <c r="BF64" s="3439">
        <f t="shared" si="21"/>
        <v>0</v>
      </c>
      <c r="BG64" s="3439">
        <f t="shared" si="22"/>
        <v>0</v>
      </c>
      <c r="BH64" s="3439">
        <f t="shared" si="23"/>
        <v>0</v>
      </c>
      <c r="BI64" s="3439">
        <f t="shared" si="24"/>
        <v>0</v>
      </c>
      <c r="BJ64" s="3439">
        <f t="shared" si="25"/>
        <v>0</v>
      </c>
      <c r="BK64" s="3439">
        <f t="shared" si="26"/>
        <v>0</v>
      </c>
      <c r="BL64" s="28">
        <f t="shared" si="27"/>
        <v>0</v>
      </c>
      <c r="BM64" s="28">
        <f t="shared" si="28"/>
        <v>0</v>
      </c>
      <c r="BN64" s="28">
        <f t="shared" si="29"/>
        <v>0</v>
      </c>
      <c r="BO64" s="28">
        <f t="shared" si="30"/>
        <v>0</v>
      </c>
      <c r="BP64" s="28">
        <f t="shared" si="31"/>
        <v>0</v>
      </c>
      <c r="BQ64" s="3439">
        <f t="shared" si="32"/>
        <v>0</v>
      </c>
      <c r="BR64" s="3439">
        <f t="shared" si="33"/>
        <v>0</v>
      </c>
      <c r="BS64" s="3439">
        <f t="shared" si="34"/>
        <v>0</v>
      </c>
      <c r="BT64" s="3451">
        <f t="shared" si="35"/>
        <v>0</v>
      </c>
    </row>
    <row r="65" spans="1:72">
      <c r="A65" s="9"/>
      <c r="B65" s="27"/>
      <c r="C65" s="27"/>
      <c r="D65" s="1678"/>
      <c r="E65" s="28">
        <f t="shared" si="7"/>
        <v>0</v>
      </c>
      <c r="F65" s="29"/>
      <c r="G65" s="30">
        <f t="shared" si="8"/>
        <v>0</v>
      </c>
      <c r="H65" s="31">
        <f t="shared" si="9"/>
        <v>0</v>
      </c>
      <c r="I65" s="32"/>
      <c r="J65" s="32"/>
      <c r="K65" s="32"/>
      <c r="L65" s="32"/>
      <c r="M65" s="32"/>
      <c r="N65" s="32"/>
      <c r="O65" s="32"/>
      <c r="P65" s="32"/>
      <c r="Q65" s="32"/>
      <c r="R65" s="32"/>
      <c r="S65" s="32"/>
      <c r="T65" s="32"/>
      <c r="U65" s="32"/>
      <c r="V65" s="32"/>
      <c r="W65" s="32"/>
      <c r="X65" s="32"/>
      <c r="Y65" s="32"/>
      <c r="Z65" s="32"/>
      <c r="AA65" s="32"/>
      <c r="AB65" s="32"/>
      <c r="AC65" s="28">
        <f t="shared" si="10"/>
        <v>0</v>
      </c>
      <c r="AD65" s="33"/>
      <c r="AE65" s="33"/>
      <c r="AF65" s="33"/>
      <c r="AG65" s="33"/>
      <c r="AH65" s="33"/>
      <c r="AI65" s="33"/>
      <c r="AJ65" s="33"/>
      <c r="AK65" s="33"/>
      <c r="AL65" s="33"/>
      <c r="AM65" s="33"/>
      <c r="AN65" s="33"/>
      <c r="AO65" s="33"/>
      <c r="AP65" s="33"/>
      <c r="AQ65" s="33"/>
      <c r="AR65" s="33"/>
      <c r="AS65" s="33"/>
      <c r="AT65" s="34"/>
      <c r="AU65" s="1679"/>
      <c r="AV65" s="2256">
        <f t="shared" si="11"/>
        <v>0</v>
      </c>
      <c r="AW65" s="2256">
        <f t="shared" si="12"/>
        <v>0</v>
      </c>
      <c r="AX65" s="2256">
        <f t="shared" si="13"/>
        <v>0</v>
      </c>
      <c r="AY65" s="2781">
        <f t="shared" si="14"/>
        <v>0</v>
      </c>
      <c r="AZ65" s="28">
        <f t="shared" si="15"/>
        <v>0</v>
      </c>
      <c r="BA65" s="28">
        <f t="shared" si="16"/>
        <v>0</v>
      </c>
      <c r="BB65" s="28">
        <f t="shared" si="17"/>
        <v>0</v>
      </c>
      <c r="BC65" s="28">
        <f t="shared" si="18"/>
        <v>0</v>
      </c>
      <c r="BD65" s="3439">
        <f t="shared" si="19"/>
        <v>0</v>
      </c>
      <c r="BE65" s="3439">
        <f t="shared" si="20"/>
        <v>0</v>
      </c>
      <c r="BF65" s="3439">
        <f t="shared" si="21"/>
        <v>0</v>
      </c>
      <c r="BG65" s="3439">
        <f t="shared" si="22"/>
        <v>0</v>
      </c>
      <c r="BH65" s="3439">
        <f t="shared" si="23"/>
        <v>0</v>
      </c>
      <c r="BI65" s="3439">
        <f t="shared" si="24"/>
        <v>0</v>
      </c>
      <c r="BJ65" s="3439">
        <f t="shared" si="25"/>
        <v>0</v>
      </c>
      <c r="BK65" s="3439">
        <f t="shared" si="26"/>
        <v>0</v>
      </c>
      <c r="BL65" s="28">
        <f t="shared" si="27"/>
        <v>0</v>
      </c>
      <c r="BM65" s="28">
        <f t="shared" si="28"/>
        <v>0</v>
      </c>
      <c r="BN65" s="28">
        <f t="shared" si="29"/>
        <v>0</v>
      </c>
      <c r="BO65" s="28">
        <f t="shared" si="30"/>
        <v>0</v>
      </c>
      <c r="BP65" s="28">
        <f t="shared" si="31"/>
        <v>0</v>
      </c>
      <c r="BQ65" s="3439">
        <f t="shared" si="32"/>
        <v>0</v>
      </c>
      <c r="BR65" s="3439">
        <f t="shared" si="33"/>
        <v>0</v>
      </c>
      <c r="BS65" s="3439">
        <f t="shared" si="34"/>
        <v>0</v>
      </c>
      <c r="BT65" s="3451">
        <f t="shared" si="35"/>
        <v>0</v>
      </c>
    </row>
    <row r="66" spans="1:72">
      <c r="A66" s="9"/>
      <c r="B66" s="27"/>
      <c r="C66" s="27"/>
      <c r="D66" s="1678"/>
      <c r="E66" s="28">
        <f t="shared" si="7"/>
        <v>0</v>
      </c>
      <c r="F66" s="29"/>
      <c r="G66" s="30">
        <f t="shared" si="8"/>
        <v>0</v>
      </c>
      <c r="H66" s="31">
        <f t="shared" si="9"/>
        <v>0</v>
      </c>
      <c r="I66" s="32"/>
      <c r="J66" s="32"/>
      <c r="K66" s="32"/>
      <c r="L66" s="32"/>
      <c r="M66" s="32"/>
      <c r="N66" s="32"/>
      <c r="O66" s="32"/>
      <c r="P66" s="32"/>
      <c r="Q66" s="32"/>
      <c r="R66" s="32"/>
      <c r="S66" s="32"/>
      <c r="T66" s="32"/>
      <c r="U66" s="32"/>
      <c r="V66" s="32"/>
      <c r="W66" s="32"/>
      <c r="X66" s="32"/>
      <c r="Y66" s="32"/>
      <c r="Z66" s="32"/>
      <c r="AA66" s="32"/>
      <c r="AB66" s="32"/>
      <c r="AC66" s="28">
        <f t="shared" si="10"/>
        <v>0</v>
      </c>
      <c r="AD66" s="33"/>
      <c r="AE66" s="33"/>
      <c r="AF66" s="33"/>
      <c r="AG66" s="33"/>
      <c r="AH66" s="33"/>
      <c r="AI66" s="33"/>
      <c r="AJ66" s="33"/>
      <c r="AK66" s="33"/>
      <c r="AL66" s="33"/>
      <c r="AM66" s="33"/>
      <c r="AN66" s="33"/>
      <c r="AO66" s="33"/>
      <c r="AP66" s="33"/>
      <c r="AQ66" s="33"/>
      <c r="AR66" s="33"/>
      <c r="AS66" s="33"/>
      <c r="AT66" s="34"/>
      <c r="AU66" s="1679"/>
      <c r="AV66" s="2256">
        <f t="shared" si="11"/>
        <v>0</v>
      </c>
      <c r="AW66" s="2256">
        <f t="shared" si="12"/>
        <v>0</v>
      </c>
      <c r="AX66" s="2256">
        <f t="shared" si="13"/>
        <v>0</v>
      </c>
      <c r="AY66" s="2781">
        <f t="shared" si="14"/>
        <v>0</v>
      </c>
      <c r="AZ66" s="28">
        <f t="shared" si="15"/>
        <v>0</v>
      </c>
      <c r="BA66" s="28">
        <f t="shared" si="16"/>
        <v>0</v>
      </c>
      <c r="BB66" s="28">
        <f t="shared" si="17"/>
        <v>0</v>
      </c>
      <c r="BC66" s="28">
        <f t="shared" si="18"/>
        <v>0</v>
      </c>
      <c r="BD66" s="3439">
        <f t="shared" si="19"/>
        <v>0</v>
      </c>
      <c r="BE66" s="3439">
        <f t="shared" si="20"/>
        <v>0</v>
      </c>
      <c r="BF66" s="3439">
        <f t="shared" si="21"/>
        <v>0</v>
      </c>
      <c r="BG66" s="3439">
        <f t="shared" si="22"/>
        <v>0</v>
      </c>
      <c r="BH66" s="3439">
        <f t="shared" si="23"/>
        <v>0</v>
      </c>
      <c r="BI66" s="3439">
        <f t="shared" si="24"/>
        <v>0</v>
      </c>
      <c r="BJ66" s="3439">
        <f t="shared" si="25"/>
        <v>0</v>
      </c>
      <c r="BK66" s="3439">
        <f t="shared" si="26"/>
        <v>0</v>
      </c>
      <c r="BL66" s="28">
        <f t="shared" si="27"/>
        <v>0</v>
      </c>
      <c r="BM66" s="28">
        <f t="shared" si="28"/>
        <v>0</v>
      </c>
      <c r="BN66" s="28">
        <f t="shared" si="29"/>
        <v>0</v>
      </c>
      <c r="BO66" s="28">
        <f t="shared" si="30"/>
        <v>0</v>
      </c>
      <c r="BP66" s="28">
        <f t="shared" si="31"/>
        <v>0</v>
      </c>
      <c r="BQ66" s="3439">
        <f t="shared" si="32"/>
        <v>0</v>
      </c>
      <c r="BR66" s="3439">
        <f t="shared" si="33"/>
        <v>0</v>
      </c>
      <c r="BS66" s="3439">
        <f t="shared" si="34"/>
        <v>0</v>
      </c>
      <c r="BT66" s="3451">
        <f t="shared" si="35"/>
        <v>0</v>
      </c>
    </row>
    <row r="67" spans="1:72">
      <c r="A67" s="9"/>
      <c r="B67" s="27"/>
      <c r="C67" s="27"/>
      <c r="D67" s="1678"/>
      <c r="E67" s="28">
        <f t="shared" si="7"/>
        <v>0</v>
      </c>
      <c r="F67" s="29"/>
      <c r="G67" s="30">
        <f t="shared" si="8"/>
        <v>0</v>
      </c>
      <c r="H67" s="31">
        <f t="shared" si="9"/>
        <v>0</v>
      </c>
      <c r="I67" s="32"/>
      <c r="J67" s="32"/>
      <c r="K67" s="32"/>
      <c r="L67" s="32"/>
      <c r="M67" s="32"/>
      <c r="N67" s="32"/>
      <c r="O67" s="32"/>
      <c r="P67" s="32"/>
      <c r="Q67" s="32"/>
      <c r="R67" s="32"/>
      <c r="S67" s="32"/>
      <c r="T67" s="32"/>
      <c r="U67" s="32"/>
      <c r="V67" s="32"/>
      <c r="W67" s="32"/>
      <c r="X67" s="32"/>
      <c r="Y67" s="32"/>
      <c r="Z67" s="32"/>
      <c r="AA67" s="32"/>
      <c r="AB67" s="32"/>
      <c r="AC67" s="28">
        <f t="shared" si="10"/>
        <v>0</v>
      </c>
      <c r="AD67" s="33"/>
      <c r="AE67" s="33"/>
      <c r="AF67" s="33"/>
      <c r="AG67" s="33"/>
      <c r="AH67" s="33"/>
      <c r="AI67" s="33"/>
      <c r="AJ67" s="33"/>
      <c r="AK67" s="33"/>
      <c r="AL67" s="33"/>
      <c r="AM67" s="33"/>
      <c r="AN67" s="33"/>
      <c r="AO67" s="33"/>
      <c r="AP67" s="33"/>
      <c r="AQ67" s="33"/>
      <c r="AR67" s="33"/>
      <c r="AS67" s="33"/>
      <c r="AT67" s="34"/>
      <c r="AU67" s="1679"/>
      <c r="AV67" s="2256">
        <f t="shared" si="11"/>
        <v>0</v>
      </c>
      <c r="AW67" s="2256">
        <f t="shared" si="12"/>
        <v>0</v>
      </c>
      <c r="AX67" s="2256">
        <f t="shared" si="13"/>
        <v>0</v>
      </c>
      <c r="AY67" s="2781">
        <f t="shared" si="14"/>
        <v>0</v>
      </c>
      <c r="AZ67" s="28">
        <f t="shared" si="15"/>
        <v>0</v>
      </c>
      <c r="BA67" s="28">
        <f t="shared" si="16"/>
        <v>0</v>
      </c>
      <c r="BB67" s="28">
        <f t="shared" si="17"/>
        <v>0</v>
      </c>
      <c r="BC67" s="28">
        <f t="shared" si="18"/>
        <v>0</v>
      </c>
      <c r="BD67" s="3439">
        <f t="shared" si="19"/>
        <v>0</v>
      </c>
      <c r="BE67" s="3439">
        <f t="shared" si="20"/>
        <v>0</v>
      </c>
      <c r="BF67" s="3439">
        <f t="shared" si="21"/>
        <v>0</v>
      </c>
      <c r="BG67" s="3439">
        <f t="shared" si="22"/>
        <v>0</v>
      </c>
      <c r="BH67" s="3439">
        <f t="shared" si="23"/>
        <v>0</v>
      </c>
      <c r="BI67" s="3439">
        <f t="shared" si="24"/>
        <v>0</v>
      </c>
      <c r="BJ67" s="3439">
        <f t="shared" si="25"/>
        <v>0</v>
      </c>
      <c r="BK67" s="3439">
        <f t="shared" si="26"/>
        <v>0</v>
      </c>
      <c r="BL67" s="28">
        <f t="shared" si="27"/>
        <v>0</v>
      </c>
      <c r="BM67" s="28">
        <f t="shared" si="28"/>
        <v>0</v>
      </c>
      <c r="BN67" s="28">
        <f t="shared" si="29"/>
        <v>0</v>
      </c>
      <c r="BO67" s="28">
        <f t="shared" si="30"/>
        <v>0</v>
      </c>
      <c r="BP67" s="28">
        <f t="shared" si="31"/>
        <v>0</v>
      </c>
      <c r="BQ67" s="3439">
        <f t="shared" si="32"/>
        <v>0</v>
      </c>
      <c r="BR67" s="3439">
        <f t="shared" si="33"/>
        <v>0</v>
      </c>
      <c r="BS67" s="3439">
        <f t="shared" si="34"/>
        <v>0</v>
      </c>
      <c r="BT67" s="3451">
        <f t="shared" si="35"/>
        <v>0</v>
      </c>
    </row>
    <row r="68" spans="1:72">
      <c r="A68" s="9"/>
      <c r="B68" s="27"/>
      <c r="C68" s="27"/>
      <c r="D68" s="1678"/>
      <c r="E68" s="28">
        <f t="shared" si="7"/>
        <v>0</v>
      </c>
      <c r="F68" s="29"/>
      <c r="G68" s="30">
        <f t="shared" si="8"/>
        <v>0</v>
      </c>
      <c r="H68" s="31">
        <f t="shared" si="9"/>
        <v>0</v>
      </c>
      <c r="I68" s="32"/>
      <c r="J68" s="32"/>
      <c r="K68" s="32"/>
      <c r="L68" s="32"/>
      <c r="M68" s="32"/>
      <c r="N68" s="32"/>
      <c r="O68" s="32"/>
      <c r="P68" s="32"/>
      <c r="Q68" s="32"/>
      <c r="R68" s="32"/>
      <c r="S68" s="32"/>
      <c r="T68" s="32"/>
      <c r="U68" s="32"/>
      <c r="V68" s="32"/>
      <c r="W68" s="32"/>
      <c r="X68" s="32"/>
      <c r="Y68" s="32"/>
      <c r="Z68" s="32"/>
      <c r="AA68" s="32"/>
      <c r="AB68" s="32"/>
      <c r="AC68" s="28">
        <f t="shared" si="10"/>
        <v>0</v>
      </c>
      <c r="AD68" s="33"/>
      <c r="AE68" s="33"/>
      <c r="AF68" s="33"/>
      <c r="AG68" s="33"/>
      <c r="AH68" s="33"/>
      <c r="AI68" s="33"/>
      <c r="AJ68" s="33"/>
      <c r="AK68" s="33"/>
      <c r="AL68" s="33"/>
      <c r="AM68" s="33"/>
      <c r="AN68" s="33"/>
      <c r="AO68" s="33"/>
      <c r="AP68" s="33"/>
      <c r="AQ68" s="33"/>
      <c r="AR68" s="33"/>
      <c r="AS68" s="33"/>
      <c r="AT68" s="34"/>
      <c r="AU68" s="1679"/>
      <c r="AV68" s="2256">
        <f t="shared" si="11"/>
        <v>0</v>
      </c>
      <c r="AW68" s="2256">
        <f t="shared" si="12"/>
        <v>0</v>
      </c>
      <c r="AX68" s="2256">
        <f t="shared" si="13"/>
        <v>0</v>
      </c>
      <c r="AY68" s="2781">
        <f t="shared" si="14"/>
        <v>0</v>
      </c>
      <c r="AZ68" s="28">
        <f t="shared" si="15"/>
        <v>0</v>
      </c>
      <c r="BA68" s="28">
        <f t="shared" si="16"/>
        <v>0</v>
      </c>
      <c r="BB68" s="28">
        <f t="shared" si="17"/>
        <v>0</v>
      </c>
      <c r="BC68" s="28">
        <f t="shared" si="18"/>
        <v>0</v>
      </c>
      <c r="BD68" s="3439">
        <f t="shared" si="19"/>
        <v>0</v>
      </c>
      <c r="BE68" s="3439">
        <f t="shared" si="20"/>
        <v>0</v>
      </c>
      <c r="BF68" s="3439">
        <f t="shared" si="21"/>
        <v>0</v>
      </c>
      <c r="BG68" s="3439">
        <f t="shared" si="22"/>
        <v>0</v>
      </c>
      <c r="BH68" s="3439">
        <f t="shared" si="23"/>
        <v>0</v>
      </c>
      <c r="BI68" s="3439">
        <f t="shared" si="24"/>
        <v>0</v>
      </c>
      <c r="BJ68" s="3439">
        <f t="shared" si="25"/>
        <v>0</v>
      </c>
      <c r="BK68" s="3439">
        <f t="shared" si="26"/>
        <v>0</v>
      </c>
      <c r="BL68" s="28">
        <f t="shared" si="27"/>
        <v>0</v>
      </c>
      <c r="BM68" s="28">
        <f t="shared" si="28"/>
        <v>0</v>
      </c>
      <c r="BN68" s="28">
        <f t="shared" si="29"/>
        <v>0</v>
      </c>
      <c r="BO68" s="28">
        <f t="shared" si="30"/>
        <v>0</v>
      </c>
      <c r="BP68" s="28">
        <f t="shared" si="31"/>
        <v>0</v>
      </c>
      <c r="BQ68" s="3439">
        <f t="shared" si="32"/>
        <v>0</v>
      </c>
      <c r="BR68" s="3439">
        <f t="shared" si="33"/>
        <v>0</v>
      </c>
      <c r="BS68" s="3439">
        <f t="shared" si="34"/>
        <v>0</v>
      </c>
      <c r="BT68" s="3451">
        <f t="shared" si="35"/>
        <v>0</v>
      </c>
    </row>
    <row r="69" spans="1:72">
      <c r="A69" s="9"/>
      <c r="B69" s="27"/>
      <c r="C69" s="27"/>
      <c r="D69" s="1678"/>
      <c r="E69" s="28">
        <f t="shared" si="7"/>
        <v>0</v>
      </c>
      <c r="F69" s="29"/>
      <c r="G69" s="30">
        <f t="shared" si="8"/>
        <v>0</v>
      </c>
      <c r="H69" s="31">
        <f t="shared" si="9"/>
        <v>0</v>
      </c>
      <c r="I69" s="32"/>
      <c r="J69" s="32"/>
      <c r="K69" s="32"/>
      <c r="L69" s="32"/>
      <c r="M69" s="32"/>
      <c r="N69" s="32"/>
      <c r="O69" s="32"/>
      <c r="P69" s="32"/>
      <c r="Q69" s="32"/>
      <c r="R69" s="32"/>
      <c r="S69" s="32"/>
      <c r="T69" s="32"/>
      <c r="U69" s="32"/>
      <c r="V69" s="32"/>
      <c r="W69" s="32"/>
      <c r="X69" s="32"/>
      <c r="Y69" s="32"/>
      <c r="Z69" s="32"/>
      <c r="AA69" s="32"/>
      <c r="AB69" s="32"/>
      <c r="AC69" s="28">
        <f t="shared" si="10"/>
        <v>0</v>
      </c>
      <c r="AD69" s="33"/>
      <c r="AE69" s="33"/>
      <c r="AF69" s="33"/>
      <c r="AG69" s="33"/>
      <c r="AH69" s="33"/>
      <c r="AI69" s="33"/>
      <c r="AJ69" s="33"/>
      <c r="AK69" s="33"/>
      <c r="AL69" s="33"/>
      <c r="AM69" s="33"/>
      <c r="AN69" s="33"/>
      <c r="AO69" s="33"/>
      <c r="AP69" s="33"/>
      <c r="AQ69" s="33"/>
      <c r="AR69" s="33"/>
      <c r="AS69" s="33"/>
      <c r="AT69" s="34"/>
      <c r="AU69" s="1679"/>
      <c r="AV69" s="2256">
        <f t="shared" si="11"/>
        <v>0</v>
      </c>
      <c r="AW69" s="2256">
        <f t="shared" si="12"/>
        <v>0</v>
      </c>
      <c r="AX69" s="2256">
        <f t="shared" si="13"/>
        <v>0</v>
      </c>
      <c r="AY69" s="2781">
        <f t="shared" si="14"/>
        <v>0</v>
      </c>
      <c r="AZ69" s="28">
        <f t="shared" si="15"/>
        <v>0</v>
      </c>
      <c r="BA69" s="28">
        <f t="shared" si="16"/>
        <v>0</v>
      </c>
      <c r="BB69" s="28">
        <f t="shared" si="17"/>
        <v>0</v>
      </c>
      <c r="BC69" s="28">
        <f t="shared" si="18"/>
        <v>0</v>
      </c>
      <c r="BD69" s="3439">
        <f t="shared" si="19"/>
        <v>0</v>
      </c>
      <c r="BE69" s="3439">
        <f t="shared" si="20"/>
        <v>0</v>
      </c>
      <c r="BF69" s="3439">
        <f t="shared" si="21"/>
        <v>0</v>
      </c>
      <c r="BG69" s="3439">
        <f t="shared" si="22"/>
        <v>0</v>
      </c>
      <c r="BH69" s="3439">
        <f t="shared" si="23"/>
        <v>0</v>
      </c>
      <c r="BI69" s="3439">
        <f t="shared" si="24"/>
        <v>0</v>
      </c>
      <c r="BJ69" s="3439">
        <f t="shared" si="25"/>
        <v>0</v>
      </c>
      <c r="BK69" s="3439">
        <f t="shared" si="26"/>
        <v>0</v>
      </c>
      <c r="BL69" s="28">
        <f t="shared" si="27"/>
        <v>0</v>
      </c>
      <c r="BM69" s="28">
        <f t="shared" si="28"/>
        <v>0</v>
      </c>
      <c r="BN69" s="28">
        <f t="shared" si="29"/>
        <v>0</v>
      </c>
      <c r="BO69" s="28">
        <f t="shared" si="30"/>
        <v>0</v>
      </c>
      <c r="BP69" s="28">
        <f t="shared" si="31"/>
        <v>0</v>
      </c>
      <c r="BQ69" s="3439">
        <f t="shared" si="32"/>
        <v>0</v>
      </c>
      <c r="BR69" s="3439">
        <f t="shared" si="33"/>
        <v>0</v>
      </c>
      <c r="BS69" s="3439">
        <f t="shared" si="34"/>
        <v>0</v>
      </c>
      <c r="BT69" s="3451">
        <f t="shared" si="35"/>
        <v>0</v>
      </c>
    </row>
    <row r="70" spans="1:72">
      <c r="A70" s="9"/>
      <c r="B70" s="27"/>
      <c r="C70" s="27"/>
      <c r="D70" s="1678"/>
      <c r="E70" s="28">
        <f t="shared" si="7"/>
        <v>0</v>
      </c>
      <c r="F70" s="29"/>
      <c r="G70" s="30">
        <f t="shared" si="8"/>
        <v>0</v>
      </c>
      <c r="H70" s="31">
        <f t="shared" si="9"/>
        <v>0</v>
      </c>
      <c r="I70" s="32"/>
      <c r="J70" s="32"/>
      <c r="K70" s="32"/>
      <c r="L70" s="32"/>
      <c r="M70" s="32"/>
      <c r="N70" s="32"/>
      <c r="O70" s="32"/>
      <c r="P70" s="32"/>
      <c r="Q70" s="32"/>
      <c r="R70" s="32"/>
      <c r="S70" s="32"/>
      <c r="T70" s="32"/>
      <c r="U70" s="32"/>
      <c r="V70" s="32"/>
      <c r="W70" s="32"/>
      <c r="X70" s="32"/>
      <c r="Y70" s="32"/>
      <c r="Z70" s="32"/>
      <c r="AA70" s="32"/>
      <c r="AB70" s="32"/>
      <c r="AC70" s="28">
        <f t="shared" si="10"/>
        <v>0</v>
      </c>
      <c r="AD70" s="33"/>
      <c r="AE70" s="33"/>
      <c r="AF70" s="33"/>
      <c r="AG70" s="33"/>
      <c r="AH70" s="33"/>
      <c r="AI70" s="33"/>
      <c r="AJ70" s="33"/>
      <c r="AK70" s="33"/>
      <c r="AL70" s="33"/>
      <c r="AM70" s="33"/>
      <c r="AN70" s="33"/>
      <c r="AO70" s="33"/>
      <c r="AP70" s="33"/>
      <c r="AQ70" s="33"/>
      <c r="AR70" s="33"/>
      <c r="AS70" s="33"/>
      <c r="AT70" s="34"/>
      <c r="AU70" s="1679"/>
      <c r="AV70" s="2256">
        <f t="shared" si="11"/>
        <v>0</v>
      </c>
      <c r="AW70" s="2256">
        <f t="shared" si="12"/>
        <v>0</v>
      </c>
      <c r="AX70" s="2256">
        <f t="shared" si="13"/>
        <v>0</v>
      </c>
      <c r="AY70" s="2781">
        <f t="shared" si="14"/>
        <v>0</v>
      </c>
      <c r="AZ70" s="28">
        <f t="shared" si="15"/>
        <v>0</v>
      </c>
      <c r="BA70" s="28">
        <f t="shared" si="16"/>
        <v>0</v>
      </c>
      <c r="BB70" s="28">
        <f t="shared" si="17"/>
        <v>0</v>
      </c>
      <c r="BC70" s="28">
        <f t="shared" si="18"/>
        <v>0</v>
      </c>
      <c r="BD70" s="3439">
        <f t="shared" si="19"/>
        <v>0</v>
      </c>
      <c r="BE70" s="3439">
        <f t="shared" si="20"/>
        <v>0</v>
      </c>
      <c r="BF70" s="3439">
        <f t="shared" si="21"/>
        <v>0</v>
      </c>
      <c r="BG70" s="3439">
        <f t="shared" si="22"/>
        <v>0</v>
      </c>
      <c r="BH70" s="3439">
        <f t="shared" si="23"/>
        <v>0</v>
      </c>
      <c r="BI70" s="3439">
        <f t="shared" si="24"/>
        <v>0</v>
      </c>
      <c r="BJ70" s="3439">
        <f t="shared" si="25"/>
        <v>0</v>
      </c>
      <c r="BK70" s="3439">
        <f t="shared" si="26"/>
        <v>0</v>
      </c>
      <c r="BL70" s="28">
        <f t="shared" si="27"/>
        <v>0</v>
      </c>
      <c r="BM70" s="28">
        <f t="shared" si="28"/>
        <v>0</v>
      </c>
      <c r="BN70" s="28">
        <f t="shared" si="29"/>
        <v>0</v>
      </c>
      <c r="BO70" s="28">
        <f t="shared" si="30"/>
        <v>0</v>
      </c>
      <c r="BP70" s="28">
        <f t="shared" si="31"/>
        <v>0</v>
      </c>
      <c r="BQ70" s="3439">
        <f t="shared" si="32"/>
        <v>0</v>
      </c>
      <c r="BR70" s="3439">
        <f t="shared" si="33"/>
        <v>0</v>
      </c>
      <c r="BS70" s="3439">
        <f t="shared" si="34"/>
        <v>0</v>
      </c>
      <c r="BT70" s="3451">
        <f t="shared" si="35"/>
        <v>0</v>
      </c>
    </row>
    <row r="71" spans="1:72">
      <c r="A71" s="9"/>
      <c r="B71" s="27"/>
      <c r="C71" s="27"/>
      <c r="D71" s="1678"/>
      <c r="E71" s="28">
        <f t="shared" si="7"/>
        <v>0</v>
      </c>
      <c r="F71" s="29"/>
      <c r="G71" s="30">
        <f t="shared" si="8"/>
        <v>0</v>
      </c>
      <c r="H71" s="31">
        <f t="shared" si="9"/>
        <v>0</v>
      </c>
      <c r="I71" s="32"/>
      <c r="J71" s="32"/>
      <c r="K71" s="32"/>
      <c r="L71" s="32"/>
      <c r="M71" s="32"/>
      <c r="N71" s="32"/>
      <c r="O71" s="32"/>
      <c r="P71" s="32"/>
      <c r="Q71" s="32"/>
      <c r="R71" s="32"/>
      <c r="S71" s="32"/>
      <c r="T71" s="32"/>
      <c r="U71" s="32"/>
      <c r="V71" s="32"/>
      <c r="W71" s="32"/>
      <c r="X71" s="32"/>
      <c r="Y71" s="32"/>
      <c r="Z71" s="32"/>
      <c r="AA71" s="32"/>
      <c r="AB71" s="32"/>
      <c r="AC71" s="28">
        <f t="shared" si="10"/>
        <v>0</v>
      </c>
      <c r="AD71" s="33"/>
      <c r="AE71" s="33"/>
      <c r="AF71" s="33"/>
      <c r="AG71" s="33"/>
      <c r="AH71" s="33"/>
      <c r="AI71" s="33"/>
      <c r="AJ71" s="33"/>
      <c r="AK71" s="33"/>
      <c r="AL71" s="33"/>
      <c r="AM71" s="33"/>
      <c r="AN71" s="33"/>
      <c r="AO71" s="33"/>
      <c r="AP71" s="33"/>
      <c r="AQ71" s="33"/>
      <c r="AR71" s="33"/>
      <c r="AS71" s="33"/>
      <c r="AT71" s="34"/>
      <c r="AU71" s="1679"/>
      <c r="AV71" s="2256">
        <f t="shared" si="11"/>
        <v>0</v>
      </c>
      <c r="AW71" s="2256">
        <f t="shared" si="12"/>
        <v>0</v>
      </c>
      <c r="AX71" s="2256">
        <f t="shared" si="13"/>
        <v>0</v>
      </c>
      <c r="AY71" s="2781">
        <f t="shared" si="14"/>
        <v>0</v>
      </c>
      <c r="AZ71" s="28">
        <f t="shared" si="15"/>
        <v>0</v>
      </c>
      <c r="BA71" s="28">
        <f t="shared" si="16"/>
        <v>0</v>
      </c>
      <c r="BB71" s="28">
        <f t="shared" si="17"/>
        <v>0</v>
      </c>
      <c r="BC71" s="28">
        <f t="shared" si="18"/>
        <v>0</v>
      </c>
      <c r="BD71" s="3439">
        <f t="shared" si="19"/>
        <v>0</v>
      </c>
      <c r="BE71" s="3439">
        <f t="shared" si="20"/>
        <v>0</v>
      </c>
      <c r="BF71" s="3439">
        <f t="shared" si="21"/>
        <v>0</v>
      </c>
      <c r="BG71" s="3439">
        <f t="shared" si="22"/>
        <v>0</v>
      </c>
      <c r="BH71" s="3439">
        <f t="shared" si="23"/>
        <v>0</v>
      </c>
      <c r="BI71" s="3439">
        <f t="shared" si="24"/>
        <v>0</v>
      </c>
      <c r="BJ71" s="3439">
        <f t="shared" si="25"/>
        <v>0</v>
      </c>
      <c r="BK71" s="3439">
        <f t="shared" si="26"/>
        <v>0</v>
      </c>
      <c r="BL71" s="28">
        <f t="shared" si="27"/>
        <v>0</v>
      </c>
      <c r="BM71" s="28">
        <f t="shared" si="28"/>
        <v>0</v>
      </c>
      <c r="BN71" s="28">
        <f t="shared" si="29"/>
        <v>0</v>
      </c>
      <c r="BO71" s="28">
        <f t="shared" si="30"/>
        <v>0</v>
      </c>
      <c r="BP71" s="28">
        <f t="shared" si="31"/>
        <v>0</v>
      </c>
      <c r="BQ71" s="3439">
        <f t="shared" si="32"/>
        <v>0</v>
      </c>
      <c r="BR71" s="3439">
        <f t="shared" si="33"/>
        <v>0</v>
      </c>
      <c r="BS71" s="3439">
        <f t="shared" si="34"/>
        <v>0</v>
      </c>
      <c r="BT71" s="3451">
        <f t="shared" si="35"/>
        <v>0</v>
      </c>
    </row>
    <row r="72" spans="1:72">
      <c r="A72" s="9"/>
      <c r="B72" s="27"/>
      <c r="C72" s="27"/>
      <c r="D72" s="1678"/>
      <c r="E72" s="28">
        <f t="shared" si="7"/>
        <v>0</v>
      </c>
      <c r="F72" s="29"/>
      <c r="G72" s="30">
        <f t="shared" si="8"/>
        <v>0</v>
      </c>
      <c r="H72" s="31">
        <f t="shared" si="9"/>
        <v>0</v>
      </c>
      <c r="I72" s="32"/>
      <c r="J72" s="32"/>
      <c r="K72" s="32"/>
      <c r="L72" s="32"/>
      <c r="M72" s="32"/>
      <c r="N72" s="32"/>
      <c r="O72" s="32"/>
      <c r="P72" s="32"/>
      <c r="Q72" s="32"/>
      <c r="R72" s="32"/>
      <c r="S72" s="32"/>
      <c r="T72" s="32"/>
      <c r="U72" s="32"/>
      <c r="V72" s="32"/>
      <c r="W72" s="32"/>
      <c r="X72" s="32"/>
      <c r="Y72" s="32"/>
      <c r="Z72" s="32"/>
      <c r="AA72" s="32"/>
      <c r="AB72" s="32"/>
      <c r="AC72" s="28">
        <f t="shared" si="10"/>
        <v>0</v>
      </c>
      <c r="AD72" s="33"/>
      <c r="AE72" s="33"/>
      <c r="AF72" s="33"/>
      <c r="AG72" s="33"/>
      <c r="AH72" s="33"/>
      <c r="AI72" s="33"/>
      <c r="AJ72" s="33"/>
      <c r="AK72" s="33"/>
      <c r="AL72" s="33"/>
      <c r="AM72" s="33"/>
      <c r="AN72" s="33"/>
      <c r="AO72" s="33"/>
      <c r="AP72" s="33"/>
      <c r="AQ72" s="33"/>
      <c r="AR72" s="33"/>
      <c r="AS72" s="33"/>
      <c r="AT72" s="34"/>
      <c r="AU72" s="1679"/>
      <c r="AV72" s="2256">
        <f t="shared" si="11"/>
        <v>0</v>
      </c>
      <c r="AW72" s="2256">
        <f t="shared" si="12"/>
        <v>0</v>
      </c>
      <c r="AX72" s="2256">
        <f t="shared" si="13"/>
        <v>0</v>
      </c>
      <c r="AY72" s="2781">
        <f t="shared" si="14"/>
        <v>0</v>
      </c>
      <c r="AZ72" s="28">
        <f t="shared" si="15"/>
        <v>0</v>
      </c>
      <c r="BA72" s="28">
        <f t="shared" si="16"/>
        <v>0</v>
      </c>
      <c r="BB72" s="28">
        <f t="shared" si="17"/>
        <v>0</v>
      </c>
      <c r="BC72" s="28">
        <f t="shared" si="18"/>
        <v>0</v>
      </c>
      <c r="BD72" s="3439">
        <f t="shared" si="19"/>
        <v>0</v>
      </c>
      <c r="BE72" s="3439">
        <f t="shared" si="20"/>
        <v>0</v>
      </c>
      <c r="BF72" s="3439">
        <f t="shared" si="21"/>
        <v>0</v>
      </c>
      <c r="BG72" s="3439">
        <f t="shared" si="22"/>
        <v>0</v>
      </c>
      <c r="BH72" s="3439">
        <f t="shared" si="23"/>
        <v>0</v>
      </c>
      <c r="BI72" s="3439">
        <f t="shared" si="24"/>
        <v>0</v>
      </c>
      <c r="BJ72" s="3439">
        <f t="shared" si="25"/>
        <v>0</v>
      </c>
      <c r="BK72" s="3439">
        <f t="shared" si="26"/>
        <v>0</v>
      </c>
      <c r="BL72" s="28">
        <f t="shared" si="27"/>
        <v>0</v>
      </c>
      <c r="BM72" s="28">
        <f t="shared" si="28"/>
        <v>0</v>
      </c>
      <c r="BN72" s="28">
        <f t="shared" si="29"/>
        <v>0</v>
      </c>
      <c r="BO72" s="28">
        <f t="shared" si="30"/>
        <v>0</v>
      </c>
      <c r="BP72" s="28">
        <f t="shared" si="31"/>
        <v>0</v>
      </c>
      <c r="BQ72" s="3439">
        <f t="shared" si="32"/>
        <v>0</v>
      </c>
      <c r="BR72" s="3439">
        <f t="shared" si="33"/>
        <v>0</v>
      </c>
      <c r="BS72" s="3439">
        <f t="shared" si="34"/>
        <v>0</v>
      </c>
      <c r="BT72" s="3451">
        <f t="shared" si="35"/>
        <v>0</v>
      </c>
    </row>
    <row r="73" spans="1:72">
      <c r="A73" s="9"/>
      <c r="B73" s="27"/>
      <c r="C73" s="27"/>
      <c r="D73" s="1678"/>
      <c r="E73" s="28">
        <f t="shared" si="7"/>
        <v>0</v>
      </c>
      <c r="F73" s="29"/>
      <c r="G73" s="30">
        <f t="shared" si="8"/>
        <v>0</v>
      </c>
      <c r="H73" s="31">
        <f t="shared" si="9"/>
        <v>0</v>
      </c>
      <c r="I73" s="32"/>
      <c r="J73" s="32"/>
      <c r="K73" s="32"/>
      <c r="L73" s="32"/>
      <c r="M73" s="32"/>
      <c r="N73" s="32"/>
      <c r="O73" s="32"/>
      <c r="P73" s="32"/>
      <c r="Q73" s="32"/>
      <c r="R73" s="32"/>
      <c r="S73" s="32"/>
      <c r="T73" s="32"/>
      <c r="U73" s="32"/>
      <c r="V73" s="32"/>
      <c r="W73" s="32"/>
      <c r="X73" s="32"/>
      <c r="Y73" s="32"/>
      <c r="Z73" s="32"/>
      <c r="AA73" s="32"/>
      <c r="AB73" s="32"/>
      <c r="AC73" s="28">
        <f t="shared" si="10"/>
        <v>0</v>
      </c>
      <c r="AD73" s="33"/>
      <c r="AE73" s="33"/>
      <c r="AF73" s="33"/>
      <c r="AG73" s="33"/>
      <c r="AH73" s="33"/>
      <c r="AI73" s="33"/>
      <c r="AJ73" s="33"/>
      <c r="AK73" s="33"/>
      <c r="AL73" s="33"/>
      <c r="AM73" s="33"/>
      <c r="AN73" s="33"/>
      <c r="AO73" s="33"/>
      <c r="AP73" s="33"/>
      <c r="AQ73" s="33"/>
      <c r="AR73" s="33"/>
      <c r="AS73" s="33"/>
      <c r="AT73" s="34"/>
      <c r="AU73" s="1679"/>
      <c r="AV73" s="2256">
        <f t="shared" si="11"/>
        <v>0</v>
      </c>
      <c r="AW73" s="2256">
        <f t="shared" si="12"/>
        <v>0</v>
      </c>
      <c r="AX73" s="2256">
        <f t="shared" si="13"/>
        <v>0</v>
      </c>
      <c r="AY73" s="2781">
        <f t="shared" si="14"/>
        <v>0</v>
      </c>
      <c r="AZ73" s="28">
        <f t="shared" si="15"/>
        <v>0</v>
      </c>
      <c r="BA73" s="28">
        <f t="shared" si="16"/>
        <v>0</v>
      </c>
      <c r="BB73" s="28">
        <f t="shared" si="17"/>
        <v>0</v>
      </c>
      <c r="BC73" s="28">
        <f t="shared" si="18"/>
        <v>0</v>
      </c>
      <c r="BD73" s="3439">
        <f t="shared" si="19"/>
        <v>0</v>
      </c>
      <c r="BE73" s="3439">
        <f t="shared" si="20"/>
        <v>0</v>
      </c>
      <c r="BF73" s="3439">
        <f t="shared" si="21"/>
        <v>0</v>
      </c>
      <c r="BG73" s="3439">
        <f t="shared" si="22"/>
        <v>0</v>
      </c>
      <c r="BH73" s="3439">
        <f t="shared" si="23"/>
        <v>0</v>
      </c>
      <c r="BI73" s="3439">
        <f t="shared" si="24"/>
        <v>0</v>
      </c>
      <c r="BJ73" s="3439">
        <f t="shared" si="25"/>
        <v>0</v>
      </c>
      <c r="BK73" s="3439">
        <f t="shared" si="26"/>
        <v>0</v>
      </c>
      <c r="BL73" s="28">
        <f t="shared" si="27"/>
        <v>0</v>
      </c>
      <c r="BM73" s="28">
        <f t="shared" si="28"/>
        <v>0</v>
      </c>
      <c r="BN73" s="28">
        <f t="shared" si="29"/>
        <v>0</v>
      </c>
      <c r="BO73" s="28">
        <f t="shared" si="30"/>
        <v>0</v>
      </c>
      <c r="BP73" s="28">
        <f t="shared" si="31"/>
        <v>0</v>
      </c>
      <c r="BQ73" s="3439">
        <f t="shared" si="32"/>
        <v>0</v>
      </c>
      <c r="BR73" s="3439">
        <f t="shared" si="33"/>
        <v>0</v>
      </c>
      <c r="BS73" s="3439">
        <f t="shared" si="34"/>
        <v>0</v>
      </c>
      <c r="BT73" s="3451">
        <f t="shared" si="35"/>
        <v>0</v>
      </c>
    </row>
    <row r="74" spans="1:72">
      <c r="A74" s="9"/>
      <c r="B74" s="27"/>
      <c r="C74" s="27"/>
      <c r="D74" s="1678"/>
      <c r="E74" s="28">
        <f t="shared" si="7"/>
        <v>0</v>
      </c>
      <c r="F74" s="29"/>
      <c r="G74" s="30">
        <f t="shared" si="8"/>
        <v>0</v>
      </c>
      <c r="H74" s="31">
        <f t="shared" si="9"/>
        <v>0</v>
      </c>
      <c r="I74" s="32"/>
      <c r="J74" s="32"/>
      <c r="K74" s="32"/>
      <c r="L74" s="32"/>
      <c r="M74" s="32"/>
      <c r="N74" s="32"/>
      <c r="O74" s="32"/>
      <c r="P74" s="32"/>
      <c r="Q74" s="32"/>
      <c r="R74" s="32"/>
      <c r="S74" s="32"/>
      <c r="T74" s="32"/>
      <c r="U74" s="32"/>
      <c r="V74" s="32"/>
      <c r="W74" s="32"/>
      <c r="X74" s="32"/>
      <c r="Y74" s="32"/>
      <c r="Z74" s="32"/>
      <c r="AA74" s="32"/>
      <c r="AB74" s="32"/>
      <c r="AC74" s="28">
        <f t="shared" si="10"/>
        <v>0</v>
      </c>
      <c r="AD74" s="33"/>
      <c r="AE74" s="33"/>
      <c r="AF74" s="33"/>
      <c r="AG74" s="33"/>
      <c r="AH74" s="33"/>
      <c r="AI74" s="33"/>
      <c r="AJ74" s="33"/>
      <c r="AK74" s="33"/>
      <c r="AL74" s="33"/>
      <c r="AM74" s="33"/>
      <c r="AN74" s="33"/>
      <c r="AO74" s="33"/>
      <c r="AP74" s="33"/>
      <c r="AQ74" s="33"/>
      <c r="AR74" s="33"/>
      <c r="AS74" s="33"/>
      <c r="AT74" s="34"/>
      <c r="AU74" s="1679"/>
      <c r="AV74" s="2256">
        <f t="shared" si="11"/>
        <v>0</v>
      </c>
      <c r="AW74" s="2256">
        <f t="shared" si="12"/>
        <v>0</v>
      </c>
      <c r="AX74" s="2256">
        <f t="shared" si="13"/>
        <v>0</v>
      </c>
      <c r="AY74" s="2781">
        <f t="shared" si="14"/>
        <v>0</v>
      </c>
      <c r="AZ74" s="28">
        <f t="shared" si="15"/>
        <v>0</v>
      </c>
      <c r="BA74" s="28">
        <f t="shared" si="16"/>
        <v>0</v>
      </c>
      <c r="BB74" s="28">
        <f t="shared" si="17"/>
        <v>0</v>
      </c>
      <c r="BC74" s="28">
        <f t="shared" si="18"/>
        <v>0</v>
      </c>
      <c r="BD74" s="3439">
        <f t="shared" si="19"/>
        <v>0</v>
      </c>
      <c r="BE74" s="3439">
        <f t="shared" si="20"/>
        <v>0</v>
      </c>
      <c r="BF74" s="3439">
        <f t="shared" si="21"/>
        <v>0</v>
      </c>
      <c r="BG74" s="3439">
        <f t="shared" si="22"/>
        <v>0</v>
      </c>
      <c r="BH74" s="3439">
        <f t="shared" si="23"/>
        <v>0</v>
      </c>
      <c r="BI74" s="3439">
        <f t="shared" si="24"/>
        <v>0</v>
      </c>
      <c r="BJ74" s="3439">
        <f t="shared" si="25"/>
        <v>0</v>
      </c>
      <c r="BK74" s="3439">
        <f t="shared" si="26"/>
        <v>0</v>
      </c>
      <c r="BL74" s="28">
        <f t="shared" si="27"/>
        <v>0</v>
      </c>
      <c r="BM74" s="28">
        <f t="shared" si="28"/>
        <v>0</v>
      </c>
      <c r="BN74" s="28">
        <f t="shared" si="29"/>
        <v>0</v>
      </c>
      <c r="BO74" s="28">
        <f t="shared" si="30"/>
        <v>0</v>
      </c>
      <c r="BP74" s="28">
        <f t="shared" si="31"/>
        <v>0</v>
      </c>
      <c r="BQ74" s="3439">
        <f t="shared" si="32"/>
        <v>0</v>
      </c>
      <c r="BR74" s="3439">
        <f t="shared" si="33"/>
        <v>0</v>
      </c>
      <c r="BS74" s="3439">
        <f t="shared" si="34"/>
        <v>0</v>
      </c>
      <c r="BT74" s="3451">
        <f t="shared" si="35"/>
        <v>0</v>
      </c>
    </row>
    <row r="75" spans="1:72">
      <c r="A75" s="9"/>
      <c r="B75" s="27"/>
      <c r="C75" s="27"/>
      <c r="D75" s="1678"/>
      <c r="E75" s="28">
        <f t="shared" si="7"/>
        <v>0</v>
      </c>
      <c r="F75" s="29"/>
      <c r="G75" s="30">
        <f t="shared" si="8"/>
        <v>0</v>
      </c>
      <c r="H75" s="31">
        <f t="shared" si="9"/>
        <v>0</v>
      </c>
      <c r="I75" s="32"/>
      <c r="J75" s="32"/>
      <c r="K75" s="32"/>
      <c r="L75" s="32"/>
      <c r="M75" s="32"/>
      <c r="N75" s="32"/>
      <c r="O75" s="32"/>
      <c r="P75" s="32"/>
      <c r="Q75" s="32"/>
      <c r="R75" s="32"/>
      <c r="S75" s="32"/>
      <c r="T75" s="32"/>
      <c r="U75" s="32"/>
      <c r="V75" s="32"/>
      <c r="W75" s="32"/>
      <c r="X75" s="32"/>
      <c r="Y75" s="32"/>
      <c r="Z75" s="32"/>
      <c r="AA75" s="32"/>
      <c r="AB75" s="32"/>
      <c r="AC75" s="28">
        <f t="shared" si="10"/>
        <v>0</v>
      </c>
      <c r="AD75" s="33"/>
      <c r="AE75" s="33"/>
      <c r="AF75" s="33"/>
      <c r="AG75" s="33"/>
      <c r="AH75" s="33"/>
      <c r="AI75" s="33"/>
      <c r="AJ75" s="33"/>
      <c r="AK75" s="33"/>
      <c r="AL75" s="33"/>
      <c r="AM75" s="33"/>
      <c r="AN75" s="33"/>
      <c r="AO75" s="33"/>
      <c r="AP75" s="33"/>
      <c r="AQ75" s="33"/>
      <c r="AR75" s="33"/>
      <c r="AS75" s="33"/>
      <c r="AT75" s="34"/>
      <c r="AU75" s="1679"/>
      <c r="AV75" s="2256">
        <f t="shared" si="11"/>
        <v>0</v>
      </c>
      <c r="AW75" s="2256">
        <f t="shared" si="12"/>
        <v>0</v>
      </c>
      <c r="AX75" s="2256">
        <f t="shared" si="13"/>
        <v>0</v>
      </c>
      <c r="AY75" s="2781">
        <f t="shared" si="14"/>
        <v>0</v>
      </c>
      <c r="AZ75" s="28">
        <f t="shared" si="15"/>
        <v>0</v>
      </c>
      <c r="BA75" s="28">
        <f t="shared" si="16"/>
        <v>0</v>
      </c>
      <c r="BB75" s="28">
        <f t="shared" si="17"/>
        <v>0</v>
      </c>
      <c r="BC75" s="28">
        <f t="shared" si="18"/>
        <v>0</v>
      </c>
      <c r="BD75" s="3439">
        <f t="shared" si="19"/>
        <v>0</v>
      </c>
      <c r="BE75" s="3439">
        <f t="shared" si="20"/>
        <v>0</v>
      </c>
      <c r="BF75" s="3439">
        <f t="shared" si="21"/>
        <v>0</v>
      </c>
      <c r="BG75" s="3439">
        <f t="shared" si="22"/>
        <v>0</v>
      </c>
      <c r="BH75" s="3439">
        <f t="shared" si="23"/>
        <v>0</v>
      </c>
      <c r="BI75" s="3439">
        <f t="shared" si="24"/>
        <v>0</v>
      </c>
      <c r="BJ75" s="3439">
        <f t="shared" si="25"/>
        <v>0</v>
      </c>
      <c r="BK75" s="3439">
        <f t="shared" si="26"/>
        <v>0</v>
      </c>
      <c r="BL75" s="28">
        <f t="shared" si="27"/>
        <v>0</v>
      </c>
      <c r="BM75" s="28">
        <f t="shared" si="28"/>
        <v>0</v>
      </c>
      <c r="BN75" s="28">
        <f t="shared" si="29"/>
        <v>0</v>
      </c>
      <c r="BO75" s="28">
        <f t="shared" si="30"/>
        <v>0</v>
      </c>
      <c r="BP75" s="28">
        <f t="shared" si="31"/>
        <v>0</v>
      </c>
      <c r="BQ75" s="3439">
        <f t="shared" si="32"/>
        <v>0</v>
      </c>
      <c r="BR75" s="3439">
        <f t="shared" si="33"/>
        <v>0</v>
      </c>
      <c r="BS75" s="3439">
        <f t="shared" si="34"/>
        <v>0</v>
      </c>
      <c r="BT75" s="3451">
        <f t="shared" si="35"/>
        <v>0</v>
      </c>
    </row>
    <row r="76" spans="1:72">
      <c r="A76" s="9"/>
      <c r="B76" s="27"/>
      <c r="C76" s="27"/>
      <c r="D76" s="1678"/>
      <c r="E76" s="28">
        <f t="shared" si="7"/>
        <v>0</v>
      </c>
      <c r="F76" s="29"/>
      <c r="G76" s="30">
        <f t="shared" si="8"/>
        <v>0</v>
      </c>
      <c r="H76" s="31">
        <f t="shared" si="9"/>
        <v>0</v>
      </c>
      <c r="I76" s="32"/>
      <c r="J76" s="32"/>
      <c r="K76" s="32"/>
      <c r="L76" s="32"/>
      <c r="M76" s="32"/>
      <c r="N76" s="32"/>
      <c r="O76" s="32"/>
      <c r="P76" s="32"/>
      <c r="Q76" s="32"/>
      <c r="R76" s="32"/>
      <c r="S76" s="32"/>
      <c r="T76" s="32"/>
      <c r="U76" s="32"/>
      <c r="V76" s="32"/>
      <c r="W76" s="32"/>
      <c r="X76" s="32"/>
      <c r="Y76" s="32"/>
      <c r="Z76" s="32"/>
      <c r="AA76" s="32"/>
      <c r="AB76" s="32"/>
      <c r="AC76" s="28">
        <f t="shared" si="10"/>
        <v>0</v>
      </c>
      <c r="AD76" s="33"/>
      <c r="AE76" s="33"/>
      <c r="AF76" s="33"/>
      <c r="AG76" s="33"/>
      <c r="AH76" s="33"/>
      <c r="AI76" s="33"/>
      <c r="AJ76" s="33"/>
      <c r="AK76" s="33"/>
      <c r="AL76" s="33"/>
      <c r="AM76" s="33"/>
      <c r="AN76" s="33"/>
      <c r="AO76" s="33"/>
      <c r="AP76" s="33"/>
      <c r="AQ76" s="33"/>
      <c r="AR76" s="33"/>
      <c r="AS76" s="33"/>
      <c r="AT76" s="34"/>
      <c r="AU76" s="1679"/>
      <c r="AV76" s="2256">
        <f t="shared" si="11"/>
        <v>0</v>
      </c>
      <c r="AW76" s="2256">
        <f t="shared" si="12"/>
        <v>0</v>
      </c>
      <c r="AX76" s="2256">
        <f t="shared" si="13"/>
        <v>0</v>
      </c>
      <c r="AY76" s="2781">
        <f t="shared" si="14"/>
        <v>0</v>
      </c>
      <c r="AZ76" s="28">
        <f t="shared" si="15"/>
        <v>0</v>
      </c>
      <c r="BA76" s="28">
        <f t="shared" si="16"/>
        <v>0</v>
      </c>
      <c r="BB76" s="28">
        <f t="shared" si="17"/>
        <v>0</v>
      </c>
      <c r="BC76" s="28">
        <f t="shared" si="18"/>
        <v>0</v>
      </c>
      <c r="BD76" s="3439">
        <f t="shared" si="19"/>
        <v>0</v>
      </c>
      <c r="BE76" s="3439">
        <f t="shared" si="20"/>
        <v>0</v>
      </c>
      <c r="BF76" s="3439">
        <f t="shared" si="21"/>
        <v>0</v>
      </c>
      <c r="BG76" s="3439">
        <f t="shared" si="22"/>
        <v>0</v>
      </c>
      <c r="BH76" s="3439">
        <f t="shared" si="23"/>
        <v>0</v>
      </c>
      <c r="BI76" s="3439">
        <f t="shared" si="24"/>
        <v>0</v>
      </c>
      <c r="BJ76" s="3439">
        <f t="shared" si="25"/>
        <v>0</v>
      </c>
      <c r="BK76" s="3439">
        <f t="shared" si="26"/>
        <v>0</v>
      </c>
      <c r="BL76" s="28">
        <f t="shared" si="27"/>
        <v>0</v>
      </c>
      <c r="BM76" s="28">
        <f t="shared" si="28"/>
        <v>0</v>
      </c>
      <c r="BN76" s="28">
        <f t="shared" si="29"/>
        <v>0</v>
      </c>
      <c r="BO76" s="28">
        <f t="shared" si="30"/>
        <v>0</v>
      </c>
      <c r="BP76" s="28">
        <f t="shared" si="31"/>
        <v>0</v>
      </c>
      <c r="BQ76" s="3439">
        <f t="shared" si="32"/>
        <v>0</v>
      </c>
      <c r="BR76" s="3439">
        <f t="shared" si="33"/>
        <v>0</v>
      </c>
      <c r="BS76" s="3439">
        <f t="shared" si="34"/>
        <v>0</v>
      </c>
      <c r="BT76" s="3451">
        <f t="shared" si="35"/>
        <v>0</v>
      </c>
    </row>
    <row r="77" spans="1:72">
      <c r="A77" s="9"/>
      <c r="B77" s="27"/>
      <c r="C77" s="27"/>
      <c r="D77" s="1678"/>
      <c r="E77" s="28">
        <f t="shared" si="7"/>
        <v>0</v>
      </c>
      <c r="F77" s="29"/>
      <c r="G77" s="30">
        <f t="shared" si="8"/>
        <v>0</v>
      </c>
      <c r="H77" s="31">
        <f t="shared" si="9"/>
        <v>0</v>
      </c>
      <c r="I77" s="32"/>
      <c r="J77" s="32"/>
      <c r="K77" s="32"/>
      <c r="L77" s="32"/>
      <c r="M77" s="32"/>
      <c r="N77" s="32"/>
      <c r="O77" s="32"/>
      <c r="P77" s="32"/>
      <c r="Q77" s="32"/>
      <c r="R77" s="32"/>
      <c r="S77" s="32"/>
      <c r="T77" s="32"/>
      <c r="U77" s="32"/>
      <c r="V77" s="32"/>
      <c r="W77" s="32"/>
      <c r="X77" s="32"/>
      <c r="Y77" s="32"/>
      <c r="Z77" s="32"/>
      <c r="AA77" s="32"/>
      <c r="AB77" s="32"/>
      <c r="AC77" s="28">
        <f t="shared" si="10"/>
        <v>0</v>
      </c>
      <c r="AD77" s="33"/>
      <c r="AE77" s="33"/>
      <c r="AF77" s="33"/>
      <c r="AG77" s="33"/>
      <c r="AH77" s="33"/>
      <c r="AI77" s="33"/>
      <c r="AJ77" s="33"/>
      <c r="AK77" s="33"/>
      <c r="AL77" s="33"/>
      <c r="AM77" s="33"/>
      <c r="AN77" s="33"/>
      <c r="AO77" s="33"/>
      <c r="AP77" s="33"/>
      <c r="AQ77" s="33"/>
      <c r="AR77" s="33"/>
      <c r="AS77" s="33"/>
      <c r="AT77" s="34"/>
      <c r="AU77" s="1679"/>
      <c r="AV77" s="2256">
        <f t="shared" si="11"/>
        <v>0</v>
      </c>
      <c r="AW77" s="2256">
        <f t="shared" si="12"/>
        <v>0</v>
      </c>
      <c r="AX77" s="2256">
        <f t="shared" si="13"/>
        <v>0</v>
      </c>
      <c r="AY77" s="2781">
        <f t="shared" si="14"/>
        <v>0</v>
      </c>
      <c r="AZ77" s="28">
        <f t="shared" si="15"/>
        <v>0</v>
      </c>
      <c r="BA77" s="28">
        <f t="shared" si="16"/>
        <v>0</v>
      </c>
      <c r="BB77" s="28">
        <f t="shared" si="17"/>
        <v>0</v>
      </c>
      <c r="BC77" s="28">
        <f t="shared" si="18"/>
        <v>0</v>
      </c>
      <c r="BD77" s="3439">
        <f t="shared" si="19"/>
        <v>0</v>
      </c>
      <c r="BE77" s="3439">
        <f t="shared" si="20"/>
        <v>0</v>
      </c>
      <c r="BF77" s="3439">
        <f t="shared" si="21"/>
        <v>0</v>
      </c>
      <c r="BG77" s="3439">
        <f t="shared" si="22"/>
        <v>0</v>
      </c>
      <c r="BH77" s="3439">
        <f t="shared" si="23"/>
        <v>0</v>
      </c>
      <c r="BI77" s="3439">
        <f t="shared" si="24"/>
        <v>0</v>
      </c>
      <c r="BJ77" s="3439">
        <f t="shared" si="25"/>
        <v>0</v>
      </c>
      <c r="BK77" s="3439">
        <f t="shared" si="26"/>
        <v>0</v>
      </c>
      <c r="BL77" s="28">
        <f t="shared" si="27"/>
        <v>0</v>
      </c>
      <c r="BM77" s="28">
        <f t="shared" si="28"/>
        <v>0</v>
      </c>
      <c r="BN77" s="28">
        <f t="shared" si="29"/>
        <v>0</v>
      </c>
      <c r="BO77" s="28">
        <f t="shared" si="30"/>
        <v>0</v>
      </c>
      <c r="BP77" s="28">
        <f t="shared" si="31"/>
        <v>0</v>
      </c>
      <c r="BQ77" s="3439">
        <f t="shared" si="32"/>
        <v>0</v>
      </c>
      <c r="BR77" s="3439">
        <f t="shared" si="33"/>
        <v>0</v>
      </c>
      <c r="BS77" s="3439">
        <f t="shared" si="34"/>
        <v>0</v>
      </c>
      <c r="BT77" s="3451">
        <f t="shared" si="35"/>
        <v>0</v>
      </c>
    </row>
    <row r="78" spans="1:72">
      <c r="A78" s="9"/>
      <c r="B78" s="27"/>
      <c r="C78" s="27"/>
      <c r="D78" s="1678"/>
      <c r="E78" s="28">
        <f t="shared" si="7"/>
        <v>0</v>
      </c>
      <c r="F78" s="29"/>
      <c r="G78" s="30">
        <f t="shared" si="8"/>
        <v>0</v>
      </c>
      <c r="H78" s="31">
        <f t="shared" si="9"/>
        <v>0</v>
      </c>
      <c r="I78" s="32"/>
      <c r="J78" s="32"/>
      <c r="K78" s="32"/>
      <c r="L78" s="32"/>
      <c r="M78" s="32"/>
      <c r="N78" s="32"/>
      <c r="O78" s="32"/>
      <c r="P78" s="32"/>
      <c r="Q78" s="32"/>
      <c r="R78" s="32"/>
      <c r="S78" s="32"/>
      <c r="T78" s="32"/>
      <c r="U78" s="32"/>
      <c r="V78" s="32"/>
      <c r="W78" s="32"/>
      <c r="X78" s="32"/>
      <c r="Y78" s="32"/>
      <c r="Z78" s="32"/>
      <c r="AA78" s="32"/>
      <c r="AB78" s="32"/>
      <c r="AC78" s="28">
        <f t="shared" si="10"/>
        <v>0</v>
      </c>
      <c r="AD78" s="33"/>
      <c r="AE78" s="33"/>
      <c r="AF78" s="33"/>
      <c r="AG78" s="33"/>
      <c r="AH78" s="33"/>
      <c r="AI78" s="33"/>
      <c r="AJ78" s="33"/>
      <c r="AK78" s="33"/>
      <c r="AL78" s="33"/>
      <c r="AM78" s="33"/>
      <c r="AN78" s="33"/>
      <c r="AO78" s="33"/>
      <c r="AP78" s="33"/>
      <c r="AQ78" s="33"/>
      <c r="AR78" s="33"/>
      <c r="AS78" s="33"/>
      <c r="AT78" s="34"/>
      <c r="AU78" s="1679"/>
      <c r="AV78" s="2256">
        <f t="shared" si="11"/>
        <v>0</v>
      </c>
      <c r="AW78" s="2256">
        <f t="shared" si="12"/>
        <v>0</v>
      </c>
      <c r="AX78" s="2256">
        <f t="shared" si="13"/>
        <v>0</v>
      </c>
      <c r="AY78" s="2781">
        <f t="shared" si="14"/>
        <v>0</v>
      </c>
      <c r="AZ78" s="28">
        <f t="shared" si="15"/>
        <v>0</v>
      </c>
      <c r="BA78" s="28">
        <f t="shared" si="16"/>
        <v>0</v>
      </c>
      <c r="BB78" s="28">
        <f t="shared" si="17"/>
        <v>0</v>
      </c>
      <c r="BC78" s="28">
        <f t="shared" si="18"/>
        <v>0</v>
      </c>
      <c r="BD78" s="3439">
        <f t="shared" si="19"/>
        <v>0</v>
      </c>
      <c r="BE78" s="3439">
        <f t="shared" si="20"/>
        <v>0</v>
      </c>
      <c r="BF78" s="3439">
        <f t="shared" si="21"/>
        <v>0</v>
      </c>
      <c r="BG78" s="3439">
        <f t="shared" si="22"/>
        <v>0</v>
      </c>
      <c r="BH78" s="3439">
        <f t="shared" si="23"/>
        <v>0</v>
      </c>
      <c r="BI78" s="3439">
        <f t="shared" si="24"/>
        <v>0</v>
      </c>
      <c r="BJ78" s="3439">
        <f t="shared" si="25"/>
        <v>0</v>
      </c>
      <c r="BK78" s="3439">
        <f t="shared" si="26"/>
        <v>0</v>
      </c>
      <c r="BL78" s="28">
        <f t="shared" si="27"/>
        <v>0</v>
      </c>
      <c r="BM78" s="28">
        <f t="shared" si="28"/>
        <v>0</v>
      </c>
      <c r="BN78" s="28">
        <f t="shared" si="29"/>
        <v>0</v>
      </c>
      <c r="BO78" s="28">
        <f t="shared" si="30"/>
        <v>0</v>
      </c>
      <c r="BP78" s="28">
        <f t="shared" si="31"/>
        <v>0</v>
      </c>
      <c r="BQ78" s="3439">
        <f t="shared" si="32"/>
        <v>0</v>
      </c>
      <c r="BR78" s="3439">
        <f t="shared" si="33"/>
        <v>0</v>
      </c>
      <c r="BS78" s="3439">
        <f t="shared" si="34"/>
        <v>0</v>
      </c>
      <c r="BT78" s="3451">
        <f t="shared" si="35"/>
        <v>0</v>
      </c>
    </row>
    <row r="79" spans="1:72">
      <c r="A79" s="9"/>
      <c r="B79" s="27"/>
      <c r="C79" s="27"/>
      <c r="D79" s="1678"/>
      <c r="E79" s="28">
        <f t="shared" si="7"/>
        <v>0</v>
      </c>
      <c r="F79" s="29"/>
      <c r="G79" s="30">
        <f t="shared" si="8"/>
        <v>0</v>
      </c>
      <c r="H79" s="31">
        <f t="shared" si="9"/>
        <v>0</v>
      </c>
      <c r="I79" s="32"/>
      <c r="J79" s="32"/>
      <c r="K79" s="32"/>
      <c r="L79" s="32"/>
      <c r="M79" s="32"/>
      <c r="N79" s="32"/>
      <c r="O79" s="32"/>
      <c r="P79" s="32"/>
      <c r="Q79" s="32"/>
      <c r="R79" s="32"/>
      <c r="S79" s="32"/>
      <c r="T79" s="32"/>
      <c r="U79" s="32"/>
      <c r="V79" s="32"/>
      <c r="W79" s="32"/>
      <c r="X79" s="32"/>
      <c r="Y79" s="32"/>
      <c r="Z79" s="32"/>
      <c r="AA79" s="32"/>
      <c r="AB79" s="32"/>
      <c r="AC79" s="28">
        <f t="shared" si="10"/>
        <v>0</v>
      </c>
      <c r="AD79" s="33"/>
      <c r="AE79" s="33"/>
      <c r="AF79" s="33"/>
      <c r="AG79" s="33"/>
      <c r="AH79" s="33"/>
      <c r="AI79" s="33"/>
      <c r="AJ79" s="33"/>
      <c r="AK79" s="33"/>
      <c r="AL79" s="33"/>
      <c r="AM79" s="33"/>
      <c r="AN79" s="33"/>
      <c r="AO79" s="33"/>
      <c r="AP79" s="33"/>
      <c r="AQ79" s="33"/>
      <c r="AR79" s="33"/>
      <c r="AS79" s="33"/>
      <c r="AT79" s="34"/>
      <c r="AU79" s="1679"/>
      <c r="AV79" s="2256">
        <f t="shared" si="11"/>
        <v>0</v>
      </c>
      <c r="AW79" s="2256">
        <f t="shared" si="12"/>
        <v>0</v>
      </c>
      <c r="AX79" s="2256">
        <f t="shared" si="13"/>
        <v>0</v>
      </c>
      <c r="AY79" s="2781">
        <f t="shared" si="14"/>
        <v>0</v>
      </c>
      <c r="AZ79" s="28">
        <f t="shared" si="15"/>
        <v>0</v>
      </c>
      <c r="BA79" s="28">
        <f t="shared" si="16"/>
        <v>0</v>
      </c>
      <c r="BB79" s="28">
        <f t="shared" si="17"/>
        <v>0</v>
      </c>
      <c r="BC79" s="28">
        <f t="shared" si="18"/>
        <v>0</v>
      </c>
      <c r="BD79" s="3439">
        <f t="shared" si="19"/>
        <v>0</v>
      </c>
      <c r="BE79" s="3439">
        <f t="shared" si="20"/>
        <v>0</v>
      </c>
      <c r="BF79" s="3439">
        <f t="shared" si="21"/>
        <v>0</v>
      </c>
      <c r="BG79" s="3439">
        <f t="shared" si="22"/>
        <v>0</v>
      </c>
      <c r="BH79" s="3439">
        <f t="shared" si="23"/>
        <v>0</v>
      </c>
      <c r="BI79" s="3439">
        <f t="shared" si="24"/>
        <v>0</v>
      </c>
      <c r="BJ79" s="3439">
        <f t="shared" si="25"/>
        <v>0</v>
      </c>
      <c r="BK79" s="3439">
        <f t="shared" si="26"/>
        <v>0</v>
      </c>
      <c r="BL79" s="28">
        <f t="shared" si="27"/>
        <v>0</v>
      </c>
      <c r="BM79" s="28">
        <f t="shared" si="28"/>
        <v>0</v>
      </c>
      <c r="BN79" s="28">
        <f t="shared" si="29"/>
        <v>0</v>
      </c>
      <c r="BO79" s="28">
        <f t="shared" si="30"/>
        <v>0</v>
      </c>
      <c r="BP79" s="28">
        <f t="shared" si="31"/>
        <v>0</v>
      </c>
      <c r="BQ79" s="3439">
        <f t="shared" si="32"/>
        <v>0</v>
      </c>
      <c r="BR79" s="3439">
        <f t="shared" si="33"/>
        <v>0</v>
      </c>
      <c r="BS79" s="3439">
        <f t="shared" si="34"/>
        <v>0</v>
      </c>
      <c r="BT79" s="3451">
        <f t="shared" si="35"/>
        <v>0</v>
      </c>
    </row>
    <row r="80" spans="1:72">
      <c r="A80" s="9"/>
      <c r="B80" s="27"/>
      <c r="C80" s="27"/>
      <c r="D80" s="1678"/>
      <c r="E80" s="28">
        <f t="shared" si="7"/>
        <v>0</v>
      </c>
      <c r="F80" s="29"/>
      <c r="G80" s="30">
        <f t="shared" si="8"/>
        <v>0</v>
      </c>
      <c r="H80" s="31">
        <f t="shared" si="9"/>
        <v>0</v>
      </c>
      <c r="I80" s="32"/>
      <c r="J80" s="32"/>
      <c r="K80" s="32"/>
      <c r="L80" s="32"/>
      <c r="M80" s="32"/>
      <c r="N80" s="32"/>
      <c r="O80" s="32"/>
      <c r="P80" s="32"/>
      <c r="Q80" s="32"/>
      <c r="R80" s="32"/>
      <c r="S80" s="32"/>
      <c r="T80" s="32"/>
      <c r="U80" s="32"/>
      <c r="V80" s="32"/>
      <c r="W80" s="32"/>
      <c r="X80" s="32"/>
      <c r="Y80" s="32"/>
      <c r="Z80" s="32"/>
      <c r="AA80" s="32"/>
      <c r="AB80" s="32"/>
      <c r="AC80" s="28">
        <f t="shared" si="10"/>
        <v>0</v>
      </c>
      <c r="AD80" s="33"/>
      <c r="AE80" s="33"/>
      <c r="AF80" s="33"/>
      <c r="AG80" s="33"/>
      <c r="AH80" s="33"/>
      <c r="AI80" s="33"/>
      <c r="AJ80" s="33"/>
      <c r="AK80" s="33"/>
      <c r="AL80" s="33"/>
      <c r="AM80" s="33"/>
      <c r="AN80" s="33"/>
      <c r="AO80" s="33"/>
      <c r="AP80" s="33"/>
      <c r="AQ80" s="33"/>
      <c r="AR80" s="33"/>
      <c r="AS80" s="33"/>
      <c r="AT80" s="34"/>
      <c r="AU80" s="1679"/>
      <c r="AV80" s="2256">
        <f t="shared" si="11"/>
        <v>0</v>
      </c>
      <c r="AW80" s="2256">
        <f t="shared" si="12"/>
        <v>0</v>
      </c>
      <c r="AX80" s="2256">
        <f t="shared" si="13"/>
        <v>0</v>
      </c>
      <c r="AY80" s="2781">
        <f t="shared" si="14"/>
        <v>0</v>
      </c>
      <c r="AZ80" s="28">
        <f t="shared" si="15"/>
        <v>0</v>
      </c>
      <c r="BA80" s="28">
        <f t="shared" si="16"/>
        <v>0</v>
      </c>
      <c r="BB80" s="28">
        <f t="shared" si="17"/>
        <v>0</v>
      </c>
      <c r="BC80" s="28">
        <f t="shared" si="18"/>
        <v>0</v>
      </c>
      <c r="BD80" s="3439">
        <f t="shared" si="19"/>
        <v>0</v>
      </c>
      <c r="BE80" s="3439">
        <f t="shared" si="20"/>
        <v>0</v>
      </c>
      <c r="BF80" s="3439">
        <f t="shared" si="21"/>
        <v>0</v>
      </c>
      <c r="BG80" s="3439">
        <f t="shared" si="22"/>
        <v>0</v>
      </c>
      <c r="BH80" s="3439">
        <f t="shared" si="23"/>
        <v>0</v>
      </c>
      <c r="BI80" s="3439">
        <f t="shared" si="24"/>
        <v>0</v>
      </c>
      <c r="BJ80" s="3439">
        <f t="shared" si="25"/>
        <v>0</v>
      </c>
      <c r="BK80" s="3439">
        <f t="shared" si="26"/>
        <v>0</v>
      </c>
      <c r="BL80" s="28">
        <f t="shared" si="27"/>
        <v>0</v>
      </c>
      <c r="BM80" s="28">
        <f t="shared" si="28"/>
        <v>0</v>
      </c>
      <c r="BN80" s="28">
        <f t="shared" si="29"/>
        <v>0</v>
      </c>
      <c r="BO80" s="28">
        <f t="shared" si="30"/>
        <v>0</v>
      </c>
      <c r="BP80" s="28">
        <f t="shared" si="31"/>
        <v>0</v>
      </c>
      <c r="BQ80" s="3439">
        <f t="shared" si="32"/>
        <v>0</v>
      </c>
      <c r="BR80" s="3439">
        <f t="shared" si="33"/>
        <v>0</v>
      </c>
      <c r="BS80" s="3439">
        <f t="shared" si="34"/>
        <v>0</v>
      </c>
      <c r="BT80" s="3451">
        <f t="shared" si="35"/>
        <v>0</v>
      </c>
    </row>
    <row r="81" spans="1:72">
      <c r="A81" s="9"/>
      <c r="B81" s="27"/>
      <c r="C81" s="27"/>
      <c r="D81" s="1678"/>
      <c r="E81" s="28">
        <f t="shared" si="7"/>
        <v>0</v>
      </c>
      <c r="F81" s="29"/>
      <c r="G81" s="30">
        <f t="shared" si="8"/>
        <v>0</v>
      </c>
      <c r="H81" s="31">
        <f t="shared" si="9"/>
        <v>0</v>
      </c>
      <c r="I81" s="32"/>
      <c r="J81" s="32"/>
      <c r="K81" s="32"/>
      <c r="L81" s="32"/>
      <c r="M81" s="32"/>
      <c r="N81" s="32"/>
      <c r="O81" s="32"/>
      <c r="P81" s="32"/>
      <c r="Q81" s="32"/>
      <c r="R81" s="32"/>
      <c r="S81" s="32"/>
      <c r="T81" s="32"/>
      <c r="U81" s="32"/>
      <c r="V81" s="32"/>
      <c r="W81" s="32"/>
      <c r="X81" s="32"/>
      <c r="Y81" s="32"/>
      <c r="Z81" s="32"/>
      <c r="AA81" s="32"/>
      <c r="AB81" s="32"/>
      <c r="AC81" s="28">
        <f t="shared" si="10"/>
        <v>0</v>
      </c>
      <c r="AD81" s="33"/>
      <c r="AE81" s="33"/>
      <c r="AF81" s="33"/>
      <c r="AG81" s="33"/>
      <c r="AH81" s="33"/>
      <c r="AI81" s="33"/>
      <c r="AJ81" s="33"/>
      <c r="AK81" s="33"/>
      <c r="AL81" s="33"/>
      <c r="AM81" s="33"/>
      <c r="AN81" s="33"/>
      <c r="AO81" s="33"/>
      <c r="AP81" s="33"/>
      <c r="AQ81" s="33"/>
      <c r="AR81" s="33"/>
      <c r="AS81" s="33"/>
      <c r="AT81" s="34"/>
      <c r="AU81" s="1679"/>
      <c r="AV81" s="2256">
        <f t="shared" si="11"/>
        <v>0</v>
      </c>
      <c r="AW81" s="2256">
        <f t="shared" si="12"/>
        <v>0</v>
      </c>
      <c r="AX81" s="2256">
        <f t="shared" si="13"/>
        <v>0</v>
      </c>
      <c r="AY81" s="2781">
        <f t="shared" si="14"/>
        <v>0</v>
      </c>
      <c r="AZ81" s="28">
        <f t="shared" si="15"/>
        <v>0</v>
      </c>
      <c r="BA81" s="28">
        <f t="shared" si="16"/>
        <v>0</v>
      </c>
      <c r="BB81" s="28">
        <f t="shared" si="17"/>
        <v>0</v>
      </c>
      <c r="BC81" s="28">
        <f t="shared" si="18"/>
        <v>0</v>
      </c>
      <c r="BD81" s="3439">
        <f t="shared" si="19"/>
        <v>0</v>
      </c>
      <c r="BE81" s="3439">
        <f t="shared" si="20"/>
        <v>0</v>
      </c>
      <c r="BF81" s="3439">
        <f t="shared" si="21"/>
        <v>0</v>
      </c>
      <c r="BG81" s="3439">
        <f t="shared" si="22"/>
        <v>0</v>
      </c>
      <c r="BH81" s="3439">
        <f t="shared" si="23"/>
        <v>0</v>
      </c>
      <c r="BI81" s="3439">
        <f t="shared" si="24"/>
        <v>0</v>
      </c>
      <c r="BJ81" s="3439">
        <f t="shared" si="25"/>
        <v>0</v>
      </c>
      <c r="BK81" s="3439">
        <f t="shared" si="26"/>
        <v>0</v>
      </c>
      <c r="BL81" s="28">
        <f t="shared" si="27"/>
        <v>0</v>
      </c>
      <c r="BM81" s="28">
        <f t="shared" si="28"/>
        <v>0</v>
      </c>
      <c r="BN81" s="28">
        <f t="shared" si="29"/>
        <v>0</v>
      </c>
      <c r="BO81" s="28">
        <f t="shared" si="30"/>
        <v>0</v>
      </c>
      <c r="BP81" s="28">
        <f t="shared" si="31"/>
        <v>0</v>
      </c>
      <c r="BQ81" s="3439">
        <f t="shared" si="32"/>
        <v>0</v>
      </c>
      <c r="BR81" s="3439">
        <f t="shared" si="33"/>
        <v>0</v>
      </c>
      <c r="BS81" s="3439">
        <f t="shared" si="34"/>
        <v>0</v>
      </c>
      <c r="BT81" s="3451">
        <f t="shared" si="35"/>
        <v>0</v>
      </c>
    </row>
    <row r="82" spans="1:72">
      <c r="A82" s="9"/>
      <c r="B82" s="27"/>
      <c r="C82" s="27"/>
      <c r="D82" s="1678"/>
      <c r="E82" s="28">
        <f t="shared" si="7"/>
        <v>0</v>
      </c>
      <c r="F82" s="29"/>
      <c r="G82" s="30">
        <f t="shared" si="8"/>
        <v>0</v>
      </c>
      <c r="H82" s="31">
        <f t="shared" si="9"/>
        <v>0</v>
      </c>
      <c r="I82" s="32"/>
      <c r="J82" s="32"/>
      <c r="K82" s="32"/>
      <c r="L82" s="32"/>
      <c r="M82" s="32"/>
      <c r="N82" s="32"/>
      <c r="O82" s="32"/>
      <c r="P82" s="32"/>
      <c r="Q82" s="32"/>
      <c r="R82" s="32"/>
      <c r="S82" s="32"/>
      <c r="T82" s="32"/>
      <c r="U82" s="32"/>
      <c r="V82" s="32"/>
      <c r="W82" s="32"/>
      <c r="X82" s="32"/>
      <c r="Y82" s="32"/>
      <c r="Z82" s="32"/>
      <c r="AA82" s="32"/>
      <c r="AB82" s="32"/>
      <c r="AC82" s="28">
        <f t="shared" si="10"/>
        <v>0</v>
      </c>
      <c r="AD82" s="33"/>
      <c r="AE82" s="33"/>
      <c r="AF82" s="33"/>
      <c r="AG82" s="33"/>
      <c r="AH82" s="33"/>
      <c r="AI82" s="33"/>
      <c r="AJ82" s="33"/>
      <c r="AK82" s="33"/>
      <c r="AL82" s="33"/>
      <c r="AM82" s="33"/>
      <c r="AN82" s="33"/>
      <c r="AO82" s="33"/>
      <c r="AP82" s="33"/>
      <c r="AQ82" s="33"/>
      <c r="AR82" s="33"/>
      <c r="AS82" s="33"/>
      <c r="AT82" s="34"/>
      <c r="AU82" s="1679"/>
      <c r="AV82" s="2256">
        <f t="shared" si="11"/>
        <v>0</v>
      </c>
      <c r="AW82" s="2256">
        <f t="shared" si="12"/>
        <v>0</v>
      </c>
      <c r="AX82" s="2256">
        <f t="shared" si="13"/>
        <v>0</v>
      </c>
      <c r="AY82" s="2781">
        <f t="shared" si="14"/>
        <v>0</v>
      </c>
      <c r="AZ82" s="28">
        <f t="shared" si="15"/>
        <v>0</v>
      </c>
      <c r="BA82" s="28">
        <f t="shared" si="16"/>
        <v>0</v>
      </c>
      <c r="BB82" s="28">
        <f t="shared" si="17"/>
        <v>0</v>
      </c>
      <c r="BC82" s="28">
        <f t="shared" si="18"/>
        <v>0</v>
      </c>
      <c r="BD82" s="3439">
        <f t="shared" si="19"/>
        <v>0</v>
      </c>
      <c r="BE82" s="3439">
        <f t="shared" si="20"/>
        <v>0</v>
      </c>
      <c r="BF82" s="3439">
        <f t="shared" si="21"/>
        <v>0</v>
      </c>
      <c r="BG82" s="3439">
        <f t="shared" si="22"/>
        <v>0</v>
      </c>
      <c r="BH82" s="3439">
        <f t="shared" si="23"/>
        <v>0</v>
      </c>
      <c r="BI82" s="3439">
        <f t="shared" si="24"/>
        <v>0</v>
      </c>
      <c r="BJ82" s="3439">
        <f t="shared" si="25"/>
        <v>0</v>
      </c>
      <c r="BK82" s="3439">
        <f t="shared" si="26"/>
        <v>0</v>
      </c>
      <c r="BL82" s="28">
        <f t="shared" si="27"/>
        <v>0</v>
      </c>
      <c r="BM82" s="28">
        <f t="shared" si="28"/>
        <v>0</v>
      </c>
      <c r="BN82" s="28">
        <f t="shared" si="29"/>
        <v>0</v>
      </c>
      <c r="BO82" s="28">
        <f t="shared" si="30"/>
        <v>0</v>
      </c>
      <c r="BP82" s="28">
        <f t="shared" si="31"/>
        <v>0</v>
      </c>
      <c r="BQ82" s="3439">
        <f t="shared" si="32"/>
        <v>0</v>
      </c>
      <c r="BR82" s="3439">
        <f t="shared" si="33"/>
        <v>0</v>
      </c>
      <c r="BS82" s="3439">
        <f t="shared" si="34"/>
        <v>0</v>
      </c>
      <c r="BT82" s="3451">
        <f t="shared" si="35"/>
        <v>0</v>
      </c>
    </row>
    <row r="83" spans="1:72">
      <c r="A83" s="9"/>
      <c r="B83" s="27"/>
      <c r="C83" s="27"/>
      <c r="D83" s="1678"/>
      <c r="E83" s="28">
        <f t="shared" si="7"/>
        <v>0</v>
      </c>
      <c r="F83" s="29"/>
      <c r="G83" s="30">
        <f t="shared" si="8"/>
        <v>0</v>
      </c>
      <c r="H83" s="31">
        <f t="shared" si="9"/>
        <v>0</v>
      </c>
      <c r="I83" s="32"/>
      <c r="J83" s="32"/>
      <c r="K83" s="32"/>
      <c r="L83" s="32"/>
      <c r="M83" s="32"/>
      <c r="N83" s="32"/>
      <c r="O83" s="32"/>
      <c r="P83" s="32"/>
      <c r="Q83" s="32"/>
      <c r="R83" s="32"/>
      <c r="S83" s="32"/>
      <c r="T83" s="32"/>
      <c r="U83" s="32"/>
      <c r="V83" s="32"/>
      <c r="W83" s="32"/>
      <c r="X83" s="32"/>
      <c r="Y83" s="32"/>
      <c r="Z83" s="32"/>
      <c r="AA83" s="32"/>
      <c r="AB83" s="32"/>
      <c r="AC83" s="28">
        <f t="shared" si="10"/>
        <v>0</v>
      </c>
      <c r="AD83" s="33"/>
      <c r="AE83" s="33"/>
      <c r="AF83" s="33"/>
      <c r="AG83" s="33"/>
      <c r="AH83" s="33"/>
      <c r="AI83" s="33"/>
      <c r="AJ83" s="33"/>
      <c r="AK83" s="33"/>
      <c r="AL83" s="33"/>
      <c r="AM83" s="33"/>
      <c r="AN83" s="33"/>
      <c r="AO83" s="33"/>
      <c r="AP83" s="33"/>
      <c r="AQ83" s="33"/>
      <c r="AR83" s="33"/>
      <c r="AS83" s="33"/>
      <c r="AT83" s="34"/>
      <c r="AU83" s="1679"/>
      <c r="AV83" s="2256">
        <f t="shared" si="11"/>
        <v>0</v>
      </c>
      <c r="AW83" s="2256">
        <f t="shared" si="12"/>
        <v>0</v>
      </c>
      <c r="AX83" s="2256">
        <f t="shared" si="13"/>
        <v>0</v>
      </c>
      <c r="AY83" s="2781">
        <f t="shared" si="14"/>
        <v>0</v>
      </c>
      <c r="AZ83" s="28">
        <f t="shared" si="15"/>
        <v>0</v>
      </c>
      <c r="BA83" s="28">
        <f t="shared" si="16"/>
        <v>0</v>
      </c>
      <c r="BB83" s="28">
        <f t="shared" si="17"/>
        <v>0</v>
      </c>
      <c r="BC83" s="28">
        <f t="shared" si="18"/>
        <v>0</v>
      </c>
      <c r="BD83" s="3439">
        <f t="shared" si="19"/>
        <v>0</v>
      </c>
      <c r="BE83" s="3439">
        <f t="shared" si="20"/>
        <v>0</v>
      </c>
      <c r="BF83" s="3439">
        <f t="shared" si="21"/>
        <v>0</v>
      </c>
      <c r="BG83" s="3439">
        <f t="shared" si="22"/>
        <v>0</v>
      </c>
      <c r="BH83" s="3439">
        <f t="shared" si="23"/>
        <v>0</v>
      </c>
      <c r="BI83" s="3439">
        <f t="shared" si="24"/>
        <v>0</v>
      </c>
      <c r="BJ83" s="3439">
        <f t="shared" si="25"/>
        <v>0</v>
      </c>
      <c r="BK83" s="3439">
        <f t="shared" si="26"/>
        <v>0</v>
      </c>
      <c r="BL83" s="28">
        <f t="shared" si="27"/>
        <v>0</v>
      </c>
      <c r="BM83" s="28">
        <f t="shared" si="28"/>
        <v>0</v>
      </c>
      <c r="BN83" s="28">
        <f t="shared" si="29"/>
        <v>0</v>
      </c>
      <c r="BO83" s="28">
        <f t="shared" si="30"/>
        <v>0</v>
      </c>
      <c r="BP83" s="28">
        <f t="shared" si="31"/>
        <v>0</v>
      </c>
      <c r="BQ83" s="3439">
        <f t="shared" si="32"/>
        <v>0</v>
      </c>
      <c r="BR83" s="3439">
        <f t="shared" si="33"/>
        <v>0</v>
      </c>
      <c r="BS83" s="3439">
        <f t="shared" si="34"/>
        <v>0</v>
      </c>
      <c r="BT83" s="3451">
        <f t="shared" si="35"/>
        <v>0</v>
      </c>
    </row>
    <row r="84" spans="1:72">
      <c r="A84" s="9"/>
      <c r="B84" s="27"/>
      <c r="C84" s="27"/>
      <c r="D84" s="1678"/>
      <c r="E84" s="28">
        <f t="shared" si="7"/>
        <v>0</v>
      </c>
      <c r="F84" s="29"/>
      <c r="G84" s="30">
        <f t="shared" si="8"/>
        <v>0</v>
      </c>
      <c r="H84" s="31">
        <f t="shared" si="9"/>
        <v>0</v>
      </c>
      <c r="I84" s="32"/>
      <c r="J84" s="32"/>
      <c r="K84" s="32"/>
      <c r="L84" s="32"/>
      <c r="M84" s="32"/>
      <c r="N84" s="32"/>
      <c r="O84" s="32"/>
      <c r="P84" s="32"/>
      <c r="Q84" s="32"/>
      <c r="R84" s="32"/>
      <c r="S84" s="32"/>
      <c r="T84" s="32"/>
      <c r="U84" s="32"/>
      <c r="V84" s="32"/>
      <c r="W84" s="32"/>
      <c r="X84" s="32"/>
      <c r="Y84" s="32"/>
      <c r="Z84" s="32"/>
      <c r="AA84" s="32"/>
      <c r="AB84" s="32"/>
      <c r="AC84" s="28">
        <f t="shared" si="10"/>
        <v>0</v>
      </c>
      <c r="AD84" s="33"/>
      <c r="AE84" s="33"/>
      <c r="AF84" s="33"/>
      <c r="AG84" s="33"/>
      <c r="AH84" s="33"/>
      <c r="AI84" s="33"/>
      <c r="AJ84" s="33"/>
      <c r="AK84" s="33"/>
      <c r="AL84" s="33"/>
      <c r="AM84" s="33"/>
      <c r="AN84" s="33"/>
      <c r="AO84" s="33"/>
      <c r="AP84" s="33"/>
      <c r="AQ84" s="33"/>
      <c r="AR84" s="33"/>
      <c r="AS84" s="33"/>
      <c r="AT84" s="34"/>
      <c r="AU84" s="1679"/>
      <c r="AV84" s="2256">
        <f t="shared" si="11"/>
        <v>0</v>
      </c>
      <c r="AW84" s="2256">
        <f t="shared" si="12"/>
        <v>0</v>
      </c>
      <c r="AX84" s="2256">
        <f t="shared" si="13"/>
        <v>0</v>
      </c>
      <c r="AY84" s="2781">
        <f t="shared" si="14"/>
        <v>0</v>
      </c>
      <c r="AZ84" s="28">
        <f t="shared" si="15"/>
        <v>0</v>
      </c>
      <c r="BA84" s="28">
        <f t="shared" si="16"/>
        <v>0</v>
      </c>
      <c r="BB84" s="28">
        <f t="shared" si="17"/>
        <v>0</v>
      </c>
      <c r="BC84" s="28">
        <f t="shared" si="18"/>
        <v>0</v>
      </c>
      <c r="BD84" s="3439">
        <f t="shared" si="19"/>
        <v>0</v>
      </c>
      <c r="BE84" s="3439">
        <f t="shared" si="20"/>
        <v>0</v>
      </c>
      <c r="BF84" s="3439">
        <f t="shared" si="21"/>
        <v>0</v>
      </c>
      <c r="BG84" s="3439">
        <f t="shared" si="22"/>
        <v>0</v>
      </c>
      <c r="BH84" s="3439">
        <f t="shared" si="23"/>
        <v>0</v>
      </c>
      <c r="BI84" s="3439">
        <f t="shared" si="24"/>
        <v>0</v>
      </c>
      <c r="BJ84" s="3439">
        <f t="shared" si="25"/>
        <v>0</v>
      </c>
      <c r="BK84" s="3439">
        <f t="shared" si="26"/>
        <v>0</v>
      </c>
      <c r="BL84" s="28">
        <f t="shared" si="27"/>
        <v>0</v>
      </c>
      <c r="BM84" s="28">
        <f t="shared" si="28"/>
        <v>0</v>
      </c>
      <c r="BN84" s="28">
        <f t="shared" si="29"/>
        <v>0</v>
      </c>
      <c r="BO84" s="28">
        <f t="shared" si="30"/>
        <v>0</v>
      </c>
      <c r="BP84" s="28">
        <f t="shared" si="31"/>
        <v>0</v>
      </c>
      <c r="BQ84" s="3439">
        <f t="shared" si="32"/>
        <v>0</v>
      </c>
      <c r="BR84" s="3439">
        <f t="shared" si="33"/>
        <v>0</v>
      </c>
      <c r="BS84" s="3439">
        <f t="shared" si="34"/>
        <v>0</v>
      </c>
      <c r="BT84" s="3451">
        <f t="shared" si="35"/>
        <v>0</v>
      </c>
    </row>
    <row r="85" spans="1:72">
      <c r="A85" s="9"/>
      <c r="B85" s="27"/>
      <c r="C85" s="27"/>
      <c r="D85" s="1678"/>
      <c r="E85" s="28">
        <f t="shared" si="7"/>
        <v>0</v>
      </c>
      <c r="F85" s="29"/>
      <c r="G85" s="30">
        <f t="shared" si="8"/>
        <v>0</v>
      </c>
      <c r="H85" s="31">
        <f t="shared" si="9"/>
        <v>0</v>
      </c>
      <c r="I85" s="32"/>
      <c r="J85" s="32"/>
      <c r="K85" s="32"/>
      <c r="L85" s="32"/>
      <c r="M85" s="32"/>
      <c r="N85" s="32"/>
      <c r="O85" s="32"/>
      <c r="P85" s="32"/>
      <c r="Q85" s="32"/>
      <c r="R85" s="32"/>
      <c r="S85" s="32"/>
      <c r="T85" s="32"/>
      <c r="U85" s="32"/>
      <c r="V85" s="32"/>
      <c r="W85" s="32"/>
      <c r="X85" s="32"/>
      <c r="Y85" s="32"/>
      <c r="Z85" s="32"/>
      <c r="AA85" s="32"/>
      <c r="AB85" s="32"/>
      <c r="AC85" s="28">
        <f t="shared" si="10"/>
        <v>0</v>
      </c>
      <c r="AD85" s="33"/>
      <c r="AE85" s="33"/>
      <c r="AF85" s="33"/>
      <c r="AG85" s="33"/>
      <c r="AH85" s="33"/>
      <c r="AI85" s="33"/>
      <c r="AJ85" s="33"/>
      <c r="AK85" s="33"/>
      <c r="AL85" s="33"/>
      <c r="AM85" s="33"/>
      <c r="AN85" s="33"/>
      <c r="AO85" s="33"/>
      <c r="AP85" s="33"/>
      <c r="AQ85" s="33"/>
      <c r="AR85" s="33"/>
      <c r="AS85" s="33"/>
      <c r="AT85" s="34"/>
      <c r="AU85" s="1679"/>
      <c r="AV85" s="2256">
        <f t="shared" si="11"/>
        <v>0</v>
      </c>
      <c r="AW85" s="2256">
        <f t="shared" si="12"/>
        <v>0</v>
      </c>
      <c r="AX85" s="2256">
        <f t="shared" si="13"/>
        <v>0</v>
      </c>
      <c r="AY85" s="2781">
        <f t="shared" si="14"/>
        <v>0</v>
      </c>
      <c r="AZ85" s="28">
        <f t="shared" si="15"/>
        <v>0</v>
      </c>
      <c r="BA85" s="28">
        <f t="shared" si="16"/>
        <v>0</v>
      </c>
      <c r="BB85" s="28">
        <f t="shared" si="17"/>
        <v>0</v>
      </c>
      <c r="BC85" s="28">
        <f t="shared" si="18"/>
        <v>0</v>
      </c>
      <c r="BD85" s="3439">
        <f t="shared" si="19"/>
        <v>0</v>
      </c>
      <c r="BE85" s="3439">
        <f t="shared" si="20"/>
        <v>0</v>
      </c>
      <c r="BF85" s="3439">
        <f t="shared" si="21"/>
        <v>0</v>
      </c>
      <c r="BG85" s="3439">
        <f t="shared" si="22"/>
        <v>0</v>
      </c>
      <c r="BH85" s="3439">
        <f t="shared" si="23"/>
        <v>0</v>
      </c>
      <c r="BI85" s="3439">
        <f t="shared" si="24"/>
        <v>0</v>
      </c>
      <c r="BJ85" s="3439">
        <f t="shared" si="25"/>
        <v>0</v>
      </c>
      <c r="BK85" s="3439">
        <f t="shared" si="26"/>
        <v>0</v>
      </c>
      <c r="BL85" s="28">
        <f t="shared" si="27"/>
        <v>0</v>
      </c>
      <c r="BM85" s="28">
        <f t="shared" si="28"/>
        <v>0</v>
      </c>
      <c r="BN85" s="28">
        <f t="shared" si="29"/>
        <v>0</v>
      </c>
      <c r="BO85" s="28">
        <f t="shared" si="30"/>
        <v>0</v>
      </c>
      <c r="BP85" s="28">
        <f t="shared" si="31"/>
        <v>0</v>
      </c>
      <c r="BQ85" s="3439">
        <f t="shared" si="32"/>
        <v>0</v>
      </c>
      <c r="BR85" s="3439">
        <f t="shared" si="33"/>
        <v>0</v>
      </c>
      <c r="BS85" s="3439">
        <f t="shared" si="34"/>
        <v>0</v>
      </c>
      <c r="BT85" s="3451">
        <f t="shared" si="35"/>
        <v>0</v>
      </c>
    </row>
    <row r="86" spans="1:72">
      <c r="A86" s="9"/>
      <c r="B86" s="27"/>
      <c r="C86" s="27"/>
      <c r="D86" s="1678"/>
      <c r="E86" s="28">
        <f t="shared" si="7"/>
        <v>0</v>
      </c>
      <c r="F86" s="29"/>
      <c r="G86" s="30">
        <f t="shared" si="8"/>
        <v>0</v>
      </c>
      <c r="H86" s="31">
        <f t="shared" si="9"/>
        <v>0</v>
      </c>
      <c r="I86" s="32"/>
      <c r="J86" s="32"/>
      <c r="K86" s="32"/>
      <c r="L86" s="32"/>
      <c r="M86" s="32"/>
      <c r="N86" s="32"/>
      <c r="O86" s="32"/>
      <c r="P86" s="32"/>
      <c r="Q86" s="32"/>
      <c r="R86" s="32"/>
      <c r="S86" s="32"/>
      <c r="T86" s="32"/>
      <c r="U86" s="32"/>
      <c r="V86" s="32"/>
      <c r="W86" s="32"/>
      <c r="X86" s="32"/>
      <c r="Y86" s="32"/>
      <c r="Z86" s="32"/>
      <c r="AA86" s="32"/>
      <c r="AB86" s="32"/>
      <c r="AC86" s="28">
        <f t="shared" si="10"/>
        <v>0</v>
      </c>
      <c r="AD86" s="33"/>
      <c r="AE86" s="33"/>
      <c r="AF86" s="33"/>
      <c r="AG86" s="33"/>
      <c r="AH86" s="33"/>
      <c r="AI86" s="33"/>
      <c r="AJ86" s="33"/>
      <c r="AK86" s="33"/>
      <c r="AL86" s="33"/>
      <c r="AM86" s="33"/>
      <c r="AN86" s="33"/>
      <c r="AO86" s="33"/>
      <c r="AP86" s="33"/>
      <c r="AQ86" s="33"/>
      <c r="AR86" s="33"/>
      <c r="AS86" s="33"/>
      <c r="AT86" s="34"/>
      <c r="AU86" s="1679"/>
      <c r="AV86" s="2256">
        <f t="shared" si="11"/>
        <v>0</v>
      </c>
      <c r="AW86" s="2256">
        <f t="shared" si="12"/>
        <v>0</v>
      </c>
      <c r="AX86" s="2256">
        <f t="shared" si="13"/>
        <v>0</v>
      </c>
      <c r="AY86" s="2781">
        <f t="shared" si="14"/>
        <v>0</v>
      </c>
      <c r="AZ86" s="28">
        <f t="shared" si="15"/>
        <v>0</v>
      </c>
      <c r="BA86" s="28">
        <f t="shared" si="16"/>
        <v>0</v>
      </c>
      <c r="BB86" s="28">
        <f t="shared" si="17"/>
        <v>0</v>
      </c>
      <c r="BC86" s="28">
        <f t="shared" si="18"/>
        <v>0</v>
      </c>
      <c r="BD86" s="3439">
        <f t="shared" si="19"/>
        <v>0</v>
      </c>
      <c r="BE86" s="3439">
        <f t="shared" si="20"/>
        <v>0</v>
      </c>
      <c r="BF86" s="3439">
        <f t="shared" si="21"/>
        <v>0</v>
      </c>
      <c r="BG86" s="3439">
        <f t="shared" si="22"/>
        <v>0</v>
      </c>
      <c r="BH86" s="3439">
        <f t="shared" si="23"/>
        <v>0</v>
      </c>
      <c r="BI86" s="3439">
        <f t="shared" si="24"/>
        <v>0</v>
      </c>
      <c r="BJ86" s="3439">
        <f t="shared" si="25"/>
        <v>0</v>
      </c>
      <c r="BK86" s="3439">
        <f t="shared" si="26"/>
        <v>0</v>
      </c>
      <c r="BL86" s="28">
        <f t="shared" si="27"/>
        <v>0</v>
      </c>
      <c r="BM86" s="28">
        <f t="shared" si="28"/>
        <v>0</v>
      </c>
      <c r="BN86" s="28">
        <f t="shared" si="29"/>
        <v>0</v>
      </c>
      <c r="BO86" s="28">
        <f t="shared" si="30"/>
        <v>0</v>
      </c>
      <c r="BP86" s="28">
        <f t="shared" si="31"/>
        <v>0</v>
      </c>
      <c r="BQ86" s="3439">
        <f t="shared" si="32"/>
        <v>0</v>
      </c>
      <c r="BR86" s="3439">
        <f t="shared" si="33"/>
        <v>0</v>
      </c>
      <c r="BS86" s="3439">
        <f t="shared" si="34"/>
        <v>0</v>
      </c>
      <c r="BT86" s="3451">
        <f t="shared" si="35"/>
        <v>0</v>
      </c>
    </row>
    <row r="87" spans="1:72">
      <c r="A87" s="9"/>
      <c r="B87" s="27"/>
      <c r="C87" s="27"/>
      <c r="D87" s="1678"/>
      <c r="E87" s="28">
        <f t="shared" si="7"/>
        <v>0</v>
      </c>
      <c r="F87" s="29"/>
      <c r="G87" s="30">
        <f t="shared" si="8"/>
        <v>0</v>
      </c>
      <c r="H87" s="31">
        <f t="shared" si="9"/>
        <v>0</v>
      </c>
      <c r="I87" s="32"/>
      <c r="J87" s="32"/>
      <c r="K87" s="32"/>
      <c r="L87" s="32"/>
      <c r="M87" s="32"/>
      <c r="N87" s="32"/>
      <c r="O87" s="32"/>
      <c r="P87" s="32"/>
      <c r="Q87" s="32"/>
      <c r="R87" s="32"/>
      <c r="S87" s="32"/>
      <c r="T87" s="32"/>
      <c r="U87" s="32"/>
      <c r="V87" s="32"/>
      <c r="W87" s="32"/>
      <c r="X87" s="32"/>
      <c r="Y87" s="32"/>
      <c r="Z87" s="32"/>
      <c r="AA87" s="32"/>
      <c r="AB87" s="32"/>
      <c r="AC87" s="28">
        <f t="shared" si="10"/>
        <v>0</v>
      </c>
      <c r="AD87" s="33"/>
      <c r="AE87" s="33"/>
      <c r="AF87" s="33"/>
      <c r="AG87" s="33"/>
      <c r="AH87" s="33"/>
      <c r="AI87" s="33"/>
      <c r="AJ87" s="33"/>
      <c r="AK87" s="33"/>
      <c r="AL87" s="33"/>
      <c r="AM87" s="33"/>
      <c r="AN87" s="33"/>
      <c r="AO87" s="33"/>
      <c r="AP87" s="33"/>
      <c r="AQ87" s="33"/>
      <c r="AR87" s="33"/>
      <c r="AS87" s="33"/>
      <c r="AT87" s="34"/>
      <c r="AU87" s="1679"/>
      <c r="AV87" s="2256">
        <f t="shared" si="11"/>
        <v>0</v>
      </c>
      <c r="AW87" s="2256">
        <f t="shared" si="12"/>
        <v>0</v>
      </c>
      <c r="AX87" s="2256">
        <f t="shared" si="13"/>
        <v>0</v>
      </c>
      <c r="AY87" s="2781">
        <f t="shared" si="14"/>
        <v>0</v>
      </c>
      <c r="AZ87" s="28">
        <f t="shared" si="15"/>
        <v>0</v>
      </c>
      <c r="BA87" s="28">
        <f t="shared" si="16"/>
        <v>0</v>
      </c>
      <c r="BB87" s="28">
        <f t="shared" si="17"/>
        <v>0</v>
      </c>
      <c r="BC87" s="28">
        <f t="shared" si="18"/>
        <v>0</v>
      </c>
      <c r="BD87" s="3439">
        <f t="shared" si="19"/>
        <v>0</v>
      </c>
      <c r="BE87" s="3439">
        <f t="shared" si="20"/>
        <v>0</v>
      </c>
      <c r="BF87" s="3439">
        <f t="shared" si="21"/>
        <v>0</v>
      </c>
      <c r="BG87" s="3439">
        <f t="shared" si="22"/>
        <v>0</v>
      </c>
      <c r="BH87" s="3439">
        <f t="shared" si="23"/>
        <v>0</v>
      </c>
      <c r="BI87" s="3439">
        <f t="shared" si="24"/>
        <v>0</v>
      </c>
      <c r="BJ87" s="3439">
        <f t="shared" si="25"/>
        <v>0</v>
      </c>
      <c r="BK87" s="3439">
        <f t="shared" si="26"/>
        <v>0</v>
      </c>
      <c r="BL87" s="28">
        <f t="shared" si="27"/>
        <v>0</v>
      </c>
      <c r="BM87" s="28">
        <f t="shared" si="28"/>
        <v>0</v>
      </c>
      <c r="BN87" s="28">
        <f t="shared" si="29"/>
        <v>0</v>
      </c>
      <c r="BO87" s="28">
        <f t="shared" si="30"/>
        <v>0</v>
      </c>
      <c r="BP87" s="28">
        <f t="shared" si="31"/>
        <v>0</v>
      </c>
      <c r="BQ87" s="3439">
        <f t="shared" si="32"/>
        <v>0</v>
      </c>
      <c r="BR87" s="3439">
        <f t="shared" si="33"/>
        <v>0</v>
      </c>
      <c r="BS87" s="3439">
        <f t="shared" si="34"/>
        <v>0</v>
      </c>
      <c r="BT87" s="3451">
        <f t="shared" si="35"/>
        <v>0</v>
      </c>
    </row>
    <row r="88" spans="1:72">
      <c r="A88" s="9"/>
      <c r="B88" s="27"/>
      <c r="C88" s="27"/>
      <c r="D88" s="1678"/>
      <c r="E88" s="28">
        <f t="shared" si="7"/>
        <v>0</v>
      </c>
      <c r="F88" s="29"/>
      <c r="G88" s="30">
        <f t="shared" si="8"/>
        <v>0</v>
      </c>
      <c r="H88" s="31">
        <f t="shared" si="9"/>
        <v>0</v>
      </c>
      <c r="I88" s="32"/>
      <c r="J88" s="32"/>
      <c r="K88" s="32"/>
      <c r="L88" s="32"/>
      <c r="M88" s="32"/>
      <c r="N88" s="32"/>
      <c r="O88" s="32"/>
      <c r="P88" s="32"/>
      <c r="Q88" s="32"/>
      <c r="R88" s="32"/>
      <c r="S88" s="32"/>
      <c r="T88" s="32"/>
      <c r="U88" s="32"/>
      <c r="V88" s="32"/>
      <c r="W88" s="32"/>
      <c r="X88" s="32"/>
      <c r="Y88" s="32"/>
      <c r="Z88" s="32"/>
      <c r="AA88" s="32"/>
      <c r="AB88" s="32"/>
      <c r="AC88" s="28">
        <f t="shared" si="10"/>
        <v>0</v>
      </c>
      <c r="AD88" s="33"/>
      <c r="AE88" s="33"/>
      <c r="AF88" s="33"/>
      <c r="AG88" s="33"/>
      <c r="AH88" s="33"/>
      <c r="AI88" s="33"/>
      <c r="AJ88" s="33"/>
      <c r="AK88" s="33"/>
      <c r="AL88" s="33"/>
      <c r="AM88" s="33"/>
      <c r="AN88" s="33"/>
      <c r="AO88" s="33"/>
      <c r="AP88" s="33"/>
      <c r="AQ88" s="33"/>
      <c r="AR88" s="33"/>
      <c r="AS88" s="33"/>
      <c r="AT88" s="34"/>
      <c r="AU88" s="1679"/>
      <c r="AV88" s="2256">
        <f t="shared" si="11"/>
        <v>0</v>
      </c>
      <c r="AW88" s="2256">
        <f t="shared" si="12"/>
        <v>0</v>
      </c>
      <c r="AX88" s="2256">
        <f t="shared" si="13"/>
        <v>0</v>
      </c>
      <c r="AY88" s="2781">
        <f t="shared" si="14"/>
        <v>0</v>
      </c>
      <c r="AZ88" s="28">
        <f t="shared" si="15"/>
        <v>0</v>
      </c>
      <c r="BA88" s="28">
        <f t="shared" si="16"/>
        <v>0</v>
      </c>
      <c r="BB88" s="28">
        <f t="shared" si="17"/>
        <v>0</v>
      </c>
      <c r="BC88" s="28">
        <f t="shared" si="18"/>
        <v>0</v>
      </c>
      <c r="BD88" s="3439">
        <f t="shared" si="19"/>
        <v>0</v>
      </c>
      <c r="BE88" s="3439">
        <f t="shared" si="20"/>
        <v>0</v>
      </c>
      <c r="BF88" s="3439">
        <f t="shared" si="21"/>
        <v>0</v>
      </c>
      <c r="BG88" s="3439">
        <f t="shared" si="22"/>
        <v>0</v>
      </c>
      <c r="BH88" s="3439">
        <f t="shared" si="23"/>
        <v>0</v>
      </c>
      <c r="BI88" s="3439">
        <f t="shared" si="24"/>
        <v>0</v>
      </c>
      <c r="BJ88" s="3439">
        <f t="shared" si="25"/>
        <v>0</v>
      </c>
      <c r="BK88" s="3439">
        <f t="shared" si="26"/>
        <v>0</v>
      </c>
      <c r="BL88" s="28">
        <f t="shared" si="27"/>
        <v>0</v>
      </c>
      <c r="BM88" s="28">
        <f t="shared" si="28"/>
        <v>0</v>
      </c>
      <c r="BN88" s="28">
        <f t="shared" si="29"/>
        <v>0</v>
      </c>
      <c r="BO88" s="28">
        <f t="shared" si="30"/>
        <v>0</v>
      </c>
      <c r="BP88" s="28">
        <f t="shared" si="31"/>
        <v>0</v>
      </c>
      <c r="BQ88" s="3439">
        <f t="shared" si="32"/>
        <v>0</v>
      </c>
      <c r="BR88" s="3439">
        <f t="shared" si="33"/>
        <v>0</v>
      </c>
      <c r="BS88" s="3439">
        <f t="shared" si="34"/>
        <v>0</v>
      </c>
      <c r="BT88" s="3451">
        <f t="shared" si="35"/>
        <v>0</v>
      </c>
    </row>
    <row r="89" spans="1:72">
      <c r="A89" s="9"/>
      <c r="B89" s="27"/>
      <c r="C89" s="27"/>
      <c r="D89" s="1678"/>
      <c r="E89" s="28">
        <f t="shared" si="7"/>
        <v>0</v>
      </c>
      <c r="F89" s="29"/>
      <c r="G89" s="30">
        <f t="shared" si="8"/>
        <v>0</v>
      </c>
      <c r="H89" s="31">
        <f t="shared" si="9"/>
        <v>0</v>
      </c>
      <c r="I89" s="32"/>
      <c r="J89" s="32"/>
      <c r="K89" s="32"/>
      <c r="L89" s="32"/>
      <c r="M89" s="32"/>
      <c r="N89" s="32"/>
      <c r="O89" s="32"/>
      <c r="P89" s="32"/>
      <c r="Q89" s="32"/>
      <c r="R89" s="32"/>
      <c r="S89" s="32"/>
      <c r="T89" s="32"/>
      <c r="U89" s="32"/>
      <c r="V89" s="32"/>
      <c r="W89" s="32"/>
      <c r="X89" s="32"/>
      <c r="Y89" s="32"/>
      <c r="Z89" s="32"/>
      <c r="AA89" s="32"/>
      <c r="AB89" s="32"/>
      <c r="AC89" s="28">
        <f t="shared" si="10"/>
        <v>0</v>
      </c>
      <c r="AD89" s="33"/>
      <c r="AE89" s="33"/>
      <c r="AF89" s="33"/>
      <c r="AG89" s="33"/>
      <c r="AH89" s="33"/>
      <c r="AI89" s="33"/>
      <c r="AJ89" s="33"/>
      <c r="AK89" s="33"/>
      <c r="AL89" s="33"/>
      <c r="AM89" s="33"/>
      <c r="AN89" s="33"/>
      <c r="AO89" s="33"/>
      <c r="AP89" s="33"/>
      <c r="AQ89" s="33"/>
      <c r="AR89" s="33"/>
      <c r="AS89" s="33"/>
      <c r="AT89" s="34"/>
      <c r="AU89" s="1679"/>
      <c r="AV89" s="2256">
        <f t="shared" si="11"/>
        <v>0</v>
      </c>
      <c r="AW89" s="2256">
        <f t="shared" si="12"/>
        <v>0</v>
      </c>
      <c r="AX89" s="2256">
        <f t="shared" si="13"/>
        <v>0</v>
      </c>
      <c r="AY89" s="2781">
        <f t="shared" si="14"/>
        <v>0</v>
      </c>
      <c r="AZ89" s="28">
        <f t="shared" si="15"/>
        <v>0</v>
      </c>
      <c r="BA89" s="28">
        <f t="shared" si="16"/>
        <v>0</v>
      </c>
      <c r="BB89" s="28">
        <f t="shared" si="17"/>
        <v>0</v>
      </c>
      <c r="BC89" s="28">
        <f t="shared" si="18"/>
        <v>0</v>
      </c>
      <c r="BD89" s="3439">
        <f t="shared" si="19"/>
        <v>0</v>
      </c>
      <c r="BE89" s="3439">
        <f t="shared" si="20"/>
        <v>0</v>
      </c>
      <c r="BF89" s="3439">
        <f t="shared" si="21"/>
        <v>0</v>
      </c>
      <c r="BG89" s="3439">
        <f t="shared" si="22"/>
        <v>0</v>
      </c>
      <c r="BH89" s="3439">
        <f t="shared" si="23"/>
        <v>0</v>
      </c>
      <c r="BI89" s="3439">
        <f t="shared" si="24"/>
        <v>0</v>
      </c>
      <c r="BJ89" s="3439">
        <f t="shared" si="25"/>
        <v>0</v>
      </c>
      <c r="BK89" s="3439">
        <f t="shared" si="26"/>
        <v>0</v>
      </c>
      <c r="BL89" s="28">
        <f t="shared" si="27"/>
        <v>0</v>
      </c>
      <c r="BM89" s="28">
        <f t="shared" si="28"/>
        <v>0</v>
      </c>
      <c r="BN89" s="28">
        <f t="shared" si="29"/>
        <v>0</v>
      </c>
      <c r="BO89" s="28">
        <f t="shared" si="30"/>
        <v>0</v>
      </c>
      <c r="BP89" s="28">
        <f t="shared" si="31"/>
        <v>0</v>
      </c>
      <c r="BQ89" s="3439">
        <f t="shared" si="32"/>
        <v>0</v>
      </c>
      <c r="BR89" s="3439">
        <f t="shared" si="33"/>
        <v>0</v>
      </c>
      <c r="BS89" s="3439">
        <f t="shared" si="34"/>
        <v>0</v>
      </c>
      <c r="BT89" s="3451">
        <f t="shared" si="35"/>
        <v>0</v>
      </c>
    </row>
    <row r="90" spans="1:72">
      <c r="A90" s="9"/>
      <c r="B90" s="27"/>
      <c r="C90" s="27"/>
      <c r="D90" s="1678"/>
      <c r="E90" s="28">
        <f t="shared" si="7"/>
        <v>0</v>
      </c>
      <c r="F90" s="29"/>
      <c r="G90" s="30">
        <f t="shared" si="8"/>
        <v>0</v>
      </c>
      <c r="H90" s="31">
        <f t="shared" si="9"/>
        <v>0</v>
      </c>
      <c r="I90" s="32"/>
      <c r="J90" s="32"/>
      <c r="K90" s="32"/>
      <c r="L90" s="32"/>
      <c r="M90" s="32"/>
      <c r="N90" s="32"/>
      <c r="O90" s="32"/>
      <c r="P90" s="32"/>
      <c r="Q90" s="32"/>
      <c r="R90" s="32"/>
      <c r="S90" s="32"/>
      <c r="T90" s="32"/>
      <c r="U90" s="32"/>
      <c r="V90" s="32"/>
      <c r="W90" s="32"/>
      <c r="X90" s="32"/>
      <c r="Y90" s="32"/>
      <c r="Z90" s="32"/>
      <c r="AA90" s="32"/>
      <c r="AB90" s="32"/>
      <c r="AC90" s="28">
        <f t="shared" si="10"/>
        <v>0</v>
      </c>
      <c r="AD90" s="33"/>
      <c r="AE90" s="33"/>
      <c r="AF90" s="33"/>
      <c r="AG90" s="33"/>
      <c r="AH90" s="33"/>
      <c r="AI90" s="33"/>
      <c r="AJ90" s="33"/>
      <c r="AK90" s="33"/>
      <c r="AL90" s="33"/>
      <c r="AM90" s="33"/>
      <c r="AN90" s="33"/>
      <c r="AO90" s="33"/>
      <c r="AP90" s="33"/>
      <c r="AQ90" s="33"/>
      <c r="AR90" s="33"/>
      <c r="AS90" s="33"/>
      <c r="AT90" s="34"/>
      <c r="AU90" s="1679"/>
      <c r="AV90" s="2256">
        <f t="shared" si="11"/>
        <v>0</v>
      </c>
      <c r="AW90" s="2256">
        <f t="shared" si="12"/>
        <v>0</v>
      </c>
      <c r="AX90" s="2256">
        <f t="shared" si="13"/>
        <v>0</v>
      </c>
      <c r="AY90" s="2781">
        <f t="shared" si="14"/>
        <v>0</v>
      </c>
      <c r="AZ90" s="28">
        <f t="shared" si="15"/>
        <v>0</v>
      </c>
      <c r="BA90" s="28">
        <f t="shared" si="16"/>
        <v>0</v>
      </c>
      <c r="BB90" s="28">
        <f t="shared" si="17"/>
        <v>0</v>
      </c>
      <c r="BC90" s="28">
        <f t="shared" si="18"/>
        <v>0</v>
      </c>
      <c r="BD90" s="3439">
        <f t="shared" si="19"/>
        <v>0</v>
      </c>
      <c r="BE90" s="3439">
        <f t="shared" si="20"/>
        <v>0</v>
      </c>
      <c r="BF90" s="3439">
        <f t="shared" si="21"/>
        <v>0</v>
      </c>
      <c r="BG90" s="3439">
        <f t="shared" si="22"/>
        <v>0</v>
      </c>
      <c r="BH90" s="3439">
        <f t="shared" si="23"/>
        <v>0</v>
      </c>
      <c r="BI90" s="3439">
        <f t="shared" si="24"/>
        <v>0</v>
      </c>
      <c r="BJ90" s="3439">
        <f t="shared" si="25"/>
        <v>0</v>
      </c>
      <c r="BK90" s="3439">
        <f t="shared" si="26"/>
        <v>0</v>
      </c>
      <c r="BL90" s="28">
        <f t="shared" si="27"/>
        <v>0</v>
      </c>
      <c r="BM90" s="28">
        <f t="shared" si="28"/>
        <v>0</v>
      </c>
      <c r="BN90" s="28">
        <f t="shared" si="29"/>
        <v>0</v>
      </c>
      <c r="BO90" s="28">
        <f t="shared" si="30"/>
        <v>0</v>
      </c>
      <c r="BP90" s="28">
        <f t="shared" si="31"/>
        <v>0</v>
      </c>
      <c r="BQ90" s="3439">
        <f t="shared" si="32"/>
        <v>0</v>
      </c>
      <c r="BR90" s="3439">
        <f t="shared" si="33"/>
        <v>0</v>
      </c>
      <c r="BS90" s="3439">
        <f t="shared" si="34"/>
        <v>0</v>
      </c>
      <c r="BT90" s="3451">
        <f t="shared" si="35"/>
        <v>0</v>
      </c>
    </row>
    <row r="91" spans="1:72">
      <c r="A91" s="9"/>
      <c r="B91" s="27"/>
      <c r="C91" s="27"/>
      <c r="D91" s="1678"/>
      <c r="E91" s="28">
        <f t="shared" si="7"/>
        <v>0</v>
      </c>
      <c r="F91" s="29"/>
      <c r="G91" s="30">
        <f t="shared" si="8"/>
        <v>0</v>
      </c>
      <c r="H91" s="31">
        <f t="shared" si="9"/>
        <v>0</v>
      </c>
      <c r="I91" s="32"/>
      <c r="J91" s="32"/>
      <c r="K91" s="32"/>
      <c r="L91" s="32"/>
      <c r="M91" s="32"/>
      <c r="N91" s="32"/>
      <c r="O91" s="32"/>
      <c r="P91" s="32"/>
      <c r="Q91" s="32"/>
      <c r="R91" s="32"/>
      <c r="S91" s="32"/>
      <c r="T91" s="32"/>
      <c r="U91" s="32"/>
      <c r="V91" s="32"/>
      <c r="W91" s="32"/>
      <c r="X91" s="32"/>
      <c r="Y91" s="32"/>
      <c r="Z91" s="32"/>
      <c r="AA91" s="32"/>
      <c r="AB91" s="32"/>
      <c r="AC91" s="28">
        <f t="shared" si="10"/>
        <v>0</v>
      </c>
      <c r="AD91" s="33"/>
      <c r="AE91" s="33"/>
      <c r="AF91" s="33"/>
      <c r="AG91" s="33"/>
      <c r="AH91" s="33"/>
      <c r="AI91" s="33"/>
      <c r="AJ91" s="33"/>
      <c r="AK91" s="33"/>
      <c r="AL91" s="33"/>
      <c r="AM91" s="33"/>
      <c r="AN91" s="33"/>
      <c r="AO91" s="33"/>
      <c r="AP91" s="33"/>
      <c r="AQ91" s="33"/>
      <c r="AR91" s="33"/>
      <c r="AS91" s="33"/>
      <c r="AT91" s="34"/>
      <c r="AU91" s="1679"/>
      <c r="AV91" s="2256">
        <f t="shared" si="11"/>
        <v>0</v>
      </c>
      <c r="AW91" s="2256">
        <f t="shared" si="12"/>
        <v>0</v>
      </c>
      <c r="AX91" s="2256">
        <f t="shared" si="13"/>
        <v>0</v>
      </c>
      <c r="AY91" s="2781">
        <f t="shared" si="14"/>
        <v>0</v>
      </c>
      <c r="AZ91" s="28">
        <f t="shared" si="15"/>
        <v>0</v>
      </c>
      <c r="BA91" s="28">
        <f t="shared" si="16"/>
        <v>0</v>
      </c>
      <c r="BB91" s="28">
        <f t="shared" si="17"/>
        <v>0</v>
      </c>
      <c r="BC91" s="28">
        <f t="shared" si="18"/>
        <v>0</v>
      </c>
      <c r="BD91" s="3439">
        <f t="shared" si="19"/>
        <v>0</v>
      </c>
      <c r="BE91" s="3439">
        <f t="shared" si="20"/>
        <v>0</v>
      </c>
      <c r="BF91" s="3439">
        <f t="shared" si="21"/>
        <v>0</v>
      </c>
      <c r="BG91" s="3439">
        <f t="shared" si="22"/>
        <v>0</v>
      </c>
      <c r="BH91" s="3439">
        <f t="shared" si="23"/>
        <v>0</v>
      </c>
      <c r="BI91" s="3439">
        <f t="shared" si="24"/>
        <v>0</v>
      </c>
      <c r="BJ91" s="3439">
        <f t="shared" si="25"/>
        <v>0</v>
      </c>
      <c r="BK91" s="3439">
        <f t="shared" si="26"/>
        <v>0</v>
      </c>
      <c r="BL91" s="28">
        <f t="shared" si="27"/>
        <v>0</v>
      </c>
      <c r="BM91" s="28">
        <f t="shared" si="28"/>
        <v>0</v>
      </c>
      <c r="BN91" s="28">
        <f t="shared" si="29"/>
        <v>0</v>
      </c>
      <c r="BO91" s="28">
        <f t="shared" si="30"/>
        <v>0</v>
      </c>
      <c r="BP91" s="28">
        <f t="shared" si="31"/>
        <v>0</v>
      </c>
      <c r="BQ91" s="3439">
        <f t="shared" si="32"/>
        <v>0</v>
      </c>
      <c r="BR91" s="3439">
        <f t="shared" si="33"/>
        <v>0</v>
      </c>
      <c r="BS91" s="3439">
        <f t="shared" si="34"/>
        <v>0</v>
      </c>
      <c r="BT91" s="3451">
        <f t="shared" si="35"/>
        <v>0</v>
      </c>
    </row>
    <row r="92" spans="1:72">
      <c r="A92" s="9"/>
      <c r="B92" s="27"/>
      <c r="C92" s="27"/>
      <c r="D92" s="1678"/>
      <c r="E92" s="28">
        <f t="shared" si="7"/>
        <v>0</v>
      </c>
      <c r="F92" s="29"/>
      <c r="G92" s="30">
        <f t="shared" si="8"/>
        <v>0</v>
      </c>
      <c r="H92" s="31">
        <f t="shared" si="9"/>
        <v>0</v>
      </c>
      <c r="I92" s="32"/>
      <c r="J92" s="32"/>
      <c r="K92" s="32"/>
      <c r="L92" s="32"/>
      <c r="M92" s="32"/>
      <c r="N92" s="32"/>
      <c r="O92" s="32"/>
      <c r="P92" s="32"/>
      <c r="Q92" s="32"/>
      <c r="R92" s="32"/>
      <c r="S92" s="32"/>
      <c r="T92" s="32"/>
      <c r="U92" s="32"/>
      <c r="V92" s="32"/>
      <c r="W92" s="32"/>
      <c r="X92" s="32"/>
      <c r="Y92" s="32"/>
      <c r="Z92" s="32"/>
      <c r="AA92" s="32"/>
      <c r="AB92" s="32"/>
      <c r="AC92" s="28">
        <f t="shared" si="10"/>
        <v>0</v>
      </c>
      <c r="AD92" s="33"/>
      <c r="AE92" s="33"/>
      <c r="AF92" s="33"/>
      <c r="AG92" s="33"/>
      <c r="AH92" s="33"/>
      <c r="AI92" s="33"/>
      <c r="AJ92" s="33"/>
      <c r="AK92" s="33"/>
      <c r="AL92" s="33"/>
      <c r="AM92" s="33"/>
      <c r="AN92" s="33"/>
      <c r="AO92" s="33"/>
      <c r="AP92" s="33"/>
      <c r="AQ92" s="33"/>
      <c r="AR92" s="33"/>
      <c r="AS92" s="33"/>
      <c r="AT92" s="34"/>
      <c r="AU92" s="1679"/>
      <c r="AV92" s="2256">
        <f t="shared" si="11"/>
        <v>0</v>
      </c>
      <c r="AW92" s="2256">
        <f t="shared" si="12"/>
        <v>0</v>
      </c>
      <c r="AX92" s="2256">
        <f t="shared" si="13"/>
        <v>0</v>
      </c>
      <c r="AY92" s="2781">
        <f t="shared" si="14"/>
        <v>0</v>
      </c>
      <c r="AZ92" s="28">
        <f t="shared" si="15"/>
        <v>0</v>
      </c>
      <c r="BA92" s="28">
        <f t="shared" si="16"/>
        <v>0</v>
      </c>
      <c r="BB92" s="28">
        <f t="shared" si="17"/>
        <v>0</v>
      </c>
      <c r="BC92" s="28">
        <f t="shared" si="18"/>
        <v>0</v>
      </c>
      <c r="BD92" s="3439">
        <f t="shared" si="19"/>
        <v>0</v>
      </c>
      <c r="BE92" s="3439">
        <f t="shared" si="20"/>
        <v>0</v>
      </c>
      <c r="BF92" s="3439">
        <f t="shared" si="21"/>
        <v>0</v>
      </c>
      <c r="BG92" s="3439">
        <f t="shared" si="22"/>
        <v>0</v>
      </c>
      <c r="BH92" s="3439">
        <f t="shared" si="23"/>
        <v>0</v>
      </c>
      <c r="BI92" s="3439">
        <f t="shared" si="24"/>
        <v>0</v>
      </c>
      <c r="BJ92" s="3439">
        <f t="shared" si="25"/>
        <v>0</v>
      </c>
      <c r="BK92" s="3439">
        <f t="shared" si="26"/>
        <v>0</v>
      </c>
      <c r="BL92" s="28">
        <f t="shared" si="27"/>
        <v>0</v>
      </c>
      <c r="BM92" s="28">
        <f t="shared" si="28"/>
        <v>0</v>
      </c>
      <c r="BN92" s="28">
        <f t="shared" si="29"/>
        <v>0</v>
      </c>
      <c r="BO92" s="28">
        <f t="shared" si="30"/>
        <v>0</v>
      </c>
      <c r="BP92" s="28">
        <f t="shared" si="31"/>
        <v>0</v>
      </c>
      <c r="BQ92" s="3439">
        <f t="shared" si="32"/>
        <v>0</v>
      </c>
      <c r="BR92" s="3439">
        <f t="shared" si="33"/>
        <v>0</v>
      </c>
      <c r="BS92" s="3439">
        <f t="shared" si="34"/>
        <v>0</v>
      </c>
      <c r="BT92" s="3451">
        <f t="shared" si="35"/>
        <v>0</v>
      </c>
    </row>
    <row r="93" spans="1:72">
      <c r="A93" s="9"/>
      <c r="B93" s="27"/>
      <c r="C93" s="27"/>
      <c r="D93" s="1678"/>
      <c r="E93" s="28">
        <f t="shared" si="7"/>
        <v>0</v>
      </c>
      <c r="F93" s="29"/>
      <c r="G93" s="30">
        <f t="shared" si="8"/>
        <v>0</v>
      </c>
      <c r="H93" s="31">
        <f t="shared" si="9"/>
        <v>0</v>
      </c>
      <c r="I93" s="32"/>
      <c r="J93" s="32"/>
      <c r="K93" s="32"/>
      <c r="L93" s="32"/>
      <c r="M93" s="32"/>
      <c r="N93" s="32"/>
      <c r="O93" s="32"/>
      <c r="P93" s="32"/>
      <c r="Q93" s="32"/>
      <c r="R93" s="32"/>
      <c r="S93" s="32"/>
      <c r="T93" s="32"/>
      <c r="U93" s="32"/>
      <c r="V93" s="32"/>
      <c r="W93" s="32"/>
      <c r="X93" s="32"/>
      <c r="Y93" s="32"/>
      <c r="Z93" s="32"/>
      <c r="AA93" s="32"/>
      <c r="AB93" s="32"/>
      <c r="AC93" s="28">
        <f t="shared" si="10"/>
        <v>0</v>
      </c>
      <c r="AD93" s="33"/>
      <c r="AE93" s="33"/>
      <c r="AF93" s="33"/>
      <c r="AG93" s="33"/>
      <c r="AH93" s="33"/>
      <c r="AI93" s="33"/>
      <c r="AJ93" s="33"/>
      <c r="AK93" s="33"/>
      <c r="AL93" s="33"/>
      <c r="AM93" s="33"/>
      <c r="AN93" s="33"/>
      <c r="AO93" s="33"/>
      <c r="AP93" s="33"/>
      <c r="AQ93" s="33"/>
      <c r="AR93" s="33"/>
      <c r="AS93" s="33"/>
      <c r="AT93" s="34"/>
      <c r="AU93" s="1679"/>
      <c r="AV93" s="2256">
        <f t="shared" si="11"/>
        <v>0</v>
      </c>
      <c r="AW93" s="2256">
        <f t="shared" si="12"/>
        <v>0</v>
      </c>
      <c r="AX93" s="2256">
        <f t="shared" si="13"/>
        <v>0</v>
      </c>
      <c r="AY93" s="2781">
        <f t="shared" si="14"/>
        <v>0</v>
      </c>
      <c r="AZ93" s="28">
        <f t="shared" si="15"/>
        <v>0</v>
      </c>
      <c r="BA93" s="28">
        <f t="shared" si="16"/>
        <v>0</v>
      </c>
      <c r="BB93" s="28">
        <f t="shared" si="17"/>
        <v>0</v>
      </c>
      <c r="BC93" s="28">
        <f t="shared" si="18"/>
        <v>0</v>
      </c>
      <c r="BD93" s="3439">
        <f t="shared" si="19"/>
        <v>0</v>
      </c>
      <c r="BE93" s="3439">
        <f t="shared" si="20"/>
        <v>0</v>
      </c>
      <c r="BF93" s="3439">
        <f t="shared" si="21"/>
        <v>0</v>
      </c>
      <c r="BG93" s="3439">
        <f t="shared" si="22"/>
        <v>0</v>
      </c>
      <c r="BH93" s="3439">
        <f t="shared" si="23"/>
        <v>0</v>
      </c>
      <c r="BI93" s="3439">
        <f t="shared" si="24"/>
        <v>0</v>
      </c>
      <c r="BJ93" s="3439">
        <f t="shared" si="25"/>
        <v>0</v>
      </c>
      <c r="BK93" s="3439">
        <f t="shared" si="26"/>
        <v>0</v>
      </c>
      <c r="BL93" s="28">
        <f t="shared" si="27"/>
        <v>0</v>
      </c>
      <c r="BM93" s="28">
        <f t="shared" si="28"/>
        <v>0</v>
      </c>
      <c r="BN93" s="28">
        <f t="shared" si="29"/>
        <v>0</v>
      </c>
      <c r="BO93" s="28">
        <f t="shared" si="30"/>
        <v>0</v>
      </c>
      <c r="BP93" s="28">
        <f t="shared" si="31"/>
        <v>0</v>
      </c>
      <c r="BQ93" s="3439">
        <f t="shared" si="32"/>
        <v>0</v>
      </c>
      <c r="BR93" s="3439">
        <f t="shared" si="33"/>
        <v>0</v>
      </c>
      <c r="BS93" s="3439">
        <f t="shared" si="34"/>
        <v>0</v>
      </c>
      <c r="BT93" s="3451">
        <f t="shared" si="35"/>
        <v>0</v>
      </c>
    </row>
    <row r="94" spans="1:72">
      <c r="A94" s="9"/>
      <c r="B94" s="27"/>
      <c r="C94" s="27"/>
      <c r="D94" s="1678"/>
      <c r="E94" s="28">
        <f t="shared" si="7"/>
        <v>0</v>
      </c>
      <c r="F94" s="29"/>
      <c r="G94" s="30">
        <f t="shared" si="8"/>
        <v>0</v>
      </c>
      <c r="H94" s="31">
        <f t="shared" si="9"/>
        <v>0</v>
      </c>
      <c r="I94" s="32"/>
      <c r="J94" s="32"/>
      <c r="K94" s="32"/>
      <c r="L94" s="32"/>
      <c r="M94" s="32"/>
      <c r="N94" s="32"/>
      <c r="O94" s="32"/>
      <c r="P94" s="32"/>
      <c r="Q94" s="32"/>
      <c r="R94" s="32"/>
      <c r="S94" s="32"/>
      <c r="T94" s="32"/>
      <c r="U94" s="32"/>
      <c r="V94" s="32"/>
      <c r="W94" s="32"/>
      <c r="X94" s="32"/>
      <c r="Y94" s="32"/>
      <c r="Z94" s="32"/>
      <c r="AA94" s="32"/>
      <c r="AB94" s="32"/>
      <c r="AC94" s="28">
        <f t="shared" si="10"/>
        <v>0</v>
      </c>
      <c r="AD94" s="33"/>
      <c r="AE94" s="33"/>
      <c r="AF94" s="33"/>
      <c r="AG94" s="33"/>
      <c r="AH94" s="33"/>
      <c r="AI94" s="33"/>
      <c r="AJ94" s="33"/>
      <c r="AK94" s="33"/>
      <c r="AL94" s="33"/>
      <c r="AM94" s="33"/>
      <c r="AN94" s="33"/>
      <c r="AO94" s="33"/>
      <c r="AP94" s="33"/>
      <c r="AQ94" s="33"/>
      <c r="AR94" s="33"/>
      <c r="AS94" s="33"/>
      <c r="AT94" s="34"/>
      <c r="AU94" s="1679"/>
      <c r="AV94" s="2256">
        <f t="shared" si="11"/>
        <v>0</v>
      </c>
      <c r="AW94" s="2256">
        <f t="shared" si="12"/>
        <v>0</v>
      </c>
      <c r="AX94" s="2256">
        <f t="shared" si="13"/>
        <v>0</v>
      </c>
      <c r="AY94" s="2781">
        <f t="shared" si="14"/>
        <v>0</v>
      </c>
      <c r="AZ94" s="28">
        <f t="shared" si="15"/>
        <v>0</v>
      </c>
      <c r="BA94" s="28">
        <f t="shared" si="16"/>
        <v>0</v>
      </c>
      <c r="BB94" s="28">
        <f t="shared" si="17"/>
        <v>0</v>
      </c>
      <c r="BC94" s="28">
        <f t="shared" si="18"/>
        <v>0</v>
      </c>
      <c r="BD94" s="3439">
        <f t="shared" si="19"/>
        <v>0</v>
      </c>
      <c r="BE94" s="3439">
        <f t="shared" si="20"/>
        <v>0</v>
      </c>
      <c r="BF94" s="3439">
        <f t="shared" si="21"/>
        <v>0</v>
      </c>
      <c r="BG94" s="3439">
        <f t="shared" si="22"/>
        <v>0</v>
      </c>
      <c r="BH94" s="3439">
        <f t="shared" si="23"/>
        <v>0</v>
      </c>
      <c r="BI94" s="3439">
        <f t="shared" si="24"/>
        <v>0</v>
      </c>
      <c r="BJ94" s="3439">
        <f t="shared" si="25"/>
        <v>0</v>
      </c>
      <c r="BK94" s="3439">
        <f t="shared" si="26"/>
        <v>0</v>
      </c>
      <c r="BL94" s="28">
        <f t="shared" si="27"/>
        <v>0</v>
      </c>
      <c r="BM94" s="28">
        <f t="shared" si="28"/>
        <v>0</v>
      </c>
      <c r="BN94" s="28">
        <f t="shared" si="29"/>
        <v>0</v>
      </c>
      <c r="BO94" s="28">
        <f t="shared" si="30"/>
        <v>0</v>
      </c>
      <c r="BP94" s="28">
        <f t="shared" si="31"/>
        <v>0</v>
      </c>
      <c r="BQ94" s="3439">
        <f t="shared" si="32"/>
        <v>0</v>
      </c>
      <c r="BR94" s="3439">
        <f t="shared" si="33"/>
        <v>0</v>
      </c>
      <c r="BS94" s="3439">
        <f t="shared" si="34"/>
        <v>0</v>
      </c>
      <c r="BT94" s="3451">
        <f t="shared" si="35"/>
        <v>0</v>
      </c>
    </row>
    <row r="95" spans="1:72">
      <c r="A95" s="9"/>
      <c r="B95" s="27"/>
      <c r="C95" s="27"/>
      <c r="D95" s="1678"/>
      <c r="E95" s="28">
        <f t="shared" si="7"/>
        <v>0</v>
      </c>
      <c r="F95" s="29"/>
      <c r="G95" s="30">
        <f t="shared" si="8"/>
        <v>0</v>
      </c>
      <c r="H95" s="31">
        <f t="shared" si="9"/>
        <v>0</v>
      </c>
      <c r="I95" s="32"/>
      <c r="J95" s="32"/>
      <c r="K95" s="32"/>
      <c r="L95" s="32"/>
      <c r="M95" s="32"/>
      <c r="N95" s="32"/>
      <c r="O95" s="32"/>
      <c r="P95" s="32"/>
      <c r="Q95" s="32"/>
      <c r="R95" s="32"/>
      <c r="S95" s="32"/>
      <c r="T95" s="32"/>
      <c r="U95" s="32"/>
      <c r="V95" s="32"/>
      <c r="W95" s="32"/>
      <c r="X95" s="32"/>
      <c r="Y95" s="32"/>
      <c r="Z95" s="32"/>
      <c r="AA95" s="32"/>
      <c r="AB95" s="32"/>
      <c r="AC95" s="28">
        <f t="shared" si="10"/>
        <v>0</v>
      </c>
      <c r="AD95" s="33"/>
      <c r="AE95" s="33"/>
      <c r="AF95" s="33"/>
      <c r="AG95" s="33"/>
      <c r="AH95" s="33"/>
      <c r="AI95" s="33"/>
      <c r="AJ95" s="33"/>
      <c r="AK95" s="33"/>
      <c r="AL95" s="33"/>
      <c r="AM95" s="33"/>
      <c r="AN95" s="33"/>
      <c r="AO95" s="33"/>
      <c r="AP95" s="33"/>
      <c r="AQ95" s="33"/>
      <c r="AR95" s="33"/>
      <c r="AS95" s="33"/>
      <c r="AT95" s="34"/>
      <c r="AU95" s="1679"/>
      <c r="AV95" s="2256">
        <f t="shared" si="11"/>
        <v>0</v>
      </c>
      <c r="AW95" s="2256">
        <f t="shared" si="12"/>
        <v>0</v>
      </c>
      <c r="AX95" s="2256">
        <f t="shared" si="13"/>
        <v>0</v>
      </c>
      <c r="AY95" s="2781">
        <f t="shared" si="14"/>
        <v>0</v>
      </c>
      <c r="AZ95" s="28">
        <f t="shared" si="15"/>
        <v>0</v>
      </c>
      <c r="BA95" s="28">
        <f t="shared" si="16"/>
        <v>0</v>
      </c>
      <c r="BB95" s="28">
        <f t="shared" si="17"/>
        <v>0</v>
      </c>
      <c r="BC95" s="28">
        <f t="shared" si="18"/>
        <v>0</v>
      </c>
      <c r="BD95" s="3439">
        <f t="shared" si="19"/>
        <v>0</v>
      </c>
      <c r="BE95" s="3439">
        <f t="shared" si="20"/>
        <v>0</v>
      </c>
      <c r="BF95" s="3439">
        <f t="shared" si="21"/>
        <v>0</v>
      </c>
      <c r="BG95" s="3439">
        <f t="shared" si="22"/>
        <v>0</v>
      </c>
      <c r="BH95" s="3439">
        <f t="shared" si="23"/>
        <v>0</v>
      </c>
      <c r="BI95" s="3439">
        <f t="shared" si="24"/>
        <v>0</v>
      </c>
      <c r="BJ95" s="3439">
        <f t="shared" si="25"/>
        <v>0</v>
      </c>
      <c r="BK95" s="3439">
        <f t="shared" si="26"/>
        <v>0</v>
      </c>
      <c r="BL95" s="28">
        <f t="shared" si="27"/>
        <v>0</v>
      </c>
      <c r="BM95" s="28">
        <f t="shared" si="28"/>
        <v>0</v>
      </c>
      <c r="BN95" s="28">
        <f t="shared" si="29"/>
        <v>0</v>
      </c>
      <c r="BO95" s="28">
        <f t="shared" si="30"/>
        <v>0</v>
      </c>
      <c r="BP95" s="28">
        <f t="shared" si="31"/>
        <v>0</v>
      </c>
      <c r="BQ95" s="3439">
        <f t="shared" si="32"/>
        <v>0</v>
      </c>
      <c r="BR95" s="3439">
        <f t="shared" si="33"/>
        <v>0</v>
      </c>
      <c r="BS95" s="3439">
        <f t="shared" si="34"/>
        <v>0</v>
      </c>
      <c r="BT95" s="3451">
        <f t="shared" si="35"/>
        <v>0</v>
      </c>
    </row>
    <row r="96" spans="1:72">
      <c r="A96" s="9"/>
      <c r="B96" s="27"/>
      <c r="C96" s="27"/>
      <c r="D96" s="1678"/>
      <c r="E96" s="28">
        <f t="shared" si="7"/>
        <v>0</v>
      </c>
      <c r="F96" s="29"/>
      <c r="G96" s="30">
        <f t="shared" si="8"/>
        <v>0</v>
      </c>
      <c r="H96" s="31">
        <f t="shared" si="9"/>
        <v>0</v>
      </c>
      <c r="I96" s="32"/>
      <c r="J96" s="32"/>
      <c r="K96" s="32"/>
      <c r="L96" s="32"/>
      <c r="M96" s="32"/>
      <c r="N96" s="32"/>
      <c r="O96" s="32"/>
      <c r="P96" s="32"/>
      <c r="Q96" s="32"/>
      <c r="R96" s="32"/>
      <c r="S96" s="32"/>
      <c r="T96" s="32"/>
      <c r="U96" s="32"/>
      <c r="V96" s="32"/>
      <c r="W96" s="32"/>
      <c r="X96" s="32"/>
      <c r="Y96" s="32"/>
      <c r="Z96" s="32"/>
      <c r="AA96" s="32"/>
      <c r="AB96" s="32"/>
      <c r="AC96" s="28">
        <f t="shared" si="10"/>
        <v>0</v>
      </c>
      <c r="AD96" s="33"/>
      <c r="AE96" s="33"/>
      <c r="AF96" s="33"/>
      <c r="AG96" s="33"/>
      <c r="AH96" s="33"/>
      <c r="AI96" s="33"/>
      <c r="AJ96" s="33"/>
      <c r="AK96" s="33"/>
      <c r="AL96" s="33"/>
      <c r="AM96" s="33"/>
      <c r="AN96" s="33"/>
      <c r="AO96" s="33"/>
      <c r="AP96" s="33"/>
      <c r="AQ96" s="33"/>
      <c r="AR96" s="33"/>
      <c r="AS96" s="33"/>
      <c r="AT96" s="34"/>
      <c r="AU96" s="1679"/>
      <c r="AV96" s="2256">
        <f t="shared" si="11"/>
        <v>0</v>
      </c>
      <c r="AW96" s="2256">
        <f t="shared" si="12"/>
        <v>0</v>
      </c>
      <c r="AX96" s="2256">
        <f t="shared" si="13"/>
        <v>0</v>
      </c>
      <c r="AY96" s="2781">
        <f t="shared" si="14"/>
        <v>0</v>
      </c>
      <c r="AZ96" s="28">
        <f t="shared" si="15"/>
        <v>0</v>
      </c>
      <c r="BA96" s="28">
        <f t="shared" si="16"/>
        <v>0</v>
      </c>
      <c r="BB96" s="28">
        <f t="shared" si="17"/>
        <v>0</v>
      </c>
      <c r="BC96" s="28">
        <f t="shared" si="18"/>
        <v>0</v>
      </c>
      <c r="BD96" s="3439">
        <f t="shared" si="19"/>
        <v>0</v>
      </c>
      <c r="BE96" s="3439">
        <f t="shared" si="20"/>
        <v>0</v>
      </c>
      <c r="BF96" s="3439">
        <f t="shared" si="21"/>
        <v>0</v>
      </c>
      <c r="BG96" s="3439">
        <f t="shared" si="22"/>
        <v>0</v>
      </c>
      <c r="BH96" s="3439">
        <f t="shared" si="23"/>
        <v>0</v>
      </c>
      <c r="BI96" s="3439">
        <f t="shared" si="24"/>
        <v>0</v>
      </c>
      <c r="BJ96" s="3439">
        <f t="shared" si="25"/>
        <v>0</v>
      </c>
      <c r="BK96" s="3439">
        <f t="shared" si="26"/>
        <v>0</v>
      </c>
      <c r="BL96" s="28">
        <f t="shared" si="27"/>
        <v>0</v>
      </c>
      <c r="BM96" s="28">
        <f t="shared" si="28"/>
        <v>0</v>
      </c>
      <c r="BN96" s="28">
        <f t="shared" si="29"/>
        <v>0</v>
      </c>
      <c r="BO96" s="28">
        <f t="shared" si="30"/>
        <v>0</v>
      </c>
      <c r="BP96" s="28">
        <f t="shared" si="31"/>
        <v>0</v>
      </c>
      <c r="BQ96" s="3439">
        <f t="shared" si="32"/>
        <v>0</v>
      </c>
      <c r="BR96" s="3439">
        <f t="shared" si="33"/>
        <v>0</v>
      </c>
      <c r="BS96" s="3439">
        <f t="shared" si="34"/>
        <v>0</v>
      </c>
      <c r="BT96" s="3451">
        <f t="shared" si="35"/>
        <v>0</v>
      </c>
    </row>
    <row r="97" spans="1:72">
      <c r="A97" s="9"/>
      <c r="B97" s="27"/>
      <c r="C97" s="27"/>
      <c r="D97" s="1678"/>
      <c r="E97" s="28">
        <f t="shared" si="7"/>
        <v>0</v>
      </c>
      <c r="F97" s="29"/>
      <c r="G97" s="30">
        <f t="shared" si="8"/>
        <v>0</v>
      </c>
      <c r="H97" s="31">
        <f t="shared" si="9"/>
        <v>0</v>
      </c>
      <c r="I97" s="32"/>
      <c r="J97" s="32"/>
      <c r="K97" s="32"/>
      <c r="L97" s="32"/>
      <c r="M97" s="32"/>
      <c r="N97" s="32"/>
      <c r="O97" s="32"/>
      <c r="P97" s="32"/>
      <c r="Q97" s="32"/>
      <c r="R97" s="32"/>
      <c r="S97" s="32"/>
      <c r="T97" s="32"/>
      <c r="U97" s="32"/>
      <c r="V97" s="32"/>
      <c r="W97" s="32"/>
      <c r="X97" s="32"/>
      <c r="Y97" s="32"/>
      <c r="Z97" s="32"/>
      <c r="AA97" s="32"/>
      <c r="AB97" s="32"/>
      <c r="AC97" s="28">
        <f t="shared" si="10"/>
        <v>0</v>
      </c>
      <c r="AD97" s="33"/>
      <c r="AE97" s="33"/>
      <c r="AF97" s="33"/>
      <c r="AG97" s="33"/>
      <c r="AH97" s="33"/>
      <c r="AI97" s="33"/>
      <c r="AJ97" s="33"/>
      <c r="AK97" s="33"/>
      <c r="AL97" s="33"/>
      <c r="AM97" s="33"/>
      <c r="AN97" s="33"/>
      <c r="AO97" s="33"/>
      <c r="AP97" s="33"/>
      <c r="AQ97" s="33"/>
      <c r="AR97" s="33"/>
      <c r="AS97" s="33"/>
      <c r="AT97" s="34"/>
      <c r="AU97" s="1679"/>
      <c r="AV97" s="2256">
        <f t="shared" si="11"/>
        <v>0</v>
      </c>
      <c r="AW97" s="2256">
        <f t="shared" si="12"/>
        <v>0</v>
      </c>
      <c r="AX97" s="2256">
        <f t="shared" si="13"/>
        <v>0</v>
      </c>
      <c r="AY97" s="2781">
        <f t="shared" si="14"/>
        <v>0</v>
      </c>
      <c r="AZ97" s="28">
        <f t="shared" si="15"/>
        <v>0</v>
      </c>
      <c r="BA97" s="28">
        <f t="shared" si="16"/>
        <v>0</v>
      </c>
      <c r="BB97" s="28">
        <f t="shared" si="17"/>
        <v>0</v>
      </c>
      <c r="BC97" s="28">
        <f t="shared" si="18"/>
        <v>0</v>
      </c>
      <c r="BD97" s="3439">
        <f t="shared" si="19"/>
        <v>0</v>
      </c>
      <c r="BE97" s="3439">
        <f t="shared" si="20"/>
        <v>0</v>
      </c>
      <c r="BF97" s="3439">
        <f t="shared" si="21"/>
        <v>0</v>
      </c>
      <c r="BG97" s="3439">
        <f t="shared" si="22"/>
        <v>0</v>
      </c>
      <c r="BH97" s="3439">
        <f t="shared" si="23"/>
        <v>0</v>
      </c>
      <c r="BI97" s="3439">
        <f t="shared" si="24"/>
        <v>0</v>
      </c>
      <c r="BJ97" s="3439">
        <f t="shared" si="25"/>
        <v>0</v>
      </c>
      <c r="BK97" s="3439">
        <f t="shared" si="26"/>
        <v>0</v>
      </c>
      <c r="BL97" s="28">
        <f t="shared" si="27"/>
        <v>0</v>
      </c>
      <c r="BM97" s="28">
        <f t="shared" si="28"/>
        <v>0</v>
      </c>
      <c r="BN97" s="28">
        <f t="shared" si="29"/>
        <v>0</v>
      </c>
      <c r="BO97" s="28">
        <f t="shared" si="30"/>
        <v>0</v>
      </c>
      <c r="BP97" s="28">
        <f t="shared" si="31"/>
        <v>0</v>
      </c>
      <c r="BQ97" s="3439">
        <f t="shared" si="32"/>
        <v>0</v>
      </c>
      <c r="BR97" s="3439">
        <f t="shared" si="33"/>
        <v>0</v>
      </c>
      <c r="BS97" s="3439">
        <f t="shared" si="34"/>
        <v>0</v>
      </c>
      <c r="BT97" s="3451">
        <f t="shared" si="35"/>
        <v>0</v>
      </c>
    </row>
    <row r="98" spans="1:72">
      <c r="A98" s="9"/>
      <c r="B98" s="27"/>
      <c r="C98" s="27"/>
      <c r="D98" s="1678"/>
      <c r="E98" s="28">
        <f t="shared" si="7"/>
        <v>0</v>
      </c>
      <c r="F98" s="29"/>
      <c r="G98" s="30">
        <f t="shared" si="8"/>
        <v>0</v>
      </c>
      <c r="H98" s="31">
        <f t="shared" si="9"/>
        <v>0</v>
      </c>
      <c r="I98" s="32"/>
      <c r="J98" s="32"/>
      <c r="K98" s="32"/>
      <c r="L98" s="32"/>
      <c r="M98" s="32"/>
      <c r="N98" s="32"/>
      <c r="O98" s="32"/>
      <c r="P98" s="32"/>
      <c r="Q98" s="32"/>
      <c r="R98" s="32"/>
      <c r="S98" s="32"/>
      <c r="T98" s="32"/>
      <c r="U98" s="32"/>
      <c r="V98" s="32"/>
      <c r="W98" s="32"/>
      <c r="X98" s="32"/>
      <c r="Y98" s="32"/>
      <c r="Z98" s="32"/>
      <c r="AA98" s="32"/>
      <c r="AB98" s="32"/>
      <c r="AC98" s="28">
        <f t="shared" si="10"/>
        <v>0</v>
      </c>
      <c r="AD98" s="33"/>
      <c r="AE98" s="33"/>
      <c r="AF98" s="33"/>
      <c r="AG98" s="33"/>
      <c r="AH98" s="33"/>
      <c r="AI98" s="33"/>
      <c r="AJ98" s="33"/>
      <c r="AK98" s="33"/>
      <c r="AL98" s="33"/>
      <c r="AM98" s="33"/>
      <c r="AN98" s="33"/>
      <c r="AO98" s="33"/>
      <c r="AP98" s="33"/>
      <c r="AQ98" s="33"/>
      <c r="AR98" s="33"/>
      <c r="AS98" s="33"/>
      <c r="AT98" s="34"/>
      <c r="AU98" s="1679"/>
      <c r="AV98" s="2256">
        <f t="shared" si="11"/>
        <v>0</v>
      </c>
      <c r="AW98" s="2256">
        <f t="shared" si="12"/>
        <v>0</v>
      </c>
      <c r="AX98" s="2256">
        <f t="shared" si="13"/>
        <v>0</v>
      </c>
      <c r="AY98" s="2781">
        <f t="shared" si="14"/>
        <v>0</v>
      </c>
      <c r="AZ98" s="28">
        <f t="shared" si="15"/>
        <v>0</v>
      </c>
      <c r="BA98" s="28">
        <f t="shared" si="16"/>
        <v>0</v>
      </c>
      <c r="BB98" s="28">
        <f t="shared" si="17"/>
        <v>0</v>
      </c>
      <c r="BC98" s="28">
        <f t="shared" si="18"/>
        <v>0</v>
      </c>
      <c r="BD98" s="3439">
        <f t="shared" si="19"/>
        <v>0</v>
      </c>
      <c r="BE98" s="3439">
        <f t="shared" si="20"/>
        <v>0</v>
      </c>
      <c r="BF98" s="3439">
        <f t="shared" si="21"/>
        <v>0</v>
      </c>
      <c r="BG98" s="3439">
        <f t="shared" si="22"/>
        <v>0</v>
      </c>
      <c r="BH98" s="3439">
        <f t="shared" si="23"/>
        <v>0</v>
      </c>
      <c r="BI98" s="3439">
        <f t="shared" si="24"/>
        <v>0</v>
      </c>
      <c r="BJ98" s="3439">
        <f t="shared" si="25"/>
        <v>0</v>
      </c>
      <c r="BK98" s="3439">
        <f t="shared" si="26"/>
        <v>0</v>
      </c>
      <c r="BL98" s="28">
        <f t="shared" si="27"/>
        <v>0</v>
      </c>
      <c r="BM98" s="28">
        <f t="shared" si="28"/>
        <v>0</v>
      </c>
      <c r="BN98" s="28">
        <f t="shared" si="29"/>
        <v>0</v>
      </c>
      <c r="BO98" s="28">
        <f t="shared" si="30"/>
        <v>0</v>
      </c>
      <c r="BP98" s="28">
        <f t="shared" si="31"/>
        <v>0</v>
      </c>
      <c r="BQ98" s="3439">
        <f t="shared" si="32"/>
        <v>0</v>
      </c>
      <c r="BR98" s="3439">
        <f t="shared" si="33"/>
        <v>0</v>
      </c>
      <c r="BS98" s="3439">
        <f t="shared" si="34"/>
        <v>0</v>
      </c>
      <c r="BT98" s="3451">
        <f t="shared" si="35"/>
        <v>0</v>
      </c>
    </row>
    <row r="99" spans="1:72">
      <c r="A99" s="9"/>
      <c r="B99" s="27"/>
      <c r="C99" s="27"/>
      <c r="D99" s="1678"/>
      <c r="E99" s="28">
        <f t="shared" si="7"/>
        <v>0</v>
      </c>
      <c r="F99" s="29"/>
      <c r="G99" s="30">
        <f t="shared" si="8"/>
        <v>0</v>
      </c>
      <c r="H99" s="31">
        <f t="shared" si="9"/>
        <v>0</v>
      </c>
      <c r="I99" s="32"/>
      <c r="J99" s="32"/>
      <c r="K99" s="32"/>
      <c r="L99" s="32"/>
      <c r="M99" s="32"/>
      <c r="N99" s="32"/>
      <c r="O99" s="32"/>
      <c r="P99" s="32"/>
      <c r="Q99" s="32"/>
      <c r="R99" s="32"/>
      <c r="S99" s="32"/>
      <c r="T99" s="32"/>
      <c r="U99" s="32"/>
      <c r="V99" s="32"/>
      <c r="W99" s="32"/>
      <c r="X99" s="32"/>
      <c r="Y99" s="32"/>
      <c r="Z99" s="32"/>
      <c r="AA99" s="32"/>
      <c r="AB99" s="32"/>
      <c r="AC99" s="28">
        <f t="shared" si="10"/>
        <v>0</v>
      </c>
      <c r="AD99" s="33"/>
      <c r="AE99" s="33"/>
      <c r="AF99" s="33"/>
      <c r="AG99" s="33"/>
      <c r="AH99" s="33"/>
      <c r="AI99" s="33"/>
      <c r="AJ99" s="33"/>
      <c r="AK99" s="33"/>
      <c r="AL99" s="33"/>
      <c r="AM99" s="33"/>
      <c r="AN99" s="33"/>
      <c r="AO99" s="33"/>
      <c r="AP99" s="33"/>
      <c r="AQ99" s="33"/>
      <c r="AR99" s="33"/>
      <c r="AS99" s="33"/>
      <c r="AT99" s="34"/>
      <c r="AU99" s="1679"/>
      <c r="AV99" s="2256">
        <f t="shared" si="11"/>
        <v>0</v>
      </c>
      <c r="AW99" s="2256">
        <f t="shared" si="12"/>
        <v>0</v>
      </c>
      <c r="AX99" s="2256">
        <f t="shared" si="13"/>
        <v>0</v>
      </c>
      <c r="AY99" s="2781">
        <f t="shared" si="14"/>
        <v>0</v>
      </c>
      <c r="AZ99" s="28">
        <f t="shared" si="15"/>
        <v>0</v>
      </c>
      <c r="BA99" s="28">
        <f t="shared" si="16"/>
        <v>0</v>
      </c>
      <c r="BB99" s="28">
        <f t="shared" si="17"/>
        <v>0</v>
      </c>
      <c r="BC99" s="28">
        <f t="shared" si="18"/>
        <v>0</v>
      </c>
      <c r="BD99" s="3439">
        <f t="shared" si="19"/>
        <v>0</v>
      </c>
      <c r="BE99" s="3439">
        <f t="shared" si="20"/>
        <v>0</v>
      </c>
      <c r="BF99" s="3439">
        <f t="shared" si="21"/>
        <v>0</v>
      </c>
      <c r="BG99" s="3439">
        <f t="shared" si="22"/>
        <v>0</v>
      </c>
      <c r="BH99" s="3439">
        <f t="shared" si="23"/>
        <v>0</v>
      </c>
      <c r="BI99" s="3439">
        <f t="shared" si="24"/>
        <v>0</v>
      </c>
      <c r="BJ99" s="3439">
        <f t="shared" si="25"/>
        <v>0</v>
      </c>
      <c r="BK99" s="3439">
        <f t="shared" si="26"/>
        <v>0</v>
      </c>
      <c r="BL99" s="28">
        <f t="shared" si="27"/>
        <v>0</v>
      </c>
      <c r="BM99" s="28">
        <f t="shared" si="28"/>
        <v>0</v>
      </c>
      <c r="BN99" s="28">
        <f t="shared" si="29"/>
        <v>0</v>
      </c>
      <c r="BO99" s="28">
        <f t="shared" si="30"/>
        <v>0</v>
      </c>
      <c r="BP99" s="28">
        <f t="shared" si="31"/>
        <v>0</v>
      </c>
      <c r="BQ99" s="3439">
        <f t="shared" si="32"/>
        <v>0</v>
      </c>
      <c r="BR99" s="3439">
        <f t="shared" si="33"/>
        <v>0</v>
      </c>
      <c r="BS99" s="3439">
        <f t="shared" si="34"/>
        <v>0</v>
      </c>
      <c r="BT99" s="3451">
        <f t="shared" si="35"/>
        <v>0</v>
      </c>
    </row>
    <row r="100" spans="1:72">
      <c r="A100" s="9"/>
      <c r="B100" s="27"/>
      <c r="C100" s="27"/>
      <c r="D100" s="1678"/>
      <c r="E100" s="28">
        <f t="shared" si="7"/>
        <v>0</v>
      </c>
      <c r="F100" s="29"/>
      <c r="G100" s="30">
        <f t="shared" si="8"/>
        <v>0</v>
      </c>
      <c r="H100" s="31">
        <f t="shared" si="9"/>
        <v>0</v>
      </c>
      <c r="I100" s="32"/>
      <c r="J100" s="32"/>
      <c r="K100" s="32"/>
      <c r="L100" s="32"/>
      <c r="M100" s="32"/>
      <c r="N100" s="32"/>
      <c r="O100" s="32"/>
      <c r="P100" s="32"/>
      <c r="Q100" s="32"/>
      <c r="R100" s="32"/>
      <c r="S100" s="32"/>
      <c r="T100" s="32"/>
      <c r="U100" s="32"/>
      <c r="V100" s="32"/>
      <c r="W100" s="32"/>
      <c r="X100" s="32"/>
      <c r="Y100" s="32"/>
      <c r="Z100" s="32"/>
      <c r="AA100" s="32"/>
      <c r="AB100" s="32"/>
      <c r="AC100" s="28">
        <f t="shared" si="10"/>
        <v>0</v>
      </c>
      <c r="AD100" s="33"/>
      <c r="AE100" s="33"/>
      <c r="AF100" s="33"/>
      <c r="AG100" s="33"/>
      <c r="AH100" s="33"/>
      <c r="AI100" s="33"/>
      <c r="AJ100" s="33"/>
      <c r="AK100" s="33"/>
      <c r="AL100" s="33"/>
      <c r="AM100" s="33"/>
      <c r="AN100" s="33"/>
      <c r="AO100" s="33"/>
      <c r="AP100" s="33"/>
      <c r="AQ100" s="33"/>
      <c r="AR100" s="33"/>
      <c r="AS100" s="33"/>
      <c r="AT100" s="34"/>
      <c r="AU100" s="1679"/>
      <c r="AV100" s="2256">
        <f t="shared" si="11"/>
        <v>0</v>
      </c>
      <c r="AW100" s="2256">
        <f t="shared" si="12"/>
        <v>0</v>
      </c>
      <c r="AX100" s="2256">
        <f t="shared" si="13"/>
        <v>0</v>
      </c>
      <c r="AY100" s="2781">
        <f t="shared" si="14"/>
        <v>0</v>
      </c>
      <c r="AZ100" s="28">
        <f t="shared" si="15"/>
        <v>0</v>
      </c>
      <c r="BA100" s="28">
        <f t="shared" si="16"/>
        <v>0</v>
      </c>
      <c r="BB100" s="28">
        <f t="shared" si="17"/>
        <v>0</v>
      </c>
      <c r="BC100" s="28">
        <f t="shared" si="18"/>
        <v>0</v>
      </c>
      <c r="BD100" s="3439">
        <f t="shared" si="19"/>
        <v>0</v>
      </c>
      <c r="BE100" s="3439">
        <f t="shared" si="20"/>
        <v>0</v>
      </c>
      <c r="BF100" s="3439">
        <f t="shared" si="21"/>
        <v>0</v>
      </c>
      <c r="BG100" s="3439">
        <f t="shared" si="22"/>
        <v>0</v>
      </c>
      <c r="BH100" s="3439">
        <f t="shared" si="23"/>
        <v>0</v>
      </c>
      <c r="BI100" s="3439">
        <f t="shared" si="24"/>
        <v>0</v>
      </c>
      <c r="BJ100" s="3439">
        <f t="shared" si="25"/>
        <v>0</v>
      </c>
      <c r="BK100" s="3439">
        <f t="shared" si="26"/>
        <v>0</v>
      </c>
      <c r="BL100" s="28">
        <f t="shared" si="27"/>
        <v>0</v>
      </c>
      <c r="BM100" s="28">
        <f t="shared" si="28"/>
        <v>0</v>
      </c>
      <c r="BN100" s="28">
        <f t="shared" si="29"/>
        <v>0</v>
      </c>
      <c r="BO100" s="28">
        <f t="shared" si="30"/>
        <v>0</v>
      </c>
      <c r="BP100" s="28">
        <f t="shared" si="31"/>
        <v>0</v>
      </c>
      <c r="BQ100" s="3439">
        <f t="shared" si="32"/>
        <v>0</v>
      </c>
      <c r="BR100" s="3439">
        <f t="shared" si="33"/>
        <v>0</v>
      </c>
      <c r="BS100" s="3439">
        <f t="shared" si="34"/>
        <v>0</v>
      </c>
      <c r="BT100" s="3451">
        <f t="shared" si="35"/>
        <v>0</v>
      </c>
    </row>
    <row r="101" spans="1:72">
      <c r="A101" s="9"/>
      <c r="B101" s="27"/>
      <c r="C101" s="27"/>
      <c r="D101" s="1678"/>
      <c r="E101" s="28">
        <f t="shared" si="7"/>
        <v>0</v>
      </c>
      <c r="F101" s="29"/>
      <c r="G101" s="30">
        <f t="shared" si="8"/>
        <v>0</v>
      </c>
      <c r="H101" s="31">
        <f t="shared" si="9"/>
        <v>0</v>
      </c>
      <c r="I101" s="32"/>
      <c r="J101" s="32"/>
      <c r="K101" s="32"/>
      <c r="L101" s="32"/>
      <c r="M101" s="32"/>
      <c r="N101" s="32"/>
      <c r="O101" s="32"/>
      <c r="P101" s="32"/>
      <c r="Q101" s="32"/>
      <c r="R101" s="32"/>
      <c r="S101" s="32"/>
      <c r="T101" s="32"/>
      <c r="U101" s="32"/>
      <c r="V101" s="32"/>
      <c r="W101" s="32"/>
      <c r="X101" s="32"/>
      <c r="Y101" s="32"/>
      <c r="Z101" s="32"/>
      <c r="AA101" s="32"/>
      <c r="AB101" s="32"/>
      <c r="AC101" s="28">
        <f t="shared" si="10"/>
        <v>0</v>
      </c>
      <c r="AD101" s="33"/>
      <c r="AE101" s="33"/>
      <c r="AF101" s="33"/>
      <c r="AG101" s="33"/>
      <c r="AH101" s="33"/>
      <c r="AI101" s="33"/>
      <c r="AJ101" s="33"/>
      <c r="AK101" s="33"/>
      <c r="AL101" s="33"/>
      <c r="AM101" s="33"/>
      <c r="AN101" s="33"/>
      <c r="AO101" s="33"/>
      <c r="AP101" s="33"/>
      <c r="AQ101" s="33"/>
      <c r="AR101" s="33"/>
      <c r="AS101" s="33"/>
      <c r="AT101" s="34"/>
      <c r="AU101" s="1679"/>
      <c r="AV101" s="2256">
        <f t="shared" si="11"/>
        <v>0</v>
      </c>
      <c r="AW101" s="2256">
        <f t="shared" si="12"/>
        <v>0</v>
      </c>
      <c r="AX101" s="2256">
        <f t="shared" si="13"/>
        <v>0</v>
      </c>
      <c r="AY101" s="2781">
        <f t="shared" si="14"/>
        <v>0</v>
      </c>
      <c r="AZ101" s="28">
        <f t="shared" si="15"/>
        <v>0</v>
      </c>
      <c r="BA101" s="28">
        <f t="shared" si="16"/>
        <v>0</v>
      </c>
      <c r="BB101" s="28">
        <f t="shared" si="17"/>
        <v>0</v>
      </c>
      <c r="BC101" s="28">
        <f t="shared" si="18"/>
        <v>0</v>
      </c>
      <c r="BD101" s="3439">
        <f t="shared" si="19"/>
        <v>0</v>
      </c>
      <c r="BE101" s="3439">
        <f t="shared" si="20"/>
        <v>0</v>
      </c>
      <c r="BF101" s="3439">
        <f t="shared" si="21"/>
        <v>0</v>
      </c>
      <c r="BG101" s="3439">
        <f t="shared" si="22"/>
        <v>0</v>
      </c>
      <c r="BH101" s="3439">
        <f t="shared" si="23"/>
        <v>0</v>
      </c>
      <c r="BI101" s="3439">
        <f t="shared" si="24"/>
        <v>0</v>
      </c>
      <c r="BJ101" s="3439">
        <f t="shared" si="25"/>
        <v>0</v>
      </c>
      <c r="BK101" s="3439">
        <f t="shared" si="26"/>
        <v>0</v>
      </c>
      <c r="BL101" s="28">
        <f t="shared" si="27"/>
        <v>0</v>
      </c>
      <c r="BM101" s="28">
        <f t="shared" si="28"/>
        <v>0</v>
      </c>
      <c r="BN101" s="28">
        <f t="shared" si="29"/>
        <v>0</v>
      </c>
      <c r="BO101" s="28">
        <f t="shared" si="30"/>
        <v>0</v>
      </c>
      <c r="BP101" s="28">
        <f t="shared" si="31"/>
        <v>0</v>
      </c>
      <c r="BQ101" s="3439">
        <f t="shared" si="32"/>
        <v>0</v>
      </c>
      <c r="BR101" s="3439">
        <f t="shared" si="33"/>
        <v>0</v>
      </c>
      <c r="BS101" s="3439">
        <f t="shared" si="34"/>
        <v>0</v>
      </c>
      <c r="BT101" s="3451">
        <f t="shared" si="35"/>
        <v>0</v>
      </c>
    </row>
    <row r="102" spans="1:72">
      <c r="A102" s="9"/>
      <c r="B102" s="27"/>
      <c r="C102" s="27"/>
      <c r="D102" s="1678"/>
      <c r="E102" s="28">
        <f t="shared" si="7"/>
        <v>0</v>
      </c>
      <c r="F102" s="29"/>
      <c r="G102" s="30">
        <f t="shared" si="8"/>
        <v>0</v>
      </c>
      <c r="H102" s="31">
        <f t="shared" si="9"/>
        <v>0</v>
      </c>
      <c r="I102" s="32"/>
      <c r="J102" s="32"/>
      <c r="K102" s="32"/>
      <c r="L102" s="32"/>
      <c r="M102" s="32"/>
      <c r="N102" s="32"/>
      <c r="O102" s="32"/>
      <c r="P102" s="32"/>
      <c r="Q102" s="32"/>
      <c r="R102" s="32"/>
      <c r="S102" s="32"/>
      <c r="T102" s="32"/>
      <c r="U102" s="32"/>
      <c r="V102" s="32"/>
      <c r="W102" s="32"/>
      <c r="X102" s="32"/>
      <c r="Y102" s="32"/>
      <c r="Z102" s="32"/>
      <c r="AA102" s="32"/>
      <c r="AB102" s="32"/>
      <c r="AC102" s="28">
        <f t="shared" si="10"/>
        <v>0</v>
      </c>
      <c r="AD102" s="33"/>
      <c r="AE102" s="33"/>
      <c r="AF102" s="33"/>
      <c r="AG102" s="33"/>
      <c r="AH102" s="33"/>
      <c r="AI102" s="33"/>
      <c r="AJ102" s="33"/>
      <c r="AK102" s="33"/>
      <c r="AL102" s="33"/>
      <c r="AM102" s="33"/>
      <c r="AN102" s="33"/>
      <c r="AO102" s="33"/>
      <c r="AP102" s="33"/>
      <c r="AQ102" s="33"/>
      <c r="AR102" s="33"/>
      <c r="AS102" s="33"/>
      <c r="AT102" s="34"/>
      <c r="AU102" s="1679"/>
      <c r="AV102" s="2256">
        <f t="shared" si="11"/>
        <v>0</v>
      </c>
      <c r="AW102" s="2256">
        <f t="shared" si="12"/>
        <v>0</v>
      </c>
      <c r="AX102" s="2256">
        <f t="shared" si="13"/>
        <v>0</v>
      </c>
      <c r="AY102" s="2781">
        <f t="shared" si="14"/>
        <v>0</v>
      </c>
      <c r="AZ102" s="28">
        <f t="shared" si="15"/>
        <v>0</v>
      </c>
      <c r="BA102" s="28">
        <f t="shared" si="16"/>
        <v>0</v>
      </c>
      <c r="BB102" s="28">
        <f t="shared" si="17"/>
        <v>0</v>
      </c>
      <c r="BC102" s="28">
        <f t="shared" si="18"/>
        <v>0</v>
      </c>
      <c r="BD102" s="3439">
        <f t="shared" si="19"/>
        <v>0</v>
      </c>
      <c r="BE102" s="3439">
        <f t="shared" si="20"/>
        <v>0</v>
      </c>
      <c r="BF102" s="3439">
        <f t="shared" si="21"/>
        <v>0</v>
      </c>
      <c r="BG102" s="3439">
        <f t="shared" si="22"/>
        <v>0</v>
      </c>
      <c r="BH102" s="3439">
        <f t="shared" si="23"/>
        <v>0</v>
      </c>
      <c r="BI102" s="3439">
        <f t="shared" si="24"/>
        <v>0</v>
      </c>
      <c r="BJ102" s="3439">
        <f t="shared" si="25"/>
        <v>0</v>
      </c>
      <c r="BK102" s="3439">
        <f t="shared" si="26"/>
        <v>0</v>
      </c>
      <c r="BL102" s="28">
        <f t="shared" si="27"/>
        <v>0</v>
      </c>
      <c r="BM102" s="28">
        <f t="shared" si="28"/>
        <v>0</v>
      </c>
      <c r="BN102" s="28">
        <f t="shared" si="29"/>
        <v>0</v>
      </c>
      <c r="BO102" s="28">
        <f t="shared" si="30"/>
        <v>0</v>
      </c>
      <c r="BP102" s="28">
        <f t="shared" si="31"/>
        <v>0</v>
      </c>
      <c r="BQ102" s="3439">
        <f t="shared" si="32"/>
        <v>0</v>
      </c>
      <c r="BR102" s="3439">
        <f t="shared" si="33"/>
        <v>0</v>
      </c>
      <c r="BS102" s="3439">
        <f t="shared" si="34"/>
        <v>0</v>
      </c>
      <c r="BT102" s="3451">
        <f t="shared" si="35"/>
        <v>0</v>
      </c>
    </row>
    <row r="103" spans="1:72">
      <c r="A103" s="9"/>
      <c r="B103" s="27"/>
      <c r="C103" s="27"/>
      <c r="D103" s="1678"/>
      <c r="E103" s="28">
        <f t="shared" si="7"/>
        <v>0</v>
      </c>
      <c r="F103" s="29"/>
      <c r="G103" s="30">
        <f t="shared" si="8"/>
        <v>0</v>
      </c>
      <c r="H103" s="31">
        <f t="shared" si="9"/>
        <v>0</v>
      </c>
      <c r="I103" s="32"/>
      <c r="J103" s="32"/>
      <c r="K103" s="32"/>
      <c r="L103" s="32"/>
      <c r="M103" s="32"/>
      <c r="N103" s="32"/>
      <c r="O103" s="32"/>
      <c r="P103" s="32"/>
      <c r="Q103" s="32"/>
      <c r="R103" s="32"/>
      <c r="S103" s="32"/>
      <c r="T103" s="32"/>
      <c r="U103" s="32"/>
      <c r="V103" s="32"/>
      <c r="W103" s="32"/>
      <c r="X103" s="32"/>
      <c r="Y103" s="32"/>
      <c r="Z103" s="32"/>
      <c r="AA103" s="32"/>
      <c r="AB103" s="32"/>
      <c r="AC103" s="28">
        <f t="shared" si="10"/>
        <v>0</v>
      </c>
      <c r="AD103" s="33"/>
      <c r="AE103" s="33"/>
      <c r="AF103" s="33"/>
      <c r="AG103" s="33"/>
      <c r="AH103" s="33"/>
      <c r="AI103" s="33"/>
      <c r="AJ103" s="33"/>
      <c r="AK103" s="33"/>
      <c r="AL103" s="33"/>
      <c r="AM103" s="33"/>
      <c r="AN103" s="33"/>
      <c r="AO103" s="33"/>
      <c r="AP103" s="33"/>
      <c r="AQ103" s="33"/>
      <c r="AR103" s="33"/>
      <c r="AS103" s="33"/>
      <c r="AT103" s="34"/>
      <c r="AU103" s="1679"/>
      <c r="AV103" s="2256">
        <f t="shared" si="11"/>
        <v>0</v>
      </c>
      <c r="AW103" s="2256">
        <f t="shared" si="12"/>
        <v>0</v>
      </c>
      <c r="AX103" s="2256">
        <f t="shared" si="13"/>
        <v>0</v>
      </c>
      <c r="AY103" s="2781">
        <f t="shared" si="14"/>
        <v>0</v>
      </c>
      <c r="AZ103" s="28">
        <f t="shared" si="15"/>
        <v>0</v>
      </c>
      <c r="BA103" s="28">
        <f t="shared" si="16"/>
        <v>0</v>
      </c>
      <c r="BB103" s="28">
        <f t="shared" si="17"/>
        <v>0</v>
      </c>
      <c r="BC103" s="28">
        <f t="shared" si="18"/>
        <v>0</v>
      </c>
      <c r="BD103" s="3439">
        <f t="shared" si="19"/>
        <v>0</v>
      </c>
      <c r="BE103" s="3439">
        <f t="shared" si="20"/>
        <v>0</v>
      </c>
      <c r="BF103" s="3439">
        <f t="shared" si="21"/>
        <v>0</v>
      </c>
      <c r="BG103" s="3439">
        <f t="shared" si="22"/>
        <v>0</v>
      </c>
      <c r="BH103" s="3439">
        <f t="shared" si="23"/>
        <v>0</v>
      </c>
      <c r="BI103" s="3439">
        <f t="shared" si="24"/>
        <v>0</v>
      </c>
      <c r="BJ103" s="3439">
        <f t="shared" si="25"/>
        <v>0</v>
      </c>
      <c r="BK103" s="3439">
        <f t="shared" si="26"/>
        <v>0</v>
      </c>
      <c r="BL103" s="28">
        <f t="shared" si="27"/>
        <v>0</v>
      </c>
      <c r="BM103" s="28">
        <f t="shared" si="28"/>
        <v>0</v>
      </c>
      <c r="BN103" s="28">
        <f t="shared" si="29"/>
        <v>0</v>
      </c>
      <c r="BO103" s="28">
        <f t="shared" si="30"/>
        <v>0</v>
      </c>
      <c r="BP103" s="28">
        <f t="shared" si="31"/>
        <v>0</v>
      </c>
      <c r="BQ103" s="3439">
        <f t="shared" si="32"/>
        <v>0</v>
      </c>
      <c r="BR103" s="3439">
        <f t="shared" si="33"/>
        <v>0</v>
      </c>
      <c r="BS103" s="3439">
        <f t="shared" si="34"/>
        <v>0</v>
      </c>
      <c r="BT103" s="3451">
        <f t="shared" si="35"/>
        <v>0</v>
      </c>
    </row>
    <row r="104" spans="1:72">
      <c r="A104" s="9"/>
      <c r="B104" s="27"/>
      <c r="C104" s="27"/>
      <c r="D104" s="1678"/>
      <c r="E104" s="28">
        <f t="shared" si="7"/>
        <v>0</v>
      </c>
      <c r="F104" s="29"/>
      <c r="G104" s="30">
        <f t="shared" si="8"/>
        <v>0</v>
      </c>
      <c r="H104" s="31">
        <f t="shared" si="9"/>
        <v>0</v>
      </c>
      <c r="I104" s="32"/>
      <c r="J104" s="32"/>
      <c r="K104" s="32"/>
      <c r="L104" s="32"/>
      <c r="M104" s="32"/>
      <c r="N104" s="32"/>
      <c r="O104" s="32"/>
      <c r="P104" s="32"/>
      <c r="Q104" s="32"/>
      <c r="R104" s="32"/>
      <c r="S104" s="32"/>
      <c r="T104" s="32"/>
      <c r="U104" s="32"/>
      <c r="V104" s="32"/>
      <c r="W104" s="32"/>
      <c r="X104" s="32"/>
      <c r="Y104" s="32"/>
      <c r="Z104" s="32"/>
      <c r="AA104" s="32"/>
      <c r="AB104" s="32"/>
      <c r="AC104" s="28">
        <f t="shared" si="10"/>
        <v>0</v>
      </c>
      <c r="AD104" s="33"/>
      <c r="AE104" s="33"/>
      <c r="AF104" s="33"/>
      <c r="AG104" s="33"/>
      <c r="AH104" s="33"/>
      <c r="AI104" s="33"/>
      <c r="AJ104" s="33"/>
      <c r="AK104" s="33"/>
      <c r="AL104" s="33"/>
      <c r="AM104" s="33"/>
      <c r="AN104" s="33"/>
      <c r="AO104" s="33"/>
      <c r="AP104" s="33"/>
      <c r="AQ104" s="33"/>
      <c r="AR104" s="33"/>
      <c r="AS104" s="33"/>
      <c r="AT104" s="34"/>
      <c r="AU104" s="1679"/>
      <c r="AV104" s="2256">
        <f t="shared" si="11"/>
        <v>0</v>
      </c>
      <c r="AW104" s="2256">
        <f t="shared" si="12"/>
        <v>0</v>
      </c>
      <c r="AX104" s="2256">
        <f t="shared" si="13"/>
        <v>0</v>
      </c>
      <c r="AY104" s="2781">
        <f t="shared" si="14"/>
        <v>0</v>
      </c>
      <c r="AZ104" s="28">
        <f t="shared" si="15"/>
        <v>0</v>
      </c>
      <c r="BA104" s="28">
        <f t="shared" si="16"/>
        <v>0</v>
      </c>
      <c r="BB104" s="28">
        <f t="shared" si="17"/>
        <v>0</v>
      </c>
      <c r="BC104" s="28">
        <f t="shared" si="18"/>
        <v>0</v>
      </c>
      <c r="BD104" s="3439">
        <f t="shared" si="19"/>
        <v>0</v>
      </c>
      <c r="BE104" s="3439">
        <f t="shared" si="20"/>
        <v>0</v>
      </c>
      <c r="BF104" s="3439">
        <f t="shared" si="21"/>
        <v>0</v>
      </c>
      <c r="BG104" s="3439">
        <f t="shared" si="22"/>
        <v>0</v>
      </c>
      <c r="BH104" s="3439">
        <f t="shared" si="23"/>
        <v>0</v>
      </c>
      <c r="BI104" s="3439">
        <f t="shared" si="24"/>
        <v>0</v>
      </c>
      <c r="BJ104" s="3439">
        <f t="shared" si="25"/>
        <v>0</v>
      </c>
      <c r="BK104" s="3439">
        <f t="shared" si="26"/>
        <v>0</v>
      </c>
      <c r="BL104" s="28">
        <f t="shared" si="27"/>
        <v>0</v>
      </c>
      <c r="BM104" s="28">
        <f t="shared" si="28"/>
        <v>0</v>
      </c>
      <c r="BN104" s="28">
        <f t="shared" si="29"/>
        <v>0</v>
      </c>
      <c r="BO104" s="28">
        <f t="shared" si="30"/>
        <v>0</v>
      </c>
      <c r="BP104" s="28">
        <f t="shared" si="31"/>
        <v>0</v>
      </c>
      <c r="BQ104" s="3439">
        <f t="shared" si="32"/>
        <v>0</v>
      </c>
      <c r="BR104" s="3439">
        <f t="shared" si="33"/>
        <v>0</v>
      </c>
      <c r="BS104" s="3439">
        <f t="shared" si="34"/>
        <v>0</v>
      </c>
      <c r="BT104" s="3451">
        <f t="shared" si="35"/>
        <v>0</v>
      </c>
    </row>
    <row r="105" spans="1:72">
      <c r="A105" s="9"/>
      <c r="B105" s="27"/>
      <c r="C105" s="27"/>
      <c r="D105" s="1678"/>
      <c r="E105" s="28">
        <f t="shared" si="7"/>
        <v>0</v>
      </c>
      <c r="F105" s="29"/>
      <c r="G105" s="30">
        <f t="shared" si="8"/>
        <v>0</v>
      </c>
      <c r="H105" s="31">
        <f t="shared" si="9"/>
        <v>0</v>
      </c>
      <c r="I105" s="32"/>
      <c r="J105" s="32"/>
      <c r="K105" s="32"/>
      <c r="L105" s="32"/>
      <c r="M105" s="32"/>
      <c r="N105" s="32"/>
      <c r="O105" s="32"/>
      <c r="P105" s="32"/>
      <c r="Q105" s="32"/>
      <c r="R105" s="32"/>
      <c r="S105" s="32"/>
      <c r="T105" s="32"/>
      <c r="U105" s="32"/>
      <c r="V105" s="32"/>
      <c r="W105" s="32"/>
      <c r="X105" s="32"/>
      <c r="Y105" s="32"/>
      <c r="Z105" s="32"/>
      <c r="AA105" s="32"/>
      <c r="AB105" s="32"/>
      <c r="AC105" s="28">
        <f t="shared" si="10"/>
        <v>0</v>
      </c>
      <c r="AD105" s="33"/>
      <c r="AE105" s="33"/>
      <c r="AF105" s="33"/>
      <c r="AG105" s="33"/>
      <c r="AH105" s="33"/>
      <c r="AI105" s="33"/>
      <c r="AJ105" s="33"/>
      <c r="AK105" s="33"/>
      <c r="AL105" s="33"/>
      <c r="AM105" s="33"/>
      <c r="AN105" s="33"/>
      <c r="AO105" s="33"/>
      <c r="AP105" s="33"/>
      <c r="AQ105" s="33"/>
      <c r="AR105" s="33"/>
      <c r="AS105" s="33"/>
      <c r="AT105" s="34"/>
      <c r="AU105" s="1679"/>
      <c r="AV105" s="2256">
        <f t="shared" si="11"/>
        <v>0</v>
      </c>
      <c r="AW105" s="2256">
        <f t="shared" si="12"/>
        <v>0</v>
      </c>
      <c r="AX105" s="2256">
        <f t="shared" si="13"/>
        <v>0</v>
      </c>
      <c r="AY105" s="2781">
        <f t="shared" si="14"/>
        <v>0</v>
      </c>
      <c r="AZ105" s="28">
        <f t="shared" si="15"/>
        <v>0</v>
      </c>
      <c r="BA105" s="28">
        <f t="shared" si="16"/>
        <v>0</v>
      </c>
      <c r="BB105" s="28">
        <f t="shared" si="17"/>
        <v>0</v>
      </c>
      <c r="BC105" s="28">
        <f t="shared" si="18"/>
        <v>0</v>
      </c>
      <c r="BD105" s="3439">
        <f t="shared" si="19"/>
        <v>0</v>
      </c>
      <c r="BE105" s="3439">
        <f t="shared" si="20"/>
        <v>0</v>
      </c>
      <c r="BF105" s="3439">
        <f t="shared" si="21"/>
        <v>0</v>
      </c>
      <c r="BG105" s="3439">
        <f t="shared" si="22"/>
        <v>0</v>
      </c>
      <c r="BH105" s="3439">
        <f t="shared" si="23"/>
        <v>0</v>
      </c>
      <c r="BI105" s="3439">
        <f t="shared" si="24"/>
        <v>0</v>
      </c>
      <c r="BJ105" s="3439">
        <f t="shared" si="25"/>
        <v>0</v>
      </c>
      <c r="BK105" s="3439">
        <f t="shared" si="26"/>
        <v>0</v>
      </c>
      <c r="BL105" s="28">
        <f t="shared" si="27"/>
        <v>0</v>
      </c>
      <c r="BM105" s="28">
        <f t="shared" si="28"/>
        <v>0</v>
      </c>
      <c r="BN105" s="28">
        <f t="shared" si="29"/>
        <v>0</v>
      </c>
      <c r="BO105" s="28">
        <f t="shared" si="30"/>
        <v>0</v>
      </c>
      <c r="BP105" s="28">
        <f t="shared" si="31"/>
        <v>0</v>
      </c>
      <c r="BQ105" s="3439">
        <f t="shared" si="32"/>
        <v>0</v>
      </c>
      <c r="BR105" s="3439">
        <f t="shared" si="33"/>
        <v>0</v>
      </c>
      <c r="BS105" s="3439">
        <f t="shared" si="34"/>
        <v>0</v>
      </c>
      <c r="BT105" s="3451">
        <f t="shared" si="35"/>
        <v>0</v>
      </c>
    </row>
    <row r="106" spans="1:72">
      <c r="A106" s="9"/>
      <c r="B106" s="27"/>
      <c r="C106" s="27"/>
      <c r="D106" s="1678"/>
      <c r="E106" s="28">
        <f t="shared" si="7"/>
        <v>0</v>
      </c>
      <c r="F106" s="29"/>
      <c r="G106" s="30">
        <f t="shared" si="8"/>
        <v>0</v>
      </c>
      <c r="H106" s="31">
        <f t="shared" si="9"/>
        <v>0</v>
      </c>
      <c r="I106" s="32"/>
      <c r="J106" s="32"/>
      <c r="K106" s="32"/>
      <c r="L106" s="32"/>
      <c r="M106" s="32"/>
      <c r="N106" s="32"/>
      <c r="O106" s="32"/>
      <c r="P106" s="32"/>
      <c r="Q106" s="32"/>
      <c r="R106" s="32"/>
      <c r="S106" s="32"/>
      <c r="T106" s="32"/>
      <c r="U106" s="32"/>
      <c r="V106" s="32"/>
      <c r="W106" s="32"/>
      <c r="X106" s="32"/>
      <c r="Y106" s="32"/>
      <c r="Z106" s="32"/>
      <c r="AA106" s="32"/>
      <c r="AB106" s="32"/>
      <c r="AC106" s="28">
        <f t="shared" si="10"/>
        <v>0</v>
      </c>
      <c r="AD106" s="33"/>
      <c r="AE106" s="33"/>
      <c r="AF106" s="33"/>
      <c r="AG106" s="33"/>
      <c r="AH106" s="33"/>
      <c r="AI106" s="33"/>
      <c r="AJ106" s="33"/>
      <c r="AK106" s="33"/>
      <c r="AL106" s="33"/>
      <c r="AM106" s="33"/>
      <c r="AN106" s="33"/>
      <c r="AO106" s="33"/>
      <c r="AP106" s="33"/>
      <c r="AQ106" s="33"/>
      <c r="AR106" s="33"/>
      <c r="AS106" s="33"/>
      <c r="AT106" s="34"/>
      <c r="AU106" s="1679"/>
      <c r="AV106" s="2256">
        <f t="shared" si="11"/>
        <v>0</v>
      </c>
      <c r="AW106" s="2256">
        <f t="shared" si="12"/>
        <v>0</v>
      </c>
      <c r="AX106" s="2256">
        <f t="shared" si="13"/>
        <v>0</v>
      </c>
      <c r="AY106" s="2781">
        <f t="shared" si="14"/>
        <v>0</v>
      </c>
      <c r="AZ106" s="28">
        <f t="shared" si="15"/>
        <v>0</v>
      </c>
      <c r="BA106" s="28">
        <f t="shared" si="16"/>
        <v>0</v>
      </c>
      <c r="BB106" s="28">
        <f t="shared" si="17"/>
        <v>0</v>
      </c>
      <c r="BC106" s="28">
        <f t="shared" si="18"/>
        <v>0</v>
      </c>
      <c r="BD106" s="3439">
        <f t="shared" si="19"/>
        <v>0</v>
      </c>
      <c r="BE106" s="3439">
        <f t="shared" si="20"/>
        <v>0</v>
      </c>
      <c r="BF106" s="3439">
        <f t="shared" si="21"/>
        <v>0</v>
      </c>
      <c r="BG106" s="3439">
        <f t="shared" si="22"/>
        <v>0</v>
      </c>
      <c r="BH106" s="3439">
        <f t="shared" si="23"/>
        <v>0</v>
      </c>
      <c r="BI106" s="3439">
        <f t="shared" si="24"/>
        <v>0</v>
      </c>
      <c r="BJ106" s="3439">
        <f t="shared" si="25"/>
        <v>0</v>
      </c>
      <c r="BK106" s="3439">
        <f t="shared" si="26"/>
        <v>0</v>
      </c>
      <c r="BL106" s="28">
        <f t="shared" si="27"/>
        <v>0</v>
      </c>
      <c r="BM106" s="28">
        <f t="shared" si="28"/>
        <v>0</v>
      </c>
      <c r="BN106" s="28">
        <f t="shared" si="29"/>
        <v>0</v>
      </c>
      <c r="BO106" s="28">
        <f t="shared" si="30"/>
        <v>0</v>
      </c>
      <c r="BP106" s="28">
        <f t="shared" si="31"/>
        <v>0</v>
      </c>
      <c r="BQ106" s="3439">
        <f t="shared" si="32"/>
        <v>0</v>
      </c>
      <c r="BR106" s="3439">
        <f t="shared" si="33"/>
        <v>0</v>
      </c>
      <c r="BS106" s="3439">
        <f t="shared" si="34"/>
        <v>0</v>
      </c>
      <c r="BT106" s="3451">
        <f t="shared" si="35"/>
        <v>0</v>
      </c>
    </row>
    <row r="107" spans="1:72">
      <c r="A107" s="9"/>
      <c r="B107" s="27"/>
      <c r="C107" s="27"/>
      <c r="D107" s="1678"/>
      <c r="E107" s="28">
        <f t="shared" si="7"/>
        <v>0</v>
      </c>
      <c r="F107" s="29"/>
      <c r="G107" s="30">
        <f t="shared" si="8"/>
        <v>0</v>
      </c>
      <c r="H107" s="31">
        <f t="shared" si="9"/>
        <v>0</v>
      </c>
      <c r="I107" s="32"/>
      <c r="J107" s="32"/>
      <c r="K107" s="32"/>
      <c r="L107" s="32"/>
      <c r="M107" s="32"/>
      <c r="N107" s="32"/>
      <c r="O107" s="32"/>
      <c r="P107" s="32"/>
      <c r="Q107" s="32"/>
      <c r="R107" s="32"/>
      <c r="S107" s="32"/>
      <c r="T107" s="32"/>
      <c r="U107" s="32"/>
      <c r="V107" s="32"/>
      <c r="W107" s="32"/>
      <c r="X107" s="32"/>
      <c r="Y107" s="32"/>
      <c r="Z107" s="32"/>
      <c r="AA107" s="32"/>
      <c r="AB107" s="32"/>
      <c r="AC107" s="28">
        <f t="shared" si="10"/>
        <v>0</v>
      </c>
      <c r="AD107" s="33"/>
      <c r="AE107" s="33"/>
      <c r="AF107" s="33"/>
      <c r="AG107" s="33"/>
      <c r="AH107" s="33"/>
      <c r="AI107" s="33"/>
      <c r="AJ107" s="33"/>
      <c r="AK107" s="33"/>
      <c r="AL107" s="33"/>
      <c r="AM107" s="33"/>
      <c r="AN107" s="33"/>
      <c r="AO107" s="33"/>
      <c r="AP107" s="33"/>
      <c r="AQ107" s="33"/>
      <c r="AR107" s="33"/>
      <c r="AS107" s="33"/>
      <c r="AT107" s="34"/>
      <c r="AU107" s="1679"/>
      <c r="AV107" s="2256">
        <f t="shared" si="11"/>
        <v>0</v>
      </c>
      <c r="AW107" s="2256">
        <f t="shared" si="12"/>
        <v>0</v>
      </c>
      <c r="AX107" s="2256">
        <f t="shared" si="13"/>
        <v>0</v>
      </c>
      <c r="AY107" s="2781">
        <f t="shared" si="14"/>
        <v>0</v>
      </c>
      <c r="AZ107" s="28">
        <f t="shared" si="15"/>
        <v>0</v>
      </c>
      <c r="BA107" s="28">
        <f t="shared" si="16"/>
        <v>0</v>
      </c>
      <c r="BB107" s="28">
        <f t="shared" si="17"/>
        <v>0</v>
      </c>
      <c r="BC107" s="28">
        <f t="shared" si="18"/>
        <v>0</v>
      </c>
      <c r="BD107" s="3439">
        <f t="shared" si="19"/>
        <v>0</v>
      </c>
      <c r="BE107" s="3439">
        <f t="shared" si="20"/>
        <v>0</v>
      </c>
      <c r="BF107" s="3439">
        <f t="shared" si="21"/>
        <v>0</v>
      </c>
      <c r="BG107" s="3439">
        <f t="shared" si="22"/>
        <v>0</v>
      </c>
      <c r="BH107" s="3439">
        <f t="shared" si="23"/>
        <v>0</v>
      </c>
      <c r="BI107" s="3439">
        <f t="shared" si="24"/>
        <v>0</v>
      </c>
      <c r="BJ107" s="3439">
        <f t="shared" si="25"/>
        <v>0</v>
      </c>
      <c r="BK107" s="3439">
        <f t="shared" si="26"/>
        <v>0</v>
      </c>
      <c r="BL107" s="28">
        <f t="shared" si="27"/>
        <v>0</v>
      </c>
      <c r="BM107" s="28">
        <f t="shared" si="28"/>
        <v>0</v>
      </c>
      <c r="BN107" s="28">
        <f t="shared" si="29"/>
        <v>0</v>
      </c>
      <c r="BO107" s="28">
        <f t="shared" si="30"/>
        <v>0</v>
      </c>
      <c r="BP107" s="28">
        <f t="shared" si="31"/>
        <v>0</v>
      </c>
      <c r="BQ107" s="3439">
        <f t="shared" si="32"/>
        <v>0</v>
      </c>
      <c r="BR107" s="3439">
        <f t="shared" si="33"/>
        <v>0</v>
      </c>
      <c r="BS107" s="3439">
        <f t="shared" si="34"/>
        <v>0</v>
      </c>
      <c r="BT107" s="3451">
        <f t="shared" si="35"/>
        <v>0</v>
      </c>
    </row>
    <row r="108" spans="1:72">
      <c r="A108" s="9"/>
      <c r="B108" s="27"/>
      <c r="C108" s="27"/>
      <c r="D108" s="1678"/>
      <c r="E108" s="28">
        <f t="shared" si="7"/>
        <v>0</v>
      </c>
      <c r="F108" s="29"/>
      <c r="G108" s="30">
        <f t="shared" si="8"/>
        <v>0</v>
      </c>
      <c r="H108" s="31">
        <f t="shared" si="9"/>
        <v>0</v>
      </c>
      <c r="I108" s="32"/>
      <c r="J108" s="32"/>
      <c r="K108" s="32"/>
      <c r="L108" s="32"/>
      <c r="M108" s="32"/>
      <c r="N108" s="32"/>
      <c r="O108" s="32"/>
      <c r="P108" s="32"/>
      <c r="Q108" s="32"/>
      <c r="R108" s="32"/>
      <c r="S108" s="32"/>
      <c r="T108" s="32"/>
      <c r="U108" s="32"/>
      <c r="V108" s="32"/>
      <c r="W108" s="32"/>
      <c r="X108" s="32"/>
      <c r="Y108" s="32"/>
      <c r="Z108" s="32"/>
      <c r="AA108" s="32"/>
      <c r="AB108" s="32"/>
      <c r="AC108" s="28">
        <f t="shared" si="10"/>
        <v>0</v>
      </c>
      <c r="AD108" s="33"/>
      <c r="AE108" s="33"/>
      <c r="AF108" s="33"/>
      <c r="AG108" s="33"/>
      <c r="AH108" s="33"/>
      <c r="AI108" s="33"/>
      <c r="AJ108" s="33"/>
      <c r="AK108" s="33"/>
      <c r="AL108" s="33"/>
      <c r="AM108" s="33"/>
      <c r="AN108" s="33"/>
      <c r="AO108" s="33"/>
      <c r="AP108" s="33"/>
      <c r="AQ108" s="33"/>
      <c r="AR108" s="33"/>
      <c r="AS108" s="33"/>
      <c r="AT108" s="34"/>
      <c r="AU108" s="1679"/>
      <c r="AV108" s="2256">
        <f t="shared" si="11"/>
        <v>0</v>
      </c>
      <c r="AW108" s="2256">
        <f t="shared" si="12"/>
        <v>0</v>
      </c>
      <c r="AX108" s="2256">
        <f t="shared" si="13"/>
        <v>0</v>
      </c>
      <c r="AY108" s="2781">
        <f t="shared" si="14"/>
        <v>0</v>
      </c>
      <c r="AZ108" s="28">
        <f t="shared" si="15"/>
        <v>0</v>
      </c>
      <c r="BA108" s="28">
        <f t="shared" si="16"/>
        <v>0</v>
      </c>
      <c r="BB108" s="28">
        <f t="shared" si="17"/>
        <v>0</v>
      </c>
      <c r="BC108" s="28">
        <f t="shared" si="18"/>
        <v>0</v>
      </c>
      <c r="BD108" s="3439">
        <f t="shared" si="19"/>
        <v>0</v>
      </c>
      <c r="BE108" s="3439">
        <f t="shared" si="20"/>
        <v>0</v>
      </c>
      <c r="BF108" s="3439">
        <f t="shared" si="21"/>
        <v>0</v>
      </c>
      <c r="BG108" s="3439">
        <f t="shared" si="22"/>
        <v>0</v>
      </c>
      <c r="BH108" s="3439">
        <f t="shared" si="23"/>
        <v>0</v>
      </c>
      <c r="BI108" s="3439">
        <f t="shared" si="24"/>
        <v>0</v>
      </c>
      <c r="BJ108" s="3439">
        <f t="shared" si="25"/>
        <v>0</v>
      </c>
      <c r="BK108" s="3439">
        <f t="shared" si="26"/>
        <v>0</v>
      </c>
      <c r="BL108" s="28">
        <f t="shared" si="27"/>
        <v>0</v>
      </c>
      <c r="BM108" s="28">
        <f t="shared" si="28"/>
        <v>0</v>
      </c>
      <c r="BN108" s="28">
        <f t="shared" si="29"/>
        <v>0</v>
      </c>
      <c r="BO108" s="28">
        <f t="shared" si="30"/>
        <v>0</v>
      </c>
      <c r="BP108" s="28">
        <f t="shared" si="31"/>
        <v>0</v>
      </c>
      <c r="BQ108" s="3439">
        <f t="shared" si="32"/>
        <v>0</v>
      </c>
      <c r="BR108" s="3439">
        <f t="shared" si="33"/>
        <v>0</v>
      </c>
      <c r="BS108" s="3439">
        <f t="shared" si="34"/>
        <v>0</v>
      </c>
      <c r="BT108" s="3451">
        <f t="shared" si="35"/>
        <v>0</v>
      </c>
    </row>
    <row r="109" spans="1:72">
      <c r="A109" s="9"/>
      <c r="B109" s="27"/>
      <c r="C109" s="27"/>
      <c r="D109" s="1678"/>
      <c r="E109" s="28">
        <f t="shared" si="7"/>
        <v>0</v>
      </c>
      <c r="F109" s="29"/>
      <c r="G109" s="30">
        <f t="shared" si="8"/>
        <v>0</v>
      </c>
      <c r="H109" s="31">
        <f t="shared" si="9"/>
        <v>0</v>
      </c>
      <c r="I109" s="32"/>
      <c r="J109" s="32"/>
      <c r="K109" s="32"/>
      <c r="L109" s="32"/>
      <c r="M109" s="32"/>
      <c r="N109" s="32"/>
      <c r="O109" s="32"/>
      <c r="P109" s="32"/>
      <c r="Q109" s="32"/>
      <c r="R109" s="32"/>
      <c r="S109" s="32"/>
      <c r="T109" s="32"/>
      <c r="U109" s="32"/>
      <c r="V109" s="32"/>
      <c r="W109" s="32"/>
      <c r="X109" s="32"/>
      <c r="Y109" s="32"/>
      <c r="Z109" s="32"/>
      <c r="AA109" s="32"/>
      <c r="AB109" s="32"/>
      <c r="AC109" s="28">
        <f t="shared" si="10"/>
        <v>0</v>
      </c>
      <c r="AD109" s="33"/>
      <c r="AE109" s="33"/>
      <c r="AF109" s="33"/>
      <c r="AG109" s="33"/>
      <c r="AH109" s="33"/>
      <c r="AI109" s="33"/>
      <c r="AJ109" s="33"/>
      <c r="AK109" s="33"/>
      <c r="AL109" s="33"/>
      <c r="AM109" s="33"/>
      <c r="AN109" s="33"/>
      <c r="AO109" s="33"/>
      <c r="AP109" s="33"/>
      <c r="AQ109" s="33"/>
      <c r="AR109" s="33"/>
      <c r="AS109" s="33"/>
      <c r="AT109" s="34"/>
      <c r="AU109" s="1679"/>
      <c r="AV109" s="2256">
        <f t="shared" si="11"/>
        <v>0</v>
      </c>
      <c r="AW109" s="2256">
        <f t="shared" si="12"/>
        <v>0</v>
      </c>
      <c r="AX109" s="2256">
        <f t="shared" si="13"/>
        <v>0</v>
      </c>
      <c r="AY109" s="2781">
        <f t="shared" si="14"/>
        <v>0</v>
      </c>
      <c r="AZ109" s="28">
        <f t="shared" si="15"/>
        <v>0</v>
      </c>
      <c r="BA109" s="28">
        <f t="shared" si="16"/>
        <v>0</v>
      </c>
      <c r="BB109" s="28">
        <f t="shared" si="17"/>
        <v>0</v>
      </c>
      <c r="BC109" s="28">
        <f t="shared" si="18"/>
        <v>0</v>
      </c>
      <c r="BD109" s="3439">
        <f t="shared" si="19"/>
        <v>0</v>
      </c>
      <c r="BE109" s="3439">
        <f t="shared" si="20"/>
        <v>0</v>
      </c>
      <c r="BF109" s="3439">
        <f t="shared" si="21"/>
        <v>0</v>
      </c>
      <c r="BG109" s="3439">
        <f t="shared" si="22"/>
        <v>0</v>
      </c>
      <c r="BH109" s="3439">
        <f t="shared" si="23"/>
        <v>0</v>
      </c>
      <c r="BI109" s="3439">
        <f t="shared" si="24"/>
        <v>0</v>
      </c>
      <c r="BJ109" s="3439">
        <f t="shared" si="25"/>
        <v>0</v>
      </c>
      <c r="BK109" s="3439">
        <f t="shared" si="26"/>
        <v>0</v>
      </c>
      <c r="BL109" s="28">
        <f t="shared" si="27"/>
        <v>0</v>
      </c>
      <c r="BM109" s="28">
        <f t="shared" si="28"/>
        <v>0</v>
      </c>
      <c r="BN109" s="28">
        <f t="shared" si="29"/>
        <v>0</v>
      </c>
      <c r="BO109" s="28">
        <f t="shared" si="30"/>
        <v>0</v>
      </c>
      <c r="BP109" s="28">
        <f t="shared" si="31"/>
        <v>0</v>
      </c>
      <c r="BQ109" s="3439">
        <f t="shared" si="32"/>
        <v>0</v>
      </c>
      <c r="BR109" s="3439">
        <f t="shared" si="33"/>
        <v>0</v>
      </c>
      <c r="BS109" s="3439">
        <f t="shared" si="34"/>
        <v>0</v>
      </c>
      <c r="BT109" s="3451">
        <f t="shared" si="35"/>
        <v>0</v>
      </c>
    </row>
    <row r="110" spans="1:72">
      <c r="A110" s="9"/>
      <c r="B110" s="9"/>
      <c r="C110" s="9"/>
      <c r="D110" s="1678"/>
      <c r="E110" s="28">
        <f t="shared" si="7"/>
        <v>0</v>
      </c>
      <c r="F110" s="37"/>
      <c r="G110" s="30">
        <f t="shared" ref="G110:G141" si="36">H110+AC110+AT110</f>
        <v>0</v>
      </c>
      <c r="H110" s="31">
        <f t="shared" ref="H110:H141" si="37">SUMIF(I$12:AB$12,"总值",I110:AB110)</f>
        <v>0</v>
      </c>
      <c r="I110" s="10"/>
      <c r="J110" s="10"/>
      <c r="K110" s="32"/>
      <c r="L110" s="32"/>
      <c r="M110" s="32"/>
      <c r="N110" s="32"/>
      <c r="O110" s="32"/>
      <c r="P110" s="32"/>
      <c r="Q110" s="32"/>
      <c r="R110" s="32"/>
      <c r="S110" s="32"/>
      <c r="T110" s="32"/>
      <c r="U110" s="32"/>
      <c r="V110" s="32"/>
      <c r="W110" s="32"/>
      <c r="X110" s="32"/>
      <c r="Y110" s="32"/>
      <c r="Z110" s="32"/>
      <c r="AA110" s="32"/>
      <c r="AB110" s="32"/>
      <c r="AC110" s="28">
        <f t="shared" ref="AC110:AC141" si="38">SUMIF(AD$12:AS$12,"总值",AD110:AS110)</f>
        <v>0</v>
      </c>
      <c r="AD110" s="33"/>
      <c r="AE110" s="33"/>
      <c r="AF110" s="33"/>
      <c r="AG110" s="33"/>
      <c r="AH110" s="33"/>
      <c r="AI110" s="33"/>
      <c r="AJ110" s="33"/>
      <c r="AK110" s="33"/>
      <c r="AL110" s="33"/>
      <c r="AM110" s="33"/>
      <c r="AN110" s="33"/>
      <c r="AO110" s="33"/>
      <c r="AP110" s="33"/>
      <c r="AQ110" s="33"/>
      <c r="AR110" s="33"/>
      <c r="AS110" s="33"/>
      <c r="AT110" s="33"/>
      <c r="AU110" s="1626"/>
      <c r="AV110" s="2256">
        <f t="shared" si="11"/>
        <v>0</v>
      </c>
      <c r="AW110" s="2256">
        <f t="shared" si="12"/>
        <v>0</v>
      </c>
      <c r="AX110" s="2256">
        <f t="shared" si="13"/>
        <v>0</v>
      </c>
      <c r="AY110" s="2781">
        <f t="shared" ref="AY110:AY141" si="39">ROUND($AY$6*AZ110/$AZ$5,2)</f>
        <v>0</v>
      </c>
      <c r="AZ110" s="28">
        <f t="shared" ref="AZ110:AZ141" si="40">BA110+BL110</f>
        <v>0</v>
      </c>
      <c r="BA110" s="28">
        <f t="shared" ref="BA110:BA141" si="41">SUM(BB110:BK110)</f>
        <v>0</v>
      </c>
      <c r="BB110" s="28">
        <f t="shared" ref="BB110:BB141" si="42">IF($D110="是",I110-J110,0)</f>
        <v>0</v>
      </c>
      <c r="BC110" s="28">
        <f t="shared" ref="BC110:BC141" si="43">IF($D110="是",K110-L110,0)</f>
        <v>0</v>
      </c>
      <c r="BD110" s="3439">
        <f t="shared" ref="BD110:BD141" si="44">IF($D110="是",M110-N110,0)</f>
        <v>0</v>
      </c>
      <c r="BE110" s="3439">
        <f t="shared" ref="BE110:BE141" si="45">IF($D110="是",O110-P110,0)</f>
        <v>0</v>
      </c>
      <c r="BF110" s="3439">
        <f t="shared" ref="BF110:BF141" si="46">IF($D110="是",Q110-R110,0)</f>
        <v>0</v>
      </c>
      <c r="BG110" s="3439">
        <f t="shared" ref="BG110:BG141" si="47">IF($D110="是",S110-T110,0)</f>
        <v>0</v>
      </c>
      <c r="BH110" s="3439">
        <f t="shared" ref="BH110:BH141" si="48">IF($D110="是",U110-V110,0)</f>
        <v>0</v>
      </c>
      <c r="BI110" s="3439">
        <f t="shared" ref="BI110:BI141" si="49">IF($D110="是",W110-X110,0)</f>
        <v>0</v>
      </c>
      <c r="BJ110" s="3439">
        <f t="shared" ref="BJ110:BJ141" si="50">IF($D110="是",Y110-Z110,0)</f>
        <v>0</v>
      </c>
      <c r="BK110" s="3439">
        <f t="shared" ref="BK110:BK141" si="51">IF($D110="是",AA110-AB110,0)</f>
        <v>0</v>
      </c>
      <c r="BL110" s="28">
        <f t="shared" ref="BL110:BL141" si="52">SUM(BM110:BT110)</f>
        <v>0</v>
      </c>
      <c r="BM110" s="28">
        <f t="shared" ref="BM110:BM141" si="53">IF($D110="是",AD110-AE110,0)</f>
        <v>0</v>
      </c>
      <c r="BN110" s="28">
        <f t="shared" ref="BN110:BN141" si="54">IF($D110="是",AF110-AG110,0)</f>
        <v>0</v>
      </c>
      <c r="BO110" s="28">
        <f t="shared" ref="BO110:BO141" si="55">IF($D110="是",AH110-AI110,0)</f>
        <v>0</v>
      </c>
      <c r="BP110" s="28">
        <f t="shared" ref="BP110:BP141" si="56">IF($D110="是",AJ110-AK110,0)</f>
        <v>0</v>
      </c>
      <c r="BQ110" s="3439">
        <f t="shared" ref="BQ110:BQ141" si="57">IF($D110="是",AL110-AM110,0)</f>
        <v>0</v>
      </c>
      <c r="BR110" s="3439">
        <f t="shared" ref="BR110:BR141" si="58">IF($D110="是",AN110-AO110,0)</f>
        <v>0</v>
      </c>
      <c r="BS110" s="3439">
        <f t="shared" ref="BS110:BS141" si="59">IF($D110="是",AP110-AQ110,0)</f>
        <v>0</v>
      </c>
      <c r="BT110" s="3451">
        <f t="shared" ref="BT110:BT141" si="60">IF($D110="是",AR110-AS110,0)</f>
        <v>0</v>
      </c>
    </row>
    <row r="111" spans="1:72">
      <c r="A111" s="9"/>
      <c r="B111" s="9"/>
      <c r="C111" s="9"/>
      <c r="D111" s="1678"/>
      <c r="E111" s="28">
        <f t="shared" si="7"/>
        <v>0</v>
      </c>
      <c r="F111" s="37"/>
      <c r="G111" s="30">
        <f t="shared" si="36"/>
        <v>0</v>
      </c>
      <c r="H111" s="31">
        <f t="shared" si="37"/>
        <v>0</v>
      </c>
      <c r="I111" s="32"/>
      <c r="J111" s="32"/>
      <c r="K111" s="32"/>
      <c r="L111" s="32"/>
      <c r="M111" s="32"/>
      <c r="N111" s="32"/>
      <c r="O111" s="32"/>
      <c r="P111" s="32"/>
      <c r="Q111" s="32"/>
      <c r="R111" s="32"/>
      <c r="S111" s="32"/>
      <c r="T111" s="32"/>
      <c r="U111" s="32"/>
      <c r="V111" s="32"/>
      <c r="W111" s="32"/>
      <c r="X111" s="32"/>
      <c r="Y111" s="32"/>
      <c r="Z111" s="32"/>
      <c r="AA111" s="32"/>
      <c r="AB111" s="32"/>
      <c r="AC111" s="28">
        <f t="shared" si="38"/>
        <v>0</v>
      </c>
      <c r="AD111" s="33"/>
      <c r="AE111" s="33"/>
      <c r="AF111" s="33"/>
      <c r="AG111" s="33"/>
      <c r="AH111" s="33"/>
      <c r="AI111" s="33"/>
      <c r="AJ111" s="33"/>
      <c r="AK111" s="33"/>
      <c r="AL111" s="33"/>
      <c r="AM111" s="33"/>
      <c r="AN111" s="33"/>
      <c r="AO111" s="33"/>
      <c r="AP111" s="33"/>
      <c r="AQ111" s="33"/>
      <c r="AR111" s="33"/>
      <c r="AS111" s="33"/>
      <c r="AT111" s="33"/>
      <c r="AU111" s="1626"/>
      <c r="AV111" s="2256">
        <f t="shared" si="11"/>
        <v>0</v>
      </c>
      <c r="AW111" s="2256">
        <f t="shared" si="12"/>
        <v>0</v>
      </c>
      <c r="AX111" s="2256">
        <f t="shared" si="13"/>
        <v>0</v>
      </c>
      <c r="AY111" s="2781">
        <f t="shared" si="39"/>
        <v>0</v>
      </c>
      <c r="AZ111" s="28">
        <f t="shared" si="40"/>
        <v>0</v>
      </c>
      <c r="BA111" s="28">
        <f t="shared" si="41"/>
        <v>0</v>
      </c>
      <c r="BB111" s="28">
        <f t="shared" si="42"/>
        <v>0</v>
      </c>
      <c r="BC111" s="28">
        <f t="shared" si="43"/>
        <v>0</v>
      </c>
      <c r="BD111" s="3439">
        <f t="shared" si="44"/>
        <v>0</v>
      </c>
      <c r="BE111" s="3439">
        <f t="shared" si="45"/>
        <v>0</v>
      </c>
      <c r="BF111" s="3439">
        <f t="shared" si="46"/>
        <v>0</v>
      </c>
      <c r="BG111" s="3439">
        <f t="shared" si="47"/>
        <v>0</v>
      </c>
      <c r="BH111" s="3439">
        <f t="shared" si="48"/>
        <v>0</v>
      </c>
      <c r="BI111" s="3439">
        <f t="shared" si="49"/>
        <v>0</v>
      </c>
      <c r="BJ111" s="3439">
        <f t="shared" si="50"/>
        <v>0</v>
      </c>
      <c r="BK111" s="3439">
        <f t="shared" si="51"/>
        <v>0</v>
      </c>
      <c r="BL111" s="28">
        <f t="shared" si="52"/>
        <v>0</v>
      </c>
      <c r="BM111" s="28">
        <f t="shared" si="53"/>
        <v>0</v>
      </c>
      <c r="BN111" s="28">
        <f t="shared" si="54"/>
        <v>0</v>
      </c>
      <c r="BO111" s="28">
        <f t="shared" si="55"/>
        <v>0</v>
      </c>
      <c r="BP111" s="28">
        <f t="shared" si="56"/>
        <v>0</v>
      </c>
      <c r="BQ111" s="3439">
        <f t="shared" si="57"/>
        <v>0</v>
      </c>
      <c r="BR111" s="3439">
        <f t="shared" si="58"/>
        <v>0</v>
      </c>
      <c r="BS111" s="3439">
        <f t="shared" si="59"/>
        <v>0</v>
      </c>
      <c r="BT111" s="3451">
        <f t="shared" si="60"/>
        <v>0</v>
      </c>
    </row>
    <row r="112" spans="1:72">
      <c r="A112" s="9"/>
      <c r="B112" s="9"/>
      <c r="C112" s="9"/>
      <c r="D112" s="1678"/>
      <c r="E112" s="28">
        <f t="shared" si="7"/>
        <v>0</v>
      </c>
      <c r="F112" s="37"/>
      <c r="G112" s="30">
        <f t="shared" si="36"/>
        <v>0</v>
      </c>
      <c r="H112" s="31">
        <f t="shared" si="37"/>
        <v>0</v>
      </c>
      <c r="I112" s="32"/>
      <c r="J112" s="32"/>
      <c r="K112" s="32"/>
      <c r="L112" s="32"/>
      <c r="M112" s="32"/>
      <c r="N112" s="32"/>
      <c r="O112" s="32"/>
      <c r="P112" s="32"/>
      <c r="Q112" s="32"/>
      <c r="R112" s="32"/>
      <c r="S112" s="32"/>
      <c r="T112" s="32"/>
      <c r="U112" s="32"/>
      <c r="V112" s="32"/>
      <c r="W112" s="32"/>
      <c r="X112" s="32"/>
      <c r="Y112" s="32"/>
      <c r="Z112" s="32"/>
      <c r="AA112" s="32"/>
      <c r="AB112" s="32"/>
      <c r="AC112" s="28">
        <f t="shared" si="38"/>
        <v>0</v>
      </c>
      <c r="AD112" s="33"/>
      <c r="AE112" s="33"/>
      <c r="AF112" s="33"/>
      <c r="AG112" s="33"/>
      <c r="AH112" s="33"/>
      <c r="AI112" s="33"/>
      <c r="AJ112" s="33"/>
      <c r="AK112" s="33"/>
      <c r="AL112" s="33"/>
      <c r="AM112" s="33"/>
      <c r="AN112" s="33"/>
      <c r="AO112" s="33"/>
      <c r="AP112" s="33"/>
      <c r="AQ112" s="33"/>
      <c r="AR112" s="33"/>
      <c r="AS112" s="33"/>
      <c r="AT112" s="33"/>
      <c r="AU112" s="1626"/>
      <c r="AV112" s="2256">
        <f t="shared" si="11"/>
        <v>0</v>
      </c>
      <c r="AW112" s="2256">
        <f t="shared" si="12"/>
        <v>0</v>
      </c>
      <c r="AX112" s="2256">
        <f t="shared" si="13"/>
        <v>0</v>
      </c>
      <c r="AY112" s="2781">
        <f t="shared" si="39"/>
        <v>0</v>
      </c>
      <c r="AZ112" s="28">
        <f t="shared" si="40"/>
        <v>0</v>
      </c>
      <c r="BA112" s="28">
        <f t="shared" si="41"/>
        <v>0</v>
      </c>
      <c r="BB112" s="28">
        <f t="shared" si="42"/>
        <v>0</v>
      </c>
      <c r="BC112" s="28">
        <f t="shared" si="43"/>
        <v>0</v>
      </c>
      <c r="BD112" s="3439">
        <f t="shared" si="44"/>
        <v>0</v>
      </c>
      <c r="BE112" s="3439">
        <f t="shared" si="45"/>
        <v>0</v>
      </c>
      <c r="BF112" s="3439">
        <f t="shared" si="46"/>
        <v>0</v>
      </c>
      <c r="BG112" s="3439">
        <f t="shared" si="47"/>
        <v>0</v>
      </c>
      <c r="BH112" s="3439">
        <f t="shared" si="48"/>
        <v>0</v>
      </c>
      <c r="BI112" s="3439">
        <f t="shared" si="49"/>
        <v>0</v>
      </c>
      <c r="BJ112" s="3439">
        <f t="shared" si="50"/>
        <v>0</v>
      </c>
      <c r="BK112" s="3439">
        <f t="shared" si="51"/>
        <v>0</v>
      </c>
      <c r="BL112" s="28">
        <f t="shared" si="52"/>
        <v>0</v>
      </c>
      <c r="BM112" s="28">
        <f t="shared" si="53"/>
        <v>0</v>
      </c>
      <c r="BN112" s="28">
        <f t="shared" si="54"/>
        <v>0</v>
      </c>
      <c r="BO112" s="28">
        <f t="shared" si="55"/>
        <v>0</v>
      </c>
      <c r="BP112" s="28">
        <f t="shared" si="56"/>
        <v>0</v>
      </c>
      <c r="BQ112" s="3439">
        <f t="shared" si="57"/>
        <v>0</v>
      </c>
      <c r="BR112" s="3439">
        <f t="shared" si="58"/>
        <v>0</v>
      </c>
      <c r="BS112" s="3439">
        <f t="shared" si="59"/>
        <v>0</v>
      </c>
      <c r="BT112" s="3451">
        <f t="shared" si="60"/>
        <v>0</v>
      </c>
    </row>
    <row r="113" spans="1:72">
      <c r="A113" s="9"/>
      <c r="B113" s="27"/>
      <c r="C113" s="27"/>
      <c r="D113" s="1678"/>
      <c r="E113" s="28">
        <f t="shared" ref="E113:E144" si="61">IF($C$3="是",ROUND($A$3*G113/$B$3,2),ROUND($A$3*(G113-AT113)/$B$3,2))</f>
        <v>0</v>
      </c>
      <c r="F113" s="29"/>
      <c r="G113" s="30">
        <f t="shared" si="36"/>
        <v>0</v>
      </c>
      <c r="H113" s="31">
        <f t="shared" si="37"/>
        <v>0</v>
      </c>
      <c r="I113" s="32"/>
      <c r="J113" s="32"/>
      <c r="K113" s="32"/>
      <c r="L113" s="32"/>
      <c r="M113" s="32"/>
      <c r="N113" s="32"/>
      <c r="O113" s="32"/>
      <c r="P113" s="32"/>
      <c r="Q113" s="32"/>
      <c r="R113" s="32"/>
      <c r="S113" s="32"/>
      <c r="T113" s="32"/>
      <c r="U113" s="32"/>
      <c r="V113" s="32"/>
      <c r="W113" s="32"/>
      <c r="X113" s="32"/>
      <c r="Y113" s="32"/>
      <c r="Z113" s="32"/>
      <c r="AA113" s="32"/>
      <c r="AB113" s="32"/>
      <c r="AC113" s="28">
        <f t="shared" si="38"/>
        <v>0</v>
      </c>
      <c r="AD113" s="33"/>
      <c r="AE113" s="33"/>
      <c r="AF113" s="33"/>
      <c r="AG113" s="33"/>
      <c r="AH113" s="33"/>
      <c r="AI113" s="33"/>
      <c r="AJ113" s="33"/>
      <c r="AK113" s="33"/>
      <c r="AL113" s="33"/>
      <c r="AM113" s="33"/>
      <c r="AN113" s="33"/>
      <c r="AO113" s="33"/>
      <c r="AP113" s="33"/>
      <c r="AQ113" s="33"/>
      <c r="AR113" s="33"/>
      <c r="AS113" s="33"/>
      <c r="AT113" s="34"/>
      <c r="AU113" s="1679"/>
      <c r="AV113" s="2256">
        <f t="shared" ref="AV113:AV144" si="62">A113</f>
        <v>0</v>
      </c>
      <c r="AW113" s="2256">
        <f t="shared" ref="AW113:AW144" si="63">B113</f>
        <v>0</v>
      </c>
      <c r="AX113" s="2256">
        <f t="shared" ref="AX113:AX144" si="64">C113</f>
        <v>0</v>
      </c>
      <c r="AY113" s="2781">
        <f t="shared" si="39"/>
        <v>0</v>
      </c>
      <c r="AZ113" s="28">
        <f t="shared" si="40"/>
        <v>0</v>
      </c>
      <c r="BA113" s="28">
        <f t="shared" si="41"/>
        <v>0</v>
      </c>
      <c r="BB113" s="28">
        <f t="shared" si="42"/>
        <v>0</v>
      </c>
      <c r="BC113" s="28">
        <f t="shared" si="43"/>
        <v>0</v>
      </c>
      <c r="BD113" s="3439">
        <f t="shared" si="44"/>
        <v>0</v>
      </c>
      <c r="BE113" s="3439">
        <f t="shared" si="45"/>
        <v>0</v>
      </c>
      <c r="BF113" s="3439">
        <f t="shared" si="46"/>
        <v>0</v>
      </c>
      <c r="BG113" s="3439">
        <f t="shared" si="47"/>
        <v>0</v>
      </c>
      <c r="BH113" s="3439">
        <f t="shared" si="48"/>
        <v>0</v>
      </c>
      <c r="BI113" s="3439">
        <f t="shared" si="49"/>
        <v>0</v>
      </c>
      <c r="BJ113" s="3439">
        <f t="shared" si="50"/>
        <v>0</v>
      </c>
      <c r="BK113" s="3439">
        <f t="shared" si="51"/>
        <v>0</v>
      </c>
      <c r="BL113" s="28">
        <f t="shared" si="52"/>
        <v>0</v>
      </c>
      <c r="BM113" s="28">
        <f t="shared" si="53"/>
        <v>0</v>
      </c>
      <c r="BN113" s="28">
        <f t="shared" si="54"/>
        <v>0</v>
      </c>
      <c r="BO113" s="28">
        <f t="shared" si="55"/>
        <v>0</v>
      </c>
      <c r="BP113" s="28">
        <f t="shared" si="56"/>
        <v>0</v>
      </c>
      <c r="BQ113" s="3439">
        <f t="shared" si="57"/>
        <v>0</v>
      </c>
      <c r="BR113" s="3439">
        <f t="shared" si="58"/>
        <v>0</v>
      </c>
      <c r="BS113" s="3439">
        <f t="shared" si="59"/>
        <v>0</v>
      </c>
      <c r="BT113" s="3451">
        <f t="shared" si="60"/>
        <v>0</v>
      </c>
    </row>
    <row r="114" spans="1:72">
      <c r="A114" s="9"/>
      <c r="B114" s="27"/>
      <c r="C114" s="27"/>
      <c r="D114" s="1678"/>
      <c r="E114" s="28">
        <f t="shared" si="61"/>
        <v>0</v>
      </c>
      <c r="F114" s="29"/>
      <c r="G114" s="30">
        <f t="shared" si="36"/>
        <v>0</v>
      </c>
      <c r="H114" s="31">
        <f t="shared" si="37"/>
        <v>0</v>
      </c>
      <c r="I114" s="32"/>
      <c r="J114" s="32"/>
      <c r="K114" s="32"/>
      <c r="L114" s="32"/>
      <c r="M114" s="32"/>
      <c r="N114" s="32"/>
      <c r="O114" s="32"/>
      <c r="P114" s="32"/>
      <c r="Q114" s="32"/>
      <c r="R114" s="32"/>
      <c r="S114" s="32"/>
      <c r="T114" s="32"/>
      <c r="U114" s="32"/>
      <c r="V114" s="32"/>
      <c r="W114" s="32"/>
      <c r="X114" s="32"/>
      <c r="Y114" s="32"/>
      <c r="Z114" s="32"/>
      <c r="AA114" s="32"/>
      <c r="AB114" s="32"/>
      <c r="AC114" s="28">
        <f t="shared" si="38"/>
        <v>0</v>
      </c>
      <c r="AD114" s="33"/>
      <c r="AE114" s="33"/>
      <c r="AF114" s="33"/>
      <c r="AG114" s="33"/>
      <c r="AH114" s="33"/>
      <c r="AI114" s="33"/>
      <c r="AJ114" s="33"/>
      <c r="AK114" s="33"/>
      <c r="AL114" s="33"/>
      <c r="AM114" s="33"/>
      <c r="AN114" s="33"/>
      <c r="AO114" s="33"/>
      <c r="AP114" s="33"/>
      <c r="AQ114" s="33"/>
      <c r="AR114" s="33"/>
      <c r="AS114" s="33"/>
      <c r="AT114" s="34"/>
      <c r="AU114" s="1679"/>
      <c r="AV114" s="2256">
        <f t="shared" si="62"/>
        <v>0</v>
      </c>
      <c r="AW114" s="2256">
        <f t="shared" si="63"/>
        <v>0</v>
      </c>
      <c r="AX114" s="2256">
        <f t="shared" si="64"/>
        <v>0</v>
      </c>
      <c r="AY114" s="2781">
        <f t="shared" si="39"/>
        <v>0</v>
      </c>
      <c r="AZ114" s="28">
        <f t="shared" si="40"/>
        <v>0</v>
      </c>
      <c r="BA114" s="28">
        <f t="shared" si="41"/>
        <v>0</v>
      </c>
      <c r="BB114" s="28">
        <f t="shared" si="42"/>
        <v>0</v>
      </c>
      <c r="BC114" s="28">
        <f t="shared" si="43"/>
        <v>0</v>
      </c>
      <c r="BD114" s="3439">
        <f t="shared" si="44"/>
        <v>0</v>
      </c>
      <c r="BE114" s="3439">
        <f t="shared" si="45"/>
        <v>0</v>
      </c>
      <c r="BF114" s="3439">
        <f t="shared" si="46"/>
        <v>0</v>
      </c>
      <c r="BG114" s="3439">
        <f t="shared" si="47"/>
        <v>0</v>
      </c>
      <c r="BH114" s="3439">
        <f t="shared" si="48"/>
        <v>0</v>
      </c>
      <c r="BI114" s="3439">
        <f t="shared" si="49"/>
        <v>0</v>
      </c>
      <c r="BJ114" s="3439">
        <f t="shared" si="50"/>
        <v>0</v>
      </c>
      <c r="BK114" s="3439">
        <f t="shared" si="51"/>
        <v>0</v>
      </c>
      <c r="BL114" s="28">
        <f t="shared" si="52"/>
        <v>0</v>
      </c>
      <c r="BM114" s="28">
        <f t="shared" si="53"/>
        <v>0</v>
      </c>
      <c r="BN114" s="28">
        <f t="shared" si="54"/>
        <v>0</v>
      </c>
      <c r="BO114" s="28">
        <f t="shared" si="55"/>
        <v>0</v>
      </c>
      <c r="BP114" s="28">
        <f t="shared" si="56"/>
        <v>0</v>
      </c>
      <c r="BQ114" s="3439">
        <f t="shared" si="57"/>
        <v>0</v>
      </c>
      <c r="BR114" s="3439">
        <f t="shared" si="58"/>
        <v>0</v>
      </c>
      <c r="BS114" s="3439">
        <f t="shared" si="59"/>
        <v>0</v>
      </c>
      <c r="BT114" s="3451">
        <f t="shared" si="60"/>
        <v>0</v>
      </c>
    </row>
    <row r="115" spans="1:72">
      <c r="A115" s="9"/>
      <c r="B115" s="27"/>
      <c r="C115" s="27"/>
      <c r="D115" s="1678"/>
      <c r="E115" s="28">
        <f t="shared" si="61"/>
        <v>0</v>
      </c>
      <c r="F115" s="29"/>
      <c r="G115" s="30">
        <f t="shared" si="36"/>
        <v>0</v>
      </c>
      <c r="H115" s="31">
        <f t="shared" si="37"/>
        <v>0</v>
      </c>
      <c r="I115" s="32"/>
      <c r="J115" s="32"/>
      <c r="K115" s="32"/>
      <c r="L115" s="32"/>
      <c r="M115" s="32"/>
      <c r="N115" s="32"/>
      <c r="O115" s="32"/>
      <c r="P115" s="32"/>
      <c r="Q115" s="32"/>
      <c r="R115" s="32"/>
      <c r="S115" s="32"/>
      <c r="T115" s="32"/>
      <c r="U115" s="32"/>
      <c r="V115" s="32"/>
      <c r="W115" s="32"/>
      <c r="X115" s="32"/>
      <c r="Y115" s="32"/>
      <c r="Z115" s="32"/>
      <c r="AA115" s="32"/>
      <c r="AB115" s="32"/>
      <c r="AC115" s="28">
        <f t="shared" si="38"/>
        <v>0</v>
      </c>
      <c r="AD115" s="33"/>
      <c r="AE115" s="33"/>
      <c r="AF115" s="33"/>
      <c r="AG115" s="33"/>
      <c r="AH115" s="33"/>
      <c r="AI115" s="33"/>
      <c r="AJ115" s="33"/>
      <c r="AK115" s="33"/>
      <c r="AL115" s="33"/>
      <c r="AM115" s="33"/>
      <c r="AN115" s="33"/>
      <c r="AO115" s="33"/>
      <c r="AP115" s="33"/>
      <c r="AQ115" s="33"/>
      <c r="AR115" s="33"/>
      <c r="AS115" s="33"/>
      <c r="AT115" s="34"/>
      <c r="AU115" s="1679"/>
      <c r="AV115" s="2256">
        <f t="shared" si="62"/>
        <v>0</v>
      </c>
      <c r="AW115" s="2256">
        <f t="shared" si="63"/>
        <v>0</v>
      </c>
      <c r="AX115" s="2256">
        <f t="shared" si="64"/>
        <v>0</v>
      </c>
      <c r="AY115" s="2781">
        <f t="shared" si="39"/>
        <v>0</v>
      </c>
      <c r="AZ115" s="28">
        <f t="shared" si="40"/>
        <v>0</v>
      </c>
      <c r="BA115" s="28">
        <f t="shared" si="41"/>
        <v>0</v>
      </c>
      <c r="BB115" s="28">
        <f t="shared" si="42"/>
        <v>0</v>
      </c>
      <c r="BC115" s="28">
        <f t="shared" si="43"/>
        <v>0</v>
      </c>
      <c r="BD115" s="3439">
        <f t="shared" si="44"/>
        <v>0</v>
      </c>
      <c r="BE115" s="3439">
        <f t="shared" si="45"/>
        <v>0</v>
      </c>
      <c r="BF115" s="3439">
        <f t="shared" si="46"/>
        <v>0</v>
      </c>
      <c r="BG115" s="3439">
        <f t="shared" si="47"/>
        <v>0</v>
      </c>
      <c r="BH115" s="3439">
        <f t="shared" si="48"/>
        <v>0</v>
      </c>
      <c r="BI115" s="3439">
        <f t="shared" si="49"/>
        <v>0</v>
      </c>
      <c r="BJ115" s="3439">
        <f t="shared" si="50"/>
        <v>0</v>
      </c>
      <c r="BK115" s="3439">
        <f t="shared" si="51"/>
        <v>0</v>
      </c>
      <c r="BL115" s="28">
        <f t="shared" si="52"/>
        <v>0</v>
      </c>
      <c r="BM115" s="28">
        <f t="shared" si="53"/>
        <v>0</v>
      </c>
      <c r="BN115" s="28">
        <f t="shared" si="54"/>
        <v>0</v>
      </c>
      <c r="BO115" s="28">
        <f t="shared" si="55"/>
        <v>0</v>
      </c>
      <c r="BP115" s="28">
        <f t="shared" si="56"/>
        <v>0</v>
      </c>
      <c r="BQ115" s="3439">
        <f t="shared" si="57"/>
        <v>0</v>
      </c>
      <c r="BR115" s="3439">
        <f t="shared" si="58"/>
        <v>0</v>
      </c>
      <c r="BS115" s="3439">
        <f t="shared" si="59"/>
        <v>0</v>
      </c>
      <c r="BT115" s="3451">
        <f t="shared" si="60"/>
        <v>0</v>
      </c>
    </row>
    <row r="116" spans="1:72">
      <c r="A116" s="9"/>
      <c r="B116" s="27"/>
      <c r="C116" s="27"/>
      <c r="D116" s="1678"/>
      <c r="E116" s="28">
        <f t="shared" si="61"/>
        <v>0</v>
      </c>
      <c r="F116" s="29"/>
      <c r="G116" s="30">
        <f t="shared" si="36"/>
        <v>0</v>
      </c>
      <c r="H116" s="31">
        <f t="shared" si="37"/>
        <v>0</v>
      </c>
      <c r="I116" s="32"/>
      <c r="J116" s="32"/>
      <c r="K116" s="32"/>
      <c r="L116" s="32"/>
      <c r="M116" s="32"/>
      <c r="N116" s="32"/>
      <c r="O116" s="32"/>
      <c r="P116" s="32"/>
      <c r="Q116" s="32"/>
      <c r="R116" s="32"/>
      <c r="S116" s="32"/>
      <c r="T116" s="32"/>
      <c r="U116" s="32"/>
      <c r="V116" s="32"/>
      <c r="W116" s="32"/>
      <c r="X116" s="32"/>
      <c r="Y116" s="32"/>
      <c r="Z116" s="32"/>
      <c r="AA116" s="32"/>
      <c r="AB116" s="32"/>
      <c r="AC116" s="28">
        <f t="shared" si="38"/>
        <v>0</v>
      </c>
      <c r="AD116" s="33"/>
      <c r="AE116" s="33"/>
      <c r="AF116" s="33"/>
      <c r="AG116" s="33"/>
      <c r="AH116" s="33"/>
      <c r="AI116" s="33"/>
      <c r="AJ116" s="33"/>
      <c r="AK116" s="33"/>
      <c r="AL116" s="33"/>
      <c r="AM116" s="33"/>
      <c r="AN116" s="33"/>
      <c r="AO116" s="33"/>
      <c r="AP116" s="33"/>
      <c r="AQ116" s="33"/>
      <c r="AR116" s="33"/>
      <c r="AS116" s="33"/>
      <c r="AT116" s="34"/>
      <c r="AU116" s="1679"/>
      <c r="AV116" s="2256">
        <f t="shared" si="62"/>
        <v>0</v>
      </c>
      <c r="AW116" s="2256">
        <f t="shared" si="63"/>
        <v>0</v>
      </c>
      <c r="AX116" s="2256">
        <f t="shared" si="64"/>
        <v>0</v>
      </c>
      <c r="AY116" s="2781">
        <f t="shared" si="39"/>
        <v>0</v>
      </c>
      <c r="AZ116" s="28">
        <f t="shared" si="40"/>
        <v>0</v>
      </c>
      <c r="BA116" s="28">
        <f t="shared" si="41"/>
        <v>0</v>
      </c>
      <c r="BB116" s="28">
        <f t="shared" si="42"/>
        <v>0</v>
      </c>
      <c r="BC116" s="28">
        <f t="shared" si="43"/>
        <v>0</v>
      </c>
      <c r="BD116" s="3439">
        <f t="shared" si="44"/>
        <v>0</v>
      </c>
      <c r="BE116" s="3439">
        <f t="shared" si="45"/>
        <v>0</v>
      </c>
      <c r="BF116" s="3439">
        <f t="shared" si="46"/>
        <v>0</v>
      </c>
      <c r="BG116" s="3439">
        <f t="shared" si="47"/>
        <v>0</v>
      </c>
      <c r="BH116" s="3439">
        <f t="shared" si="48"/>
        <v>0</v>
      </c>
      <c r="BI116" s="3439">
        <f t="shared" si="49"/>
        <v>0</v>
      </c>
      <c r="BJ116" s="3439">
        <f t="shared" si="50"/>
        <v>0</v>
      </c>
      <c r="BK116" s="3439">
        <f t="shared" si="51"/>
        <v>0</v>
      </c>
      <c r="BL116" s="28">
        <f t="shared" si="52"/>
        <v>0</v>
      </c>
      <c r="BM116" s="28">
        <f t="shared" si="53"/>
        <v>0</v>
      </c>
      <c r="BN116" s="28">
        <f t="shared" si="54"/>
        <v>0</v>
      </c>
      <c r="BO116" s="28">
        <f t="shared" si="55"/>
        <v>0</v>
      </c>
      <c r="BP116" s="28">
        <f t="shared" si="56"/>
        <v>0</v>
      </c>
      <c r="BQ116" s="3439">
        <f t="shared" si="57"/>
        <v>0</v>
      </c>
      <c r="BR116" s="3439">
        <f t="shared" si="58"/>
        <v>0</v>
      </c>
      <c r="BS116" s="3439">
        <f t="shared" si="59"/>
        <v>0</v>
      </c>
      <c r="BT116" s="3451">
        <f t="shared" si="60"/>
        <v>0</v>
      </c>
    </row>
    <row r="117" spans="1:72">
      <c r="A117" s="9"/>
      <c r="B117" s="27"/>
      <c r="C117" s="27"/>
      <c r="D117" s="1678"/>
      <c r="E117" s="28">
        <f t="shared" si="61"/>
        <v>0</v>
      </c>
      <c r="F117" s="29"/>
      <c r="G117" s="30">
        <f t="shared" si="36"/>
        <v>0</v>
      </c>
      <c r="H117" s="31">
        <f t="shared" si="37"/>
        <v>0</v>
      </c>
      <c r="I117" s="32"/>
      <c r="J117" s="32"/>
      <c r="K117" s="32"/>
      <c r="L117" s="32"/>
      <c r="M117" s="32"/>
      <c r="N117" s="32"/>
      <c r="O117" s="32"/>
      <c r="P117" s="32"/>
      <c r="Q117" s="32"/>
      <c r="R117" s="32"/>
      <c r="S117" s="32"/>
      <c r="T117" s="32"/>
      <c r="U117" s="32"/>
      <c r="V117" s="32"/>
      <c r="W117" s="32"/>
      <c r="X117" s="32"/>
      <c r="Y117" s="32"/>
      <c r="Z117" s="32"/>
      <c r="AA117" s="32"/>
      <c r="AB117" s="32"/>
      <c r="AC117" s="28">
        <f t="shared" si="38"/>
        <v>0</v>
      </c>
      <c r="AD117" s="33"/>
      <c r="AE117" s="33"/>
      <c r="AF117" s="33"/>
      <c r="AG117" s="33"/>
      <c r="AH117" s="33"/>
      <c r="AI117" s="33"/>
      <c r="AJ117" s="33"/>
      <c r="AK117" s="33"/>
      <c r="AL117" s="33"/>
      <c r="AM117" s="33"/>
      <c r="AN117" s="33"/>
      <c r="AO117" s="33"/>
      <c r="AP117" s="33"/>
      <c r="AQ117" s="33"/>
      <c r="AR117" s="33"/>
      <c r="AS117" s="33"/>
      <c r="AT117" s="34"/>
      <c r="AU117" s="1679"/>
      <c r="AV117" s="2256">
        <f t="shared" si="62"/>
        <v>0</v>
      </c>
      <c r="AW117" s="2256">
        <f t="shared" si="63"/>
        <v>0</v>
      </c>
      <c r="AX117" s="2256">
        <f t="shared" si="64"/>
        <v>0</v>
      </c>
      <c r="AY117" s="2781">
        <f t="shared" si="39"/>
        <v>0</v>
      </c>
      <c r="AZ117" s="28">
        <f t="shared" si="40"/>
        <v>0</v>
      </c>
      <c r="BA117" s="28">
        <f t="shared" si="41"/>
        <v>0</v>
      </c>
      <c r="BB117" s="28">
        <f t="shared" si="42"/>
        <v>0</v>
      </c>
      <c r="BC117" s="28">
        <f t="shared" si="43"/>
        <v>0</v>
      </c>
      <c r="BD117" s="3439">
        <f t="shared" si="44"/>
        <v>0</v>
      </c>
      <c r="BE117" s="3439">
        <f t="shared" si="45"/>
        <v>0</v>
      </c>
      <c r="BF117" s="3439">
        <f t="shared" si="46"/>
        <v>0</v>
      </c>
      <c r="BG117" s="3439">
        <f t="shared" si="47"/>
        <v>0</v>
      </c>
      <c r="BH117" s="3439">
        <f t="shared" si="48"/>
        <v>0</v>
      </c>
      <c r="BI117" s="3439">
        <f t="shared" si="49"/>
        <v>0</v>
      </c>
      <c r="BJ117" s="3439">
        <f t="shared" si="50"/>
        <v>0</v>
      </c>
      <c r="BK117" s="3439">
        <f t="shared" si="51"/>
        <v>0</v>
      </c>
      <c r="BL117" s="28">
        <f t="shared" si="52"/>
        <v>0</v>
      </c>
      <c r="BM117" s="28">
        <f t="shared" si="53"/>
        <v>0</v>
      </c>
      <c r="BN117" s="28">
        <f t="shared" si="54"/>
        <v>0</v>
      </c>
      <c r="BO117" s="28">
        <f t="shared" si="55"/>
        <v>0</v>
      </c>
      <c r="BP117" s="28">
        <f t="shared" si="56"/>
        <v>0</v>
      </c>
      <c r="BQ117" s="3439">
        <f t="shared" si="57"/>
        <v>0</v>
      </c>
      <c r="BR117" s="3439">
        <f t="shared" si="58"/>
        <v>0</v>
      </c>
      <c r="BS117" s="3439">
        <f t="shared" si="59"/>
        <v>0</v>
      </c>
      <c r="BT117" s="3451">
        <f t="shared" si="60"/>
        <v>0</v>
      </c>
    </row>
    <row r="118" spans="1:72">
      <c r="A118" s="9"/>
      <c r="B118" s="27"/>
      <c r="C118" s="27"/>
      <c r="D118" s="1678"/>
      <c r="E118" s="28">
        <f t="shared" si="61"/>
        <v>0</v>
      </c>
      <c r="F118" s="29"/>
      <c r="G118" s="30">
        <f t="shared" si="36"/>
        <v>0</v>
      </c>
      <c r="H118" s="31">
        <f t="shared" si="37"/>
        <v>0</v>
      </c>
      <c r="I118" s="32"/>
      <c r="J118" s="32"/>
      <c r="K118" s="32"/>
      <c r="L118" s="32"/>
      <c r="M118" s="32"/>
      <c r="N118" s="32"/>
      <c r="O118" s="32"/>
      <c r="P118" s="32"/>
      <c r="Q118" s="32"/>
      <c r="R118" s="32"/>
      <c r="S118" s="32"/>
      <c r="T118" s="32"/>
      <c r="U118" s="32"/>
      <c r="V118" s="32"/>
      <c r="W118" s="32"/>
      <c r="X118" s="32"/>
      <c r="Y118" s="32"/>
      <c r="Z118" s="32"/>
      <c r="AA118" s="32"/>
      <c r="AB118" s="32"/>
      <c r="AC118" s="28">
        <f t="shared" si="38"/>
        <v>0</v>
      </c>
      <c r="AD118" s="33"/>
      <c r="AE118" s="33"/>
      <c r="AF118" s="33"/>
      <c r="AG118" s="33"/>
      <c r="AH118" s="33"/>
      <c r="AI118" s="33"/>
      <c r="AJ118" s="33"/>
      <c r="AK118" s="33"/>
      <c r="AL118" s="33"/>
      <c r="AM118" s="33"/>
      <c r="AN118" s="33"/>
      <c r="AO118" s="33"/>
      <c r="AP118" s="33"/>
      <c r="AQ118" s="33"/>
      <c r="AR118" s="33"/>
      <c r="AS118" s="33"/>
      <c r="AT118" s="34"/>
      <c r="AU118" s="1679"/>
      <c r="AV118" s="2256">
        <f t="shared" si="62"/>
        <v>0</v>
      </c>
      <c r="AW118" s="2256">
        <f t="shared" si="63"/>
        <v>0</v>
      </c>
      <c r="AX118" s="2256">
        <f t="shared" si="64"/>
        <v>0</v>
      </c>
      <c r="AY118" s="2781">
        <f t="shared" si="39"/>
        <v>0</v>
      </c>
      <c r="AZ118" s="28">
        <f t="shared" si="40"/>
        <v>0</v>
      </c>
      <c r="BA118" s="28">
        <f t="shared" si="41"/>
        <v>0</v>
      </c>
      <c r="BB118" s="28">
        <f t="shared" si="42"/>
        <v>0</v>
      </c>
      <c r="BC118" s="28">
        <f t="shared" si="43"/>
        <v>0</v>
      </c>
      <c r="BD118" s="3439">
        <f t="shared" si="44"/>
        <v>0</v>
      </c>
      <c r="BE118" s="3439">
        <f t="shared" si="45"/>
        <v>0</v>
      </c>
      <c r="BF118" s="3439">
        <f t="shared" si="46"/>
        <v>0</v>
      </c>
      <c r="BG118" s="3439">
        <f t="shared" si="47"/>
        <v>0</v>
      </c>
      <c r="BH118" s="3439">
        <f t="shared" si="48"/>
        <v>0</v>
      </c>
      <c r="BI118" s="3439">
        <f t="shared" si="49"/>
        <v>0</v>
      </c>
      <c r="BJ118" s="3439">
        <f t="shared" si="50"/>
        <v>0</v>
      </c>
      <c r="BK118" s="3439">
        <f t="shared" si="51"/>
        <v>0</v>
      </c>
      <c r="BL118" s="28">
        <f t="shared" si="52"/>
        <v>0</v>
      </c>
      <c r="BM118" s="28">
        <f t="shared" si="53"/>
        <v>0</v>
      </c>
      <c r="BN118" s="28">
        <f t="shared" si="54"/>
        <v>0</v>
      </c>
      <c r="BO118" s="28">
        <f t="shared" si="55"/>
        <v>0</v>
      </c>
      <c r="BP118" s="28">
        <f t="shared" si="56"/>
        <v>0</v>
      </c>
      <c r="BQ118" s="3439">
        <f t="shared" si="57"/>
        <v>0</v>
      </c>
      <c r="BR118" s="3439">
        <f t="shared" si="58"/>
        <v>0</v>
      </c>
      <c r="BS118" s="3439">
        <f t="shared" si="59"/>
        <v>0</v>
      </c>
      <c r="BT118" s="3451">
        <f t="shared" si="60"/>
        <v>0</v>
      </c>
    </row>
    <row r="119" spans="1:72">
      <c r="A119" s="9"/>
      <c r="B119" s="27"/>
      <c r="C119" s="27"/>
      <c r="D119" s="1678"/>
      <c r="E119" s="28">
        <f t="shared" si="61"/>
        <v>0</v>
      </c>
      <c r="F119" s="29"/>
      <c r="G119" s="30">
        <f t="shared" si="36"/>
        <v>0</v>
      </c>
      <c r="H119" s="31">
        <f t="shared" si="37"/>
        <v>0</v>
      </c>
      <c r="I119" s="32"/>
      <c r="J119" s="32"/>
      <c r="K119" s="32"/>
      <c r="L119" s="32"/>
      <c r="M119" s="32"/>
      <c r="N119" s="32"/>
      <c r="O119" s="32"/>
      <c r="P119" s="32"/>
      <c r="Q119" s="32"/>
      <c r="R119" s="32"/>
      <c r="S119" s="32"/>
      <c r="T119" s="32"/>
      <c r="U119" s="32"/>
      <c r="V119" s="32"/>
      <c r="W119" s="32"/>
      <c r="X119" s="32"/>
      <c r="Y119" s="32"/>
      <c r="Z119" s="32"/>
      <c r="AA119" s="32"/>
      <c r="AB119" s="32"/>
      <c r="AC119" s="28">
        <f t="shared" si="38"/>
        <v>0</v>
      </c>
      <c r="AD119" s="33"/>
      <c r="AE119" s="33"/>
      <c r="AF119" s="33"/>
      <c r="AG119" s="33"/>
      <c r="AH119" s="33"/>
      <c r="AI119" s="33"/>
      <c r="AJ119" s="33"/>
      <c r="AK119" s="33"/>
      <c r="AL119" s="33"/>
      <c r="AM119" s="33"/>
      <c r="AN119" s="33"/>
      <c r="AO119" s="33"/>
      <c r="AP119" s="33"/>
      <c r="AQ119" s="33"/>
      <c r="AR119" s="33"/>
      <c r="AS119" s="33"/>
      <c r="AT119" s="34"/>
      <c r="AU119" s="1679"/>
      <c r="AV119" s="2256">
        <f t="shared" si="62"/>
        <v>0</v>
      </c>
      <c r="AW119" s="2256">
        <f t="shared" si="63"/>
        <v>0</v>
      </c>
      <c r="AX119" s="2256">
        <f t="shared" si="64"/>
        <v>0</v>
      </c>
      <c r="AY119" s="2781">
        <f t="shared" si="39"/>
        <v>0</v>
      </c>
      <c r="AZ119" s="28">
        <f t="shared" si="40"/>
        <v>0</v>
      </c>
      <c r="BA119" s="28">
        <f t="shared" si="41"/>
        <v>0</v>
      </c>
      <c r="BB119" s="28">
        <f t="shared" si="42"/>
        <v>0</v>
      </c>
      <c r="BC119" s="28">
        <f t="shared" si="43"/>
        <v>0</v>
      </c>
      <c r="BD119" s="3439">
        <f t="shared" si="44"/>
        <v>0</v>
      </c>
      <c r="BE119" s="3439">
        <f t="shared" si="45"/>
        <v>0</v>
      </c>
      <c r="BF119" s="3439">
        <f t="shared" si="46"/>
        <v>0</v>
      </c>
      <c r="BG119" s="3439">
        <f t="shared" si="47"/>
        <v>0</v>
      </c>
      <c r="BH119" s="3439">
        <f t="shared" si="48"/>
        <v>0</v>
      </c>
      <c r="BI119" s="3439">
        <f t="shared" si="49"/>
        <v>0</v>
      </c>
      <c r="BJ119" s="3439">
        <f t="shared" si="50"/>
        <v>0</v>
      </c>
      <c r="BK119" s="3439">
        <f t="shared" si="51"/>
        <v>0</v>
      </c>
      <c r="BL119" s="28">
        <f t="shared" si="52"/>
        <v>0</v>
      </c>
      <c r="BM119" s="28">
        <f t="shared" si="53"/>
        <v>0</v>
      </c>
      <c r="BN119" s="28">
        <f t="shared" si="54"/>
        <v>0</v>
      </c>
      <c r="BO119" s="28">
        <f t="shared" si="55"/>
        <v>0</v>
      </c>
      <c r="BP119" s="28">
        <f t="shared" si="56"/>
        <v>0</v>
      </c>
      <c r="BQ119" s="3439">
        <f t="shared" si="57"/>
        <v>0</v>
      </c>
      <c r="BR119" s="3439">
        <f t="shared" si="58"/>
        <v>0</v>
      </c>
      <c r="BS119" s="3439">
        <f t="shared" si="59"/>
        <v>0</v>
      </c>
      <c r="BT119" s="3451">
        <f t="shared" si="60"/>
        <v>0</v>
      </c>
    </row>
    <row r="120" spans="1:72">
      <c r="A120" s="9"/>
      <c r="B120" s="27"/>
      <c r="C120" s="27"/>
      <c r="D120" s="1678"/>
      <c r="E120" s="28">
        <f t="shared" si="61"/>
        <v>0</v>
      </c>
      <c r="F120" s="29"/>
      <c r="G120" s="30">
        <f t="shared" si="36"/>
        <v>0</v>
      </c>
      <c r="H120" s="31">
        <f t="shared" si="37"/>
        <v>0</v>
      </c>
      <c r="I120" s="32"/>
      <c r="J120" s="32"/>
      <c r="K120" s="32"/>
      <c r="L120" s="32"/>
      <c r="M120" s="32"/>
      <c r="N120" s="32"/>
      <c r="O120" s="32"/>
      <c r="P120" s="32"/>
      <c r="Q120" s="32"/>
      <c r="R120" s="32"/>
      <c r="S120" s="32"/>
      <c r="T120" s="32"/>
      <c r="U120" s="32"/>
      <c r="V120" s="32"/>
      <c r="W120" s="32"/>
      <c r="X120" s="32"/>
      <c r="Y120" s="32"/>
      <c r="Z120" s="32"/>
      <c r="AA120" s="32"/>
      <c r="AB120" s="32"/>
      <c r="AC120" s="28">
        <f t="shared" si="38"/>
        <v>0</v>
      </c>
      <c r="AD120" s="33"/>
      <c r="AE120" s="33"/>
      <c r="AF120" s="33"/>
      <c r="AG120" s="33"/>
      <c r="AH120" s="33"/>
      <c r="AI120" s="33"/>
      <c r="AJ120" s="33"/>
      <c r="AK120" s="33"/>
      <c r="AL120" s="33"/>
      <c r="AM120" s="33"/>
      <c r="AN120" s="33"/>
      <c r="AO120" s="33"/>
      <c r="AP120" s="33"/>
      <c r="AQ120" s="33"/>
      <c r="AR120" s="33"/>
      <c r="AS120" s="33"/>
      <c r="AT120" s="34"/>
      <c r="AU120" s="1679"/>
      <c r="AV120" s="2256">
        <f t="shared" si="62"/>
        <v>0</v>
      </c>
      <c r="AW120" s="2256">
        <f t="shared" si="63"/>
        <v>0</v>
      </c>
      <c r="AX120" s="2256">
        <f t="shared" si="64"/>
        <v>0</v>
      </c>
      <c r="AY120" s="2781">
        <f t="shared" si="39"/>
        <v>0</v>
      </c>
      <c r="AZ120" s="28">
        <f t="shared" si="40"/>
        <v>0</v>
      </c>
      <c r="BA120" s="28">
        <f t="shared" si="41"/>
        <v>0</v>
      </c>
      <c r="BB120" s="28">
        <f t="shared" si="42"/>
        <v>0</v>
      </c>
      <c r="BC120" s="28">
        <f t="shared" si="43"/>
        <v>0</v>
      </c>
      <c r="BD120" s="3439">
        <f t="shared" si="44"/>
        <v>0</v>
      </c>
      <c r="BE120" s="3439">
        <f t="shared" si="45"/>
        <v>0</v>
      </c>
      <c r="BF120" s="3439">
        <f t="shared" si="46"/>
        <v>0</v>
      </c>
      <c r="BG120" s="3439">
        <f t="shared" si="47"/>
        <v>0</v>
      </c>
      <c r="BH120" s="3439">
        <f t="shared" si="48"/>
        <v>0</v>
      </c>
      <c r="BI120" s="3439">
        <f t="shared" si="49"/>
        <v>0</v>
      </c>
      <c r="BJ120" s="3439">
        <f t="shared" si="50"/>
        <v>0</v>
      </c>
      <c r="BK120" s="3439">
        <f t="shared" si="51"/>
        <v>0</v>
      </c>
      <c r="BL120" s="28">
        <f t="shared" si="52"/>
        <v>0</v>
      </c>
      <c r="BM120" s="28">
        <f t="shared" si="53"/>
        <v>0</v>
      </c>
      <c r="BN120" s="28">
        <f t="shared" si="54"/>
        <v>0</v>
      </c>
      <c r="BO120" s="28">
        <f t="shared" si="55"/>
        <v>0</v>
      </c>
      <c r="BP120" s="28">
        <f t="shared" si="56"/>
        <v>0</v>
      </c>
      <c r="BQ120" s="3439">
        <f t="shared" si="57"/>
        <v>0</v>
      </c>
      <c r="BR120" s="3439">
        <f t="shared" si="58"/>
        <v>0</v>
      </c>
      <c r="BS120" s="3439">
        <f t="shared" si="59"/>
        <v>0</v>
      </c>
      <c r="BT120" s="3451">
        <f t="shared" si="60"/>
        <v>0</v>
      </c>
    </row>
    <row r="121" spans="1:72">
      <c r="A121" s="9"/>
      <c r="B121" s="27"/>
      <c r="C121" s="27"/>
      <c r="D121" s="1678"/>
      <c r="E121" s="28">
        <f t="shared" si="61"/>
        <v>0</v>
      </c>
      <c r="F121" s="29"/>
      <c r="G121" s="30">
        <f t="shared" si="36"/>
        <v>0</v>
      </c>
      <c r="H121" s="31">
        <f t="shared" si="37"/>
        <v>0</v>
      </c>
      <c r="I121" s="32"/>
      <c r="J121" s="32"/>
      <c r="K121" s="32"/>
      <c r="L121" s="32"/>
      <c r="M121" s="32"/>
      <c r="N121" s="32"/>
      <c r="O121" s="32"/>
      <c r="P121" s="32"/>
      <c r="Q121" s="32"/>
      <c r="R121" s="32"/>
      <c r="S121" s="32"/>
      <c r="T121" s="32"/>
      <c r="U121" s="32"/>
      <c r="V121" s="32"/>
      <c r="W121" s="32"/>
      <c r="X121" s="32"/>
      <c r="Y121" s="32"/>
      <c r="Z121" s="32"/>
      <c r="AA121" s="32"/>
      <c r="AB121" s="32"/>
      <c r="AC121" s="28">
        <f t="shared" si="38"/>
        <v>0</v>
      </c>
      <c r="AD121" s="33"/>
      <c r="AE121" s="33"/>
      <c r="AF121" s="33"/>
      <c r="AG121" s="33"/>
      <c r="AH121" s="33"/>
      <c r="AI121" s="33"/>
      <c r="AJ121" s="33"/>
      <c r="AK121" s="33"/>
      <c r="AL121" s="33"/>
      <c r="AM121" s="33"/>
      <c r="AN121" s="33"/>
      <c r="AO121" s="33"/>
      <c r="AP121" s="33"/>
      <c r="AQ121" s="33"/>
      <c r="AR121" s="33"/>
      <c r="AS121" s="33"/>
      <c r="AT121" s="34"/>
      <c r="AU121" s="1679"/>
      <c r="AV121" s="2256">
        <f t="shared" si="62"/>
        <v>0</v>
      </c>
      <c r="AW121" s="2256">
        <f t="shared" si="63"/>
        <v>0</v>
      </c>
      <c r="AX121" s="2256">
        <f t="shared" si="64"/>
        <v>0</v>
      </c>
      <c r="AY121" s="2781">
        <f t="shared" si="39"/>
        <v>0</v>
      </c>
      <c r="AZ121" s="28">
        <f t="shared" si="40"/>
        <v>0</v>
      </c>
      <c r="BA121" s="28">
        <f t="shared" si="41"/>
        <v>0</v>
      </c>
      <c r="BB121" s="28">
        <f t="shared" si="42"/>
        <v>0</v>
      </c>
      <c r="BC121" s="28">
        <f t="shared" si="43"/>
        <v>0</v>
      </c>
      <c r="BD121" s="3439">
        <f t="shared" si="44"/>
        <v>0</v>
      </c>
      <c r="BE121" s="3439">
        <f t="shared" si="45"/>
        <v>0</v>
      </c>
      <c r="BF121" s="3439">
        <f t="shared" si="46"/>
        <v>0</v>
      </c>
      <c r="BG121" s="3439">
        <f t="shared" si="47"/>
        <v>0</v>
      </c>
      <c r="BH121" s="3439">
        <f t="shared" si="48"/>
        <v>0</v>
      </c>
      <c r="BI121" s="3439">
        <f t="shared" si="49"/>
        <v>0</v>
      </c>
      <c r="BJ121" s="3439">
        <f t="shared" si="50"/>
        <v>0</v>
      </c>
      <c r="BK121" s="3439">
        <f t="shared" si="51"/>
        <v>0</v>
      </c>
      <c r="BL121" s="28">
        <f t="shared" si="52"/>
        <v>0</v>
      </c>
      <c r="BM121" s="28">
        <f t="shared" si="53"/>
        <v>0</v>
      </c>
      <c r="BN121" s="28">
        <f t="shared" si="54"/>
        <v>0</v>
      </c>
      <c r="BO121" s="28">
        <f t="shared" si="55"/>
        <v>0</v>
      </c>
      <c r="BP121" s="28">
        <f t="shared" si="56"/>
        <v>0</v>
      </c>
      <c r="BQ121" s="3439">
        <f t="shared" si="57"/>
        <v>0</v>
      </c>
      <c r="BR121" s="3439">
        <f t="shared" si="58"/>
        <v>0</v>
      </c>
      <c r="BS121" s="3439">
        <f t="shared" si="59"/>
        <v>0</v>
      </c>
      <c r="BT121" s="3451">
        <f t="shared" si="60"/>
        <v>0</v>
      </c>
    </row>
    <row r="122" spans="1:72">
      <c r="A122" s="9"/>
      <c r="B122" s="27"/>
      <c r="C122" s="27"/>
      <c r="D122" s="1678"/>
      <c r="E122" s="28">
        <f t="shared" si="61"/>
        <v>0</v>
      </c>
      <c r="F122" s="29"/>
      <c r="G122" s="30">
        <f t="shared" si="36"/>
        <v>0</v>
      </c>
      <c r="H122" s="31">
        <f t="shared" si="37"/>
        <v>0</v>
      </c>
      <c r="I122" s="32"/>
      <c r="J122" s="32"/>
      <c r="K122" s="32"/>
      <c r="L122" s="32"/>
      <c r="M122" s="32"/>
      <c r="N122" s="32"/>
      <c r="O122" s="32"/>
      <c r="P122" s="32"/>
      <c r="Q122" s="32"/>
      <c r="R122" s="32"/>
      <c r="S122" s="32"/>
      <c r="T122" s="32"/>
      <c r="U122" s="32"/>
      <c r="V122" s="32"/>
      <c r="W122" s="32"/>
      <c r="X122" s="32"/>
      <c r="Y122" s="32"/>
      <c r="Z122" s="32"/>
      <c r="AA122" s="32"/>
      <c r="AB122" s="32"/>
      <c r="AC122" s="28">
        <f t="shared" si="38"/>
        <v>0</v>
      </c>
      <c r="AD122" s="33"/>
      <c r="AE122" s="33"/>
      <c r="AF122" s="33"/>
      <c r="AG122" s="33"/>
      <c r="AH122" s="33"/>
      <c r="AI122" s="33"/>
      <c r="AJ122" s="33"/>
      <c r="AK122" s="33"/>
      <c r="AL122" s="33"/>
      <c r="AM122" s="33"/>
      <c r="AN122" s="33"/>
      <c r="AO122" s="33"/>
      <c r="AP122" s="33"/>
      <c r="AQ122" s="33"/>
      <c r="AR122" s="33"/>
      <c r="AS122" s="33"/>
      <c r="AT122" s="34"/>
      <c r="AU122" s="1679"/>
      <c r="AV122" s="2256">
        <f t="shared" si="62"/>
        <v>0</v>
      </c>
      <c r="AW122" s="2256">
        <f t="shared" si="63"/>
        <v>0</v>
      </c>
      <c r="AX122" s="2256">
        <f t="shared" si="64"/>
        <v>0</v>
      </c>
      <c r="AY122" s="2781">
        <f t="shared" si="39"/>
        <v>0</v>
      </c>
      <c r="AZ122" s="28">
        <f t="shared" si="40"/>
        <v>0</v>
      </c>
      <c r="BA122" s="28">
        <f t="shared" si="41"/>
        <v>0</v>
      </c>
      <c r="BB122" s="28">
        <f t="shared" si="42"/>
        <v>0</v>
      </c>
      <c r="BC122" s="28">
        <f t="shared" si="43"/>
        <v>0</v>
      </c>
      <c r="BD122" s="3439">
        <f t="shared" si="44"/>
        <v>0</v>
      </c>
      <c r="BE122" s="3439">
        <f t="shared" si="45"/>
        <v>0</v>
      </c>
      <c r="BF122" s="3439">
        <f t="shared" si="46"/>
        <v>0</v>
      </c>
      <c r="BG122" s="3439">
        <f t="shared" si="47"/>
        <v>0</v>
      </c>
      <c r="BH122" s="3439">
        <f t="shared" si="48"/>
        <v>0</v>
      </c>
      <c r="BI122" s="3439">
        <f t="shared" si="49"/>
        <v>0</v>
      </c>
      <c r="BJ122" s="3439">
        <f t="shared" si="50"/>
        <v>0</v>
      </c>
      <c r="BK122" s="3439">
        <f t="shared" si="51"/>
        <v>0</v>
      </c>
      <c r="BL122" s="28">
        <f t="shared" si="52"/>
        <v>0</v>
      </c>
      <c r="BM122" s="28">
        <f t="shared" si="53"/>
        <v>0</v>
      </c>
      <c r="BN122" s="28">
        <f t="shared" si="54"/>
        <v>0</v>
      </c>
      <c r="BO122" s="28">
        <f t="shared" si="55"/>
        <v>0</v>
      </c>
      <c r="BP122" s="28">
        <f t="shared" si="56"/>
        <v>0</v>
      </c>
      <c r="BQ122" s="3439">
        <f t="shared" si="57"/>
        <v>0</v>
      </c>
      <c r="BR122" s="3439">
        <f t="shared" si="58"/>
        <v>0</v>
      </c>
      <c r="BS122" s="3439">
        <f t="shared" si="59"/>
        <v>0</v>
      </c>
      <c r="BT122" s="3451">
        <f t="shared" si="60"/>
        <v>0</v>
      </c>
    </row>
    <row r="123" spans="1:72">
      <c r="A123" s="9"/>
      <c r="B123" s="27"/>
      <c r="C123" s="27"/>
      <c r="D123" s="1678"/>
      <c r="E123" s="28">
        <f t="shared" si="61"/>
        <v>0</v>
      </c>
      <c r="F123" s="29"/>
      <c r="G123" s="30">
        <f t="shared" si="36"/>
        <v>0</v>
      </c>
      <c r="H123" s="31">
        <f t="shared" si="37"/>
        <v>0</v>
      </c>
      <c r="I123" s="32"/>
      <c r="J123" s="32"/>
      <c r="K123" s="32"/>
      <c r="L123" s="32"/>
      <c r="M123" s="32"/>
      <c r="N123" s="32"/>
      <c r="O123" s="32"/>
      <c r="P123" s="32"/>
      <c r="Q123" s="32"/>
      <c r="R123" s="32"/>
      <c r="S123" s="32"/>
      <c r="T123" s="32"/>
      <c r="U123" s="32"/>
      <c r="V123" s="32"/>
      <c r="W123" s="32"/>
      <c r="X123" s="32"/>
      <c r="Y123" s="32"/>
      <c r="Z123" s="32"/>
      <c r="AA123" s="32"/>
      <c r="AB123" s="32"/>
      <c r="AC123" s="28">
        <f t="shared" si="38"/>
        <v>0</v>
      </c>
      <c r="AD123" s="33"/>
      <c r="AE123" s="33"/>
      <c r="AF123" s="33"/>
      <c r="AG123" s="33"/>
      <c r="AH123" s="33"/>
      <c r="AI123" s="33"/>
      <c r="AJ123" s="33"/>
      <c r="AK123" s="33"/>
      <c r="AL123" s="33"/>
      <c r="AM123" s="33"/>
      <c r="AN123" s="33"/>
      <c r="AO123" s="33"/>
      <c r="AP123" s="33"/>
      <c r="AQ123" s="33"/>
      <c r="AR123" s="33"/>
      <c r="AS123" s="33"/>
      <c r="AT123" s="34"/>
      <c r="AU123" s="1679"/>
      <c r="AV123" s="2256">
        <f t="shared" si="62"/>
        <v>0</v>
      </c>
      <c r="AW123" s="2256">
        <f t="shared" si="63"/>
        <v>0</v>
      </c>
      <c r="AX123" s="2256">
        <f t="shared" si="64"/>
        <v>0</v>
      </c>
      <c r="AY123" s="2781">
        <f t="shared" si="39"/>
        <v>0</v>
      </c>
      <c r="AZ123" s="28">
        <f t="shared" si="40"/>
        <v>0</v>
      </c>
      <c r="BA123" s="28">
        <f t="shared" si="41"/>
        <v>0</v>
      </c>
      <c r="BB123" s="28">
        <f t="shared" si="42"/>
        <v>0</v>
      </c>
      <c r="BC123" s="28">
        <f t="shared" si="43"/>
        <v>0</v>
      </c>
      <c r="BD123" s="3439">
        <f t="shared" si="44"/>
        <v>0</v>
      </c>
      <c r="BE123" s="3439">
        <f t="shared" si="45"/>
        <v>0</v>
      </c>
      <c r="BF123" s="3439">
        <f t="shared" si="46"/>
        <v>0</v>
      </c>
      <c r="BG123" s="3439">
        <f t="shared" si="47"/>
        <v>0</v>
      </c>
      <c r="BH123" s="3439">
        <f t="shared" si="48"/>
        <v>0</v>
      </c>
      <c r="BI123" s="3439">
        <f t="shared" si="49"/>
        <v>0</v>
      </c>
      <c r="BJ123" s="3439">
        <f t="shared" si="50"/>
        <v>0</v>
      </c>
      <c r="BK123" s="3439">
        <f t="shared" si="51"/>
        <v>0</v>
      </c>
      <c r="BL123" s="28">
        <f t="shared" si="52"/>
        <v>0</v>
      </c>
      <c r="BM123" s="28">
        <f t="shared" si="53"/>
        <v>0</v>
      </c>
      <c r="BN123" s="28">
        <f t="shared" si="54"/>
        <v>0</v>
      </c>
      <c r="BO123" s="28">
        <f t="shared" si="55"/>
        <v>0</v>
      </c>
      <c r="BP123" s="28">
        <f t="shared" si="56"/>
        <v>0</v>
      </c>
      <c r="BQ123" s="3439">
        <f t="shared" si="57"/>
        <v>0</v>
      </c>
      <c r="BR123" s="3439">
        <f t="shared" si="58"/>
        <v>0</v>
      </c>
      <c r="BS123" s="3439">
        <f t="shared" si="59"/>
        <v>0</v>
      </c>
      <c r="BT123" s="3451">
        <f t="shared" si="60"/>
        <v>0</v>
      </c>
    </row>
    <row r="124" spans="1:72">
      <c r="A124" s="9"/>
      <c r="B124" s="27"/>
      <c r="C124" s="27"/>
      <c r="D124" s="1678"/>
      <c r="E124" s="28">
        <f t="shared" si="61"/>
        <v>0</v>
      </c>
      <c r="F124" s="29"/>
      <c r="G124" s="30">
        <f t="shared" si="36"/>
        <v>0</v>
      </c>
      <c r="H124" s="31">
        <f t="shared" si="37"/>
        <v>0</v>
      </c>
      <c r="I124" s="32"/>
      <c r="J124" s="32"/>
      <c r="K124" s="32"/>
      <c r="L124" s="32"/>
      <c r="M124" s="32"/>
      <c r="N124" s="32"/>
      <c r="O124" s="32"/>
      <c r="P124" s="32"/>
      <c r="Q124" s="32"/>
      <c r="R124" s="32"/>
      <c r="S124" s="32"/>
      <c r="T124" s="32"/>
      <c r="U124" s="32"/>
      <c r="V124" s="32"/>
      <c r="W124" s="32"/>
      <c r="X124" s="32"/>
      <c r="Y124" s="32"/>
      <c r="Z124" s="32"/>
      <c r="AA124" s="32"/>
      <c r="AB124" s="32"/>
      <c r="AC124" s="28">
        <f t="shared" si="38"/>
        <v>0</v>
      </c>
      <c r="AD124" s="33"/>
      <c r="AE124" s="33"/>
      <c r="AF124" s="33"/>
      <c r="AG124" s="33"/>
      <c r="AH124" s="33"/>
      <c r="AI124" s="33"/>
      <c r="AJ124" s="33"/>
      <c r="AK124" s="33"/>
      <c r="AL124" s="33"/>
      <c r="AM124" s="33"/>
      <c r="AN124" s="33"/>
      <c r="AO124" s="33"/>
      <c r="AP124" s="33"/>
      <c r="AQ124" s="33"/>
      <c r="AR124" s="33"/>
      <c r="AS124" s="33"/>
      <c r="AT124" s="34"/>
      <c r="AU124" s="1679"/>
      <c r="AV124" s="2256">
        <f t="shared" si="62"/>
        <v>0</v>
      </c>
      <c r="AW124" s="2256">
        <f t="shared" si="63"/>
        <v>0</v>
      </c>
      <c r="AX124" s="2256">
        <f t="shared" si="64"/>
        <v>0</v>
      </c>
      <c r="AY124" s="2781">
        <f t="shared" si="39"/>
        <v>0</v>
      </c>
      <c r="AZ124" s="28">
        <f t="shared" si="40"/>
        <v>0</v>
      </c>
      <c r="BA124" s="28">
        <f t="shared" si="41"/>
        <v>0</v>
      </c>
      <c r="BB124" s="28">
        <f t="shared" si="42"/>
        <v>0</v>
      </c>
      <c r="BC124" s="28">
        <f t="shared" si="43"/>
        <v>0</v>
      </c>
      <c r="BD124" s="3439">
        <f t="shared" si="44"/>
        <v>0</v>
      </c>
      <c r="BE124" s="3439">
        <f t="shared" si="45"/>
        <v>0</v>
      </c>
      <c r="BF124" s="3439">
        <f t="shared" si="46"/>
        <v>0</v>
      </c>
      <c r="BG124" s="3439">
        <f t="shared" si="47"/>
        <v>0</v>
      </c>
      <c r="BH124" s="3439">
        <f t="shared" si="48"/>
        <v>0</v>
      </c>
      <c r="BI124" s="3439">
        <f t="shared" si="49"/>
        <v>0</v>
      </c>
      <c r="BJ124" s="3439">
        <f t="shared" si="50"/>
        <v>0</v>
      </c>
      <c r="BK124" s="3439">
        <f t="shared" si="51"/>
        <v>0</v>
      </c>
      <c r="BL124" s="28">
        <f t="shared" si="52"/>
        <v>0</v>
      </c>
      <c r="BM124" s="28">
        <f t="shared" si="53"/>
        <v>0</v>
      </c>
      <c r="BN124" s="28">
        <f t="shared" si="54"/>
        <v>0</v>
      </c>
      <c r="BO124" s="28">
        <f t="shared" si="55"/>
        <v>0</v>
      </c>
      <c r="BP124" s="28">
        <f t="shared" si="56"/>
        <v>0</v>
      </c>
      <c r="BQ124" s="3439">
        <f t="shared" si="57"/>
        <v>0</v>
      </c>
      <c r="BR124" s="3439">
        <f t="shared" si="58"/>
        <v>0</v>
      </c>
      <c r="BS124" s="3439">
        <f t="shared" si="59"/>
        <v>0</v>
      </c>
      <c r="BT124" s="3451">
        <f t="shared" si="60"/>
        <v>0</v>
      </c>
    </row>
    <row r="125" spans="1:72">
      <c r="A125" s="9"/>
      <c r="B125" s="27"/>
      <c r="C125" s="27"/>
      <c r="D125" s="1678"/>
      <c r="E125" s="28">
        <f t="shared" si="61"/>
        <v>0</v>
      </c>
      <c r="F125" s="29"/>
      <c r="G125" s="30">
        <f t="shared" si="36"/>
        <v>0</v>
      </c>
      <c r="H125" s="31">
        <f t="shared" si="37"/>
        <v>0</v>
      </c>
      <c r="I125" s="32"/>
      <c r="J125" s="32"/>
      <c r="K125" s="32"/>
      <c r="L125" s="32"/>
      <c r="M125" s="32"/>
      <c r="N125" s="32"/>
      <c r="O125" s="32"/>
      <c r="P125" s="32"/>
      <c r="Q125" s="32"/>
      <c r="R125" s="32"/>
      <c r="S125" s="32"/>
      <c r="T125" s="32"/>
      <c r="U125" s="32"/>
      <c r="V125" s="32"/>
      <c r="W125" s="32"/>
      <c r="X125" s="32"/>
      <c r="Y125" s="32"/>
      <c r="Z125" s="32"/>
      <c r="AA125" s="32"/>
      <c r="AB125" s="32"/>
      <c r="AC125" s="28">
        <f t="shared" si="38"/>
        <v>0</v>
      </c>
      <c r="AD125" s="33"/>
      <c r="AE125" s="33"/>
      <c r="AF125" s="33"/>
      <c r="AG125" s="33"/>
      <c r="AH125" s="33"/>
      <c r="AI125" s="33"/>
      <c r="AJ125" s="33"/>
      <c r="AK125" s="33"/>
      <c r="AL125" s="33"/>
      <c r="AM125" s="33"/>
      <c r="AN125" s="33"/>
      <c r="AO125" s="33"/>
      <c r="AP125" s="33"/>
      <c r="AQ125" s="33"/>
      <c r="AR125" s="33"/>
      <c r="AS125" s="33"/>
      <c r="AT125" s="34"/>
      <c r="AU125" s="1679"/>
      <c r="AV125" s="2256">
        <f t="shared" si="62"/>
        <v>0</v>
      </c>
      <c r="AW125" s="2256">
        <f t="shared" si="63"/>
        <v>0</v>
      </c>
      <c r="AX125" s="2256">
        <f t="shared" si="64"/>
        <v>0</v>
      </c>
      <c r="AY125" s="2781">
        <f t="shared" si="39"/>
        <v>0</v>
      </c>
      <c r="AZ125" s="28">
        <f t="shared" si="40"/>
        <v>0</v>
      </c>
      <c r="BA125" s="28">
        <f t="shared" si="41"/>
        <v>0</v>
      </c>
      <c r="BB125" s="28">
        <f t="shared" si="42"/>
        <v>0</v>
      </c>
      <c r="BC125" s="28">
        <f t="shared" si="43"/>
        <v>0</v>
      </c>
      <c r="BD125" s="3439">
        <f t="shared" si="44"/>
        <v>0</v>
      </c>
      <c r="BE125" s="3439">
        <f t="shared" si="45"/>
        <v>0</v>
      </c>
      <c r="BF125" s="3439">
        <f t="shared" si="46"/>
        <v>0</v>
      </c>
      <c r="BG125" s="3439">
        <f t="shared" si="47"/>
        <v>0</v>
      </c>
      <c r="BH125" s="3439">
        <f t="shared" si="48"/>
        <v>0</v>
      </c>
      <c r="BI125" s="3439">
        <f t="shared" si="49"/>
        <v>0</v>
      </c>
      <c r="BJ125" s="3439">
        <f t="shared" si="50"/>
        <v>0</v>
      </c>
      <c r="BK125" s="3439">
        <f t="shared" si="51"/>
        <v>0</v>
      </c>
      <c r="BL125" s="28">
        <f t="shared" si="52"/>
        <v>0</v>
      </c>
      <c r="BM125" s="28">
        <f t="shared" si="53"/>
        <v>0</v>
      </c>
      <c r="BN125" s="28">
        <f t="shared" si="54"/>
        <v>0</v>
      </c>
      <c r="BO125" s="28">
        <f t="shared" si="55"/>
        <v>0</v>
      </c>
      <c r="BP125" s="28">
        <f t="shared" si="56"/>
        <v>0</v>
      </c>
      <c r="BQ125" s="3439">
        <f t="shared" si="57"/>
        <v>0</v>
      </c>
      <c r="BR125" s="3439">
        <f t="shared" si="58"/>
        <v>0</v>
      </c>
      <c r="BS125" s="3439">
        <f t="shared" si="59"/>
        <v>0</v>
      </c>
      <c r="BT125" s="3451">
        <f t="shared" si="60"/>
        <v>0</v>
      </c>
    </row>
    <row r="126" spans="1:72">
      <c r="A126" s="9"/>
      <c r="B126" s="27"/>
      <c r="C126" s="27"/>
      <c r="D126" s="1678"/>
      <c r="E126" s="28">
        <f t="shared" si="61"/>
        <v>0</v>
      </c>
      <c r="F126" s="29"/>
      <c r="G126" s="30">
        <f t="shared" si="36"/>
        <v>0</v>
      </c>
      <c r="H126" s="31">
        <f t="shared" si="37"/>
        <v>0</v>
      </c>
      <c r="I126" s="32"/>
      <c r="J126" s="32"/>
      <c r="K126" s="32"/>
      <c r="L126" s="32"/>
      <c r="M126" s="32"/>
      <c r="N126" s="32"/>
      <c r="O126" s="32"/>
      <c r="P126" s="32"/>
      <c r="Q126" s="32"/>
      <c r="R126" s="32"/>
      <c r="S126" s="32"/>
      <c r="T126" s="32"/>
      <c r="U126" s="32"/>
      <c r="V126" s="32"/>
      <c r="W126" s="32"/>
      <c r="X126" s="32"/>
      <c r="Y126" s="32"/>
      <c r="Z126" s="32"/>
      <c r="AA126" s="32"/>
      <c r="AB126" s="32"/>
      <c r="AC126" s="28">
        <f t="shared" si="38"/>
        <v>0</v>
      </c>
      <c r="AD126" s="33"/>
      <c r="AE126" s="33"/>
      <c r="AF126" s="33"/>
      <c r="AG126" s="33"/>
      <c r="AH126" s="33"/>
      <c r="AI126" s="33"/>
      <c r="AJ126" s="33"/>
      <c r="AK126" s="33"/>
      <c r="AL126" s="33"/>
      <c r="AM126" s="33"/>
      <c r="AN126" s="33"/>
      <c r="AO126" s="33"/>
      <c r="AP126" s="33"/>
      <c r="AQ126" s="33"/>
      <c r="AR126" s="33"/>
      <c r="AS126" s="33"/>
      <c r="AT126" s="34"/>
      <c r="AU126" s="1679"/>
      <c r="AV126" s="2256">
        <f t="shared" si="62"/>
        <v>0</v>
      </c>
      <c r="AW126" s="2256">
        <f t="shared" si="63"/>
        <v>0</v>
      </c>
      <c r="AX126" s="2256">
        <f t="shared" si="64"/>
        <v>0</v>
      </c>
      <c r="AY126" s="2781">
        <f t="shared" si="39"/>
        <v>0</v>
      </c>
      <c r="AZ126" s="28">
        <f t="shared" si="40"/>
        <v>0</v>
      </c>
      <c r="BA126" s="28">
        <f t="shared" si="41"/>
        <v>0</v>
      </c>
      <c r="BB126" s="28">
        <f t="shared" si="42"/>
        <v>0</v>
      </c>
      <c r="BC126" s="28">
        <f t="shared" si="43"/>
        <v>0</v>
      </c>
      <c r="BD126" s="3439">
        <f t="shared" si="44"/>
        <v>0</v>
      </c>
      <c r="BE126" s="3439">
        <f t="shared" si="45"/>
        <v>0</v>
      </c>
      <c r="BF126" s="3439">
        <f t="shared" si="46"/>
        <v>0</v>
      </c>
      <c r="BG126" s="3439">
        <f t="shared" si="47"/>
        <v>0</v>
      </c>
      <c r="BH126" s="3439">
        <f t="shared" si="48"/>
        <v>0</v>
      </c>
      <c r="BI126" s="3439">
        <f t="shared" si="49"/>
        <v>0</v>
      </c>
      <c r="BJ126" s="3439">
        <f t="shared" si="50"/>
        <v>0</v>
      </c>
      <c r="BK126" s="3439">
        <f t="shared" si="51"/>
        <v>0</v>
      </c>
      <c r="BL126" s="28">
        <f t="shared" si="52"/>
        <v>0</v>
      </c>
      <c r="BM126" s="28">
        <f t="shared" si="53"/>
        <v>0</v>
      </c>
      <c r="BN126" s="28">
        <f t="shared" si="54"/>
        <v>0</v>
      </c>
      <c r="BO126" s="28">
        <f t="shared" si="55"/>
        <v>0</v>
      </c>
      <c r="BP126" s="28">
        <f t="shared" si="56"/>
        <v>0</v>
      </c>
      <c r="BQ126" s="3439">
        <f t="shared" si="57"/>
        <v>0</v>
      </c>
      <c r="BR126" s="3439">
        <f t="shared" si="58"/>
        <v>0</v>
      </c>
      <c r="BS126" s="3439">
        <f t="shared" si="59"/>
        <v>0</v>
      </c>
      <c r="BT126" s="3451">
        <f t="shared" si="60"/>
        <v>0</v>
      </c>
    </row>
    <row r="127" spans="1:72">
      <c r="A127" s="9"/>
      <c r="B127" s="27"/>
      <c r="C127" s="27"/>
      <c r="D127" s="1678"/>
      <c r="E127" s="28">
        <f t="shared" si="61"/>
        <v>0</v>
      </c>
      <c r="F127" s="29"/>
      <c r="G127" s="30">
        <f t="shared" si="36"/>
        <v>0</v>
      </c>
      <c r="H127" s="31">
        <f t="shared" si="37"/>
        <v>0</v>
      </c>
      <c r="I127" s="32"/>
      <c r="J127" s="32"/>
      <c r="K127" s="32"/>
      <c r="L127" s="32"/>
      <c r="M127" s="32"/>
      <c r="N127" s="32"/>
      <c r="O127" s="32"/>
      <c r="P127" s="32"/>
      <c r="Q127" s="32"/>
      <c r="R127" s="32"/>
      <c r="S127" s="32"/>
      <c r="T127" s="32"/>
      <c r="U127" s="32"/>
      <c r="V127" s="32"/>
      <c r="W127" s="32"/>
      <c r="X127" s="32"/>
      <c r="Y127" s="32"/>
      <c r="Z127" s="32"/>
      <c r="AA127" s="32"/>
      <c r="AB127" s="32"/>
      <c r="AC127" s="28">
        <f t="shared" si="38"/>
        <v>0</v>
      </c>
      <c r="AD127" s="33"/>
      <c r="AE127" s="33"/>
      <c r="AF127" s="33"/>
      <c r="AG127" s="33"/>
      <c r="AH127" s="33"/>
      <c r="AI127" s="33"/>
      <c r="AJ127" s="33"/>
      <c r="AK127" s="33"/>
      <c r="AL127" s="33"/>
      <c r="AM127" s="33"/>
      <c r="AN127" s="33"/>
      <c r="AO127" s="33"/>
      <c r="AP127" s="33"/>
      <c r="AQ127" s="33"/>
      <c r="AR127" s="33"/>
      <c r="AS127" s="33"/>
      <c r="AT127" s="34"/>
      <c r="AU127" s="1679"/>
      <c r="AV127" s="2256">
        <f t="shared" si="62"/>
        <v>0</v>
      </c>
      <c r="AW127" s="2256">
        <f t="shared" si="63"/>
        <v>0</v>
      </c>
      <c r="AX127" s="2256">
        <f t="shared" si="64"/>
        <v>0</v>
      </c>
      <c r="AY127" s="2781">
        <f t="shared" si="39"/>
        <v>0</v>
      </c>
      <c r="AZ127" s="28">
        <f t="shared" si="40"/>
        <v>0</v>
      </c>
      <c r="BA127" s="28">
        <f t="shared" si="41"/>
        <v>0</v>
      </c>
      <c r="BB127" s="28">
        <f t="shared" si="42"/>
        <v>0</v>
      </c>
      <c r="BC127" s="28">
        <f t="shared" si="43"/>
        <v>0</v>
      </c>
      <c r="BD127" s="3439">
        <f t="shared" si="44"/>
        <v>0</v>
      </c>
      <c r="BE127" s="3439">
        <f t="shared" si="45"/>
        <v>0</v>
      </c>
      <c r="BF127" s="3439">
        <f t="shared" si="46"/>
        <v>0</v>
      </c>
      <c r="BG127" s="3439">
        <f t="shared" si="47"/>
        <v>0</v>
      </c>
      <c r="BH127" s="3439">
        <f t="shared" si="48"/>
        <v>0</v>
      </c>
      <c r="BI127" s="3439">
        <f t="shared" si="49"/>
        <v>0</v>
      </c>
      <c r="BJ127" s="3439">
        <f t="shared" si="50"/>
        <v>0</v>
      </c>
      <c r="BK127" s="3439">
        <f t="shared" si="51"/>
        <v>0</v>
      </c>
      <c r="BL127" s="28">
        <f t="shared" si="52"/>
        <v>0</v>
      </c>
      <c r="BM127" s="28">
        <f t="shared" si="53"/>
        <v>0</v>
      </c>
      <c r="BN127" s="28">
        <f t="shared" si="54"/>
        <v>0</v>
      </c>
      <c r="BO127" s="28">
        <f t="shared" si="55"/>
        <v>0</v>
      </c>
      <c r="BP127" s="28">
        <f t="shared" si="56"/>
        <v>0</v>
      </c>
      <c r="BQ127" s="3439">
        <f t="shared" si="57"/>
        <v>0</v>
      </c>
      <c r="BR127" s="3439">
        <f t="shared" si="58"/>
        <v>0</v>
      </c>
      <c r="BS127" s="3439">
        <f t="shared" si="59"/>
        <v>0</v>
      </c>
      <c r="BT127" s="3451">
        <f t="shared" si="60"/>
        <v>0</v>
      </c>
    </row>
    <row r="128" spans="1:72">
      <c r="A128" s="9"/>
      <c r="B128" s="27"/>
      <c r="C128" s="27"/>
      <c r="D128" s="1678"/>
      <c r="E128" s="28">
        <f t="shared" si="61"/>
        <v>0</v>
      </c>
      <c r="F128" s="29"/>
      <c r="G128" s="30">
        <f t="shared" si="36"/>
        <v>0</v>
      </c>
      <c r="H128" s="31">
        <f t="shared" si="37"/>
        <v>0</v>
      </c>
      <c r="I128" s="32"/>
      <c r="J128" s="32"/>
      <c r="K128" s="32"/>
      <c r="L128" s="32"/>
      <c r="M128" s="32"/>
      <c r="N128" s="32"/>
      <c r="O128" s="32"/>
      <c r="P128" s="32"/>
      <c r="Q128" s="32"/>
      <c r="R128" s="32"/>
      <c r="S128" s="32"/>
      <c r="T128" s="32"/>
      <c r="U128" s="32"/>
      <c r="V128" s="32"/>
      <c r="W128" s="32"/>
      <c r="X128" s="32"/>
      <c r="Y128" s="32"/>
      <c r="Z128" s="32"/>
      <c r="AA128" s="32"/>
      <c r="AB128" s="32"/>
      <c r="AC128" s="28">
        <f t="shared" si="38"/>
        <v>0</v>
      </c>
      <c r="AD128" s="33"/>
      <c r="AE128" s="33"/>
      <c r="AF128" s="33"/>
      <c r="AG128" s="33"/>
      <c r="AH128" s="33"/>
      <c r="AI128" s="33"/>
      <c r="AJ128" s="33"/>
      <c r="AK128" s="33"/>
      <c r="AL128" s="33"/>
      <c r="AM128" s="33"/>
      <c r="AN128" s="33"/>
      <c r="AO128" s="33"/>
      <c r="AP128" s="33"/>
      <c r="AQ128" s="33"/>
      <c r="AR128" s="33"/>
      <c r="AS128" s="33"/>
      <c r="AT128" s="34"/>
      <c r="AU128" s="1679"/>
      <c r="AV128" s="2256">
        <f t="shared" si="62"/>
        <v>0</v>
      </c>
      <c r="AW128" s="2256">
        <f t="shared" si="63"/>
        <v>0</v>
      </c>
      <c r="AX128" s="2256">
        <f t="shared" si="64"/>
        <v>0</v>
      </c>
      <c r="AY128" s="2781">
        <f t="shared" si="39"/>
        <v>0</v>
      </c>
      <c r="AZ128" s="28">
        <f t="shared" si="40"/>
        <v>0</v>
      </c>
      <c r="BA128" s="28">
        <f t="shared" si="41"/>
        <v>0</v>
      </c>
      <c r="BB128" s="28">
        <f t="shared" si="42"/>
        <v>0</v>
      </c>
      <c r="BC128" s="28">
        <f t="shared" si="43"/>
        <v>0</v>
      </c>
      <c r="BD128" s="3439">
        <f t="shared" si="44"/>
        <v>0</v>
      </c>
      <c r="BE128" s="3439">
        <f t="shared" si="45"/>
        <v>0</v>
      </c>
      <c r="BF128" s="3439">
        <f t="shared" si="46"/>
        <v>0</v>
      </c>
      <c r="BG128" s="3439">
        <f t="shared" si="47"/>
        <v>0</v>
      </c>
      <c r="BH128" s="3439">
        <f t="shared" si="48"/>
        <v>0</v>
      </c>
      <c r="BI128" s="3439">
        <f t="shared" si="49"/>
        <v>0</v>
      </c>
      <c r="BJ128" s="3439">
        <f t="shared" si="50"/>
        <v>0</v>
      </c>
      <c r="BK128" s="3439">
        <f t="shared" si="51"/>
        <v>0</v>
      </c>
      <c r="BL128" s="28">
        <f t="shared" si="52"/>
        <v>0</v>
      </c>
      <c r="BM128" s="28">
        <f t="shared" si="53"/>
        <v>0</v>
      </c>
      <c r="BN128" s="28">
        <f t="shared" si="54"/>
        <v>0</v>
      </c>
      <c r="BO128" s="28">
        <f t="shared" si="55"/>
        <v>0</v>
      </c>
      <c r="BP128" s="28">
        <f t="shared" si="56"/>
        <v>0</v>
      </c>
      <c r="BQ128" s="3439">
        <f t="shared" si="57"/>
        <v>0</v>
      </c>
      <c r="BR128" s="3439">
        <f t="shared" si="58"/>
        <v>0</v>
      </c>
      <c r="BS128" s="3439">
        <f t="shared" si="59"/>
        <v>0</v>
      </c>
      <c r="BT128" s="3451">
        <f t="shared" si="60"/>
        <v>0</v>
      </c>
    </row>
    <row r="129" spans="1:72">
      <c r="A129" s="9"/>
      <c r="B129" s="27"/>
      <c r="C129" s="27"/>
      <c r="D129" s="1678"/>
      <c r="E129" s="28">
        <f t="shared" si="61"/>
        <v>0</v>
      </c>
      <c r="F129" s="29"/>
      <c r="G129" s="30">
        <f t="shared" si="36"/>
        <v>0</v>
      </c>
      <c r="H129" s="31">
        <f t="shared" si="37"/>
        <v>0</v>
      </c>
      <c r="I129" s="32"/>
      <c r="J129" s="32"/>
      <c r="K129" s="32"/>
      <c r="L129" s="32"/>
      <c r="M129" s="32"/>
      <c r="N129" s="32"/>
      <c r="O129" s="32"/>
      <c r="P129" s="32"/>
      <c r="Q129" s="32"/>
      <c r="R129" s="32"/>
      <c r="S129" s="32"/>
      <c r="T129" s="32"/>
      <c r="U129" s="32"/>
      <c r="V129" s="32"/>
      <c r="W129" s="32"/>
      <c r="X129" s="32"/>
      <c r="Y129" s="32"/>
      <c r="Z129" s="32"/>
      <c r="AA129" s="32"/>
      <c r="AB129" s="32"/>
      <c r="AC129" s="28">
        <f t="shared" si="38"/>
        <v>0</v>
      </c>
      <c r="AD129" s="33"/>
      <c r="AE129" s="33"/>
      <c r="AF129" s="33"/>
      <c r="AG129" s="33"/>
      <c r="AH129" s="33"/>
      <c r="AI129" s="33"/>
      <c r="AJ129" s="33"/>
      <c r="AK129" s="33"/>
      <c r="AL129" s="33"/>
      <c r="AM129" s="33"/>
      <c r="AN129" s="33"/>
      <c r="AO129" s="33"/>
      <c r="AP129" s="33"/>
      <c r="AQ129" s="33"/>
      <c r="AR129" s="33"/>
      <c r="AS129" s="33"/>
      <c r="AT129" s="34"/>
      <c r="AU129" s="1679"/>
      <c r="AV129" s="2256">
        <f t="shared" si="62"/>
        <v>0</v>
      </c>
      <c r="AW129" s="2256">
        <f t="shared" si="63"/>
        <v>0</v>
      </c>
      <c r="AX129" s="2256">
        <f t="shared" si="64"/>
        <v>0</v>
      </c>
      <c r="AY129" s="2781">
        <f t="shared" si="39"/>
        <v>0</v>
      </c>
      <c r="AZ129" s="28">
        <f t="shared" si="40"/>
        <v>0</v>
      </c>
      <c r="BA129" s="28">
        <f t="shared" si="41"/>
        <v>0</v>
      </c>
      <c r="BB129" s="28">
        <f t="shared" si="42"/>
        <v>0</v>
      </c>
      <c r="BC129" s="28">
        <f t="shared" si="43"/>
        <v>0</v>
      </c>
      <c r="BD129" s="3439">
        <f t="shared" si="44"/>
        <v>0</v>
      </c>
      <c r="BE129" s="3439">
        <f t="shared" si="45"/>
        <v>0</v>
      </c>
      <c r="BF129" s="3439">
        <f t="shared" si="46"/>
        <v>0</v>
      </c>
      <c r="BG129" s="3439">
        <f t="shared" si="47"/>
        <v>0</v>
      </c>
      <c r="BH129" s="3439">
        <f t="shared" si="48"/>
        <v>0</v>
      </c>
      <c r="BI129" s="3439">
        <f t="shared" si="49"/>
        <v>0</v>
      </c>
      <c r="BJ129" s="3439">
        <f t="shared" si="50"/>
        <v>0</v>
      </c>
      <c r="BK129" s="3439">
        <f t="shared" si="51"/>
        <v>0</v>
      </c>
      <c r="BL129" s="28">
        <f t="shared" si="52"/>
        <v>0</v>
      </c>
      <c r="BM129" s="28">
        <f t="shared" si="53"/>
        <v>0</v>
      </c>
      <c r="BN129" s="28">
        <f t="shared" si="54"/>
        <v>0</v>
      </c>
      <c r="BO129" s="28">
        <f t="shared" si="55"/>
        <v>0</v>
      </c>
      <c r="BP129" s="28">
        <f t="shared" si="56"/>
        <v>0</v>
      </c>
      <c r="BQ129" s="3439">
        <f t="shared" si="57"/>
        <v>0</v>
      </c>
      <c r="BR129" s="3439">
        <f t="shared" si="58"/>
        <v>0</v>
      </c>
      <c r="BS129" s="3439">
        <f t="shared" si="59"/>
        <v>0</v>
      </c>
      <c r="BT129" s="3451">
        <f t="shared" si="60"/>
        <v>0</v>
      </c>
    </row>
    <row r="130" spans="1:72">
      <c r="A130" s="9"/>
      <c r="B130" s="27"/>
      <c r="C130" s="27"/>
      <c r="D130" s="1678"/>
      <c r="E130" s="28">
        <f t="shared" si="61"/>
        <v>0</v>
      </c>
      <c r="F130" s="29"/>
      <c r="G130" s="30">
        <f t="shared" si="36"/>
        <v>0</v>
      </c>
      <c r="H130" s="31">
        <f t="shared" si="37"/>
        <v>0</v>
      </c>
      <c r="I130" s="32"/>
      <c r="J130" s="32"/>
      <c r="K130" s="32"/>
      <c r="L130" s="32"/>
      <c r="M130" s="32"/>
      <c r="N130" s="32"/>
      <c r="O130" s="32"/>
      <c r="P130" s="32"/>
      <c r="Q130" s="32"/>
      <c r="R130" s="32"/>
      <c r="S130" s="32"/>
      <c r="T130" s="32"/>
      <c r="U130" s="32"/>
      <c r="V130" s="32"/>
      <c r="W130" s="32"/>
      <c r="X130" s="32"/>
      <c r="Y130" s="32"/>
      <c r="Z130" s="32"/>
      <c r="AA130" s="32"/>
      <c r="AB130" s="32"/>
      <c r="AC130" s="28">
        <f t="shared" si="38"/>
        <v>0</v>
      </c>
      <c r="AD130" s="33"/>
      <c r="AE130" s="33"/>
      <c r="AF130" s="33"/>
      <c r="AG130" s="33"/>
      <c r="AH130" s="33"/>
      <c r="AI130" s="33"/>
      <c r="AJ130" s="33"/>
      <c r="AK130" s="33"/>
      <c r="AL130" s="33"/>
      <c r="AM130" s="33"/>
      <c r="AN130" s="33"/>
      <c r="AO130" s="33"/>
      <c r="AP130" s="33"/>
      <c r="AQ130" s="33"/>
      <c r="AR130" s="33"/>
      <c r="AS130" s="33"/>
      <c r="AT130" s="34"/>
      <c r="AU130" s="1679"/>
      <c r="AV130" s="2256">
        <f t="shared" si="62"/>
        <v>0</v>
      </c>
      <c r="AW130" s="2256">
        <f t="shared" si="63"/>
        <v>0</v>
      </c>
      <c r="AX130" s="2256">
        <f t="shared" si="64"/>
        <v>0</v>
      </c>
      <c r="AY130" s="2781">
        <f t="shared" si="39"/>
        <v>0</v>
      </c>
      <c r="AZ130" s="28">
        <f t="shared" si="40"/>
        <v>0</v>
      </c>
      <c r="BA130" s="28">
        <f t="shared" si="41"/>
        <v>0</v>
      </c>
      <c r="BB130" s="28">
        <f t="shared" si="42"/>
        <v>0</v>
      </c>
      <c r="BC130" s="28">
        <f t="shared" si="43"/>
        <v>0</v>
      </c>
      <c r="BD130" s="3439">
        <f t="shared" si="44"/>
        <v>0</v>
      </c>
      <c r="BE130" s="3439">
        <f t="shared" si="45"/>
        <v>0</v>
      </c>
      <c r="BF130" s="3439">
        <f t="shared" si="46"/>
        <v>0</v>
      </c>
      <c r="BG130" s="3439">
        <f t="shared" si="47"/>
        <v>0</v>
      </c>
      <c r="BH130" s="3439">
        <f t="shared" si="48"/>
        <v>0</v>
      </c>
      <c r="BI130" s="3439">
        <f t="shared" si="49"/>
        <v>0</v>
      </c>
      <c r="BJ130" s="3439">
        <f t="shared" si="50"/>
        <v>0</v>
      </c>
      <c r="BK130" s="3439">
        <f t="shared" si="51"/>
        <v>0</v>
      </c>
      <c r="BL130" s="28">
        <f t="shared" si="52"/>
        <v>0</v>
      </c>
      <c r="BM130" s="28">
        <f t="shared" si="53"/>
        <v>0</v>
      </c>
      <c r="BN130" s="28">
        <f t="shared" si="54"/>
        <v>0</v>
      </c>
      <c r="BO130" s="28">
        <f t="shared" si="55"/>
        <v>0</v>
      </c>
      <c r="BP130" s="28">
        <f t="shared" si="56"/>
        <v>0</v>
      </c>
      <c r="BQ130" s="3439">
        <f t="shared" si="57"/>
        <v>0</v>
      </c>
      <c r="BR130" s="3439">
        <f t="shared" si="58"/>
        <v>0</v>
      </c>
      <c r="BS130" s="3439">
        <f t="shared" si="59"/>
        <v>0</v>
      </c>
      <c r="BT130" s="3451">
        <f t="shared" si="60"/>
        <v>0</v>
      </c>
    </row>
    <row r="131" spans="1:72">
      <c r="A131" s="9"/>
      <c r="B131" s="27"/>
      <c r="C131" s="27"/>
      <c r="D131" s="1678"/>
      <c r="E131" s="28">
        <f t="shared" si="61"/>
        <v>0</v>
      </c>
      <c r="F131" s="29"/>
      <c r="G131" s="30">
        <f t="shared" si="36"/>
        <v>0</v>
      </c>
      <c r="H131" s="31">
        <f t="shared" si="37"/>
        <v>0</v>
      </c>
      <c r="I131" s="32"/>
      <c r="J131" s="32"/>
      <c r="K131" s="32"/>
      <c r="L131" s="32"/>
      <c r="M131" s="32"/>
      <c r="N131" s="32"/>
      <c r="O131" s="32"/>
      <c r="P131" s="32"/>
      <c r="Q131" s="32"/>
      <c r="R131" s="32"/>
      <c r="S131" s="32"/>
      <c r="T131" s="32"/>
      <c r="U131" s="32"/>
      <c r="V131" s="32"/>
      <c r="W131" s="32"/>
      <c r="X131" s="32"/>
      <c r="Y131" s="32"/>
      <c r="Z131" s="32"/>
      <c r="AA131" s="32"/>
      <c r="AB131" s="32"/>
      <c r="AC131" s="28">
        <f t="shared" si="38"/>
        <v>0</v>
      </c>
      <c r="AD131" s="33"/>
      <c r="AE131" s="33"/>
      <c r="AF131" s="33"/>
      <c r="AG131" s="33"/>
      <c r="AH131" s="33"/>
      <c r="AI131" s="33"/>
      <c r="AJ131" s="33"/>
      <c r="AK131" s="33"/>
      <c r="AL131" s="33"/>
      <c r="AM131" s="33"/>
      <c r="AN131" s="33"/>
      <c r="AO131" s="33"/>
      <c r="AP131" s="33"/>
      <c r="AQ131" s="33"/>
      <c r="AR131" s="33"/>
      <c r="AS131" s="33"/>
      <c r="AT131" s="34"/>
      <c r="AU131" s="1679"/>
      <c r="AV131" s="2256">
        <f t="shared" si="62"/>
        <v>0</v>
      </c>
      <c r="AW131" s="2256">
        <f t="shared" si="63"/>
        <v>0</v>
      </c>
      <c r="AX131" s="2256">
        <f t="shared" si="64"/>
        <v>0</v>
      </c>
      <c r="AY131" s="2781">
        <f t="shared" si="39"/>
        <v>0</v>
      </c>
      <c r="AZ131" s="28">
        <f t="shared" si="40"/>
        <v>0</v>
      </c>
      <c r="BA131" s="28">
        <f t="shared" si="41"/>
        <v>0</v>
      </c>
      <c r="BB131" s="28">
        <f t="shared" si="42"/>
        <v>0</v>
      </c>
      <c r="BC131" s="28">
        <f t="shared" si="43"/>
        <v>0</v>
      </c>
      <c r="BD131" s="3439">
        <f t="shared" si="44"/>
        <v>0</v>
      </c>
      <c r="BE131" s="3439">
        <f t="shared" si="45"/>
        <v>0</v>
      </c>
      <c r="BF131" s="3439">
        <f t="shared" si="46"/>
        <v>0</v>
      </c>
      <c r="BG131" s="3439">
        <f t="shared" si="47"/>
        <v>0</v>
      </c>
      <c r="BH131" s="3439">
        <f t="shared" si="48"/>
        <v>0</v>
      </c>
      <c r="BI131" s="3439">
        <f t="shared" si="49"/>
        <v>0</v>
      </c>
      <c r="BJ131" s="3439">
        <f t="shared" si="50"/>
        <v>0</v>
      </c>
      <c r="BK131" s="3439">
        <f t="shared" si="51"/>
        <v>0</v>
      </c>
      <c r="BL131" s="28">
        <f t="shared" si="52"/>
        <v>0</v>
      </c>
      <c r="BM131" s="28">
        <f t="shared" si="53"/>
        <v>0</v>
      </c>
      <c r="BN131" s="28">
        <f t="shared" si="54"/>
        <v>0</v>
      </c>
      <c r="BO131" s="28">
        <f t="shared" si="55"/>
        <v>0</v>
      </c>
      <c r="BP131" s="28">
        <f t="shared" si="56"/>
        <v>0</v>
      </c>
      <c r="BQ131" s="3439">
        <f t="shared" si="57"/>
        <v>0</v>
      </c>
      <c r="BR131" s="3439">
        <f t="shared" si="58"/>
        <v>0</v>
      </c>
      <c r="BS131" s="3439">
        <f t="shared" si="59"/>
        <v>0</v>
      </c>
      <c r="BT131" s="3451">
        <f t="shared" si="60"/>
        <v>0</v>
      </c>
    </row>
    <row r="132" spans="1:72">
      <c r="A132" s="9"/>
      <c r="B132" s="27"/>
      <c r="C132" s="27"/>
      <c r="D132" s="1678"/>
      <c r="E132" s="28">
        <f t="shared" si="61"/>
        <v>0</v>
      </c>
      <c r="F132" s="29"/>
      <c r="G132" s="30">
        <f t="shared" si="36"/>
        <v>0</v>
      </c>
      <c r="H132" s="31">
        <f t="shared" si="37"/>
        <v>0</v>
      </c>
      <c r="I132" s="32"/>
      <c r="J132" s="32"/>
      <c r="K132" s="32"/>
      <c r="L132" s="32"/>
      <c r="M132" s="32"/>
      <c r="N132" s="32"/>
      <c r="O132" s="32"/>
      <c r="P132" s="32"/>
      <c r="Q132" s="32"/>
      <c r="R132" s="32"/>
      <c r="S132" s="32"/>
      <c r="T132" s="32"/>
      <c r="U132" s="32"/>
      <c r="V132" s="32"/>
      <c r="W132" s="32"/>
      <c r="X132" s="32"/>
      <c r="Y132" s="32"/>
      <c r="Z132" s="32"/>
      <c r="AA132" s="32"/>
      <c r="AB132" s="32"/>
      <c r="AC132" s="28">
        <f t="shared" si="38"/>
        <v>0</v>
      </c>
      <c r="AD132" s="33"/>
      <c r="AE132" s="33"/>
      <c r="AF132" s="33"/>
      <c r="AG132" s="33"/>
      <c r="AH132" s="33"/>
      <c r="AI132" s="33"/>
      <c r="AJ132" s="33"/>
      <c r="AK132" s="33"/>
      <c r="AL132" s="33"/>
      <c r="AM132" s="33"/>
      <c r="AN132" s="33"/>
      <c r="AO132" s="33"/>
      <c r="AP132" s="33"/>
      <c r="AQ132" s="33"/>
      <c r="AR132" s="33"/>
      <c r="AS132" s="33"/>
      <c r="AT132" s="34"/>
      <c r="AU132" s="1679"/>
      <c r="AV132" s="2256">
        <f t="shared" si="62"/>
        <v>0</v>
      </c>
      <c r="AW132" s="2256">
        <f t="shared" si="63"/>
        <v>0</v>
      </c>
      <c r="AX132" s="2256">
        <f t="shared" si="64"/>
        <v>0</v>
      </c>
      <c r="AY132" s="2781">
        <f t="shared" si="39"/>
        <v>0</v>
      </c>
      <c r="AZ132" s="28">
        <f t="shared" si="40"/>
        <v>0</v>
      </c>
      <c r="BA132" s="28">
        <f t="shared" si="41"/>
        <v>0</v>
      </c>
      <c r="BB132" s="28">
        <f t="shared" si="42"/>
        <v>0</v>
      </c>
      <c r="BC132" s="28">
        <f t="shared" si="43"/>
        <v>0</v>
      </c>
      <c r="BD132" s="3439">
        <f t="shared" si="44"/>
        <v>0</v>
      </c>
      <c r="BE132" s="3439">
        <f t="shared" si="45"/>
        <v>0</v>
      </c>
      <c r="BF132" s="3439">
        <f t="shared" si="46"/>
        <v>0</v>
      </c>
      <c r="BG132" s="3439">
        <f t="shared" si="47"/>
        <v>0</v>
      </c>
      <c r="BH132" s="3439">
        <f t="shared" si="48"/>
        <v>0</v>
      </c>
      <c r="BI132" s="3439">
        <f t="shared" si="49"/>
        <v>0</v>
      </c>
      <c r="BJ132" s="3439">
        <f t="shared" si="50"/>
        <v>0</v>
      </c>
      <c r="BK132" s="3439">
        <f t="shared" si="51"/>
        <v>0</v>
      </c>
      <c r="BL132" s="28">
        <f t="shared" si="52"/>
        <v>0</v>
      </c>
      <c r="BM132" s="28">
        <f t="shared" si="53"/>
        <v>0</v>
      </c>
      <c r="BN132" s="28">
        <f t="shared" si="54"/>
        <v>0</v>
      </c>
      <c r="BO132" s="28">
        <f t="shared" si="55"/>
        <v>0</v>
      </c>
      <c r="BP132" s="28">
        <f t="shared" si="56"/>
        <v>0</v>
      </c>
      <c r="BQ132" s="3439">
        <f t="shared" si="57"/>
        <v>0</v>
      </c>
      <c r="BR132" s="3439">
        <f t="shared" si="58"/>
        <v>0</v>
      </c>
      <c r="BS132" s="3439">
        <f t="shared" si="59"/>
        <v>0</v>
      </c>
      <c r="BT132" s="3451">
        <f t="shared" si="60"/>
        <v>0</v>
      </c>
    </row>
    <row r="133" spans="1:72">
      <c r="A133" s="9"/>
      <c r="B133" s="27"/>
      <c r="C133" s="27"/>
      <c r="D133" s="1678"/>
      <c r="E133" s="28">
        <f t="shared" si="61"/>
        <v>0</v>
      </c>
      <c r="F133" s="29"/>
      <c r="G133" s="30">
        <f t="shared" si="36"/>
        <v>0</v>
      </c>
      <c r="H133" s="31">
        <f t="shared" si="37"/>
        <v>0</v>
      </c>
      <c r="I133" s="32"/>
      <c r="J133" s="32"/>
      <c r="K133" s="32"/>
      <c r="L133" s="32"/>
      <c r="M133" s="32"/>
      <c r="N133" s="32"/>
      <c r="O133" s="32"/>
      <c r="P133" s="32"/>
      <c r="Q133" s="32"/>
      <c r="R133" s="32"/>
      <c r="S133" s="32"/>
      <c r="T133" s="32"/>
      <c r="U133" s="32"/>
      <c r="V133" s="32"/>
      <c r="W133" s="32"/>
      <c r="X133" s="32"/>
      <c r="Y133" s="32"/>
      <c r="Z133" s="32"/>
      <c r="AA133" s="32"/>
      <c r="AB133" s="32"/>
      <c r="AC133" s="28">
        <f t="shared" si="38"/>
        <v>0</v>
      </c>
      <c r="AD133" s="33"/>
      <c r="AE133" s="33"/>
      <c r="AF133" s="33"/>
      <c r="AG133" s="33"/>
      <c r="AH133" s="33"/>
      <c r="AI133" s="33"/>
      <c r="AJ133" s="33"/>
      <c r="AK133" s="33"/>
      <c r="AL133" s="33"/>
      <c r="AM133" s="33"/>
      <c r="AN133" s="33"/>
      <c r="AO133" s="33"/>
      <c r="AP133" s="33"/>
      <c r="AQ133" s="33"/>
      <c r="AR133" s="33"/>
      <c r="AS133" s="33"/>
      <c r="AT133" s="34"/>
      <c r="AU133" s="1679"/>
      <c r="AV133" s="2256">
        <f t="shared" si="62"/>
        <v>0</v>
      </c>
      <c r="AW133" s="2256">
        <f t="shared" si="63"/>
        <v>0</v>
      </c>
      <c r="AX133" s="2256">
        <f t="shared" si="64"/>
        <v>0</v>
      </c>
      <c r="AY133" s="2781">
        <f t="shared" si="39"/>
        <v>0</v>
      </c>
      <c r="AZ133" s="28">
        <f t="shared" si="40"/>
        <v>0</v>
      </c>
      <c r="BA133" s="28">
        <f t="shared" si="41"/>
        <v>0</v>
      </c>
      <c r="BB133" s="28">
        <f t="shared" si="42"/>
        <v>0</v>
      </c>
      <c r="BC133" s="28">
        <f t="shared" si="43"/>
        <v>0</v>
      </c>
      <c r="BD133" s="3439">
        <f t="shared" si="44"/>
        <v>0</v>
      </c>
      <c r="BE133" s="3439">
        <f t="shared" si="45"/>
        <v>0</v>
      </c>
      <c r="BF133" s="3439">
        <f t="shared" si="46"/>
        <v>0</v>
      </c>
      <c r="BG133" s="3439">
        <f t="shared" si="47"/>
        <v>0</v>
      </c>
      <c r="BH133" s="3439">
        <f t="shared" si="48"/>
        <v>0</v>
      </c>
      <c r="BI133" s="3439">
        <f t="shared" si="49"/>
        <v>0</v>
      </c>
      <c r="BJ133" s="3439">
        <f t="shared" si="50"/>
        <v>0</v>
      </c>
      <c r="BK133" s="3439">
        <f t="shared" si="51"/>
        <v>0</v>
      </c>
      <c r="BL133" s="28">
        <f t="shared" si="52"/>
        <v>0</v>
      </c>
      <c r="BM133" s="28">
        <f t="shared" si="53"/>
        <v>0</v>
      </c>
      <c r="BN133" s="28">
        <f t="shared" si="54"/>
        <v>0</v>
      </c>
      <c r="BO133" s="28">
        <f t="shared" si="55"/>
        <v>0</v>
      </c>
      <c r="BP133" s="28">
        <f t="shared" si="56"/>
        <v>0</v>
      </c>
      <c r="BQ133" s="3439">
        <f t="shared" si="57"/>
        <v>0</v>
      </c>
      <c r="BR133" s="3439">
        <f t="shared" si="58"/>
        <v>0</v>
      </c>
      <c r="BS133" s="3439">
        <f t="shared" si="59"/>
        <v>0</v>
      </c>
      <c r="BT133" s="3451">
        <f t="shared" si="60"/>
        <v>0</v>
      </c>
    </row>
    <row r="134" spans="1:72">
      <c r="A134" s="9"/>
      <c r="B134" s="27"/>
      <c r="C134" s="27"/>
      <c r="D134" s="1678"/>
      <c r="E134" s="28">
        <f t="shared" si="61"/>
        <v>0</v>
      </c>
      <c r="F134" s="29"/>
      <c r="G134" s="30">
        <f t="shared" si="36"/>
        <v>0</v>
      </c>
      <c r="H134" s="31">
        <f t="shared" si="37"/>
        <v>0</v>
      </c>
      <c r="I134" s="32"/>
      <c r="J134" s="32"/>
      <c r="K134" s="32"/>
      <c r="L134" s="32"/>
      <c r="M134" s="32"/>
      <c r="N134" s="32"/>
      <c r="O134" s="32"/>
      <c r="P134" s="32"/>
      <c r="Q134" s="32"/>
      <c r="R134" s="32"/>
      <c r="S134" s="32"/>
      <c r="T134" s="32"/>
      <c r="U134" s="32"/>
      <c r="V134" s="32"/>
      <c r="W134" s="32"/>
      <c r="X134" s="32"/>
      <c r="Y134" s="32"/>
      <c r="Z134" s="32"/>
      <c r="AA134" s="32"/>
      <c r="AB134" s="32"/>
      <c r="AC134" s="28">
        <f t="shared" si="38"/>
        <v>0</v>
      </c>
      <c r="AD134" s="33"/>
      <c r="AE134" s="33"/>
      <c r="AF134" s="33"/>
      <c r="AG134" s="33"/>
      <c r="AH134" s="33"/>
      <c r="AI134" s="33"/>
      <c r="AJ134" s="33"/>
      <c r="AK134" s="33"/>
      <c r="AL134" s="33"/>
      <c r="AM134" s="33"/>
      <c r="AN134" s="33"/>
      <c r="AO134" s="33"/>
      <c r="AP134" s="33"/>
      <c r="AQ134" s="33"/>
      <c r="AR134" s="33"/>
      <c r="AS134" s="33"/>
      <c r="AT134" s="34"/>
      <c r="AU134" s="1679"/>
      <c r="AV134" s="2256">
        <f t="shared" si="62"/>
        <v>0</v>
      </c>
      <c r="AW134" s="2256">
        <f t="shared" si="63"/>
        <v>0</v>
      </c>
      <c r="AX134" s="2256">
        <f t="shared" si="64"/>
        <v>0</v>
      </c>
      <c r="AY134" s="2781">
        <f t="shared" si="39"/>
        <v>0</v>
      </c>
      <c r="AZ134" s="28">
        <f t="shared" si="40"/>
        <v>0</v>
      </c>
      <c r="BA134" s="28">
        <f t="shared" si="41"/>
        <v>0</v>
      </c>
      <c r="BB134" s="28">
        <f t="shared" si="42"/>
        <v>0</v>
      </c>
      <c r="BC134" s="28">
        <f t="shared" si="43"/>
        <v>0</v>
      </c>
      <c r="BD134" s="3439">
        <f t="shared" si="44"/>
        <v>0</v>
      </c>
      <c r="BE134" s="3439">
        <f t="shared" si="45"/>
        <v>0</v>
      </c>
      <c r="BF134" s="3439">
        <f t="shared" si="46"/>
        <v>0</v>
      </c>
      <c r="BG134" s="3439">
        <f t="shared" si="47"/>
        <v>0</v>
      </c>
      <c r="BH134" s="3439">
        <f t="shared" si="48"/>
        <v>0</v>
      </c>
      <c r="BI134" s="3439">
        <f t="shared" si="49"/>
        <v>0</v>
      </c>
      <c r="BJ134" s="3439">
        <f t="shared" si="50"/>
        <v>0</v>
      </c>
      <c r="BK134" s="3439">
        <f t="shared" si="51"/>
        <v>0</v>
      </c>
      <c r="BL134" s="28">
        <f t="shared" si="52"/>
        <v>0</v>
      </c>
      <c r="BM134" s="28">
        <f t="shared" si="53"/>
        <v>0</v>
      </c>
      <c r="BN134" s="28">
        <f t="shared" si="54"/>
        <v>0</v>
      </c>
      <c r="BO134" s="28">
        <f t="shared" si="55"/>
        <v>0</v>
      </c>
      <c r="BP134" s="28">
        <f t="shared" si="56"/>
        <v>0</v>
      </c>
      <c r="BQ134" s="3439">
        <f t="shared" si="57"/>
        <v>0</v>
      </c>
      <c r="BR134" s="3439">
        <f t="shared" si="58"/>
        <v>0</v>
      </c>
      <c r="BS134" s="3439">
        <f t="shared" si="59"/>
        <v>0</v>
      </c>
      <c r="BT134" s="3451">
        <f t="shared" si="60"/>
        <v>0</v>
      </c>
    </row>
    <row r="135" spans="1:72">
      <c r="A135" s="9"/>
      <c r="B135" s="27"/>
      <c r="C135" s="27"/>
      <c r="D135" s="1678"/>
      <c r="E135" s="28">
        <f t="shared" si="61"/>
        <v>0</v>
      </c>
      <c r="F135" s="29"/>
      <c r="G135" s="30">
        <f t="shared" si="36"/>
        <v>0</v>
      </c>
      <c r="H135" s="31">
        <f t="shared" si="37"/>
        <v>0</v>
      </c>
      <c r="I135" s="32"/>
      <c r="J135" s="32"/>
      <c r="K135" s="32"/>
      <c r="L135" s="32"/>
      <c r="M135" s="32"/>
      <c r="N135" s="32"/>
      <c r="O135" s="32"/>
      <c r="P135" s="32"/>
      <c r="Q135" s="32"/>
      <c r="R135" s="32"/>
      <c r="S135" s="32"/>
      <c r="T135" s="32"/>
      <c r="U135" s="32"/>
      <c r="V135" s="32"/>
      <c r="W135" s="32"/>
      <c r="X135" s="32"/>
      <c r="Y135" s="32"/>
      <c r="Z135" s="32"/>
      <c r="AA135" s="32"/>
      <c r="AB135" s="32"/>
      <c r="AC135" s="28">
        <f t="shared" si="38"/>
        <v>0</v>
      </c>
      <c r="AD135" s="33"/>
      <c r="AE135" s="33"/>
      <c r="AF135" s="33"/>
      <c r="AG135" s="33"/>
      <c r="AH135" s="33"/>
      <c r="AI135" s="33"/>
      <c r="AJ135" s="33"/>
      <c r="AK135" s="33"/>
      <c r="AL135" s="33"/>
      <c r="AM135" s="33"/>
      <c r="AN135" s="33"/>
      <c r="AO135" s="33"/>
      <c r="AP135" s="33"/>
      <c r="AQ135" s="33"/>
      <c r="AR135" s="33"/>
      <c r="AS135" s="33"/>
      <c r="AT135" s="34"/>
      <c r="AU135" s="1679"/>
      <c r="AV135" s="2256">
        <f t="shared" si="62"/>
        <v>0</v>
      </c>
      <c r="AW135" s="2256">
        <f t="shared" si="63"/>
        <v>0</v>
      </c>
      <c r="AX135" s="2256">
        <f t="shared" si="64"/>
        <v>0</v>
      </c>
      <c r="AY135" s="2781">
        <f t="shared" si="39"/>
        <v>0</v>
      </c>
      <c r="AZ135" s="28">
        <f t="shared" si="40"/>
        <v>0</v>
      </c>
      <c r="BA135" s="28">
        <f t="shared" si="41"/>
        <v>0</v>
      </c>
      <c r="BB135" s="28">
        <f t="shared" si="42"/>
        <v>0</v>
      </c>
      <c r="BC135" s="28">
        <f t="shared" si="43"/>
        <v>0</v>
      </c>
      <c r="BD135" s="3439">
        <f t="shared" si="44"/>
        <v>0</v>
      </c>
      <c r="BE135" s="3439">
        <f t="shared" si="45"/>
        <v>0</v>
      </c>
      <c r="BF135" s="3439">
        <f t="shared" si="46"/>
        <v>0</v>
      </c>
      <c r="BG135" s="3439">
        <f t="shared" si="47"/>
        <v>0</v>
      </c>
      <c r="BH135" s="3439">
        <f t="shared" si="48"/>
        <v>0</v>
      </c>
      <c r="BI135" s="3439">
        <f t="shared" si="49"/>
        <v>0</v>
      </c>
      <c r="BJ135" s="3439">
        <f t="shared" si="50"/>
        <v>0</v>
      </c>
      <c r="BK135" s="3439">
        <f t="shared" si="51"/>
        <v>0</v>
      </c>
      <c r="BL135" s="28">
        <f t="shared" si="52"/>
        <v>0</v>
      </c>
      <c r="BM135" s="28">
        <f t="shared" si="53"/>
        <v>0</v>
      </c>
      <c r="BN135" s="28">
        <f t="shared" si="54"/>
        <v>0</v>
      </c>
      <c r="BO135" s="28">
        <f t="shared" si="55"/>
        <v>0</v>
      </c>
      <c r="BP135" s="28">
        <f t="shared" si="56"/>
        <v>0</v>
      </c>
      <c r="BQ135" s="3439">
        <f t="shared" si="57"/>
        <v>0</v>
      </c>
      <c r="BR135" s="3439">
        <f t="shared" si="58"/>
        <v>0</v>
      </c>
      <c r="BS135" s="3439">
        <f t="shared" si="59"/>
        <v>0</v>
      </c>
      <c r="BT135" s="3451">
        <f t="shared" si="60"/>
        <v>0</v>
      </c>
    </row>
    <row r="136" spans="1:72">
      <c r="A136" s="9"/>
      <c r="B136" s="27"/>
      <c r="C136" s="27"/>
      <c r="D136" s="1678"/>
      <c r="E136" s="28">
        <f t="shared" si="61"/>
        <v>0</v>
      </c>
      <c r="F136" s="29"/>
      <c r="G136" s="30">
        <f t="shared" si="36"/>
        <v>0</v>
      </c>
      <c r="H136" s="31">
        <f t="shared" si="37"/>
        <v>0</v>
      </c>
      <c r="I136" s="32"/>
      <c r="J136" s="32"/>
      <c r="K136" s="32"/>
      <c r="L136" s="32"/>
      <c r="M136" s="32"/>
      <c r="N136" s="32"/>
      <c r="O136" s="32"/>
      <c r="P136" s="32"/>
      <c r="Q136" s="32"/>
      <c r="R136" s="32"/>
      <c r="S136" s="32"/>
      <c r="T136" s="32"/>
      <c r="U136" s="32"/>
      <c r="V136" s="32"/>
      <c r="W136" s="32"/>
      <c r="X136" s="32"/>
      <c r="Y136" s="32"/>
      <c r="Z136" s="32"/>
      <c r="AA136" s="32"/>
      <c r="AB136" s="32"/>
      <c r="AC136" s="28">
        <f t="shared" si="38"/>
        <v>0</v>
      </c>
      <c r="AD136" s="33"/>
      <c r="AE136" s="33"/>
      <c r="AF136" s="33"/>
      <c r="AG136" s="33"/>
      <c r="AH136" s="33"/>
      <c r="AI136" s="33"/>
      <c r="AJ136" s="33"/>
      <c r="AK136" s="33"/>
      <c r="AL136" s="33"/>
      <c r="AM136" s="33"/>
      <c r="AN136" s="33"/>
      <c r="AO136" s="33"/>
      <c r="AP136" s="33"/>
      <c r="AQ136" s="33"/>
      <c r="AR136" s="33"/>
      <c r="AS136" s="33"/>
      <c r="AT136" s="34"/>
      <c r="AU136" s="1679"/>
      <c r="AV136" s="2256">
        <f t="shared" si="62"/>
        <v>0</v>
      </c>
      <c r="AW136" s="2256">
        <f t="shared" si="63"/>
        <v>0</v>
      </c>
      <c r="AX136" s="2256">
        <f t="shared" si="64"/>
        <v>0</v>
      </c>
      <c r="AY136" s="2781">
        <f t="shared" si="39"/>
        <v>0</v>
      </c>
      <c r="AZ136" s="28">
        <f t="shared" si="40"/>
        <v>0</v>
      </c>
      <c r="BA136" s="28">
        <f t="shared" si="41"/>
        <v>0</v>
      </c>
      <c r="BB136" s="28">
        <f t="shared" si="42"/>
        <v>0</v>
      </c>
      <c r="BC136" s="28">
        <f t="shared" si="43"/>
        <v>0</v>
      </c>
      <c r="BD136" s="3439">
        <f t="shared" si="44"/>
        <v>0</v>
      </c>
      <c r="BE136" s="3439">
        <f t="shared" si="45"/>
        <v>0</v>
      </c>
      <c r="BF136" s="3439">
        <f t="shared" si="46"/>
        <v>0</v>
      </c>
      <c r="BG136" s="3439">
        <f t="shared" si="47"/>
        <v>0</v>
      </c>
      <c r="BH136" s="3439">
        <f t="shared" si="48"/>
        <v>0</v>
      </c>
      <c r="BI136" s="3439">
        <f t="shared" si="49"/>
        <v>0</v>
      </c>
      <c r="BJ136" s="3439">
        <f t="shared" si="50"/>
        <v>0</v>
      </c>
      <c r="BK136" s="3439">
        <f t="shared" si="51"/>
        <v>0</v>
      </c>
      <c r="BL136" s="28">
        <f t="shared" si="52"/>
        <v>0</v>
      </c>
      <c r="BM136" s="28">
        <f t="shared" si="53"/>
        <v>0</v>
      </c>
      <c r="BN136" s="28">
        <f t="shared" si="54"/>
        <v>0</v>
      </c>
      <c r="BO136" s="28">
        <f t="shared" si="55"/>
        <v>0</v>
      </c>
      <c r="BP136" s="28">
        <f t="shared" si="56"/>
        <v>0</v>
      </c>
      <c r="BQ136" s="3439">
        <f t="shared" si="57"/>
        <v>0</v>
      </c>
      <c r="BR136" s="3439">
        <f t="shared" si="58"/>
        <v>0</v>
      </c>
      <c r="BS136" s="3439">
        <f t="shared" si="59"/>
        <v>0</v>
      </c>
      <c r="BT136" s="3451">
        <f t="shared" si="60"/>
        <v>0</v>
      </c>
    </row>
    <row r="137" spans="1:72">
      <c r="A137" s="9"/>
      <c r="B137" s="27"/>
      <c r="C137" s="27"/>
      <c r="D137" s="1678"/>
      <c r="E137" s="28">
        <f t="shared" si="61"/>
        <v>0</v>
      </c>
      <c r="F137" s="29"/>
      <c r="G137" s="30">
        <f t="shared" si="36"/>
        <v>0</v>
      </c>
      <c r="H137" s="31">
        <f t="shared" si="37"/>
        <v>0</v>
      </c>
      <c r="I137" s="32"/>
      <c r="J137" s="32"/>
      <c r="K137" s="32"/>
      <c r="L137" s="32"/>
      <c r="M137" s="32"/>
      <c r="N137" s="32"/>
      <c r="O137" s="32"/>
      <c r="P137" s="32"/>
      <c r="Q137" s="32"/>
      <c r="R137" s="32"/>
      <c r="S137" s="32"/>
      <c r="T137" s="32"/>
      <c r="U137" s="32"/>
      <c r="V137" s="32"/>
      <c r="W137" s="32"/>
      <c r="X137" s="32"/>
      <c r="Y137" s="32"/>
      <c r="Z137" s="32"/>
      <c r="AA137" s="32"/>
      <c r="AB137" s="32"/>
      <c r="AC137" s="28">
        <f t="shared" si="38"/>
        <v>0</v>
      </c>
      <c r="AD137" s="33"/>
      <c r="AE137" s="33"/>
      <c r="AF137" s="33"/>
      <c r="AG137" s="33"/>
      <c r="AH137" s="33"/>
      <c r="AI137" s="33"/>
      <c r="AJ137" s="33"/>
      <c r="AK137" s="33"/>
      <c r="AL137" s="33"/>
      <c r="AM137" s="33"/>
      <c r="AN137" s="33"/>
      <c r="AO137" s="33"/>
      <c r="AP137" s="33"/>
      <c r="AQ137" s="33"/>
      <c r="AR137" s="33"/>
      <c r="AS137" s="33"/>
      <c r="AT137" s="34"/>
      <c r="AU137" s="1679"/>
      <c r="AV137" s="2256">
        <f t="shared" si="62"/>
        <v>0</v>
      </c>
      <c r="AW137" s="2256">
        <f t="shared" si="63"/>
        <v>0</v>
      </c>
      <c r="AX137" s="2256">
        <f t="shared" si="64"/>
        <v>0</v>
      </c>
      <c r="AY137" s="2781">
        <f t="shared" si="39"/>
        <v>0</v>
      </c>
      <c r="AZ137" s="28">
        <f t="shared" si="40"/>
        <v>0</v>
      </c>
      <c r="BA137" s="28">
        <f t="shared" si="41"/>
        <v>0</v>
      </c>
      <c r="BB137" s="28">
        <f t="shared" si="42"/>
        <v>0</v>
      </c>
      <c r="BC137" s="28">
        <f t="shared" si="43"/>
        <v>0</v>
      </c>
      <c r="BD137" s="3439">
        <f t="shared" si="44"/>
        <v>0</v>
      </c>
      <c r="BE137" s="3439">
        <f t="shared" si="45"/>
        <v>0</v>
      </c>
      <c r="BF137" s="3439">
        <f t="shared" si="46"/>
        <v>0</v>
      </c>
      <c r="BG137" s="3439">
        <f t="shared" si="47"/>
        <v>0</v>
      </c>
      <c r="BH137" s="3439">
        <f t="shared" si="48"/>
        <v>0</v>
      </c>
      <c r="BI137" s="3439">
        <f t="shared" si="49"/>
        <v>0</v>
      </c>
      <c r="BJ137" s="3439">
        <f t="shared" si="50"/>
        <v>0</v>
      </c>
      <c r="BK137" s="3439">
        <f t="shared" si="51"/>
        <v>0</v>
      </c>
      <c r="BL137" s="28">
        <f t="shared" si="52"/>
        <v>0</v>
      </c>
      <c r="BM137" s="28">
        <f t="shared" si="53"/>
        <v>0</v>
      </c>
      <c r="BN137" s="28">
        <f t="shared" si="54"/>
        <v>0</v>
      </c>
      <c r="BO137" s="28">
        <f t="shared" si="55"/>
        <v>0</v>
      </c>
      <c r="BP137" s="28">
        <f t="shared" si="56"/>
        <v>0</v>
      </c>
      <c r="BQ137" s="3439">
        <f t="shared" si="57"/>
        <v>0</v>
      </c>
      <c r="BR137" s="3439">
        <f t="shared" si="58"/>
        <v>0</v>
      </c>
      <c r="BS137" s="3439">
        <f t="shared" si="59"/>
        <v>0</v>
      </c>
      <c r="BT137" s="3451">
        <f t="shared" si="60"/>
        <v>0</v>
      </c>
    </row>
    <row r="138" spans="1:72">
      <c r="A138" s="9"/>
      <c r="B138" s="27"/>
      <c r="C138" s="27"/>
      <c r="D138" s="1678"/>
      <c r="E138" s="28">
        <f t="shared" si="61"/>
        <v>0</v>
      </c>
      <c r="F138" s="29"/>
      <c r="G138" s="30">
        <f t="shared" si="36"/>
        <v>0</v>
      </c>
      <c r="H138" s="31">
        <f t="shared" si="37"/>
        <v>0</v>
      </c>
      <c r="I138" s="32"/>
      <c r="J138" s="32"/>
      <c r="K138" s="32"/>
      <c r="L138" s="32"/>
      <c r="M138" s="32"/>
      <c r="N138" s="32"/>
      <c r="O138" s="32"/>
      <c r="P138" s="32"/>
      <c r="Q138" s="32"/>
      <c r="R138" s="32"/>
      <c r="S138" s="32"/>
      <c r="T138" s="32"/>
      <c r="U138" s="32"/>
      <c r="V138" s="32"/>
      <c r="W138" s="32"/>
      <c r="X138" s="32"/>
      <c r="Y138" s="32"/>
      <c r="Z138" s="32"/>
      <c r="AA138" s="32"/>
      <c r="AB138" s="32"/>
      <c r="AC138" s="28">
        <f t="shared" si="38"/>
        <v>0</v>
      </c>
      <c r="AD138" s="33"/>
      <c r="AE138" s="33"/>
      <c r="AF138" s="33"/>
      <c r="AG138" s="33"/>
      <c r="AH138" s="33"/>
      <c r="AI138" s="33"/>
      <c r="AJ138" s="33"/>
      <c r="AK138" s="33"/>
      <c r="AL138" s="33"/>
      <c r="AM138" s="33"/>
      <c r="AN138" s="33"/>
      <c r="AO138" s="33"/>
      <c r="AP138" s="33"/>
      <c r="AQ138" s="33"/>
      <c r="AR138" s="33"/>
      <c r="AS138" s="33"/>
      <c r="AT138" s="34"/>
      <c r="AU138" s="1679"/>
      <c r="AV138" s="2256">
        <f t="shared" si="62"/>
        <v>0</v>
      </c>
      <c r="AW138" s="2256">
        <f t="shared" si="63"/>
        <v>0</v>
      </c>
      <c r="AX138" s="2256">
        <f t="shared" si="64"/>
        <v>0</v>
      </c>
      <c r="AY138" s="2781">
        <f t="shared" si="39"/>
        <v>0</v>
      </c>
      <c r="AZ138" s="28">
        <f t="shared" si="40"/>
        <v>0</v>
      </c>
      <c r="BA138" s="28">
        <f t="shared" si="41"/>
        <v>0</v>
      </c>
      <c r="BB138" s="28">
        <f t="shared" si="42"/>
        <v>0</v>
      </c>
      <c r="BC138" s="28">
        <f t="shared" si="43"/>
        <v>0</v>
      </c>
      <c r="BD138" s="3439">
        <f t="shared" si="44"/>
        <v>0</v>
      </c>
      <c r="BE138" s="3439">
        <f t="shared" si="45"/>
        <v>0</v>
      </c>
      <c r="BF138" s="3439">
        <f t="shared" si="46"/>
        <v>0</v>
      </c>
      <c r="BG138" s="3439">
        <f t="shared" si="47"/>
        <v>0</v>
      </c>
      <c r="BH138" s="3439">
        <f t="shared" si="48"/>
        <v>0</v>
      </c>
      <c r="BI138" s="3439">
        <f t="shared" si="49"/>
        <v>0</v>
      </c>
      <c r="BJ138" s="3439">
        <f t="shared" si="50"/>
        <v>0</v>
      </c>
      <c r="BK138" s="3439">
        <f t="shared" si="51"/>
        <v>0</v>
      </c>
      <c r="BL138" s="28">
        <f t="shared" si="52"/>
        <v>0</v>
      </c>
      <c r="BM138" s="28">
        <f t="shared" si="53"/>
        <v>0</v>
      </c>
      <c r="BN138" s="28">
        <f t="shared" si="54"/>
        <v>0</v>
      </c>
      <c r="BO138" s="28">
        <f t="shared" si="55"/>
        <v>0</v>
      </c>
      <c r="BP138" s="28">
        <f t="shared" si="56"/>
        <v>0</v>
      </c>
      <c r="BQ138" s="3439">
        <f t="shared" si="57"/>
        <v>0</v>
      </c>
      <c r="BR138" s="3439">
        <f t="shared" si="58"/>
        <v>0</v>
      </c>
      <c r="BS138" s="3439">
        <f t="shared" si="59"/>
        <v>0</v>
      </c>
      <c r="BT138" s="3451">
        <f t="shared" si="60"/>
        <v>0</v>
      </c>
    </row>
    <row r="139" spans="1:72">
      <c r="A139" s="9"/>
      <c r="B139" s="27"/>
      <c r="C139" s="27"/>
      <c r="D139" s="1678"/>
      <c r="E139" s="28">
        <f t="shared" si="61"/>
        <v>0</v>
      </c>
      <c r="F139" s="29"/>
      <c r="G139" s="30">
        <f t="shared" si="36"/>
        <v>0</v>
      </c>
      <c r="H139" s="31">
        <f t="shared" si="37"/>
        <v>0</v>
      </c>
      <c r="I139" s="32"/>
      <c r="J139" s="32"/>
      <c r="K139" s="32"/>
      <c r="L139" s="32"/>
      <c r="M139" s="32"/>
      <c r="N139" s="32"/>
      <c r="O139" s="32"/>
      <c r="P139" s="32"/>
      <c r="Q139" s="32"/>
      <c r="R139" s="32"/>
      <c r="S139" s="32"/>
      <c r="T139" s="32"/>
      <c r="U139" s="32"/>
      <c r="V139" s="32"/>
      <c r="W139" s="32"/>
      <c r="X139" s="32"/>
      <c r="Y139" s="32"/>
      <c r="Z139" s="32"/>
      <c r="AA139" s="32"/>
      <c r="AB139" s="32"/>
      <c r="AC139" s="28">
        <f t="shared" si="38"/>
        <v>0</v>
      </c>
      <c r="AD139" s="33"/>
      <c r="AE139" s="33"/>
      <c r="AF139" s="33"/>
      <c r="AG139" s="33"/>
      <c r="AH139" s="33"/>
      <c r="AI139" s="33"/>
      <c r="AJ139" s="33"/>
      <c r="AK139" s="33"/>
      <c r="AL139" s="33"/>
      <c r="AM139" s="33"/>
      <c r="AN139" s="33"/>
      <c r="AO139" s="33"/>
      <c r="AP139" s="33"/>
      <c r="AQ139" s="33"/>
      <c r="AR139" s="33"/>
      <c r="AS139" s="33"/>
      <c r="AT139" s="34"/>
      <c r="AU139" s="1679"/>
      <c r="AV139" s="2256">
        <f t="shared" si="62"/>
        <v>0</v>
      </c>
      <c r="AW139" s="2256">
        <f t="shared" si="63"/>
        <v>0</v>
      </c>
      <c r="AX139" s="2256">
        <f t="shared" si="64"/>
        <v>0</v>
      </c>
      <c r="AY139" s="2781">
        <f t="shared" si="39"/>
        <v>0</v>
      </c>
      <c r="AZ139" s="28">
        <f t="shared" si="40"/>
        <v>0</v>
      </c>
      <c r="BA139" s="28">
        <f t="shared" si="41"/>
        <v>0</v>
      </c>
      <c r="BB139" s="28">
        <f t="shared" si="42"/>
        <v>0</v>
      </c>
      <c r="BC139" s="28">
        <f t="shared" si="43"/>
        <v>0</v>
      </c>
      <c r="BD139" s="3439">
        <f t="shared" si="44"/>
        <v>0</v>
      </c>
      <c r="BE139" s="3439">
        <f t="shared" si="45"/>
        <v>0</v>
      </c>
      <c r="BF139" s="3439">
        <f t="shared" si="46"/>
        <v>0</v>
      </c>
      <c r="BG139" s="3439">
        <f t="shared" si="47"/>
        <v>0</v>
      </c>
      <c r="BH139" s="3439">
        <f t="shared" si="48"/>
        <v>0</v>
      </c>
      <c r="BI139" s="3439">
        <f t="shared" si="49"/>
        <v>0</v>
      </c>
      <c r="BJ139" s="3439">
        <f t="shared" si="50"/>
        <v>0</v>
      </c>
      <c r="BK139" s="3439">
        <f t="shared" si="51"/>
        <v>0</v>
      </c>
      <c r="BL139" s="28">
        <f t="shared" si="52"/>
        <v>0</v>
      </c>
      <c r="BM139" s="28">
        <f t="shared" si="53"/>
        <v>0</v>
      </c>
      <c r="BN139" s="28">
        <f t="shared" si="54"/>
        <v>0</v>
      </c>
      <c r="BO139" s="28">
        <f t="shared" si="55"/>
        <v>0</v>
      </c>
      <c r="BP139" s="28">
        <f t="shared" si="56"/>
        <v>0</v>
      </c>
      <c r="BQ139" s="3439">
        <f t="shared" si="57"/>
        <v>0</v>
      </c>
      <c r="BR139" s="3439">
        <f t="shared" si="58"/>
        <v>0</v>
      </c>
      <c r="BS139" s="3439">
        <f t="shared" si="59"/>
        <v>0</v>
      </c>
      <c r="BT139" s="3451">
        <f t="shared" si="60"/>
        <v>0</v>
      </c>
    </row>
    <row r="140" spans="1:72">
      <c r="A140" s="9"/>
      <c r="B140" s="27"/>
      <c r="C140" s="27"/>
      <c r="D140" s="1678"/>
      <c r="E140" s="28">
        <f t="shared" si="61"/>
        <v>0</v>
      </c>
      <c r="F140" s="29"/>
      <c r="G140" s="30">
        <f t="shared" si="36"/>
        <v>0</v>
      </c>
      <c r="H140" s="31">
        <f t="shared" si="37"/>
        <v>0</v>
      </c>
      <c r="I140" s="32"/>
      <c r="J140" s="32"/>
      <c r="K140" s="32"/>
      <c r="L140" s="32"/>
      <c r="M140" s="32"/>
      <c r="N140" s="32"/>
      <c r="O140" s="32"/>
      <c r="P140" s="32"/>
      <c r="Q140" s="32"/>
      <c r="R140" s="32"/>
      <c r="S140" s="32"/>
      <c r="T140" s="32"/>
      <c r="U140" s="32"/>
      <c r="V140" s="32"/>
      <c r="W140" s="32"/>
      <c r="X140" s="32"/>
      <c r="Y140" s="32"/>
      <c r="Z140" s="32"/>
      <c r="AA140" s="32"/>
      <c r="AB140" s="32"/>
      <c r="AC140" s="28">
        <f t="shared" si="38"/>
        <v>0</v>
      </c>
      <c r="AD140" s="33"/>
      <c r="AE140" s="33"/>
      <c r="AF140" s="33"/>
      <c r="AG140" s="33"/>
      <c r="AH140" s="33"/>
      <c r="AI140" s="33"/>
      <c r="AJ140" s="33"/>
      <c r="AK140" s="33"/>
      <c r="AL140" s="33"/>
      <c r="AM140" s="33"/>
      <c r="AN140" s="33"/>
      <c r="AO140" s="33"/>
      <c r="AP140" s="33"/>
      <c r="AQ140" s="33"/>
      <c r="AR140" s="33"/>
      <c r="AS140" s="33"/>
      <c r="AT140" s="34"/>
      <c r="AU140" s="1679"/>
      <c r="AV140" s="2256">
        <f t="shared" si="62"/>
        <v>0</v>
      </c>
      <c r="AW140" s="2256">
        <f t="shared" si="63"/>
        <v>0</v>
      </c>
      <c r="AX140" s="2256">
        <f t="shared" si="64"/>
        <v>0</v>
      </c>
      <c r="AY140" s="2781">
        <f t="shared" si="39"/>
        <v>0</v>
      </c>
      <c r="AZ140" s="28">
        <f t="shared" si="40"/>
        <v>0</v>
      </c>
      <c r="BA140" s="28">
        <f t="shared" si="41"/>
        <v>0</v>
      </c>
      <c r="BB140" s="28">
        <f t="shared" si="42"/>
        <v>0</v>
      </c>
      <c r="BC140" s="28">
        <f t="shared" si="43"/>
        <v>0</v>
      </c>
      <c r="BD140" s="3439">
        <f t="shared" si="44"/>
        <v>0</v>
      </c>
      <c r="BE140" s="3439">
        <f t="shared" si="45"/>
        <v>0</v>
      </c>
      <c r="BF140" s="3439">
        <f t="shared" si="46"/>
        <v>0</v>
      </c>
      <c r="BG140" s="3439">
        <f t="shared" si="47"/>
        <v>0</v>
      </c>
      <c r="BH140" s="3439">
        <f t="shared" si="48"/>
        <v>0</v>
      </c>
      <c r="BI140" s="3439">
        <f t="shared" si="49"/>
        <v>0</v>
      </c>
      <c r="BJ140" s="3439">
        <f t="shared" si="50"/>
        <v>0</v>
      </c>
      <c r="BK140" s="3439">
        <f t="shared" si="51"/>
        <v>0</v>
      </c>
      <c r="BL140" s="28">
        <f t="shared" si="52"/>
        <v>0</v>
      </c>
      <c r="BM140" s="28">
        <f t="shared" si="53"/>
        <v>0</v>
      </c>
      <c r="BN140" s="28">
        <f t="shared" si="54"/>
        <v>0</v>
      </c>
      <c r="BO140" s="28">
        <f t="shared" si="55"/>
        <v>0</v>
      </c>
      <c r="BP140" s="28">
        <f t="shared" si="56"/>
        <v>0</v>
      </c>
      <c r="BQ140" s="3439">
        <f t="shared" si="57"/>
        <v>0</v>
      </c>
      <c r="BR140" s="3439">
        <f t="shared" si="58"/>
        <v>0</v>
      </c>
      <c r="BS140" s="3439">
        <f t="shared" si="59"/>
        <v>0</v>
      </c>
      <c r="BT140" s="3451">
        <f t="shared" si="60"/>
        <v>0</v>
      </c>
    </row>
    <row r="141" spans="1:72">
      <c r="A141" s="9"/>
      <c r="B141" s="27"/>
      <c r="C141" s="27"/>
      <c r="D141" s="1678"/>
      <c r="E141" s="28">
        <f t="shared" si="61"/>
        <v>0</v>
      </c>
      <c r="F141" s="29"/>
      <c r="G141" s="30">
        <f t="shared" si="36"/>
        <v>0</v>
      </c>
      <c r="H141" s="31">
        <f t="shared" si="37"/>
        <v>0</v>
      </c>
      <c r="I141" s="32"/>
      <c r="J141" s="32"/>
      <c r="K141" s="32"/>
      <c r="L141" s="32"/>
      <c r="M141" s="32"/>
      <c r="N141" s="32"/>
      <c r="O141" s="32"/>
      <c r="P141" s="32"/>
      <c r="Q141" s="32"/>
      <c r="R141" s="32"/>
      <c r="S141" s="32"/>
      <c r="T141" s="32"/>
      <c r="U141" s="32"/>
      <c r="V141" s="32"/>
      <c r="W141" s="32"/>
      <c r="X141" s="32"/>
      <c r="Y141" s="32"/>
      <c r="Z141" s="32"/>
      <c r="AA141" s="32"/>
      <c r="AB141" s="32"/>
      <c r="AC141" s="28">
        <f t="shared" si="38"/>
        <v>0</v>
      </c>
      <c r="AD141" s="33"/>
      <c r="AE141" s="33"/>
      <c r="AF141" s="33"/>
      <c r="AG141" s="33"/>
      <c r="AH141" s="33"/>
      <c r="AI141" s="33"/>
      <c r="AJ141" s="33"/>
      <c r="AK141" s="33"/>
      <c r="AL141" s="33"/>
      <c r="AM141" s="33"/>
      <c r="AN141" s="33"/>
      <c r="AO141" s="33"/>
      <c r="AP141" s="33"/>
      <c r="AQ141" s="33"/>
      <c r="AR141" s="33"/>
      <c r="AS141" s="33"/>
      <c r="AT141" s="34"/>
      <c r="AU141" s="1679"/>
      <c r="AV141" s="2256">
        <f t="shared" si="62"/>
        <v>0</v>
      </c>
      <c r="AW141" s="2256">
        <f t="shared" si="63"/>
        <v>0</v>
      </c>
      <c r="AX141" s="2256">
        <f t="shared" si="64"/>
        <v>0</v>
      </c>
      <c r="AY141" s="2781">
        <f t="shared" si="39"/>
        <v>0</v>
      </c>
      <c r="AZ141" s="28">
        <f t="shared" si="40"/>
        <v>0</v>
      </c>
      <c r="BA141" s="28">
        <f t="shared" si="41"/>
        <v>0</v>
      </c>
      <c r="BB141" s="28">
        <f t="shared" si="42"/>
        <v>0</v>
      </c>
      <c r="BC141" s="28">
        <f t="shared" si="43"/>
        <v>0</v>
      </c>
      <c r="BD141" s="3439">
        <f t="shared" si="44"/>
        <v>0</v>
      </c>
      <c r="BE141" s="3439">
        <f t="shared" si="45"/>
        <v>0</v>
      </c>
      <c r="BF141" s="3439">
        <f t="shared" si="46"/>
        <v>0</v>
      </c>
      <c r="BG141" s="3439">
        <f t="shared" si="47"/>
        <v>0</v>
      </c>
      <c r="BH141" s="3439">
        <f t="shared" si="48"/>
        <v>0</v>
      </c>
      <c r="BI141" s="3439">
        <f t="shared" si="49"/>
        <v>0</v>
      </c>
      <c r="BJ141" s="3439">
        <f t="shared" si="50"/>
        <v>0</v>
      </c>
      <c r="BK141" s="3439">
        <f t="shared" si="51"/>
        <v>0</v>
      </c>
      <c r="BL141" s="28">
        <f t="shared" si="52"/>
        <v>0</v>
      </c>
      <c r="BM141" s="28">
        <f t="shared" si="53"/>
        <v>0</v>
      </c>
      <c r="BN141" s="28">
        <f t="shared" si="54"/>
        <v>0</v>
      </c>
      <c r="BO141" s="28">
        <f t="shared" si="55"/>
        <v>0</v>
      </c>
      <c r="BP141" s="28">
        <f t="shared" si="56"/>
        <v>0</v>
      </c>
      <c r="BQ141" s="3439">
        <f t="shared" si="57"/>
        <v>0</v>
      </c>
      <c r="BR141" s="3439">
        <f t="shared" si="58"/>
        <v>0</v>
      </c>
      <c r="BS141" s="3439">
        <f t="shared" si="59"/>
        <v>0</v>
      </c>
      <c r="BT141" s="3451">
        <f t="shared" si="60"/>
        <v>0</v>
      </c>
    </row>
    <row r="142" spans="1:72">
      <c r="A142" s="9"/>
      <c r="B142" s="27"/>
      <c r="C142" s="27"/>
      <c r="D142" s="1678"/>
      <c r="E142" s="28">
        <f t="shared" si="61"/>
        <v>0</v>
      </c>
      <c r="F142" s="29"/>
      <c r="G142" s="30">
        <f t="shared" ref="G142:G173" si="65">H142+AC142+AT142</f>
        <v>0</v>
      </c>
      <c r="H142" s="31">
        <f t="shared" ref="H142:H173" si="66">SUMIF(I$12:AB$12,"总值",I142:AB142)</f>
        <v>0</v>
      </c>
      <c r="I142" s="32"/>
      <c r="J142" s="32"/>
      <c r="K142" s="32"/>
      <c r="L142" s="32"/>
      <c r="M142" s="32"/>
      <c r="N142" s="32"/>
      <c r="O142" s="32"/>
      <c r="P142" s="32"/>
      <c r="Q142" s="32"/>
      <c r="R142" s="32"/>
      <c r="S142" s="32"/>
      <c r="T142" s="32"/>
      <c r="U142" s="32"/>
      <c r="V142" s="32"/>
      <c r="W142" s="32"/>
      <c r="X142" s="32"/>
      <c r="Y142" s="32"/>
      <c r="Z142" s="32"/>
      <c r="AA142" s="32"/>
      <c r="AB142" s="32"/>
      <c r="AC142" s="28">
        <f t="shared" ref="AC142:AC173" si="67">SUMIF(AD$12:AS$12,"总值",AD142:AS142)</f>
        <v>0</v>
      </c>
      <c r="AD142" s="33"/>
      <c r="AE142" s="33"/>
      <c r="AF142" s="33"/>
      <c r="AG142" s="33"/>
      <c r="AH142" s="33"/>
      <c r="AI142" s="33"/>
      <c r="AJ142" s="33"/>
      <c r="AK142" s="33"/>
      <c r="AL142" s="33"/>
      <c r="AM142" s="33"/>
      <c r="AN142" s="33"/>
      <c r="AO142" s="33"/>
      <c r="AP142" s="33"/>
      <c r="AQ142" s="33"/>
      <c r="AR142" s="33"/>
      <c r="AS142" s="33"/>
      <c r="AT142" s="34"/>
      <c r="AU142" s="1679"/>
      <c r="AV142" s="2256">
        <f t="shared" si="62"/>
        <v>0</v>
      </c>
      <c r="AW142" s="2256">
        <f t="shared" si="63"/>
        <v>0</v>
      </c>
      <c r="AX142" s="2256">
        <f t="shared" si="64"/>
        <v>0</v>
      </c>
      <c r="AY142" s="2781">
        <f t="shared" ref="AY142:AY173" si="68">ROUND($AY$6*AZ142/$AZ$5,2)</f>
        <v>0</v>
      </c>
      <c r="AZ142" s="28">
        <f t="shared" ref="AZ142:AZ173" si="69">BA142+BL142</f>
        <v>0</v>
      </c>
      <c r="BA142" s="28">
        <f t="shared" ref="BA142:BA173" si="70">SUM(BB142:BK142)</f>
        <v>0</v>
      </c>
      <c r="BB142" s="28">
        <f t="shared" ref="BB142:BB173" si="71">IF($D142="是",I142-J142,0)</f>
        <v>0</v>
      </c>
      <c r="BC142" s="28">
        <f t="shared" ref="BC142:BC173" si="72">IF($D142="是",K142-L142,0)</f>
        <v>0</v>
      </c>
      <c r="BD142" s="3439">
        <f t="shared" ref="BD142:BD173" si="73">IF($D142="是",M142-N142,0)</f>
        <v>0</v>
      </c>
      <c r="BE142" s="3439">
        <f t="shared" ref="BE142:BE173" si="74">IF($D142="是",O142-P142,0)</f>
        <v>0</v>
      </c>
      <c r="BF142" s="3439">
        <f t="shared" ref="BF142:BF173" si="75">IF($D142="是",Q142-R142,0)</f>
        <v>0</v>
      </c>
      <c r="BG142" s="3439">
        <f t="shared" ref="BG142:BG173" si="76">IF($D142="是",S142-T142,0)</f>
        <v>0</v>
      </c>
      <c r="BH142" s="3439">
        <f t="shared" ref="BH142:BH173" si="77">IF($D142="是",U142-V142,0)</f>
        <v>0</v>
      </c>
      <c r="BI142" s="3439">
        <f t="shared" ref="BI142:BI173" si="78">IF($D142="是",W142-X142,0)</f>
        <v>0</v>
      </c>
      <c r="BJ142" s="3439">
        <f t="shared" ref="BJ142:BJ173" si="79">IF($D142="是",Y142-Z142,0)</f>
        <v>0</v>
      </c>
      <c r="BK142" s="3439">
        <f t="shared" ref="BK142:BK173" si="80">IF($D142="是",AA142-AB142,0)</f>
        <v>0</v>
      </c>
      <c r="BL142" s="28">
        <f t="shared" ref="BL142:BL173" si="81">SUM(BM142:BT142)</f>
        <v>0</v>
      </c>
      <c r="BM142" s="28">
        <f t="shared" ref="BM142:BM173" si="82">IF($D142="是",AD142-AE142,0)</f>
        <v>0</v>
      </c>
      <c r="BN142" s="28">
        <f t="shared" ref="BN142:BN173" si="83">IF($D142="是",AF142-AG142,0)</f>
        <v>0</v>
      </c>
      <c r="BO142" s="28">
        <f t="shared" ref="BO142:BO173" si="84">IF($D142="是",AH142-AI142,0)</f>
        <v>0</v>
      </c>
      <c r="BP142" s="28">
        <f t="shared" ref="BP142:BP173" si="85">IF($D142="是",AJ142-AK142,0)</f>
        <v>0</v>
      </c>
      <c r="BQ142" s="3439">
        <f t="shared" ref="BQ142:BQ173" si="86">IF($D142="是",AL142-AM142,0)</f>
        <v>0</v>
      </c>
      <c r="BR142" s="3439">
        <f t="shared" ref="BR142:BR173" si="87">IF($D142="是",AN142-AO142,0)</f>
        <v>0</v>
      </c>
      <c r="BS142" s="3439">
        <f t="shared" ref="BS142:BS173" si="88">IF($D142="是",AP142-AQ142,0)</f>
        <v>0</v>
      </c>
      <c r="BT142" s="3451">
        <f t="shared" ref="BT142:BT173" si="89">IF($D142="是",AR142-AS142,0)</f>
        <v>0</v>
      </c>
    </row>
    <row r="143" spans="1:72">
      <c r="A143" s="9"/>
      <c r="B143" s="27"/>
      <c r="C143" s="27"/>
      <c r="D143" s="1678"/>
      <c r="E143" s="28">
        <f t="shared" si="61"/>
        <v>0</v>
      </c>
      <c r="F143" s="29"/>
      <c r="G143" s="30">
        <f t="shared" si="65"/>
        <v>0</v>
      </c>
      <c r="H143" s="31">
        <f t="shared" si="66"/>
        <v>0</v>
      </c>
      <c r="I143" s="32"/>
      <c r="J143" s="32"/>
      <c r="K143" s="32"/>
      <c r="L143" s="32"/>
      <c r="M143" s="32"/>
      <c r="N143" s="32"/>
      <c r="O143" s="32"/>
      <c r="P143" s="32"/>
      <c r="Q143" s="32"/>
      <c r="R143" s="32"/>
      <c r="S143" s="32"/>
      <c r="T143" s="32"/>
      <c r="U143" s="32"/>
      <c r="V143" s="32"/>
      <c r="W143" s="32"/>
      <c r="X143" s="32"/>
      <c r="Y143" s="32"/>
      <c r="Z143" s="32"/>
      <c r="AA143" s="32"/>
      <c r="AB143" s="32"/>
      <c r="AC143" s="28">
        <f t="shared" si="67"/>
        <v>0</v>
      </c>
      <c r="AD143" s="33"/>
      <c r="AE143" s="33"/>
      <c r="AF143" s="33"/>
      <c r="AG143" s="33"/>
      <c r="AH143" s="33"/>
      <c r="AI143" s="33"/>
      <c r="AJ143" s="33"/>
      <c r="AK143" s="33"/>
      <c r="AL143" s="33"/>
      <c r="AM143" s="33"/>
      <c r="AN143" s="33"/>
      <c r="AO143" s="33"/>
      <c r="AP143" s="33"/>
      <c r="AQ143" s="33"/>
      <c r="AR143" s="33"/>
      <c r="AS143" s="33"/>
      <c r="AT143" s="34"/>
      <c r="AU143" s="1679"/>
      <c r="AV143" s="2256">
        <f t="shared" si="62"/>
        <v>0</v>
      </c>
      <c r="AW143" s="2256">
        <f t="shared" si="63"/>
        <v>0</v>
      </c>
      <c r="AX143" s="2256">
        <f t="shared" si="64"/>
        <v>0</v>
      </c>
      <c r="AY143" s="2781">
        <f t="shared" si="68"/>
        <v>0</v>
      </c>
      <c r="AZ143" s="28">
        <f t="shared" si="69"/>
        <v>0</v>
      </c>
      <c r="BA143" s="28">
        <f t="shared" si="70"/>
        <v>0</v>
      </c>
      <c r="BB143" s="28">
        <f t="shared" si="71"/>
        <v>0</v>
      </c>
      <c r="BC143" s="28">
        <f t="shared" si="72"/>
        <v>0</v>
      </c>
      <c r="BD143" s="3439">
        <f t="shared" si="73"/>
        <v>0</v>
      </c>
      <c r="BE143" s="3439">
        <f t="shared" si="74"/>
        <v>0</v>
      </c>
      <c r="BF143" s="3439">
        <f t="shared" si="75"/>
        <v>0</v>
      </c>
      <c r="BG143" s="3439">
        <f t="shared" si="76"/>
        <v>0</v>
      </c>
      <c r="BH143" s="3439">
        <f t="shared" si="77"/>
        <v>0</v>
      </c>
      <c r="BI143" s="3439">
        <f t="shared" si="78"/>
        <v>0</v>
      </c>
      <c r="BJ143" s="3439">
        <f t="shared" si="79"/>
        <v>0</v>
      </c>
      <c r="BK143" s="3439">
        <f t="shared" si="80"/>
        <v>0</v>
      </c>
      <c r="BL143" s="28">
        <f t="shared" si="81"/>
        <v>0</v>
      </c>
      <c r="BM143" s="28">
        <f t="shared" si="82"/>
        <v>0</v>
      </c>
      <c r="BN143" s="28">
        <f t="shared" si="83"/>
        <v>0</v>
      </c>
      <c r="BO143" s="28">
        <f t="shared" si="84"/>
        <v>0</v>
      </c>
      <c r="BP143" s="28">
        <f t="shared" si="85"/>
        <v>0</v>
      </c>
      <c r="BQ143" s="3439">
        <f t="shared" si="86"/>
        <v>0</v>
      </c>
      <c r="BR143" s="3439">
        <f t="shared" si="87"/>
        <v>0</v>
      </c>
      <c r="BS143" s="3439">
        <f t="shared" si="88"/>
        <v>0</v>
      </c>
      <c r="BT143" s="3451">
        <f t="shared" si="89"/>
        <v>0</v>
      </c>
    </row>
    <row r="144" spans="1:72">
      <c r="A144" s="9"/>
      <c r="B144" s="27"/>
      <c r="C144" s="27"/>
      <c r="D144" s="1678"/>
      <c r="E144" s="28">
        <f t="shared" si="61"/>
        <v>0</v>
      </c>
      <c r="F144" s="29"/>
      <c r="G144" s="30">
        <f t="shared" si="65"/>
        <v>0</v>
      </c>
      <c r="H144" s="31">
        <f t="shared" si="66"/>
        <v>0</v>
      </c>
      <c r="I144" s="32"/>
      <c r="J144" s="32"/>
      <c r="K144" s="32"/>
      <c r="L144" s="32"/>
      <c r="M144" s="32"/>
      <c r="N144" s="32"/>
      <c r="O144" s="32"/>
      <c r="P144" s="32"/>
      <c r="Q144" s="32"/>
      <c r="R144" s="32"/>
      <c r="S144" s="32"/>
      <c r="T144" s="32"/>
      <c r="U144" s="32"/>
      <c r="V144" s="32"/>
      <c r="W144" s="32"/>
      <c r="X144" s="32"/>
      <c r="Y144" s="32"/>
      <c r="Z144" s="32"/>
      <c r="AA144" s="32"/>
      <c r="AB144" s="32"/>
      <c r="AC144" s="28">
        <f t="shared" si="67"/>
        <v>0</v>
      </c>
      <c r="AD144" s="33"/>
      <c r="AE144" s="33"/>
      <c r="AF144" s="33"/>
      <c r="AG144" s="33"/>
      <c r="AH144" s="33"/>
      <c r="AI144" s="33"/>
      <c r="AJ144" s="33"/>
      <c r="AK144" s="33"/>
      <c r="AL144" s="33"/>
      <c r="AM144" s="33"/>
      <c r="AN144" s="33"/>
      <c r="AO144" s="33"/>
      <c r="AP144" s="33"/>
      <c r="AQ144" s="33"/>
      <c r="AR144" s="33"/>
      <c r="AS144" s="33"/>
      <c r="AT144" s="34"/>
      <c r="AU144" s="1679"/>
      <c r="AV144" s="2256">
        <f t="shared" si="62"/>
        <v>0</v>
      </c>
      <c r="AW144" s="2256">
        <f t="shared" si="63"/>
        <v>0</v>
      </c>
      <c r="AX144" s="2256">
        <f t="shared" si="64"/>
        <v>0</v>
      </c>
      <c r="AY144" s="2781">
        <f t="shared" si="68"/>
        <v>0</v>
      </c>
      <c r="AZ144" s="28">
        <f t="shared" si="69"/>
        <v>0</v>
      </c>
      <c r="BA144" s="28">
        <f t="shared" si="70"/>
        <v>0</v>
      </c>
      <c r="BB144" s="28">
        <f t="shared" si="71"/>
        <v>0</v>
      </c>
      <c r="BC144" s="28">
        <f t="shared" si="72"/>
        <v>0</v>
      </c>
      <c r="BD144" s="3439">
        <f t="shared" si="73"/>
        <v>0</v>
      </c>
      <c r="BE144" s="3439">
        <f t="shared" si="74"/>
        <v>0</v>
      </c>
      <c r="BF144" s="3439">
        <f t="shared" si="75"/>
        <v>0</v>
      </c>
      <c r="BG144" s="3439">
        <f t="shared" si="76"/>
        <v>0</v>
      </c>
      <c r="BH144" s="3439">
        <f t="shared" si="77"/>
        <v>0</v>
      </c>
      <c r="BI144" s="3439">
        <f t="shared" si="78"/>
        <v>0</v>
      </c>
      <c r="BJ144" s="3439">
        <f t="shared" si="79"/>
        <v>0</v>
      </c>
      <c r="BK144" s="3439">
        <f t="shared" si="80"/>
        <v>0</v>
      </c>
      <c r="BL144" s="28">
        <f t="shared" si="81"/>
        <v>0</v>
      </c>
      <c r="BM144" s="28">
        <f t="shared" si="82"/>
        <v>0</v>
      </c>
      <c r="BN144" s="28">
        <f t="shared" si="83"/>
        <v>0</v>
      </c>
      <c r="BO144" s="28">
        <f t="shared" si="84"/>
        <v>0</v>
      </c>
      <c r="BP144" s="28">
        <f t="shared" si="85"/>
        <v>0</v>
      </c>
      <c r="BQ144" s="3439">
        <f t="shared" si="86"/>
        <v>0</v>
      </c>
      <c r="BR144" s="3439">
        <f t="shared" si="87"/>
        <v>0</v>
      </c>
      <c r="BS144" s="3439">
        <f t="shared" si="88"/>
        <v>0</v>
      </c>
      <c r="BT144" s="3451">
        <f t="shared" si="89"/>
        <v>0</v>
      </c>
    </row>
    <row r="145" spans="1:72">
      <c r="A145" s="9"/>
      <c r="B145" s="27"/>
      <c r="C145" s="27"/>
      <c r="D145" s="1678"/>
      <c r="E145" s="28">
        <f t="shared" ref="E145:E176" si="90">IF($C$3="是",ROUND($A$3*G145/$B$3,2),ROUND($A$3*(G145-AT145)/$B$3,2))</f>
        <v>0</v>
      </c>
      <c r="F145" s="29"/>
      <c r="G145" s="30">
        <f t="shared" si="65"/>
        <v>0</v>
      </c>
      <c r="H145" s="31">
        <f t="shared" si="66"/>
        <v>0</v>
      </c>
      <c r="I145" s="32"/>
      <c r="J145" s="32"/>
      <c r="K145" s="32"/>
      <c r="L145" s="32"/>
      <c r="M145" s="32"/>
      <c r="N145" s="32"/>
      <c r="O145" s="32"/>
      <c r="P145" s="32"/>
      <c r="Q145" s="32"/>
      <c r="R145" s="32"/>
      <c r="S145" s="32"/>
      <c r="T145" s="32"/>
      <c r="U145" s="32"/>
      <c r="V145" s="32"/>
      <c r="W145" s="32"/>
      <c r="X145" s="32"/>
      <c r="Y145" s="32"/>
      <c r="Z145" s="32"/>
      <c r="AA145" s="32"/>
      <c r="AB145" s="32"/>
      <c r="AC145" s="28">
        <f t="shared" si="67"/>
        <v>0</v>
      </c>
      <c r="AD145" s="33"/>
      <c r="AE145" s="33"/>
      <c r="AF145" s="33"/>
      <c r="AG145" s="33"/>
      <c r="AH145" s="33"/>
      <c r="AI145" s="33"/>
      <c r="AJ145" s="33"/>
      <c r="AK145" s="33"/>
      <c r="AL145" s="33"/>
      <c r="AM145" s="33"/>
      <c r="AN145" s="33"/>
      <c r="AO145" s="33"/>
      <c r="AP145" s="33"/>
      <c r="AQ145" s="33"/>
      <c r="AR145" s="33"/>
      <c r="AS145" s="33"/>
      <c r="AT145" s="34"/>
      <c r="AU145" s="1679"/>
      <c r="AV145" s="2256">
        <f t="shared" ref="AV145:AV176" si="91">A145</f>
        <v>0</v>
      </c>
      <c r="AW145" s="2256">
        <f t="shared" ref="AW145:AW176" si="92">B145</f>
        <v>0</v>
      </c>
      <c r="AX145" s="2256">
        <f t="shared" ref="AX145:AX176" si="93">C145</f>
        <v>0</v>
      </c>
      <c r="AY145" s="2781">
        <f t="shared" si="68"/>
        <v>0</v>
      </c>
      <c r="AZ145" s="28">
        <f t="shared" si="69"/>
        <v>0</v>
      </c>
      <c r="BA145" s="28">
        <f t="shared" si="70"/>
        <v>0</v>
      </c>
      <c r="BB145" s="28">
        <f t="shared" si="71"/>
        <v>0</v>
      </c>
      <c r="BC145" s="28">
        <f t="shared" si="72"/>
        <v>0</v>
      </c>
      <c r="BD145" s="3439">
        <f t="shared" si="73"/>
        <v>0</v>
      </c>
      <c r="BE145" s="3439">
        <f t="shared" si="74"/>
        <v>0</v>
      </c>
      <c r="BF145" s="3439">
        <f t="shared" si="75"/>
        <v>0</v>
      </c>
      <c r="BG145" s="3439">
        <f t="shared" si="76"/>
        <v>0</v>
      </c>
      <c r="BH145" s="3439">
        <f t="shared" si="77"/>
        <v>0</v>
      </c>
      <c r="BI145" s="3439">
        <f t="shared" si="78"/>
        <v>0</v>
      </c>
      <c r="BJ145" s="3439">
        <f t="shared" si="79"/>
        <v>0</v>
      </c>
      <c r="BK145" s="3439">
        <f t="shared" si="80"/>
        <v>0</v>
      </c>
      <c r="BL145" s="28">
        <f t="shared" si="81"/>
        <v>0</v>
      </c>
      <c r="BM145" s="28">
        <f t="shared" si="82"/>
        <v>0</v>
      </c>
      <c r="BN145" s="28">
        <f t="shared" si="83"/>
        <v>0</v>
      </c>
      <c r="BO145" s="28">
        <f t="shared" si="84"/>
        <v>0</v>
      </c>
      <c r="BP145" s="28">
        <f t="shared" si="85"/>
        <v>0</v>
      </c>
      <c r="BQ145" s="3439">
        <f t="shared" si="86"/>
        <v>0</v>
      </c>
      <c r="BR145" s="3439">
        <f t="shared" si="87"/>
        <v>0</v>
      </c>
      <c r="BS145" s="3439">
        <f t="shared" si="88"/>
        <v>0</v>
      </c>
      <c r="BT145" s="3451">
        <f t="shared" si="89"/>
        <v>0</v>
      </c>
    </row>
    <row r="146" spans="1:72">
      <c r="A146" s="9"/>
      <c r="B146" s="27"/>
      <c r="C146" s="27"/>
      <c r="D146" s="1678"/>
      <c r="E146" s="28">
        <f t="shared" si="90"/>
        <v>0</v>
      </c>
      <c r="F146" s="29"/>
      <c r="G146" s="30">
        <f t="shared" si="65"/>
        <v>0</v>
      </c>
      <c r="H146" s="31">
        <f t="shared" si="66"/>
        <v>0</v>
      </c>
      <c r="I146" s="32"/>
      <c r="J146" s="32"/>
      <c r="K146" s="32"/>
      <c r="L146" s="32"/>
      <c r="M146" s="32"/>
      <c r="N146" s="32"/>
      <c r="O146" s="32"/>
      <c r="P146" s="32"/>
      <c r="Q146" s="32"/>
      <c r="R146" s="32"/>
      <c r="S146" s="32"/>
      <c r="T146" s="32"/>
      <c r="U146" s="32"/>
      <c r="V146" s="32"/>
      <c r="W146" s="32"/>
      <c r="X146" s="32"/>
      <c r="Y146" s="32"/>
      <c r="Z146" s="32"/>
      <c r="AA146" s="32"/>
      <c r="AB146" s="32"/>
      <c r="AC146" s="28">
        <f t="shared" si="67"/>
        <v>0</v>
      </c>
      <c r="AD146" s="33"/>
      <c r="AE146" s="33"/>
      <c r="AF146" s="33"/>
      <c r="AG146" s="33"/>
      <c r="AH146" s="33"/>
      <c r="AI146" s="33"/>
      <c r="AJ146" s="33"/>
      <c r="AK146" s="33"/>
      <c r="AL146" s="33"/>
      <c r="AM146" s="33"/>
      <c r="AN146" s="33"/>
      <c r="AO146" s="33"/>
      <c r="AP146" s="33"/>
      <c r="AQ146" s="33"/>
      <c r="AR146" s="33"/>
      <c r="AS146" s="33"/>
      <c r="AT146" s="34"/>
      <c r="AU146" s="1679"/>
      <c r="AV146" s="2256">
        <f t="shared" si="91"/>
        <v>0</v>
      </c>
      <c r="AW146" s="2256">
        <f t="shared" si="92"/>
        <v>0</v>
      </c>
      <c r="AX146" s="2256">
        <f t="shared" si="93"/>
        <v>0</v>
      </c>
      <c r="AY146" s="2781">
        <f t="shared" si="68"/>
        <v>0</v>
      </c>
      <c r="AZ146" s="28">
        <f t="shared" si="69"/>
        <v>0</v>
      </c>
      <c r="BA146" s="28">
        <f t="shared" si="70"/>
        <v>0</v>
      </c>
      <c r="BB146" s="28">
        <f t="shared" si="71"/>
        <v>0</v>
      </c>
      <c r="BC146" s="28">
        <f t="shared" si="72"/>
        <v>0</v>
      </c>
      <c r="BD146" s="3439">
        <f t="shared" si="73"/>
        <v>0</v>
      </c>
      <c r="BE146" s="3439">
        <f t="shared" si="74"/>
        <v>0</v>
      </c>
      <c r="BF146" s="3439">
        <f t="shared" si="75"/>
        <v>0</v>
      </c>
      <c r="BG146" s="3439">
        <f t="shared" si="76"/>
        <v>0</v>
      </c>
      <c r="BH146" s="3439">
        <f t="shared" si="77"/>
        <v>0</v>
      </c>
      <c r="BI146" s="3439">
        <f t="shared" si="78"/>
        <v>0</v>
      </c>
      <c r="BJ146" s="3439">
        <f t="shared" si="79"/>
        <v>0</v>
      </c>
      <c r="BK146" s="3439">
        <f t="shared" si="80"/>
        <v>0</v>
      </c>
      <c r="BL146" s="28">
        <f t="shared" si="81"/>
        <v>0</v>
      </c>
      <c r="BM146" s="28">
        <f t="shared" si="82"/>
        <v>0</v>
      </c>
      <c r="BN146" s="28">
        <f t="shared" si="83"/>
        <v>0</v>
      </c>
      <c r="BO146" s="28">
        <f t="shared" si="84"/>
        <v>0</v>
      </c>
      <c r="BP146" s="28">
        <f t="shared" si="85"/>
        <v>0</v>
      </c>
      <c r="BQ146" s="3439">
        <f t="shared" si="86"/>
        <v>0</v>
      </c>
      <c r="BR146" s="3439">
        <f t="shared" si="87"/>
        <v>0</v>
      </c>
      <c r="BS146" s="3439">
        <f t="shared" si="88"/>
        <v>0</v>
      </c>
      <c r="BT146" s="3451">
        <f t="shared" si="89"/>
        <v>0</v>
      </c>
    </row>
    <row r="147" spans="1:72">
      <c r="A147" s="9"/>
      <c r="B147" s="27"/>
      <c r="C147" s="27"/>
      <c r="D147" s="1678"/>
      <c r="E147" s="28">
        <f t="shared" si="90"/>
        <v>0</v>
      </c>
      <c r="F147" s="29"/>
      <c r="G147" s="30">
        <f t="shared" si="65"/>
        <v>0</v>
      </c>
      <c r="H147" s="31">
        <f t="shared" si="66"/>
        <v>0</v>
      </c>
      <c r="I147" s="32"/>
      <c r="J147" s="32"/>
      <c r="K147" s="32"/>
      <c r="L147" s="32"/>
      <c r="M147" s="32"/>
      <c r="N147" s="32"/>
      <c r="O147" s="32"/>
      <c r="P147" s="32"/>
      <c r="Q147" s="32"/>
      <c r="R147" s="32"/>
      <c r="S147" s="32"/>
      <c r="T147" s="32"/>
      <c r="U147" s="32"/>
      <c r="V147" s="32"/>
      <c r="W147" s="32"/>
      <c r="X147" s="32"/>
      <c r="Y147" s="32"/>
      <c r="Z147" s="32"/>
      <c r="AA147" s="32"/>
      <c r="AB147" s="32"/>
      <c r="AC147" s="28">
        <f t="shared" si="67"/>
        <v>0</v>
      </c>
      <c r="AD147" s="33"/>
      <c r="AE147" s="33"/>
      <c r="AF147" s="33"/>
      <c r="AG147" s="33"/>
      <c r="AH147" s="33"/>
      <c r="AI147" s="33"/>
      <c r="AJ147" s="33"/>
      <c r="AK147" s="33"/>
      <c r="AL147" s="33"/>
      <c r="AM147" s="33"/>
      <c r="AN147" s="33"/>
      <c r="AO147" s="33"/>
      <c r="AP147" s="33"/>
      <c r="AQ147" s="33"/>
      <c r="AR147" s="33"/>
      <c r="AS147" s="33"/>
      <c r="AT147" s="34"/>
      <c r="AU147" s="1679"/>
      <c r="AV147" s="2256">
        <f t="shared" si="91"/>
        <v>0</v>
      </c>
      <c r="AW147" s="2256">
        <f t="shared" si="92"/>
        <v>0</v>
      </c>
      <c r="AX147" s="2256">
        <f t="shared" si="93"/>
        <v>0</v>
      </c>
      <c r="AY147" s="2781">
        <f t="shared" si="68"/>
        <v>0</v>
      </c>
      <c r="AZ147" s="28">
        <f t="shared" si="69"/>
        <v>0</v>
      </c>
      <c r="BA147" s="28">
        <f t="shared" si="70"/>
        <v>0</v>
      </c>
      <c r="BB147" s="28">
        <f t="shared" si="71"/>
        <v>0</v>
      </c>
      <c r="BC147" s="28">
        <f t="shared" si="72"/>
        <v>0</v>
      </c>
      <c r="BD147" s="3439">
        <f t="shared" si="73"/>
        <v>0</v>
      </c>
      <c r="BE147" s="3439">
        <f t="shared" si="74"/>
        <v>0</v>
      </c>
      <c r="BF147" s="3439">
        <f t="shared" si="75"/>
        <v>0</v>
      </c>
      <c r="BG147" s="3439">
        <f t="shared" si="76"/>
        <v>0</v>
      </c>
      <c r="BH147" s="3439">
        <f t="shared" si="77"/>
        <v>0</v>
      </c>
      <c r="BI147" s="3439">
        <f t="shared" si="78"/>
        <v>0</v>
      </c>
      <c r="BJ147" s="3439">
        <f t="shared" si="79"/>
        <v>0</v>
      </c>
      <c r="BK147" s="3439">
        <f t="shared" si="80"/>
        <v>0</v>
      </c>
      <c r="BL147" s="28">
        <f t="shared" si="81"/>
        <v>0</v>
      </c>
      <c r="BM147" s="28">
        <f t="shared" si="82"/>
        <v>0</v>
      </c>
      <c r="BN147" s="28">
        <f t="shared" si="83"/>
        <v>0</v>
      </c>
      <c r="BO147" s="28">
        <f t="shared" si="84"/>
        <v>0</v>
      </c>
      <c r="BP147" s="28">
        <f t="shared" si="85"/>
        <v>0</v>
      </c>
      <c r="BQ147" s="3439">
        <f t="shared" si="86"/>
        <v>0</v>
      </c>
      <c r="BR147" s="3439">
        <f t="shared" si="87"/>
        <v>0</v>
      </c>
      <c r="BS147" s="3439">
        <f t="shared" si="88"/>
        <v>0</v>
      </c>
      <c r="BT147" s="3451">
        <f t="shared" si="89"/>
        <v>0</v>
      </c>
    </row>
    <row r="148" spans="1:72">
      <c r="A148" s="9"/>
      <c r="B148" s="27"/>
      <c r="C148" s="27"/>
      <c r="D148" s="1678"/>
      <c r="E148" s="28">
        <f t="shared" si="90"/>
        <v>0</v>
      </c>
      <c r="F148" s="29"/>
      <c r="G148" s="30">
        <f t="shared" si="65"/>
        <v>0</v>
      </c>
      <c r="H148" s="31">
        <f t="shared" si="66"/>
        <v>0</v>
      </c>
      <c r="I148" s="32"/>
      <c r="J148" s="32"/>
      <c r="K148" s="32"/>
      <c r="L148" s="32"/>
      <c r="M148" s="32"/>
      <c r="N148" s="32"/>
      <c r="O148" s="32"/>
      <c r="P148" s="32"/>
      <c r="Q148" s="32"/>
      <c r="R148" s="32"/>
      <c r="S148" s="32"/>
      <c r="T148" s="32"/>
      <c r="U148" s="32"/>
      <c r="V148" s="32"/>
      <c r="W148" s="32"/>
      <c r="X148" s="32"/>
      <c r="Y148" s="32"/>
      <c r="Z148" s="32"/>
      <c r="AA148" s="32"/>
      <c r="AB148" s="32"/>
      <c r="AC148" s="28">
        <f t="shared" si="67"/>
        <v>0</v>
      </c>
      <c r="AD148" s="33"/>
      <c r="AE148" s="33"/>
      <c r="AF148" s="33"/>
      <c r="AG148" s="33"/>
      <c r="AH148" s="33"/>
      <c r="AI148" s="33"/>
      <c r="AJ148" s="33"/>
      <c r="AK148" s="33"/>
      <c r="AL148" s="33"/>
      <c r="AM148" s="33"/>
      <c r="AN148" s="33"/>
      <c r="AO148" s="33"/>
      <c r="AP148" s="33"/>
      <c r="AQ148" s="33"/>
      <c r="AR148" s="33"/>
      <c r="AS148" s="33"/>
      <c r="AT148" s="34"/>
      <c r="AU148" s="1679"/>
      <c r="AV148" s="2256">
        <f t="shared" si="91"/>
        <v>0</v>
      </c>
      <c r="AW148" s="2256">
        <f t="shared" si="92"/>
        <v>0</v>
      </c>
      <c r="AX148" s="2256">
        <f t="shared" si="93"/>
        <v>0</v>
      </c>
      <c r="AY148" s="2781">
        <f t="shared" si="68"/>
        <v>0</v>
      </c>
      <c r="AZ148" s="28">
        <f t="shared" si="69"/>
        <v>0</v>
      </c>
      <c r="BA148" s="28">
        <f t="shared" si="70"/>
        <v>0</v>
      </c>
      <c r="BB148" s="28">
        <f t="shared" si="71"/>
        <v>0</v>
      </c>
      <c r="BC148" s="28">
        <f t="shared" si="72"/>
        <v>0</v>
      </c>
      <c r="BD148" s="3439">
        <f t="shared" si="73"/>
        <v>0</v>
      </c>
      <c r="BE148" s="3439">
        <f t="shared" si="74"/>
        <v>0</v>
      </c>
      <c r="BF148" s="3439">
        <f t="shared" si="75"/>
        <v>0</v>
      </c>
      <c r="BG148" s="3439">
        <f t="shared" si="76"/>
        <v>0</v>
      </c>
      <c r="BH148" s="3439">
        <f t="shared" si="77"/>
        <v>0</v>
      </c>
      <c r="BI148" s="3439">
        <f t="shared" si="78"/>
        <v>0</v>
      </c>
      <c r="BJ148" s="3439">
        <f t="shared" si="79"/>
        <v>0</v>
      </c>
      <c r="BK148" s="3439">
        <f t="shared" si="80"/>
        <v>0</v>
      </c>
      <c r="BL148" s="28">
        <f t="shared" si="81"/>
        <v>0</v>
      </c>
      <c r="BM148" s="28">
        <f t="shared" si="82"/>
        <v>0</v>
      </c>
      <c r="BN148" s="28">
        <f t="shared" si="83"/>
        <v>0</v>
      </c>
      <c r="BO148" s="28">
        <f t="shared" si="84"/>
        <v>0</v>
      </c>
      <c r="BP148" s="28">
        <f t="shared" si="85"/>
        <v>0</v>
      </c>
      <c r="BQ148" s="3439">
        <f t="shared" si="86"/>
        <v>0</v>
      </c>
      <c r="BR148" s="3439">
        <f t="shared" si="87"/>
        <v>0</v>
      </c>
      <c r="BS148" s="3439">
        <f t="shared" si="88"/>
        <v>0</v>
      </c>
      <c r="BT148" s="3451">
        <f t="shared" si="89"/>
        <v>0</v>
      </c>
    </row>
    <row r="149" spans="1:72">
      <c r="A149" s="9"/>
      <c r="B149" s="27"/>
      <c r="C149" s="27"/>
      <c r="D149" s="1678"/>
      <c r="E149" s="28">
        <f t="shared" si="90"/>
        <v>0</v>
      </c>
      <c r="F149" s="29"/>
      <c r="G149" s="30">
        <f t="shared" si="65"/>
        <v>0</v>
      </c>
      <c r="H149" s="31">
        <f t="shared" si="66"/>
        <v>0</v>
      </c>
      <c r="I149" s="32"/>
      <c r="J149" s="32"/>
      <c r="K149" s="32"/>
      <c r="L149" s="32"/>
      <c r="M149" s="32"/>
      <c r="N149" s="32"/>
      <c r="O149" s="32"/>
      <c r="P149" s="32"/>
      <c r="Q149" s="32"/>
      <c r="R149" s="32"/>
      <c r="S149" s="32"/>
      <c r="T149" s="32"/>
      <c r="U149" s="32"/>
      <c r="V149" s="32"/>
      <c r="W149" s="32"/>
      <c r="X149" s="32"/>
      <c r="Y149" s="32"/>
      <c r="Z149" s="32"/>
      <c r="AA149" s="32"/>
      <c r="AB149" s="32"/>
      <c r="AC149" s="28">
        <f t="shared" si="67"/>
        <v>0</v>
      </c>
      <c r="AD149" s="33"/>
      <c r="AE149" s="33"/>
      <c r="AF149" s="33"/>
      <c r="AG149" s="33"/>
      <c r="AH149" s="33"/>
      <c r="AI149" s="33"/>
      <c r="AJ149" s="33"/>
      <c r="AK149" s="33"/>
      <c r="AL149" s="33"/>
      <c r="AM149" s="33"/>
      <c r="AN149" s="33"/>
      <c r="AO149" s="33"/>
      <c r="AP149" s="33"/>
      <c r="AQ149" s="33"/>
      <c r="AR149" s="33"/>
      <c r="AS149" s="33"/>
      <c r="AT149" s="34"/>
      <c r="AU149" s="1679"/>
      <c r="AV149" s="2256">
        <f t="shared" si="91"/>
        <v>0</v>
      </c>
      <c r="AW149" s="2256">
        <f t="shared" si="92"/>
        <v>0</v>
      </c>
      <c r="AX149" s="2256">
        <f t="shared" si="93"/>
        <v>0</v>
      </c>
      <c r="AY149" s="2781">
        <f t="shared" si="68"/>
        <v>0</v>
      </c>
      <c r="AZ149" s="28">
        <f t="shared" si="69"/>
        <v>0</v>
      </c>
      <c r="BA149" s="28">
        <f t="shared" si="70"/>
        <v>0</v>
      </c>
      <c r="BB149" s="28">
        <f t="shared" si="71"/>
        <v>0</v>
      </c>
      <c r="BC149" s="28">
        <f t="shared" si="72"/>
        <v>0</v>
      </c>
      <c r="BD149" s="3439">
        <f t="shared" si="73"/>
        <v>0</v>
      </c>
      <c r="BE149" s="3439">
        <f t="shared" si="74"/>
        <v>0</v>
      </c>
      <c r="BF149" s="3439">
        <f t="shared" si="75"/>
        <v>0</v>
      </c>
      <c r="BG149" s="3439">
        <f t="shared" si="76"/>
        <v>0</v>
      </c>
      <c r="BH149" s="3439">
        <f t="shared" si="77"/>
        <v>0</v>
      </c>
      <c r="BI149" s="3439">
        <f t="shared" si="78"/>
        <v>0</v>
      </c>
      <c r="BJ149" s="3439">
        <f t="shared" si="79"/>
        <v>0</v>
      </c>
      <c r="BK149" s="3439">
        <f t="shared" si="80"/>
        <v>0</v>
      </c>
      <c r="BL149" s="28">
        <f t="shared" si="81"/>
        <v>0</v>
      </c>
      <c r="BM149" s="28">
        <f t="shared" si="82"/>
        <v>0</v>
      </c>
      <c r="BN149" s="28">
        <f t="shared" si="83"/>
        <v>0</v>
      </c>
      <c r="BO149" s="28">
        <f t="shared" si="84"/>
        <v>0</v>
      </c>
      <c r="BP149" s="28">
        <f t="shared" si="85"/>
        <v>0</v>
      </c>
      <c r="BQ149" s="3439">
        <f t="shared" si="86"/>
        <v>0</v>
      </c>
      <c r="BR149" s="3439">
        <f t="shared" si="87"/>
        <v>0</v>
      </c>
      <c r="BS149" s="3439">
        <f t="shared" si="88"/>
        <v>0</v>
      </c>
      <c r="BT149" s="3451">
        <f t="shared" si="89"/>
        <v>0</v>
      </c>
    </row>
    <row r="150" spans="1:72">
      <c r="A150" s="9"/>
      <c r="B150" s="27"/>
      <c r="C150" s="27"/>
      <c r="D150" s="1678"/>
      <c r="E150" s="28">
        <f t="shared" si="90"/>
        <v>0</v>
      </c>
      <c r="F150" s="29"/>
      <c r="G150" s="30">
        <f t="shared" si="65"/>
        <v>0</v>
      </c>
      <c r="H150" s="31">
        <f t="shared" si="66"/>
        <v>0</v>
      </c>
      <c r="I150" s="32"/>
      <c r="J150" s="32"/>
      <c r="K150" s="32"/>
      <c r="L150" s="32"/>
      <c r="M150" s="32"/>
      <c r="N150" s="32"/>
      <c r="O150" s="32"/>
      <c r="P150" s="32"/>
      <c r="Q150" s="32"/>
      <c r="R150" s="32"/>
      <c r="S150" s="32"/>
      <c r="T150" s="32"/>
      <c r="U150" s="32"/>
      <c r="V150" s="32"/>
      <c r="W150" s="32"/>
      <c r="X150" s="32"/>
      <c r="Y150" s="32"/>
      <c r="Z150" s="32"/>
      <c r="AA150" s="32"/>
      <c r="AB150" s="32"/>
      <c r="AC150" s="28">
        <f t="shared" si="67"/>
        <v>0</v>
      </c>
      <c r="AD150" s="33"/>
      <c r="AE150" s="33"/>
      <c r="AF150" s="33"/>
      <c r="AG150" s="33"/>
      <c r="AH150" s="33"/>
      <c r="AI150" s="33"/>
      <c r="AJ150" s="33"/>
      <c r="AK150" s="33"/>
      <c r="AL150" s="33"/>
      <c r="AM150" s="33"/>
      <c r="AN150" s="33"/>
      <c r="AO150" s="33"/>
      <c r="AP150" s="33"/>
      <c r="AQ150" s="33"/>
      <c r="AR150" s="33"/>
      <c r="AS150" s="33"/>
      <c r="AT150" s="34"/>
      <c r="AU150" s="1679"/>
      <c r="AV150" s="2256">
        <f t="shared" si="91"/>
        <v>0</v>
      </c>
      <c r="AW150" s="2256">
        <f t="shared" si="92"/>
        <v>0</v>
      </c>
      <c r="AX150" s="2256">
        <f t="shared" si="93"/>
        <v>0</v>
      </c>
      <c r="AY150" s="2781">
        <f t="shared" si="68"/>
        <v>0</v>
      </c>
      <c r="AZ150" s="28">
        <f t="shared" si="69"/>
        <v>0</v>
      </c>
      <c r="BA150" s="28">
        <f t="shared" si="70"/>
        <v>0</v>
      </c>
      <c r="BB150" s="28">
        <f t="shared" si="71"/>
        <v>0</v>
      </c>
      <c r="BC150" s="28">
        <f t="shared" si="72"/>
        <v>0</v>
      </c>
      <c r="BD150" s="3439">
        <f t="shared" si="73"/>
        <v>0</v>
      </c>
      <c r="BE150" s="3439">
        <f t="shared" si="74"/>
        <v>0</v>
      </c>
      <c r="BF150" s="3439">
        <f t="shared" si="75"/>
        <v>0</v>
      </c>
      <c r="BG150" s="3439">
        <f t="shared" si="76"/>
        <v>0</v>
      </c>
      <c r="BH150" s="3439">
        <f t="shared" si="77"/>
        <v>0</v>
      </c>
      <c r="BI150" s="3439">
        <f t="shared" si="78"/>
        <v>0</v>
      </c>
      <c r="BJ150" s="3439">
        <f t="shared" si="79"/>
        <v>0</v>
      </c>
      <c r="BK150" s="3439">
        <f t="shared" si="80"/>
        <v>0</v>
      </c>
      <c r="BL150" s="28">
        <f t="shared" si="81"/>
        <v>0</v>
      </c>
      <c r="BM150" s="28">
        <f t="shared" si="82"/>
        <v>0</v>
      </c>
      <c r="BN150" s="28">
        <f t="shared" si="83"/>
        <v>0</v>
      </c>
      <c r="BO150" s="28">
        <f t="shared" si="84"/>
        <v>0</v>
      </c>
      <c r="BP150" s="28">
        <f t="shared" si="85"/>
        <v>0</v>
      </c>
      <c r="BQ150" s="3439">
        <f t="shared" si="86"/>
        <v>0</v>
      </c>
      <c r="BR150" s="3439">
        <f t="shared" si="87"/>
        <v>0</v>
      </c>
      <c r="BS150" s="3439">
        <f t="shared" si="88"/>
        <v>0</v>
      </c>
      <c r="BT150" s="3451">
        <f t="shared" si="89"/>
        <v>0</v>
      </c>
    </row>
    <row r="151" spans="1:72">
      <c r="A151" s="9"/>
      <c r="B151" s="27"/>
      <c r="C151" s="27"/>
      <c r="D151" s="1678"/>
      <c r="E151" s="28">
        <f t="shared" si="90"/>
        <v>0</v>
      </c>
      <c r="F151" s="29"/>
      <c r="G151" s="30">
        <f t="shared" si="65"/>
        <v>0</v>
      </c>
      <c r="H151" s="31">
        <f t="shared" si="66"/>
        <v>0</v>
      </c>
      <c r="I151" s="32"/>
      <c r="J151" s="32"/>
      <c r="K151" s="32"/>
      <c r="L151" s="32"/>
      <c r="M151" s="32"/>
      <c r="N151" s="32"/>
      <c r="O151" s="32"/>
      <c r="P151" s="32"/>
      <c r="Q151" s="32"/>
      <c r="R151" s="32"/>
      <c r="S151" s="32"/>
      <c r="T151" s="32"/>
      <c r="U151" s="32"/>
      <c r="V151" s="32"/>
      <c r="W151" s="32"/>
      <c r="X151" s="32"/>
      <c r="Y151" s="32"/>
      <c r="Z151" s="32"/>
      <c r="AA151" s="32"/>
      <c r="AB151" s="32"/>
      <c r="AC151" s="28">
        <f t="shared" si="67"/>
        <v>0</v>
      </c>
      <c r="AD151" s="33"/>
      <c r="AE151" s="33"/>
      <c r="AF151" s="33"/>
      <c r="AG151" s="33"/>
      <c r="AH151" s="33"/>
      <c r="AI151" s="33"/>
      <c r="AJ151" s="33"/>
      <c r="AK151" s="33"/>
      <c r="AL151" s="33"/>
      <c r="AM151" s="33"/>
      <c r="AN151" s="33"/>
      <c r="AO151" s="33"/>
      <c r="AP151" s="33"/>
      <c r="AQ151" s="33"/>
      <c r="AR151" s="33"/>
      <c r="AS151" s="33"/>
      <c r="AT151" s="34"/>
      <c r="AU151" s="1679"/>
      <c r="AV151" s="2256">
        <f t="shared" si="91"/>
        <v>0</v>
      </c>
      <c r="AW151" s="2256">
        <f t="shared" si="92"/>
        <v>0</v>
      </c>
      <c r="AX151" s="2256">
        <f t="shared" si="93"/>
        <v>0</v>
      </c>
      <c r="AY151" s="2781">
        <f t="shared" si="68"/>
        <v>0</v>
      </c>
      <c r="AZ151" s="28">
        <f t="shared" si="69"/>
        <v>0</v>
      </c>
      <c r="BA151" s="28">
        <f t="shared" si="70"/>
        <v>0</v>
      </c>
      <c r="BB151" s="28">
        <f t="shared" si="71"/>
        <v>0</v>
      </c>
      <c r="BC151" s="28">
        <f t="shared" si="72"/>
        <v>0</v>
      </c>
      <c r="BD151" s="3439">
        <f t="shared" si="73"/>
        <v>0</v>
      </c>
      <c r="BE151" s="3439">
        <f t="shared" si="74"/>
        <v>0</v>
      </c>
      <c r="BF151" s="3439">
        <f t="shared" si="75"/>
        <v>0</v>
      </c>
      <c r="BG151" s="3439">
        <f t="shared" si="76"/>
        <v>0</v>
      </c>
      <c r="BH151" s="3439">
        <f t="shared" si="77"/>
        <v>0</v>
      </c>
      <c r="BI151" s="3439">
        <f t="shared" si="78"/>
        <v>0</v>
      </c>
      <c r="BJ151" s="3439">
        <f t="shared" si="79"/>
        <v>0</v>
      </c>
      <c r="BK151" s="3439">
        <f t="shared" si="80"/>
        <v>0</v>
      </c>
      <c r="BL151" s="28">
        <f t="shared" si="81"/>
        <v>0</v>
      </c>
      <c r="BM151" s="28">
        <f t="shared" si="82"/>
        <v>0</v>
      </c>
      <c r="BN151" s="28">
        <f t="shared" si="83"/>
        <v>0</v>
      </c>
      <c r="BO151" s="28">
        <f t="shared" si="84"/>
        <v>0</v>
      </c>
      <c r="BP151" s="28">
        <f t="shared" si="85"/>
        <v>0</v>
      </c>
      <c r="BQ151" s="3439">
        <f t="shared" si="86"/>
        <v>0</v>
      </c>
      <c r="BR151" s="3439">
        <f t="shared" si="87"/>
        <v>0</v>
      </c>
      <c r="BS151" s="3439">
        <f t="shared" si="88"/>
        <v>0</v>
      </c>
      <c r="BT151" s="3451">
        <f t="shared" si="89"/>
        <v>0</v>
      </c>
    </row>
    <row r="152" spans="1:72">
      <c r="A152" s="9"/>
      <c r="B152" s="27"/>
      <c r="C152" s="27"/>
      <c r="D152" s="1678"/>
      <c r="E152" s="28">
        <f t="shared" si="90"/>
        <v>0</v>
      </c>
      <c r="F152" s="29"/>
      <c r="G152" s="30">
        <f t="shared" si="65"/>
        <v>0</v>
      </c>
      <c r="H152" s="31">
        <f t="shared" si="66"/>
        <v>0</v>
      </c>
      <c r="I152" s="32"/>
      <c r="J152" s="32"/>
      <c r="K152" s="32"/>
      <c r="L152" s="32"/>
      <c r="M152" s="32"/>
      <c r="N152" s="32"/>
      <c r="O152" s="32"/>
      <c r="P152" s="32"/>
      <c r="Q152" s="32"/>
      <c r="R152" s="32"/>
      <c r="S152" s="32"/>
      <c r="T152" s="32"/>
      <c r="U152" s="32"/>
      <c r="V152" s="32"/>
      <c r="W152" s="32"/>
      <c r="X152" s="32"/>
      <c r="Y152" s="32"/>
      <c r="Z152" s="32"/>
      <c r="AA152" s="32"/>
      <c r="AB152" s="32"/>
      <c r="AC152" s="28">
        <f t="shared" si="67"/>
        <v>0</v>
      </c>
      <c r="AD152" s="33"/>
      <c r="AE152" s="33"/>
      <c r="AF152" s="33"/>
      <c r="AG152" s="33"/>
      <c r="AH152" s="33"/>
      <c r="AI152" s="33"/>
      <c r="AJ152" s="33"/>
      <c r="AK152" s="33"/>
      <c r="AL152" s="33"/>
      <c r="AM152" s="33"/>
      <c r="AN152" s="33"/>
      <c r="AO152" s="33"/>
      <c r="AP152" s="33"/>
      <c r="AQ152" s="33"/>
      <c r="AR152" s="33"/>
      <c r="AS152" s="33"/>
      <c r="AT152" s="34"/>
      <c r="AU152" s="1679"/>
      <c r="AV152" s="2256">
        <f t="shared" si="91"/>
        <v>0</v>
      </c>
      <c r="AW152" s="2256">
        <f t="shared" si="92"/>
        <v>0</v>
      </c>
      <c r="AX152" s="2256">
        <f t="shared" si="93"/>
        <v>0</v>
      </c>
      <c r="AY152" s="2781">
        <f t="shared" si="68"/>
        <v>0</v>
      </c>
      <c r="AZ152" s="28">
        <f t="shared" si="69"/>
        <v>0</v>
      </c>
      <c r="BA152" s="28">
        <f t="shared" si="70"/>
        <v>0</v>
      </c>
      <c r="BB152" s="28">
        <f t="shared" si="71"/>
        <v>0</v>
      </c>
      <c r="BC152" s="28">
        <f t="shared" si="72"/>
        <v>0</v>
      </c>
      <c r="BD152" s="3439">
        <f t="shared" si="73"/>
        <v>0</v>
      </c>
      <c r="BE152" s="3439">
        <f t="shared" si="74"/>
        <v>0</v>
      </c>
      <c r="BF152" s="3439">
        <f t="shared" si="75"/>
        <v>0</v>
      </c>
      <c r="BG152" s="3439">
        <f t="shared" si="76"/>
        <v>0</v>
      </c>
      <c r="BH152" s="3439">
        <f t="shared" si="77"/>
        <v>0</v>
      </c>
      <c r="BI152" s="3439">
        <f t="shared" si="78"/>
        <v>0</v>
      </c>
      <c r="BJ152" s="3439">
        <f t="shared" si="79"/>
        <v>0</v>
      </c>
      <c r="BK152" s="3439">
        <f t="shared" si="80"/>
        <v>0</v>
      </c>
      <c r="BL152" s="28">
        <f t="shared" si="81"/>
        <v>0</v>
      </c>
      <c r="BM152" s="28">
        <f t="shared" si="82"/>
        <v>0</v>
      </c>
      <c r="BN152" s="28">
        <f t="shared" si="83"/>
        <v>0</v>
      </c>
      <c r="BO152" s="28">
        <f t="shared" si="84"/>
        <v>0</v>
      </c>
      <c r="BP152" s="28">
        <f t="shared" si="85"/>
        <v>0</v>
      </c>
      <c r="BQ152" s="3439">
        <f t="shared" si="86"/>
        <v>0</v>
      </c>
      <c r="BR152" s="3439">
        <f t="shared" si="87"/>
        <v>0</v>
      </c>
      <c r="BS152" s="3439">
        <f t="shared" si="88"/>
        <v>0</v>
      </c>
      <c r="BT152" s="3451">
        <f t="shared" si="89"/>
        <v>0</v>
      </c>
    </row>
    <row r="153" spans="1:72">
      <c r="A153" s="9"/>
      <c r="B153" s="27"/>
      <c r="C153" s="27"/>
      <c r="D153" s="1678"/>
      <c r="E153" s="28">
        <f t="shared" si="90"/>
        <v>0</v>
      </c>
      <c r="F153" s="29"/>
      <c r="G153" s="30">
        <f t="shared" si="65"/>
        <v>0</v>
      </c>
      <c r="H153" s="31">
        <f t="shared" si="66"/>
        <v>0</v>
      </c>
      <c r="I153" s="32"/>
      <c r="J153" s="32"/>
      <c r="K153" s="32"/>
      <c r="L153" s="32"/>
      <c r="M153" s="32"/>
      <c r="N153" s="32"/>
      <c r="O153" s="32"/>
      <c r="P153" s="32"/>
      <c r="Q153" s="32"/>
      <c r="R153" s="32"/>
      <c r="S153" s="32"/>
      <c r="T153" s="32"/>
      <c r="U153" s="32"/>
      <c r="V153" s="32"/>
      <c r="W153" s="32"/>
      <c r="X153" s="32"/>
      <c r="Y153" s="32"/>
      <c r="Z153" s="32"/>
      <c r="AA153" s="32"/>
      <c r="AB153" s="32"/>
      <c r="AC153" s="28">
        <f t="shared" si="67"/>
        <v>0</v>
      </c>
      <c r="AD153" s="33"/>
      <c r="AE153" s="33"/>
      <c r="AF153" s="33"/>
      <c r="AG153" s="33"/>
      <c r="AH153" s="33"/>
      <c r="AI153" s="33"/>
      <c r="AJ153" s="33"/>
      <c r="AK153" s="33"/>
      <c r="AL153" s="33"/>
      <c r="AM153" s="33"/>
      <c r="AN153" s="33"/>
      <c r="AO153" s="33"/>
      <c r="AP153" s="33"/>
      <c r="AQ153" s="33"/>
      <c r="AR153" s="33"/>
      <c r="AS153" s="33"/>
      <c r="AT153" s="34"/>
      <c r="AU153" s="1679"/>
      <c r="AV153" s="2256">
        <f t="shared" si="91"/>
        <v>0</v>
      </c>
      <c r="AW153" s="2256">
        <f t="shared" si="92"/>
        <v>0</v>
      </c>
      <c r="AX153" s="2256">
        <f t="shared" si="93"/>
        <v>0</v>
      </c>
      <c r="AY153" s="2781">
        <f t="shared" si="68"/>
        <v>0</v>
      </c>
      <c r="AZ153" s="28">
        <f t="shared" si="69"/>
        <v>0</v>
      </c>
      <c r="BA153" s="28">
        <f t="shared" si="70"/>
        <v>0</v>
      </c>
      <c r="BB153" s="28">
        <f t="shared" si="71"/>
        <v>0</v>
      </c>
      <c r="BC153" s="28">
        <f t="shared" si="72"/>
        <v>0</v>
      </c>
      <c r="BD153" s="3439">
        <f t="shared" si="73"/>
        <v>0</v>
      </c>
      <c r="BE153" s="3439">
        <f t="shared" si="74"/>
        <v>0</v>
      </c>
      <c r="BF153" s="3439">
        <f t="shared" si="75"/>
        <v>0</v>
      </c>
      <c r="BG153" s="3439">
        <f t="shared" si="76"/>
        <v>0</v>
      </c>
      <c r="BH153" s="3439">
        <f t="shared" si="77"/>
        <v>0</v>
      </c>
      <c r="BI153" s="3439">
        <f t="shared" si="78"/>
        <v>0</v>
      </c>
      <c r="BJ153" s="3439">
        <f t="shared" si="79"/>
        <v>0</v>
      </c>
      <c r="BK153" s="3439">
        <f t="shared" si="80"/>
        <v>0</v>
      </c>
      <c r="BL153" s="28">
        <f t="shared" si="81"/>
        <v>0</v>
      </c>
      <c r="BM153" s="28">
        <f t="shared" si="82"/>
        <v>0</v>
      </c>
      <c r="BN153" s="28">
        <f t="shared" si="83"/>
        <v>0</v>
      </c>
      <c r="BO153" s="28">
        <f t="shared" si="84"/>
        <v>0</v>
      </c>
      <c r="BP153" s="28">
        <f t="shared" si="85"/>
        <v>0</v>
      </c>
      <c r="BQ153" s="3439">
        <f t="shared" si="86"/>
        <v>0</v>
      </c>
      <c r="BR153" s="3439">
        <f t="shared" si="87"/>
        <v>0</v>
      </c>
      <c r="BS153" s="3439">
        <f t="shared" si="88"/>
        <v>0</v>
      </c>
      <c r="BT153" s="3451">
        <f t="shared" si="89"/>
        <v>0</v>
      </c>
    </row>
    <row r="154" spans="1:72">
      <c r="A154" s="9"/>
      <c r="B154" s="27"/>
      <c r="C154" s="27"/>
      <c r="D154" s="1678"/>
      <c r="E154" s="28">
        <f t="shared" si="90"/>
        <v>0</v>
      </c>
      <c r="F154" s="29"/>
      <c r="G154" s="30">
        <f t="shared" si="65"/>
        <v>0</v>
      </c>
      <c r="H154" s="31">
        <f t="shared" si="66"/>
        <v>0</v>
      </c>
      <c r="I154" s="32"/>
      <c r="J154" s="32"/>
      <c r="K154" s="32"/>
      <c r="L154" s="32"/>
      <c r="M154" s="32"/>
      <c r="N154" s="32"/>
      <c r="O154" s="32"/>
      <c r="P154" s="32"/>
      <c r="Q154" s="32"/>
      <c r="R154" s="32"/>
      <c r="S154" s="32"/>
      <c r="T154" s="32"/>
      <c r="U154" s="32"/>
      <c r="V154" s="32"/>
      <c r="W154" s="32"/>
      <c r="X154" s="32"/>
      <c r="Y154" s="32"/>
      <c r="Z154" s="32"/>
      <c r="AA154" s="32"/>
      <c r="AB154" s="32"/>
      <c r="AC154" s="28">
        <f t="shared" si="67"/>
        <v>0</v>
      </c>
      <c r="AD154" s="33"/>
      <c r="AE154" s="33"/>
      <c r="AF154" s="33"/>
      <c r="AG154" s="33"/>
      <c r="AH154" s="33"/>
      <c r="AI154" s="33"/>
      <c r="AJ154" s="33"/>
      <c r="AK154" s="33"/>
      <c r="AL154" s="33"/>
      <c r="AM154" s="33"/>
      <c r="AN154" s="33"/>
      <c r="AO154" s="33"/>
      <c r="AP154" s="33"/>
      <c r="AQ154" s="33"/>
      <c r="AR154" s="33"/>
      <c r="AS154" s="33"/>
      <c r="AT154" s="34"/>
      <c r="AU154" s="1679"/>
      <c r="AV154" s="2256">
        <f t="shared" si="91"/>
        <v>0</v>
      </c>
      <c r="AW154" s="2256">
        <f t="shared" si="92"/>
        <v>0</v>
      </c>
      <c r="AX154" s="2256">
        <f t="shared" si="93"/>
        <v>0</v>
      </c>
      <c r="AY154" s="2781">
        <f t="shared" si="68"/>
        <v>0</v>
      </c>
      <c r="AZ154" s="28">
        <f t="shared" si="69"/>
        <v>0</v>
      </c>
      <c r="BA154" s="28">
        <f t="shared" si="70"/>
        <v>0</v>
      </c>
      <c r="BB154" s="28">
        <f t="shared" si="71"/>
        <v>0</v>
      </c>
      <c r="BC154" s="28">
        <f t="shared" si="72"/>
        <v>0</v>
      </c>
      <c r="BD154" s="3439">
        <f t="shared" si="73"/>
        <v>0</v>
      </c>
      <c r="BE154" s="3439">
        <f t="shared" si="74"/>
        <v>0</v>
      </c>
      <c r="BF154" s="3439">
        <f t="shared" si="75"/>
        <v>0</v>
      </c>
      <c r="BG154" s="3439">
        <f t="shared" si="76"/>
        <v>0</v>
      </c>
      <c r="BH154" s="3439">
        <f t="shared" si="77"/>
        <v>0</v>
      </c>
      <c r="BI154" s="3439">
        <f t="shared" si="78"/>
        <v>0</v>
      </c>
      <c r="BJ154" s="3439">
        <f t="shared" si="79"/>
        <v>0</v>
      </c>
      <c r="BK154" s="3439">
        <f t="shared" si="80"/>
        <v>0</v>
      </c>
      <c r="BL154" s="28">
        <f t="shared" si="81"/>
        <v>0</v>
      </c>
      <c r="BM154" s="28">
        <f t="shared" si="82"/>
        <v>0</v>
      </c>
      <c r="BN154" s="28">
        <f t="shared" si="83"/>
        <v>0</v>
      </c>
      <c r="BO154" s="28">
        <f t="shared" si="84"/>
        <v>0</v>
      </c>
      <c r="BP154" s="28">
        <f t="shared" si="85"/>
        <v>0</v>
      </c>
      <c r="BQ154" s="3439">
        <f t="shared" si="86"/>
        <v>0</v>
      </c>
      <c r="BR154" s="3439">
        <f t="shared" si="87"/>
        <v>0</v>
      </c>
      <c r="BS154" s="3439">
        <f t="shared" si="88"/>
        <v>0</v>
      </c>
      <c r="BT154" s="3451">
        <f t="shared" si="89"/>
        <v>0</v>
      </c>
    </row>
    <row r="155" spans="1:72">
      <c r="A155" s="9"/>
      <c r="B155" s="27"/>
      <c r="C155" s="27"/>
      <c r="D155" s="1678"/>
      <c r="E155" s="28">
        <f t="shared" si="90"/>
        <v>0</v>
      </c>
      <c r="F155" s="29"/>
      <c r="G155" s="30">
        <f t="shared" si="65"/>
        <v>0</v>
      </c>
      <c r="H155" s="31">
        <f t="shared" si="66"/>
        <v>0</v>
      </c>
      <c r="I155" s="32"/>
      <c r="J155" s="32"/>
      <c r="K155" s="32"/>
      <c r="L155" s="32"/>
      <c r="M155" s="32"/>
      <c r="N155" s="32"/>
      <c r="O155" s="32"/>
      <c r="P155" s="32"/>
      <c r="Q155" s="32"/>
      <c r="R155" s="32"/>
      <c r="S155" s="32"/>
      <c r="T155" s="32"/>
      <c r="U155" s="32"/>
      <c r="V155" s="32"/>
      <c r="W155" s="32"/>
      <c r="X155" s="32"/>
      <c r="Y155" s="32"/>
      <c r="Z155" s="32"/>
      <c r="AA155" s="32"/>
      <c r="AB155" s="32"/>
      <c r="AC155" s="28">
        <f t="shared" si="67"/>
        <v>0</v>
      </c>
      <c r="AD155" s="33"/>
      <c r="AE155" s="33"/>
      <c r="AF155" s="33"/>
      <c r="AG155" s="33"/>
      <c r="AH155" s="33"/>
      <c r="AI155" s="33"/>
      <c r="AJ155" s="33"/>
      <c r="AK155" s="33"/>
      <c r="AL155" s="33"/>
      <c r="AM155" s="33"/>
      <c r="AN155" s="33"/>
      <c r="AO155" s="33"/>
      <c r="AP155" s="33"/>
      <c r="AQ155" s="33"/>
      <c r="AR155" s="33"/>
      <c r="AS155" s="33"/>
      <c r="AT155" s="34"/>
      <c r="AU155" s="1679"/>
      <c r="AV155" s="2256">
        <f t="shared" si="91"/>
        <v>0</v>
      </c>
      <c r="AW155" s="2256">
        <f t="shared" si="92"/>
        <v>0</v>
      </c>
      <c r="AX155" s="2256">
        <f t="shared" si="93"/>
        <v>0</v>
      </c>
      <c r="AY155" s="2781">
        <f t="shared" si="68"/>
        <v>0</v>
      </c>
      <c r="AZ155" s="28">
        <f t="shared" si="69"/>
        <v>0</v>
      </c>
      <c r="BA155" s="28">
        <f t="shared" si="70"/>
        <v>0</v>
      </c>
      <c r="BB155" s="28">
        <f t="shared" si="71"/>
        <v>0</v>
      </c>
      <c r="BC155" s="28">
        <f t="shared" si="72"/>
        <v>0</v>
      </c>
      <c r="BD155" s="3439">
        <f t="shared" si="73"/>
        <v>0</v>
      </c>
      <c r="BE155" s="3439">
        <f t="shared" si="74"/>
        <v>0</v>
      </c>
      <c r="BF155" s="3439">
        <f t="shared" si="75"/>
        <v>0</v>
      </c>
      <c r="BG155" s="3439">
        <f t="shared" si="76"/>
        <v>0</v>
      </c>
      <c r="BH155" s="3439">
        <f t="shared" si="77"/>
        <v>0</v>
      </c>
      <c r="BI155" s="3439">
        <f t="shared" si="78"/>
        <v>0</v>
      </c>
      <c r="BJ155" s="3439">
        <f t="shared" si="79"/>
        <v>0</v>
      </c>
      <c r="BK155" s="3439">
        <f t="shared" si="80"/>
        <v>0</v>
      </c>
      <c r="BL155" s="28">
        <f t="shared" si="81"/>
        <v>0</v>
      </c>
      <c r="BM155" s="28">
        <f t="shared" si="82"/>
        <v>0</v>
      </c>
      <c r="BN155" s="28">
        <f t="shared" si="83"/>
        <v>0</v>
      </c>
      <c r="BO155" s="28">
        <f t="shared" si="84"/>
        <v>0</v>
      </c>
      <c r="BP155" s="28">
        <f t="shared" si="85"/>
        <v>0</v>
      </c>
      <c r="BQ155" s="3439">
        <f t="shared" si="86"/>
        <v>0</v>
      </c>
      <c r="BR155" s="3439">
        <f t="shared" si="87"/>
        <v>0</v>
      </c>
      <c r="BS155" s="3439">
        <f t="shared" si="88"/>
        <v>0</v>
      </c>
      <c r="BT155" s="3451">
        <f t="shared" si="89"/>
        <v>0</v>
      </c>
    </row>
    <row r="156" spans="1:72">
      <c r="A156" s="9"/>
      <c r="B156" s="27"/>
      <c r="C156" s="27"/>
      <c r="D156" s="1678"/>
      <c r="E156" s="28">
        <f t="shared" si="90"/>
        <v>0</v>
      </c>
      <c r="F156" s="29"/>
      <c r="G156" s="30">
        <f t="shared" si="65"/>
        <v>0</v>
      </c>
      <c r="H156" s="31">
        <f t="shared" si="66"/>
        <v>0</v>
      </c>
      <c r="I156" s="32"/>
      <c r="J156" s="32"/>
      <c r="K156" s="32"/>
      <c r="L156" s="32"/>
      <c r="M156" s="32"/>
      <c r="N156" s="32"/>
      <c r="O156" s="32"/>
      <c r="P156" s="32"/>
      <c r="Q156" s="32"/>
      <c r="R156" s="32"/>
      <c r="S156" s="32"/>
      <c r="T156" s="32"/>
      <c r="U156" s="32"/>
      <c r="V156" s="32"/>
      <c r="W156" s="32"/>
      <c r="X156" s="32"/>
      <c r="Y156" s="32"/>
      <c r="Z156" s="32"/>
      <c r="AA156" s="32"/>
      <c r="AB156" s="32"/>
      <c r="AC156" s="28">
        <f t="shared" si="67"/>
        <v>0</v>
      </c>
      <c r="AD156" s="33"/>
      <c r="AE156" s="33"/>
      <c r="AF156" s="33"/>
      <c r="AG156" s="33"/>
      <c r="AH156" s="33"/>
      <c r="AI156" s="33"/>
      <c r="AJ156" s="33"/>
      <c r="AK156" s="33"/>
      <c r="AL156" s="33"/>
      <c r="AM156" s="33"/>
      <c r="AN156" s="33"/>
      <c r="AO156" s="33"/>
      <c r="AP156" s="33"/>
      <c r="AQ156" s="33"/>
      <c r="AR156" s="33"/>
      <c r="AS156" s="33"/>
      <c r="AT156" s="34"/>
      <c r="AU156" s="1679"/>
      <c r="AV156" s="2256">
        <f t="shared" si="91"/>
        <v>0</v>
      </c>
      <c r="AW156" s="2256">
        <f t="shared" si="92"/>
        <v>0</v>
      </c>
      <c r="AX156" s="2256">
        <f t="shared" si="93"/>
        <v>0</v>
      </c>
      <c r="AY156" s="2781">
        <f t="shared" si="68"/>
        <v>0</v>
      </c>
      <c r="AZ156" s="28">
        <f t="shared" si="69"/>
        <v>0</v>
      </c>
      <c r="BA156" s="28">
        <f t="shared" si="70"/>
        <v>0</v>
      </c>
      <c r="BB156" s="28">
        <f t="shared" si="71"/>
        <v>0</v>
      </c>
      <c r="BC156" s="28">
        <f t="shared" si="72"/>
        <v>0</v>
      </c>
      <c r="BD156" s="3439">
        <f t="shared" si="73"/>
        <v>0</v>
      </c>
      <c r="BE156" s="3439">
        <f t="shared" si="74"/>
        <v>0</v>
      </c>
      <c r="BF156" s="3439">
        <f t="shared" si="75"/>
        <v>0</v>
      </c>
      <c r="BG156" s="3439">
        <f t="shared" si="76"/>
        <v>0</v>
      </c>
      <c r="BH156" s="3439">
        <f t="shared" si="77"/>
        <v>0</v>
      </c>
      <c r="BI156" s="3439">
        <f t="shared" si="78"/>
        <v>0</v>
      </c>
      <c r="BJ156" s="3439">
        <f t="shared" si="79"/>
        <v>0</v>
      </c>
      <c r="BK156" s="3439">
        <f t="shared" si="80"/>
        <v>0</v>
      </c>
      <c r="BL156" s="28">
        <f t="shared" si="81"/>
        <v>0</v>
      </c>
      <c r="BM156" s="28">
        <f t="shared" si="82"/>
        <v>0</v>
      </c>
      <c r="BN156" s="28">
        <f t="shared" si="83"/>
        <v>0</v>
      </c>
      <c r="BO156" s="28">
        <f t="shared" si="84"/>
        <v>0</v>
      </c>
      <c r="BP156" s="28">
        <f t="shared" si="85"/>
        <v>0</v>
      </c>
      <c r="BQ156" s="3439">
        <f t="shared" si="86"/>
        <v>0</v>
      </c>
      <c r="BR156" s="3439">
        <f t="shared" si="87"/>
        <v>0</v>
      </c>
      <c r="BS156" s="3439">
        <f t="shared" si="88"/>
        <v>0</v>
      </c>
      <c r="BT156" s="3451">
        <f t="shared" si="89"/>
        <v>0</v>
      </c>
    </row>
    <row r="157" spans="1:72">
      <c r="A157" s="9"/>
      <c r="B157" s="27"/>
      <c r="C157" s="27"/>
      <c r="D157" s="1678"/>
      <c r="E157" s="28">
        <f t="shared" si="90"/>
        <v>0</v>
      </c>
      <c r="F157" s="29"/>
      <c r="G157" s="30">
        <f t="shared" si="65"/>
        <v>0</v>
      </c>
      <c r="H157" s="31">
        <f t="shared" si="66"/>
        <v>0</v>
      </c>
      <c r="I157" s="32"/>
      <c r="J157" s="32"/>
      <c r="K157" s="32"/>
      <c r="L157" s="32"/>
      <c r="M157" s="32"/>
      <c r="N157" s="32"/>
      <c r="O157" s="32"/>
      <c r="P157" s="32"/>
      <c r="Q157" s="32"/>
      <c r="R157" s="32"/>
      <c r="S157" s="32"/>
      <c r="T157" s="32"/>
      <c r="U157" s="32"/>
      <c r="V157" s="32"/>
      <c r="W157" s="32"/>
      <c r="X157" s="32"/>
      <c r="Y157" s="32"/>
      <c r="Z157" s="32"/>
      <c r="AA157" s="32"/>
      <c r="AB157" s="32"/>
      <c r="AC157" s="28">
        <f t="shared" si="67"/>
        <v>0</v>
      </c>
      <c r="AD157" s="33"/>
      <c r="AE157" s="33"/>
      <c r="AF157" s="33"/>
      <c r="AG157" s="33"/>
      <c r="AH157" s="33"/>
      <c r="AI157" s="33"/>
      <c r="AJ157" s="33"/>
      <c r="AK157" s="33"/>
      <c r="AL157" s="33"/>
      <c r="AM157" s="33"/>
      <c r="AN157" s="33"/>
      <c r="AO157" s="33"/>
      <c r="AP157" s="33"/>
      <c r="AQ157" s="33"/>
      <c r="AR157" s="33"/>
      <c r="AS157" s="33"/>
      <c r="AT157" s="34"/>
      <c r="AU157" s="1679"/>
      <c r="AV157" s="2256">
        <f t="shared" si="91"/>
        <v>0</v>
      </c>
      <c r="AW157" s="2256">
        <f t="shared" si="92"/>
        <v>0</v>
      </c>
      <c r="AX157" s="2256">
        <f t="shared" si="93"/>
        <v>0</v>
      </c>
      <c r="AY157" s="2781">
        <f t="shared" si="68"/>
        <v>0</v>
      </c>
      <c r="AZ157" s="28">
        <f t="shared" si="69"/>
        <v>0</v>
      </c>
      <c r="BA157" s="28">
        <f t="shared" si="70"/>
        <v>0</v>
      </c>
      <c r="BB157" s="28">
        <f t="shared" si="71"/>
        <v>0</v>
      </c>
      <c r="BC157" s="28">
        <f t="shared" si="72"/>
        <v>0</v>
      </c>
      <c r="BD157" s="3439">
        <f t="shared" si="73"/>
        <v>0</v>
      </c>
      <c r="BE157" s="3439">
        <f t="shared" si="74"/>
        <v>0</v>
      </c>
      <c r="BF157" s="3439">
        <f t="shared" si="75"/>
        <v>0</v>
      </c>
      <c r="BG157" s="3439">
        <f t="shared" si="76"/>
        <v>0</v>
      </c>
      <c r="BH157" s="3439">
        <f t="shared" si="77"/>
        <v>0</v>
      </c>
      <c r="BI157" s="3439">
        <f t="shared" si="78"/>
        <v>0</v>
      </c>
      <c r="BJ157" s="3439">
        <f t="shared" si="79"/>
        <v>0</v>
      </c>
      <c r="BK157" s="3439">
        <f t="shared" si="80"/>
        <v>0</v>
      </c>
      <c r="BL157" s="28">
        <f t="shared" si="81"/>
        <v>0</v>
      </c>
      <c r="BM157" s="28">
        <f t="shared" si="82"/>
        <v>0</v>
      </c>
      <c r="BN157" s="28">
        <f t="shared" si="83"/>
        <v>0</v>
      </c>
      <c r="BO157" s="28">
        <f t="shared" si="84"/>
        <v>0</v>
      </c>
      <c r="BP157" s="28">
        <f t="shared" si="85"/>
        <v>0</v>
      </c>
      <c r="BQ157" s="3439">
        <f t="shared" si="86"/>
        <v>0</v>
      </c>
      <c r="BR157" s="3439">
        <f t="shared" si="87"/>
        <v>0</v>
      </c>
      <c r="BS157" s="3439">
        <f t="shared" si="88"/>
        <v>0</v>
      </c>
      <c r="BT157" s="3451">
        <f t="shared" si="89"/>
        <v>0</v>
      </c>
    </row>
    <row r="158" spans="1:72">
      <c r="A158" s="9"/>
      <c r="B158" s="27"/>
      <c r="C158" s="27"/>
      <c r="D158" s="1678"/>
      <c r="E158" s="28">
        <f t="shared" si="90"/>
        <v>0</v>
      </c>
      <c r="F158" s="29"/>
      <c r="G158" s="30">
        <f t="shared" si="65"/>
        <v>0</v>
      </c>
      <c r="H158" s="31">
        <f t="shared" si="66"/>
        <v>0</v>
      </c>
      <c r="I158" s="32"/>
      <c r="J158" s="32"/>
      <c r="K158" s="32"/>
      <c r="L158" s="32"/>
      <c r="M158" s="32"/>
      <c r="N158" s="32"/>
      <c r="O158" s="32"/>
      <c r="P158" s="32"/>
      <c r="Q158" s="32"/>
      <c r="R158" s="32"/>
      <c r="S158" s="32"/>
      <c r="T158" s="32"/>
      <c r="U158" s="32"/>
      <c r="V158" s="32"/>
      <c r="W158" s="32"/>
      <c r="X158" s="32"/>
      <c r="Y158" s="32"/>
      <c r="Z158" s="32"/>
      <c r="AA158" s="32"/>
      <c r="AB158" s="32"/>
      <c r="AC158" s="28">
        <f t="shared" si="67"/>
        <v>0</v>
      </c>
      <c r="AD158" s="33"/>
      <c r="AE158" s="33"/>
      <c r="AF158" s="33"/>
      <c r="AG158" s="33"/>
      <c r="AH158" s="33"/>
      <c r="AI158" s="33"/>
      <c r="AJ158" s="33"/>
      <c r="AK158" s="33"/>
      <c r="AL158" s="33"/>
      <c r="AM158" s="33"/>
      <c r="AN158" s="33"/>
      <c r="AO158" s="33"/>
      <c r="AP158" s="33"/>
      <c r="AQ158" s="33"/>
      <c r="AR158" s="33"/>
      <c r="AS158" s="33"/>
      <c r="AT158" s="34"/>
      <c r="AU158" s="1679"/>
      <c r="AV158" s="2256">
        <f t="shared" si="91"/>
        <v>0</v>
      </c>
      <c r="AW158" s="2256">
        <f t="shared" si="92"/>
        <v>0</v>
      </c>
      <c r="AX158" s="2256">
        <f t="shared" si="93"/>
        <v>0</v>
      </c>
      <c r="AY158" s="2781">
        <f t="shared" si="68"/>
        <v>0</v>
      </c>
      <c r="AZ158" s="28">
        <f t="shared" si="69"/>
        <v>0</v>
      </c>
      <c r="BA158" s="28">
        <f t="shared" si="70"/>
        <v>0</v>
      </c>
      <c r="BB158" s="28">
        <f t="shared" si="71"/>
        <v>0</v>
      </c>
      <c r="BC158" s="28">
        <f t="shared" si="72"/>
        <v>0</v>
      </c>
      <c r="BD158" s="3439">
        <f t="shared" si="73"/>
        <v>0</v>
      </c>
      <c r="BE158" s="3439">
        <f t="shared" si="74"/>
        <v>0</v>
      </c>
      <c r="BF158" s="3439">
        <f t="shared" si="75"/>
        <v>0</v>
      </c>
      <c r="BG158" s="3439">
        <f t="shared" si="76"/>
        <v>0</v>
      </c>
      <c r="BH158" s="3439">
        <f t="shared" si="77"/>
        <v>0</v>
      </c>
      <c r="BI158" s="3439">
        <f t="shared" si="78"/>
        <v>0</v>
      </c>
      <c r="BJ158" s="3439">
        <f t="shared" si="79"/>
        <v>0</v>
      </c>
      <c r="BK158" s="3439">
        <f t="shared" si="80"/>
        <v>0</v>
      </c>
      <c r="BL158" s="28">
        <f t="shared" si="81"/>
        <v>0</v>
      </c>
      <c r="BM158" s="28">
        <f t="shared" si="82"/>
        <v>0</v>
      </c>
      <c r="BN158" s="28">
        <f t="shared" si="83"/>
        <v>0</v>
      </c>
      <c r="BO158" s="28">
        <f t="shared" si="84"/>
        <v>0</v>
      </c>
      <c r="BP158" s="28">
        <f t="shared" si="85"/>
        <v>0</v>
      </c>
      <c r="BQ158" s="3439">
        <f t="shared" si="86"/>
        <v>0</v>
      </c>
      <c r="BR158" s="3439">
        <f t="shared" si="87"/>
        <v>0</v>
      </c>
      <c r="BS158" s="3439">
        <f t="shared" si="88"/>
        <v>0</v>
      </c>
      <c r="BT158" s="3451">
        <f t="shared" si="89"/>
        <v>0</v>
      </c>
    </row>
    <row r="159" spans="1:72">
      <c r="A159" s="9"/>
      <c r="B159" s="27"/>
      <c r="C159" s="27"/>
      <c r="D159" s="1678"/>
      <c r="E159" s="28">
        <f t="shared" si="90"/>
        <v>0</v>
      </c>
      <c r="F159" s="29"/>
      <c r="G159" s="30">
        <f t="shared" si="65"/>
        <v>0</v>
      </c>
      <c r="H159" s="31">
        <f t="shared" si="66"/>
        <v>0</v>
      </c>
      <c r="I159" s="32"/>
      <c r="J159" s="32"/>
      <c r="K159" s="32"/>
      <c r="L159" s="32"/>
      <c r="M159" s="32"/>
      <c r="N159" s="32"/>
      <c r="O159" s="32"/>
      <c r="P159" s="32"/>
      <c r="Q159" s="32"/>
      <c r="R159" s="32"/>
      <c r="S159" s="32"/>
      <c r="T159" s="32"/>
      <c r="U159" s="32"/>
      <c r="V159" s="32"/>
      <c r="W159" s="32"/>
      <c r="X159" s="32"/>
      <c r="Y159" s="32"/>
      <c r="Z159" s="32"/>
      <c r="AA159" s="32"/>
      <c r="AB159" s="32"/>
      <c r="AC159" s="28">
        <f t="shared" si="67"/>
        <v>0</v>
      </c>
      <c r="AD159" s="33"/>
      <c r="AE159" s="33"/>
      <c r="AF159" s="33"/>
      <c r="AG159" s="33"/>
      <c r="AH159" s="33"/>
      <c r="AI159" s="33"/>
      <c r="AJ159" s="33"/>
      <c r="AK159" s="33"/>
      <c r="AL159" s="33"/>
      <c r="AM159" s="33"/>
      <c r="AN159" s="33"/>
      <c r="AO159" s="33"/>
      <c r="AP159" s="33"/>
      <c r="AQ159" s="33"/>
      <c r="AR159" s="33"/>
      <c r="AS159" s="33"/>
      <c r="AT159" s="34"/>
      <c r="AU159" s="1679"/>
      <c r="AV159" s="2256">
        <f t="shared" si="91"/>
        <v>0</v>
      </c>
      <c r="AW159" s="2256">
        <f t="shared" si="92"/>
        <v>0</v>
      </c>
      <c r="AX159" s="2256">
        <f t="shared" si="93"/>
        <v>0</v>
      </c>
      <c r="AY159" s="2781">
        <f t="shared" si="68"/>
        <v>0</v>
      </c>
      <c r="AZ159" s="28">
        <f t="shared" si="69"/>
        <v>0</v>
      </c>
      <c r="BA159" s="28">
        <f t="shared" si="70"/>
        <v>0</v>
      </c>
      <c r="BB159" s="28">
        <f t="shared" si="71"/>
        <v>0</v>
      </c>
      <c r="BC159" s="28">
        <f t="shared" si="72"/>
        <v>0</v>
      </c>
      <c r="BD159" s="3439">
        <f t="shared" si="73"/>
        <v>0</v>
      </c>
      <c r="BE159" s="3439">
        <f t="shared" si="74"/>
        <v>0</v>
      </c>
      <c r="BF159" s="3439">
        <f t="shared" si="75"/>
        <v>0</v>
      </c>
      <c r="BG159" s="3439">
        <f t="shared" si="76"/>
        <v>0</v>
      </c>
      <c r="BH159" s="3439">
        <f t="shared" si="77"/>
        <v>0</v>
      </c>
      <c r="BI159" s="3439">
        <f t="shared" si="78"/>
        <v>0</v>
      </c>
      <c r="BJ159" s="3439">
        <f t="shared" si="79"/>
        <v>0</v>
      </c>
      <c r="BK159" s="3439">
        <f t="shared" si="80"/>
        <v>0</v>
      </c>
      <c r="BL159" s="28">
        <f t="shared" si="81"/>
        <v>0</v>
      </c>
      <c r="BM159" s="28">
        <f t="shared" si="82"/>
        <v>0</v>
      </c>
      <c r="BN159" s="28">
        <f t="shared" si="83"/>
        <v>0</v>
      </c>
      <c r="BO159" s="28">
        <f t="shared" si="84"/>
        <v>0</v>
      </c>
      <c r="BP159" s="28">
        <f t="shared" si="85"/>
        <v>0</v>
      </c>
      <c r="BQ159" s="3439">
        <f t="shared" si="86"/>
        <v>0</v>
      </c>
      <c r="BR159" s="3439">
        <f t="shared" si="87"/>
        <v>0</v>
      </c>
      <c r="BS159" s="3439">
        <f t="shared" si="88"/>
        <v>0</v>
      </c>
      <c r="BT159" s="3451">
        <f t="shared" si="89"/>
        <v>0</v>
      </c>
    </row>
    <row r="160" spans="1:72">
      <c r="A160" s="9"/>
      <c r="B160" s="27"/>
      <c r="C160" s="27"/>
      <c r="D160" s="1678"/>
      <c r="E160" s="28">
        <f t="shared" si="90"/>
        <v>0</v>
      </c>
      <c r="F160" s="29"/>
      <c r="G160" s="30">
        <f t="shared" si="65"/>
        <v>0</v>
      </c>
      <c r="H160" s="31">
        <f t="shared" si="66"/>
        <v>0</v>
      </c>
      <c r="I160" s="32"/>
      <c r="J160" s="32"/>
      <c r="K160" s="32"/>
      <c r="L160" s="32"/>
      <c r="M160" s="32"/>
      <c r="N160" s="32"/>
      <c r="O160" s="32"/>
      <c r="P160" s="32"/>
      <c r="Q160" s="32"/>
      <c r="R160" s="32"/>
      <c r="S160" s="32"/>
      <c r="T160" s="32"/>
      <c r="U160" s="32"/>
      <c r="V160" s="32"/>
      <c r="W160" s="32"/>
      <c r="X160" s="32"/>
      <c r="Y160" s="32"/>
      <c r="Z160" s="32"/>
      <c r="AA160" s="32"/>
      <c r="AB160" s="32"/>
      <c r="AC160" s="28">
        <f t="shared" si="67"/>
        <v>0</v>
      </c>
      <c r="AD160" s="33"/>
      <c r="AE160" s="33"/>
      <c r="AF160" s="33"/>
      <c r="AG160" s="33"/>
      <c r="AH160" s="33"/>
      <c r="AI160" s="33"/>
      <c r="AJ160" s="33"/>
      <c r="AK160" s="33"/>
      <c r="AL160" s="33"/>
      <c r="AM160" s="33"/>
      <c r="AN160" s="33"/>
      <c r="AO160" s="33"/>
      <c r="AP160" s="33"/>
      <c r="AQ160" s="33"/>
      <c r="AR160" s="33"/>
      <c r="AS160" s="33"/>
      <c r="AT160" s="34"/>
      <c r="AU160" s="1679"/>
      <c r="AV160" s="2256">
        <f t="shared" si="91"/>
        <v>0</v>
      </c>
      <c r="AW160" s="2256">
        <f t="shared" si="92"/>
        <v>0</v>
      </c>
      <c r="AX160" s="2256">
        <f t="shared" si="93"/>
        <v>0</v>
      </c>
      <c r="AY160" s="2781">
        <f t="shared" si="68"/>
        <v>0</v>
      </c>
      <c r="AZ160" s="28">
        <f t="shared" si="69"/>
        <v>0</v>
      </c>
      <c r="BA160" s="28">
        <f t="shared" si="70"/>
        <v>0</v>
      </c>
      <c r="BB160" s="28">
        <f t="shared" si="71"/>
        <v>0</v>
      </c>
      <c r="BC160" s="28">
        <f t="shared" si="72"/>
        <v>0</v>
      </c>
      <c r="BD160" s="3439">
        <f t="shared" si="73"/>
        <v>0</v>
      </c>
      <c r="BE160" s="3439">
        <f t="shared" si="74"/>
        <v>0</v>
      </c>
      <c r="BF160" s="3439">
        <f t="shared" si="75"/>
        <v>0</v>
      </c>
      <c r="BG160" s="3439">
        <f t="shared" si="76"/>
        <v>0</v>
      </c>
      <c r="BH160" s="3439">
        <f t="shared" si="77"/>
        <v>0</v>
      </c>
      <c r="BI160" s="3439">
        <f t="shared" si="78"/>
        <v>0</v>
      </c>
      <c r="BJ160" s="3439">
        <f t="shared" si="79"/>
        <v>0</v>
      </c>
      <c r="BK160" s="3439">
        <f t="shared" si="80"/>
        <v>0</v>
      </c>
      <c r="BL160" s="28">
        <f t="shared" si="81"/>
        <v>0</v>
      </c>
      <c r="BM160" s="28">
        <f t="shared" si="82"/>
        <v>0</v>
      </c>
      <c r="BN160" s="28">
        <f t="shared" si="83"/>
        <v>0</v>
      </c>
      <c r="BO160" s="28">
        <f t="shared" si="84"/>
        <v>0</v>
      </c>
      <c r="BP160" s="28">
        <f t="shared" si="85"/>
        <v>0</v>
      </c>
      <c r="BQ160" s="3439">
        <f t="shared" si="86"/>
        <v>0</v>
      </c>
      <c r="BR160" s="3439">
        <f t="shared" si="87"/>
        <v>0</v>
      </c>
      <c r="BS160" s="3439">
        <f t="shared" si="88"/>
        <v>0</v>
      </c>
      <c r="BT160" s="3451">
        <f t="shared" si="89"/>
        <v>0</v>
      </c>
    </row>
    <row r="161" spans="1:72">
      <c r="A161" s="9"/>
      <c r="B161" s="27"/>
      <c r="C161" s="27"/>
      <c r="D161" s="1678"/>
      <c r="E161" s="28">
        <f t="shared" si="90"/>
        <v>0</v>
      </c>
      <c r="F161" s="29"/>
      <c r="G161" s="30">
        <f t="shared" si="65"/>
        <v>0</v>
      </c>
      <c r="H161" s="31">
        <f t="shared" si="66"/>
        <v>0</v>
      </c>
      <c r="I161" s="32"/>
      <c r="J161" s="32"/>
      <c r="K161" s="32"/>
      <c r="L161" s="32"/>
      <c r="M161" s="32"/>
      <c r="N161" s="32"/>
      <c r="O161" s="32"/>
      <c r="P161" s="32"/>
      <c r="Q161" s="32"/>
      <c r="R161" s="32"/>
      <c r="S161" s="32"/>
      <c r="T161" s="32"/>
      <c r="U161" s="32"/>
      <c r="V161" s="32"/>
      <c r="W161" s="32"/>
      <c r="X161" s="32"/>
      <c r="Y161" s="32"/>
      <c r="Z161" s="32"/>
      <c r="AA161" s="32"/>
      <c r="AB161" s="32"/>
      <c r="AC161" s="28">
        <f t="shared" si="67"/>
        <v>0</v>
      </c>
      <c r="AD161" s="33"/>
      <c r="AE161" s="33"/>
      <c r="AF161" s="33"/>
      <c r="AG161" s="33"/>
      <c r="AH161" s="33"/>
      <c r="AI161" s="33"/>
      <c r="AJ161" s="33"/>
      <c r="AK161" s="33"/>
      <c r="AL161" s="33"/>
      <c r="AM161" s="33"/>
      <c r="AN161" s="33"/>
      <c r="AO161" s="33"/>
      <c r="AP161" s="33"/>
      <c r="AQ161" s="33"/>
      <c r="AR161" s="33"/>
      <c r="AS161" s="33"/>
      <c r="AT161" s="34"/>
      <c r="AU161" s="1679"/>
      <c r="AV161" s="2256">
        <f t="shared" si="91"/>
        <v>0</v>
      </c>
      <c r="AW161" s="2256">
        <f t="shared" si="92"/>
        <v>0</v>
      </c>
      <c r="AX161" s="2256">
        <f t="shared" si="93"/>
        <v>0</v>
      </c>
      <c r="AY161" s="2781">
        <f t="shared" si="68"/>
        <v>0</v>
      </c>
      <c r="AZ161" s="28">
        <f t="shared" si="69"/>
        <v>0</v>
      </c>
      <c r="BA161" s="28">
        <f t="shared" si="70"/>
        <v>0</v>
      </c>
      <c r="BB161" s="28">
        <f t="shared" si="71"/>
        <v>0</v>
      </c>
      <c r="BC161" s="28">
        <f t="shared" si="72"/>
        <v>0</v>
      </c>
      <c r="BD161" s="3439">
        <f t="shared" si="73"/>
        <v>0</v>
      </c>
      <c r="BE161" s="3439">
        <f t="shared" si="74"/>
        <v>0</v>
      </c>
      <c r="BF161" s="3439">
        <f t="shared" si="75"/>
        <v>0</v>
      </c>
      <c r="BG161" s="3439">
        <f t="shared" si="76"/>
        <v>0</v>
      </c>
      <c r="BH161" s="3439">
        <f t="shared" si="77"/>
        <v>0</v>
      </c>
      <c r="BI161" s="3439">
        <f t="shared" si="78"/>
        <v>0</v>
      </c>
      <c r="BJ161" s="3439">
        <f t="shared" si="79"/>
        <v>0</v>
      </c>
      <c r="BK161" s="3439">
        <f t="shared" si="80"/>
        <v>0</v>
      </c>
      <c r="BL161" s="28">
        <f t="shared" si="81"/>
        <v>0</v>
      </c>
      <c r="BM161" s="28">
        <f t="shared" si="82"/>
        <v>0</v>
      </c>
      <c r="BN161" s="28">
        <f t="shared" si="83"/>
        <v>0</v>
      </c>
      <c r="BO161" s="28">
        <f t="shared" si="84"/>
        <v>0</v>
      </c>
      <c r="BP161" s="28">
        <f t="shared" si="85"/>
        <v>0</v>
      </c>
      <c r="BQ161" s="3439">
        <f t="shared" si="86"/>
        <v>0</v>
      </c>
      <c r="BR161" s="3439">
        <f t="shared" si="87"/>
        <v>0</v>
      </c>
      <c r="BS161" s="3439">
        <f t="shared" si="88"/>
        <v>0</v>
      </c>
      <c r="BT161" s="3451">
        <f t="shared" si="89"/>
        <v>0</v>
      </c>
    </row>
    <row r="162" spans="1:72">
      <c r="A162" s="9"/>
      <c r="B162" s="27"/>
      <c r="C162" s="27"/>
      <c r="D162" s="1678"/>
      <c r="E162" s="28">
        <f t="shared" si="90"/>
        <v>0</v>
      </c>
      <c r="F162" s="29"/>
      <c r="G162" s="30">
        <f t="shared" si="65"/>
        <v>0</v>
      </c>
      <c r="H162" s="31">
        <f t="shared" si="66"/>
        <v>0</v>
      </c>
      <c r="I162" s="32"/>
      <c r="J162" s="32"/>
      <c r="K162" s="32"/>
      <c r="L162" s="32"/>
      <c r="M162" s="32"/>
      <c r="N162" s="32"/>
      <c r="O162" s="32"/>
      <c r="P162" s="32"/>
      <c r="Q162" s="32"/>
      <c r="R162" s="32"/>
      <c r="S162" s="32"/>
      <c r="T162" s="32"/>
      <c r="U162" s="32"/>
      <c r="V162" s="32"/>
      <c r="W162" s="32"/>
      <c r="X162" s="32"/>
      <c r="Y162" s="32"/>
      <c r="Z162" s="32"/>
      <c r="AA162" s="32"/>
      <c r="AB162" s="32"/>
      <c r="AC162" s="28">
        <f t="shared" si="67"/>
        <v>0</v>
      </c>
      <c r="AD162" s="33"/>
      <c r="AE162" s="33"/>
      <c r="AF162" s="33"/>
      <c r="AG162" s="33"/>
      <c r="AH162" s="33"/>
      <c r="AI162" s="33"/>
      <c r="AJ162" s="33"/>
      <c r="AK162" s="33"/>
      <c r="AL162" s="33"/>
      <c r="AM162" s="33"/>
      <c r="AN162" s="33"/>
      <c r="AO162" s="33"/>
      <c r="AP162" s="33"/>
      <c r="AQ162" s="33"/>
      <c r="AR162" s="33"/>
      <c r="AS162" s="33"/>
      <c r="AT162" s="34"/>
      <c r="AU162" s="1679"/>
      <c r="AV162" s="2256">
        <f t="shared" si="91"/>
        <v>0</v>
      </c>
      <c r="AW162" s="2256">
        <f t="shared" si="92"/>
        <v>0</v>
      </c>
      <c r="AX162" s="2256">
        <f t="shared" si="93"/>
        <v>0</v>
      </c>
      <c r="AY162" s="2781">
        <f t="shared" si="68"/>
        <v>0</v>
      </c>
      <c r="AZ162" s="28">
        <f t="shared" si="69"/>
        <v>0</v>
      </c>
      <c r="BA162" s="28">
        <f t="shared" si="70"/>
        <v>0</v>
      </c>
      <c r="BB162" s="28">
        <f t="shared" si="71"/>
        <v>0</v>
      </c>
      <c r="BC162" s="28">
        <f t="shared" si="72"/>
        <v>0</v>
      </c>
      <c r="BD162" s="3439">
        <f t="shared" si="73"/>
        <v>0</v>
      </c>
      <c r="BE162" s="3439">
        <f t="shared" si="74"/>
        <v>0</v>
      </c>
      <c r="BF162" s="3439">
        <f t="shared" si="75"/>
        <v>0</v>
      </c>
      <c r="BG162" s="3439">
        <f t="shared" si="76"/>
        <v>0</v>
      </c>
      <c r="BH162" s="3439">
        <f t="shared" si="77"/>
        <v>0</v>
      </c>
      <c r="BI162" s="3439">
        <f t="shared" si="78"/>
        <v>0</v>
      </c>
      <c r="BJ162" s="3439">
        <f t="shared" si="79"/>
        <v>0</v>
      </c>
      <c r="BK162" s="3439">
        <f t="shared" si="80"/>
        <v>0</v>
      </c>
      <c r="BL162" s="28">
        <f t="shared" si="81"/>
        <v>0</v>
      </c>
      <c r="BM162" s="28">
        <f t="shared" si="82"/>
        <v>0</v>
      </c>
      <c r="BN162" s="28">
        <f t="shared" si="83"/>
        <v>0</v>
      </c>
      <c r="BO162" s="28">
        <f t="shared" si="84"/>
        <v>0</v>
      </c>
      <c r="BP162" s="28">
        <f t="shared" si="85"/>
        <v>0</v>
      </c>
      <c r="BQ162" s="3439">
        <f t="shared" si="86"/>
        <v>0</v>
      </c>
      <c r="BR162" s="3439">
        <f t="shared" si="87"/>
        <v>0</v>
      </c>
      <c r="BS162" s="3439">
        <f t="shared" si="88"/>
        <v>0</v>
      </c>
      <c r="BT162" s="3451">
        <f t="shared" si="89"/>
        <v>0</v>
      </c>
    </row>
    <row r="163" spans="1:72">
      <c r="A163" s="9"/>
      <c r="B163" s="27"/>
      <c r="C163" s="27"/>
      <c r="D163" s="1678"/>
      <c r="E163" s="28">
        <f t="shared" si="90"/>
        <v>0</v>
      </c>
      <c r="F163" s="29"/>
      <c r="G163" s="30">
        <f t="shared" si="65"/>
        <v>0</v>
      </c>
      <c r="H163" s="31">
        <f t="shared" si="66"/>
        <v>0</v>
      </c>
      <c r="I163" s="32"/>
      <c r="J163" s="32"/>
      <c r="K163" s="32"/>
      <c r="L163" s="32"/>
      <c r="M163" s="32"/>
      <c r="N163" s="32"/>
      <c r="O163" s="32"/>
      <c r="P163" s="32"/>
      <c r="Q163" s="32"/>
      <c r="R163" s="32"/>
      <c r="S163" s="32"/>
      <c r="T163" s="32"/>
      <c r="U163" s="32"/>
      <c r="V163" s="32"/>
      <c r="W163" s="32"/>
      <c r="X163" s="32"/>
      <c r="Y163" s="32"/>
      <c r="Z163" s="32"/>
      <c r="AA163" s="32"/>
      <c r="AB163" s="32"/>
      <c r="AC163" s="28">
        <f t="shared" si="67"/>
        <v>0</v>
      </c>
      <c r="AD163" s="33"/>
      <c r="AE163" s="33"/>
      <c r="AF163" s="33"/>
      <c r="AG163" s="33"/>
      <c r="AH163" s="33"/>
      <c r="AI163" s="33"/>
      <c r="AJ163" s="33"/>
      <c r="AK163" s="33"/>
      <c r="AL163" s="33"/>
      <c r="AM163" s="33"/>
      <c r="AN163" s="33"/>
      <c r="AO163" s="33"/>
      <c r="AP163" s="33"/>
      <c r="AQ163" s="33"/>
      <c r="AR163" s="33"/>
      <c r="AS163" s="33"/>
      <c r="AT163" s="34"/>
      <c r="AU163" s="1679"/>
      <c r="AV163" s="2256">
        <f t="shared" si="91"/>
        <v>0</v>
      </c>
      <c r="AW163" s="2256">
        <f t="shared" si="92"/>
        <v>0</v>
      </c>
      <c r="AX163" s="2256">
        <f t="shared" si="93"/>
        <v>0</v>
      </c>
      <c r="AY163" s="2781">
        <f t="shared" si="68"/>
        <v>0</v>
      </c>
      <c r="AZ163" s="28">
        <f t="shared" si="69"/>
        <v>0</v>
      </c>
      <c r="BA163" s="28">
        <f t="shared" si="70"/>
        <v>0</v>
      </c>
      <c r="BB163" s="28">
        <f t="shared" si="71"/>
        <v>0</v>
      </c>
      <c r="BC163" s="28">
        <f t="shared" si="72"/>
        <v>0</v>
      </c>
      <c r="BD163" s="3439">
        <f t="shared" si="73"/>
        <v>0</v>
      </c>
      <c r="BE163" s="3439">
        <f t="shared" si="74"/>
        <v>0</v>
      </c>
      <c r="BF163" s="3439">
        <f t="shared" si="75"/>
        <v>0</v>
      </c>
      <c r="BG163" s="3439">
        <f t="shared" si="76"/>
        <v>0</v>
      </c>
      <c r="BH163" s="3439">
        <f t="shared" si="77"/>
        <v>0</v>
      </c>
      <c r="BI163" s="3439">
        <f t="shared" si="78"/>
        <v>0</v>
      </c>
      <c r="BJ163" s="3439">
        <f t="shared" si="79"/>
        <v>0</v>
      </c>
      <c r="BK163" s="3439">
        <f t="shared" si="80"/>
        <v>0</v>
      </c>
      <c r="BL163" s="28">
        <f t="shared" si="81"/>
        <v>0</v>
      </c>
      <c r="BM163" s="28">
        <f t="shared" si="82"/>
        <v>0</v>
      </c>
      <c r="BN163" s="28">
        <f t="shared" si="83"/>
        <v>0</v>
      </c>
      <c r="BO163" s="28">
        <f t="shared" si="84"/>
        <v>0</v>
      </c>
      <c r="BP163" s="28">
        <f t="shared" si="85"/>
        <v>0</v>
      </c>
      <c r="BQ163" s="3439">
        <f t="shared" si="86"/>
        <v>0</v>
      </c>
      <c r="BR163" s="3439">
        <f t="shared" si="87"/>
        <v>0</v>
      </c>
      <c r="BS163" s="3439">
        <f t="shared" si="88"/>
        <v>0</v>
      </c>
      <c r="BT163" s="3451">
        <f t="shared" si="89"/>
        <v>0</v>
      </c>
    </row>
    <row r="164" spans="1:72">
      <c r="A164" s="9"/>
      <c r="B164" s="27"/>
      <c r="C164" s="27"/>
      <c r="D164" s="1678"/>
      <c r="E164" s="28">
        <f t="shared" si="90"/>
        <v>0</v>
      </c>
      <c r="F164" s="29"/>
      <c r="G164" s="30">
        <f t="shared" si="65"/>
        <v>0</v>
      </c>
      <c r="H164" s="31">
        <f t="shared" si="66"/>
        <v>0</v>
      </c>
      <c r="I164" s="32"/>
      <c r="J164" s="32"/>
      <c r="K164" s="32"/>
      <c r="L164" s="32"/>
      <c r="M164" s="32"/>
      <c r="N164" s="32"/>
      <c r="O164" s="32"/>
      <c r="P164" s="32"/>
      <c r="Q164" s="32"/>
      <c r="R164" s="32"/>
      <c r="S164" s="32"/>
      <c r="T164" s="32"/>
      <c r="U164" s="32"/>
      <c r="V164" s="32"/>
      <c r="W164" s="32"/>
      <c r="X164" s="32"/>
      <c r="Y164" s="32"/>
      <c r="Z164" s="32"/>
      <c r="AA164" s="32"/>
      <c r="AB164" s="32"/>
      <c r="AC164" s="28">
        <f t="shared" si="67"/>
        <v>0</v>
      </c>
      <c r="AD164" s="33"/>
      <c r="AE164" s="33"/>
      <c r="AF164" s="33"/>
      <c r="AG164" s="33"/>
      <c r="AH164" s="33"/>
      <c r="AI164" s="33"/>
      <c r="AJ164" s="33"/>
      <c r="AK164" s="33"/>
      <c r="AL164" s="33"/>
      <c r="AM164" s="33"/>
      <c r="AN164" s="33"/>
      <c r="AO164" s="33"/>
      <c r="AP164" s="33"/>
      <c r="AQ164" s="33"/>
      <c r="AR164" s="33"/>
      <c r="AS164" s="33"/>
      <c r="AT164" s="34"/>
      <c r="AU164" s="1679"/>
      <c r="AV164" s="2256">
        <f t="shared" si="91"/>
        <v>0</v>
      </c>
      <c r="AW164" s="2256">
        <f t="shared" si="92"/>
        <v>0</v>
      </c>
      <c r="AX164" s="2256">
        <f t="shared" si="93"/>
        <v>0</v>
      </c>
      <c r="AY164" s="2781">
        <f t="shared" si="68"/>
        <v>0</v>
      </c>
      <c r="AZ164" s="28">
        <f t="shared" si="69"/>
        <v>0</v>
      </c>
      <c r="BA164" s="28">
        <f t="shared" si="70"/>
        <v>0</v>
      </c>
      <c r="BB164" s="28">
        <f t="shared" si="71"/>
        <v>0</v>
      </c>
      <c r="BC164" s="28">
        <f t="shared" si="72"/>
        <v>0</v>
      </c>
      <c r="BD164" s="3439">
        <f t="shared" si="73"/>
        <v>0</v>
      </c>
      <c r="BE164" s="3439">
        <f t="shared" si="74"/>
        <v>0</v>
      </c>
      <c r="BF164" s="3439">
        <f t="shared" si="75"/>
        <v>0</v>
      </c>
      <c r="BG164" s="3439">
        <f t="shared" si="76"/>
        <v>0</v>
      </c>
      <c r="BH164" s="3439">
        <f t="shared" si="77"/>
        <v>0</v>
      </c>
      <c r="BI164" s="3439">
        <f t="shared" si="78"/>
        <v>0</v>
      </c>
      <c r="BJ164" s="3439">
        <f t="shared" si="79"/>
        <v>0</v>
      </c>
      <c r="BK164" s="3439">
        <f t="shared" si="80"/>
        <v>0</v>
      </c>
      <c r="BL164" s="28">
        <f t="shared" si="81"/>
        <v>0</v>
      </c>
      <c r="BM164" s="28">
        <f t="shared" si="82"/>
        <v>0</v>
      </c>
      <c r="BN164" s="28">
        <f t="shared" si="83"/>
        <v>0</v>
      </c>
      <c r="BO164" s="28">
        <f t="shared" si="84"/>
        <v>0</v>
      </c>
      <c r="BP164" s="28">
        <f t="shared" si="85"/>
        <v>0</v>
      </c>
      <c r="BQ164" s="3439">
        <f t="shared" si="86"/>
        <v>0</v>
      </c>
      <c r="BR164" s="3439">
        <f t="shared" si="87"/>
        <v>0</v>
      </c>
      <c r="BS164" s="3439">
        <f t="shared" si="88"/>
        <v>0</v>
      </c>
      <c r="BT164" s="3451">
        <f t="shared" si="89"/>
        <v>0</v>
      </c>
    </row>
    <row r="165" spans="1:72">
      <c r="A165" s="9"/>
      <c r="B165" s="27"/>
      <c r="C165" s="27"/>
      <c r="D165" s="1678"/>
      <c r="E165" s="28">
        <f t="shared" si="90"/>
        <v>0</v>
      </c>
      <c r="F165" s="29"/>
      <c r="G165" s="30">
        <f t="shared" si="65"/>
        <v>0</v>
      </c>
      <c r="H165" s="31">
        <f t="shared" si="66"/>
        <v>0</v>
      </c>
      <c r="I165" s="32"/>
      <c r="J165" s="32"/>
      <c r="K165" s="32"/>
      <c r="L165" s="32"/>
      <c r="M165" s="32"/>
      <c r="N165" s="32"/>
      <c r="O165" s="32"/>
      <c r="P165" s="32"/>
      <c r="Q165" s="32"/>
      <c r="R165" s="32"/>
      <c r="S165" s="32"/>
      <c r="T165" s="32"/>
      <c r="U165" s="32"/>
      <c r="V165" s="32"/>
      <c r="W165" s="32"/>
      <c r="X165" s="32"/>
      <c r="Y165" s="32"/>
      <c r="Z165" s="32"/>
      <c r="AA165" s="32"/>
      <c r="AB165" s="32"/>
      <c r="AC165" s="28">
        <f t="shared" si="67"/>
        <v>0</v>
      </c>
      <c r="AD165" s="33"/>
      <c r="AE165" s="33"/>
      <c r="AF165" s="33"/>
      <c r="AG165" s="33"/>
      <c r="AH165" s="33"/>
      <c r="AI165" s="33"/>
      <c r="AJ165" s="33"/>
      <c r="AK165" s="33"/>
      <c r="AL165" s="33"/>
      <c r="AM165" s="33"/>
      <c r="AN165" s="33"/>
      <c r="AO165" s="33"/>
      <c r="AP165" s="33"/>
      <c r="AQ165" s="33"/>
      <c r="AR165" s="33"/>
      <c r="AS165" s="33"/>
      <c r="AT165" s="34"/>
      <c r="AU165" s="1679"/>
      <c r="AV165" s="2256">
        <f t="shared" si="91"/>
        <v>0</v>
      </c>
      <c r="AW165" s="2256">
        <f t="shared" si="92"/>
        <v>0</v>
      </c>
      <c r="AX165" s="2256">
        <f t="shared" si="93"/>
        <v>0</v>
      </c>
      <c r="AY165" s="2781">
        <f t="shared" si="68"/>
        <v>0</v>
      </c>
      <c r="AZ165" s="28">
        <f t="shared" si="69"/>
        <v>0</v>
      </c>
      <c r="BA165" s="28">
        <f t="shared" si="70"/>
        <v>0</v>
      </c>
      <c r="BB165" s="28">
        <f t="shared" si="71"/>
        <v>0</v>
      </c>
      <c r="BC165" s="28">
        <f t="shared" si="72"/>
        <v>0</v>
      </c>
      <c r="BD165" s="3439">
        <f t="shared" si="73"/>
        <v>0</v>
      </c>
      <c r="BE165" s="3439">
        <f t="shared" si="74"/>
        <v>0</v>
      </c>
      <c r="BF165" s="3439">
        <f t="shared" si="75"/>
        <v>0</v>
      </c>
      <c r="BG165" s="3439">
        <f t="shared" si="76"/>
        <v>0</v>
      </c>
      <c r="BH165" s="3439">
        <f t="shared" si="77"/>
        <v>0</v>
      </c>
      <c r="BI165" s="3439">
        <f t="shared" si="78"/>
        <v>0</v>
      </c>
      <c r="BJ165" s="3439">
        <f t="shared" si="79"/>
        <v>0</v>
      </c>
      <c r="BK165" s="3439">
        <f t="shared" si="80"/>
        <v>0</v>
      </c>
      <c r="BL165" s="28">
        <f t="shared" si="81"/>
        <v>0</v>
      </c>
      <c r="BM165" s="28">
        <f t="shared" si="82"/>
        <v>0</v>
      </c>
      <c r="BN165" s="28">
        <f t="shared" si="83"/>
        <v>0</v>
      </c>
      <c r="BO165" s="28">
        <f t="shared" si="84"/>
        <v>0</v>
      </c>
      <c r="BP165" s="28">
        <f t="shared" si="85"/>
        <v>0</v>
      </c>
      <c r="BQ165" s="3439">
        <f t="shared" si="86"/>
        <v>0</v>
      </c>
      <c r="BR165" s="3439">
        <f t="shared" si="87"/>
        <v>0</v>
      </c>
      <c r="BS165" s="3439">
        <f t="shared" si="88"/>
        <v>0</v>
      </c>
      <c r="BT165" s="3451">
        <f t="shared" si="89"/>
        <v>0</v>
      </c>
    </row>
    <row r="166" spans="1:72">
      <c r="A166" s="9"/>
      <c r="B166" s="27"/>
      <c r="C166" s="27"/>
      <c r="D166" s="1678"/>
      <c r="E166" s="28">
        <f t="shared" si="90"/>
        <v>0</v>
      </c>
      <c r="F166" s="29"/>
      <c r="G166" s="30">
        <f t="shared" si="65"/>
        <v>0</v>
      </c>
      <c r="H166" s="31">
        <f t="shared" si="66"/>
        <v>0</v>
      </c>
      <c r="I166" s="32"/>
      <c r="J166" s="32"/>
      <c r="K166" s="32"/>
      <c r="L166" s="32"/>
      <c r="M166" s="32"/>
      <c r="N166" s="32"/>
      <c r="O166" s="32"/>
      <c r="P166" s="32"/>
      <c r="Q166" s="32"/>
      <c r="R166" s="32"/>
      <c r="S166" s="32"/>
      <c r="T166" s="32"/>
      <c r="U166" s="32"/>
      <c r="V166" s="32"/>
      <c r="W166" s="32"/>
      <c r="X166" s="32"/>
      <c r="Y166" s="32"/>
      <c r="Z166" s="32"/>
      <c r="AA166" s="32"/>
      <c r="AB166" s="32"/>
      <c r="AC166" s="28">
        <f t="shared" si="67"/>
        <v>0</v>
      </c>
      <c r="AD166" s="33"/>
      <c r="AE166" s="33"/>
      <c r="AF166" s="33"/>
      <c r="AG166" s="33"/>
      <c r="AH166" s="33"/>
      <c r="AI166" s="33"/>
      <c r="AJ166" s="33"/>
      <c r="AK166" s="33"/>
      <c r="AL166" s="33"/>
      <c r="AM166" s="33"/>
      <c r="AN166" s="33"/>
      <c r="AO166" s="33"/>
      <c r="AP166" s="33"/>
      <c r="AQ166" s="33"/>
      <c r="AR166" s="33"/>
      <c r="AS166" s="33"/>
      <c r="AT166" s="34"/>
      <c r="AU166" s="1679"/>
      <c r="AV166" s="2256">
        <f t="shared" si="91"/>
        <v>0</v>
      </c>
      <c r="AW166" s="2256">
        <f t="shared" si="92"/>
        <v>0</v>
      </c>
      <c r="AX166" s="2256">
        <f t="shared" si="93"/>
        <v>0</v>
      </c>
      <c r="AY166" s="2781">
        <f t="shared" si="68"/>
        <v>0</v>
      </c>
      <c r="AZ166" s="28">
        <f t="shared" si="69"/>
        <v>0</v>
      </c>
      <c r="BA166" s="28">
        <f t="shared" si="70"/>
        <v>0</v>
      </c>
      <c r="BB166" s="28">
        <f t="shared" si="71"/>
        <v>0</v>
      </c>
      <c r="BC166" s="28">
        <f t="shared" si="72"/>
        <v>0</v>
      </c>
      <c r="BD166" s="3439">
        <f t="shared" si="73"/>
        <v>0</v>
      </c>
      <c r="BE166" s="3439">
        <f t="shared" si="74"/>
        <v>0</v>
      </c>
      <c r="BF166" s="3439">
        <f t="shared" si="75"/>
        <v>0</v>
      </c>
      <c r="BG166" s="3439">
        <f t="shared" si="76"/>
        <v>0</v>
      </c>
      <c r="BH166" s="3439">
        <f t="shared" si="77"/>
        <v>0</v>
      </c>
      <c r="BI166" s="3439">
        <f t="shared" si="78"/>
        <v>0</v>
      </c>
      <c r="BJ166" s="3439">
        <f t="shared" si="79"/>
        <v>0</v>
      </c>
      <c r="BK166" s="3439">
        <f t="shared" si="80"/>
        <v>0</v>
      </c>
      <c r="BL166" s="28">
        <f t="shared" si="81"/>
        <v>0</v>
      </c>
      <c r="BM166" s="28">
        <f t="shared" si="82"/>
        <v>0</v>
      </c>
      <c r="BN166" s="28">
        <f t="shared" si="83"/>
        <v>0</v>
      </c>
      <c r="BO166" s="28">
        <f t="shared" si="84"/>
        <v>0</v>
      </c>
      <c r="BP166" s="28">
        <f t="shared" si="85"/>
        <v>0</v>
      </c>
      <c r="BQ166" s="3439">
        <f t="shared" si="86"/>
        <v>0</v>
      </c>
      <c r="BR166" s="3439">
        <f t="shared" si="87"/>
        <v>0</v>
      </c>
      <c r="BS166" s="3439">
        <f t="shared" si="88"/>
        <v>0</v>
      </c>
      <c r="BT166" s="3451">
        <f t="shared" si="89"/>
        <v>0</v>
      </c>
    </row>
    <row r="167" spans="1:72">
      <c r="A167" s="9"/>
      <c r="B167" s="27"/>
      <c r="C167" s="27"/>
      <c r="D167" s="1678"/>
      <c r="E167" s="28">
        <f t="shared" si="90"/>
        <v>0</v>
      </c>
      <c r="F167" s="29"/>
      <c r="G167" s="30">
        <f t="shared" si="65"/>
        <v>0</v>
      </c>
      <c r="H167" s="31">
        <f t="shared" si="66"/>
        <v>0</v>
      </c>
      <c r="I167" s="32"/>
      <c r="J167" s="32"/>
      <c r="K167" s="32"/>
      <c r="L167" s="32"/>
      <c r="M167" s="32"/>
      <c r="N167" s="32"/>
      <c r="O167" s="32"/>
      <c r="P167" s="32"/>
      <c r="Q167" s="32"/>
      <c r="R167" s="32"/>
      <c r="S167" s="32"/>
      <c r="T167" s="32"/>
      <c r="U167" s="32"/>
      <c r="V167" s="32"/>
      <c r="W167" s="32"/>
      <c r="X167" s="32"/>
      <c r="Y167" s="32"/>
      <c r="Z167" s="32"/>
      <c r="AA167" s="32"/>
      <c r="AB167" s="32"/>
      <c r="AC167" s="28">
        <f t="shared" si="67"/>
        <v>0</v>
      </c>
      <c r="AD167" s="33"/>
      <c r="AE167" s="33"/>
      <c r="AF167" s="33"/>
      <c r="AG167" s="33"/>
      <c r="AH167" s="33"/>
      <c r="AI167" s="33"/>
      <c r="AJ167" s="33"/>
      <c r="AK167" s="33"/>
      <c r="AL167" s="33"/>
      <c r="AM167" s="33"/>
      <c r="AN167" s="33"/>
      <c r="AO167" s="33"/>
      <c r="AP167" s="33"/>
      <c r="AQ167" s="33"/>
      <c r="AR167" s="33"/>
      <c r="AS167" s="33"/>
      <c r="AT167" s="34"/>
      <c r="AU167" s="1679"/>
      <c r="AV167" s="2256">
        <f t="shared" si="91"/>
        <v>0</v>
      </c>
      <c r="AW167" s="2256">
        <f t="shared" si="92"/>
        <v>0</v>
      </c>
      <c r="AX167" s="2256">
        <f t="shared" si="93"/>
        <v>0</v>
      </c>
      <c r="AY167" s="2781">
        <f t="shared" si="68"/>
        <v>0</v>
      </c>
      <c r="AZ167" s="28">
        <f t="shared" si="69"/>
        <v>0</v>
      </c>
      <c r="BA167" s="28">
        <f t="shared" si="70"/>
        <v>0</v>
      </c>
      <c r="BB167" s="28">
        <f t="shared" si="71"/>
        <v>0</v>
      </c>
      <c r="BC167" s="28">
        <f t="shared" si="72"/>
        <v>0</v>
      </c>
      <c r="BD167" s="3439">
        <f t="shared" si="73"/>
        <v>0</v>
      </c>
      <c r="BE167" s="3439">
        <f t="shared" si="74"/>
        <v>0</v>
      </c>
      <c r="BF167" s="3439">
        <f t="shared" si="75"/>
        <v>0</v>
      </c>
      <c r="BG167" s="3439">
        <f t="shared" si="76"/>
        <v>0</v>
      </c>
      <c r="BH167" s="3439">
        <f t="shared" si="77"/>
        <v>0</v>
      </c>
      <c r="BI167" s="3439">
        <f t="shared" si="78"/>
        <v>0</v>
      </c>
      <c r="BJ167" s="3439">
        <f t="shared" si="79"/>
        <v>0</v>
      </c>
      <c r="BK167" s="3439">
        <f t="shared" si="80"/>
        <v>0</v>
      </c>
      <c r="BL167" s="28">
        <f t="shared" si="81"/>
        <v>0</v>
      </c>
      <c r="BM167" s="28">
        <f t="shared" si="82"/>
        <v>0</v>
      </c>
      <c r="BN167" s="28">
        <f t="shared" si="83"/>
        <v>0</v>
      </c>
      <c r="BO167" s="28">
        <f t="shared" si="84"/>
        <v>0</v>
      </c>
      <c r="BP167" s="28">
        <f t="shared" si="85"/>
        <v>0</v>
      </c>
      <c r="BQ167" s="3439">
        <f t="shared" si="86"/>
        <v>0</v>
      </c>
      <c r="BR167" s="3439">
        <f t="shared" si="87"/>
        <v>0</v>
      </c>
      <c r="BS167" s="3439">
        <f t="shared" si="88"/>
        <v>0</v>
      </c>
      <c r="BT167" s="3451">
        <f t="shared" si="89"/>
        <v>0</v>
      </c>
    </row>
    <row r="168" spans="1:72">
      <c r="A168" s="9"/>
      <c r="B168" s="27"/>
      <c r="C168" s="27"/>
      <c r="D168" s="1678"/>
      <c r="E168" s="28">
        <f t="shared" si="90"/>
        <v>0</v>
      </c>
      <c r="F168" s="29"/>
      <c r="G168" s="30">
        <f t="shared" si="65"/>
        <v>0</v>
      </c>
      <c r="H168" s="31">
        <f t="shared" si="66"/>
        <v>0</v>
      </c>
      <c r="I168" s="32"/>
      <c r="J168" s="32"/>
      <c r="K168" s="32"/>
      <c r="L168" s="32"/>
      <c r="M168" s="32"/>
      <c r="N168" s="32"/>
      <c r="O168" s="32"/>
      <c r="P168" s="32"/>
      <c r="Q168" s="32"/>
      <c r="R168" s="32"/>
      <c r="S168" s="32"/>
      <c r="T168" s="32"/>
      <c r="U168" s="32"/>
      <c r="V168" s="32"/>
      <c r="W168" s="32"/>
      <c r="X168" s="32"/>
      <c r="Y168" s="32"/>
      <c r="Z168" s="32"/>
      <c r="AA168" s="32"/>
      <c r="AB168" s="32"/>
      <c r="AC168" s="28">
        <f t="shared" si="67"/>
        <v>0</v>
      </c>
      <c r="AD168" s="33"/>
      <c r="AE168" s="33"/>
      <c r="AF168" s="33"/>
      <c r="AG168" s="33"/>
      <c r="AH168" s="33"/>
      <c r="AI168" s="33"/>
      <c r="AJ168" s="33"/>
      <c r="AK168" s="33"/>
      <c r="AL168" s="33"/>
      <c r="AM168" s="33"/>
      <c r="AN168" s="33"/>
      <c r="AO168" s="33"/>
      <c r="AP168" s="33"/>
      <c r="AQ168" s="33"/>
      <c r="AR168" s="33"/>
      <c r="AS168" s="33"/>
      <c r="AT168" s="34"/>
      <c r="AU168" s="1679"/>
      <c r="AV168" s="2256">
        <f t="shared" si="91"/>
        <v>0</v>
      </c>
      <c r="AW168" s="2256">
        <f t="shared" si="92"/>
        <v>0</v>
      </c>
      <c r="AX168" s="2256">
        <f t="shared" si="93"/>
        <v>0</v>
      </c>
      <c r="AY168" s="2781">
        <f t="shared" si="68"/>
        <v>0</v>
      </c>
      <c r="AZ168" s="28">
        <f t="shared" si="69"/>
        <v>0</v>
      </c>
      <c r="BA168" s="28">
        <f t="shared" si="70"/>
        <v>0</v>
      </c>
      <c r="BB168" s="28">
        <f t="shared" si="71"/>
        <v>0</v>
      </c>
      <c r="BC168" s="28">
        <f t="shared" si="72"/>
        <v>0</v>
      </c>
      <c r="BD168" s="3439">
        <f t="shared" si="73"/>
        <v>0</v>
      </c>
      <c r="BE168" s="3439">
        <f t="shared" si="74"/>
        <v>0</v>
      </c>
      <c r="BF168" s="3439">
        <f t="shared" si="75"/>
        <v>0</v>
      </c>
      <c r="BG168" s="3439">
        <f t="shared" si="76"/>
        <v>0</v>
      </c>
      <c r="BH168" s="3439">
        <f t="shared" si="77"/>
        <v>0</v>
      </c>
      <c r="BI168" s="3439">
        <f t="shared" si="78"/>
        <v>0</v>
      </c>
      <c r="BJ168" s="3439">
        <f t="shared" si="79"/>
        <v>0</v>
      </c>
      <c r="BK168" s="3439">
        <f t="shared" si="80"/>
        <v>0</v>
      </c>
      <c r="BL168" s="28">
        <f t="shared" si="81"/>
        <v>0</v>
      </c>
      <c r="BM168" s="28">
        <f t="shared" si="82"/>
        <v>0</v>
      </c>
      <c r="BN168" s="28">
        <f t="shared" si="83"/>
        <v>0</v>
      </c>
      <c r="BO168" s="28">
        <f t="shared" si="84"/>
        <v>0</v>
      </c>
      <c r="BP168" s="28">
        <f t="shared" si="85"/>
        <v>0</v>
      </c>
      <c r="BQ168" s="3439">
        <f t="shared" si="86"/>
        <v>0</v>
      </c>
      <c r="BR168" s="3439">
        <f t="shared" si="87"/>
        <v>0</v>
      </c>
      <c r="BS168" s="3439">
        <f t="shared" si="88"/>
        <v>0</v>
      </c>
      <c r="BT168" s="3451">
        <f t="shared" si="89"/>
        <v>0</v>
      </c>
    </row>
    <row r="169" spans="1:72">
      <c r="A169" s="9"/>
      <c r="B169" s="27"/>
      <c r="C169" s="27"/>
      <c r="D169" s="1678"/>
      <c r="E169" s="28">
        <f t="shared" si="90"/>
        <v>0</v>
      </c>
      <c r="F169" s="29"/>
      <c r="G169" s="30">
        <f t="shared" si="65"/>
        <v>0</v>
      </c>
      <c r="H169" s="31">
        <f t="shared" si="66"/>
        <v>0</v>
      </c>
      <c r="I169" s="32"/>
      <c r="J169" s="32"/>
      <c r="K169" s="32"/>
      <c r="L169" s="32"/>
      <c r="M169" s="32"/>
      <c r="N169" s="32"/>
      <c r="O169" s="32"/>
      <c r="P169" s="32"/>
      <c r="Q169" s="32"/>
      <c r="R169" s="32"/>
      <c r="S169" s="32"/>
      <c r="T169" s="32"/>
      <c r="U169" s="32"/>
      <c r="V169" s="32"/>
      <c r="W169" s="32"/>
      <c r="X169" s="32"/>
      <c r="Y169" s="32"/>
      <c r="Z169" s="32"/>
      <c r="AA169" s="32"/>
      <c r="AB169" s="32"/>
      <c r="AC169" s="28">
        <f t="shared" si="67"/>
        <v>0</v>
      </c>
      <c r="AD169" s="33"/>
      <c r="AE169" s="33"/>
      <c r="AF169" s="33"/>
      <c r="AG169" s="33"/>
      <c r="AH169" s="33"/>
      <c r="AI169" s="33"/>
      <c r="AJ169" s="33"/>
      <c r="AK169" s="33"/>
      <c r="AL169" s="33"/>
      <c r="AM169" s="33"/>
      <c r="AN169" s="33"/>
      <c r="AO169" s="33"/>
      <c r="AP169" s="33"/>
      <c r="AQ169" s="33"/>
      <c r="AR169" s="33"/>
      <c r="AS169" s="33"/>
      <c r="AT169" s="34"/>
      <c r="AU169" s="1679"/>
      <c r="AV169" s="2256">
        <f t="shared" si="91"/>
        <v>0</v>
      </c>
      <c r="AW169" s="2256">
        <f t="shared" si="92"/>
        <v>0</v>
      </c>
      <c r="AX169" s="2256">
        <f t="shared" si="93"/>
        <v>0</v>
      </c>
      <c r="AY169" s="2781">
        <f t="shared" si="68"/>
        <v>0</v>
      </c>
      <c r="AZ169" s="28">
        <f t="shared" si="69"/>
        <v>0</v>
      </c>
      <c r="BA169" s="28">
        <f t="shared" si="70"/>
        <v>0</v>
      </c>
      <c r="BB169" s="28">
        <f t="shared" si="71"/>
        <v>0</v>
      </c>
      <c r="BC169" s="28">
        <f t="shared" si="72"/>
        <v>0</v>
      </c>
      <c r="BD169" s="3439">
        <f t="shared" si="73"/>
        <v>0</v>
      </c>
      <c r="BE169" s="3439">
        <f t="shared" si="74"/>
        <v>0</v>
      </c>
      <c r="BF169" s="3439">
        <f t="shared" si="75"/>
        <v>0</v>
      </c>
      <c r="BG169" s="3439">
        <f t="shared" si="76"/>
        <v>0</v>
      </c>
      <c r="BH169" s="3439">
        <f t="shared" si="77"/>
        <v>0</v>
      </c>
      <c r="BI169" s="3439">
        <f t="shared" si="78"/>
        <v>0</v>
      </c>
      <c r="BJ169" s="3439">
        <f t="shared" si="79"/>
        <v>0</v>
      </c>
      <c r="BK169" s="3439">
        <f t="shared" si="80"/>
        <v>0</v>
      </c>
      <c r="BL169" s="28">
        <f t="shared" si="81"/>
        <v>0</v>
      </c>
      <c r="BM169" s="28">
        <f t="shared" si="82"/>
        <v>0</v>
      </c>
      <c r="BN169" s="28">
        <f t="shared" si="83"/>
        <v>0</v>
      </c>
      <c r="BO169" s="28">
        <f t="shared" si="84"/>
        <v>0</v>
      </c>
      <c r="BP169" s="28">
        <f t="shared" si="85"/>
        <v>0</v>
      </c>
      <c r="BQ169" s="3439">
        <f t="shared" si="86"/>
        <v>0</v>
      </c>
      <c r="BR169" s="3439">
        <f t="shared" si="87"/>
        <v>0</v>
      </c>
      <c r="BS169" s="3439">
        <f t="shared" si="88"/>
        <v>0</v>
      </c>
      <c r="BT169" s="3451">
        <f t="shared" si="89"/>
        <v>0</v>
      </c>
    </row>
    <row r="170" spans="1:72">
      <c r="A170" s="9"/>
      <c r="B170" s="27"/>
      <c r="C170" s="27"/>
      <c r="D170" s="1678"/>
      <c r="E170" s="28">
        <f t="shared" si="90"/>
        <v>0</v>
      </c>
      <c r="F170" s="29"/>
      <c r="G170" s="30">
        <f t="shared" si="65"/>
        <v>0</v>
      </c>
      <c r="H170" s="31">
        <f t="shared" si="66"/>
        <v>0</v>
      </c>
      <c r="I170" s="32"/>
      <c r="J170" s="32"/>
      <c r="K170" s="32"/>
      <c r="L170" s="32"/>
      <c r="M170" s="32"/>
      <c r="N170" s="32"/>
      <c r="O170" s="32"/>
      <c r="P170" s="32"/>
      <c r="Q170" s="32"/>
      <c r="R170" s="32"/>
      <c r="S170" s="32"/>
      <c r="T170" s="32"/>
      <c r="U170" s="32"/>
      <c r="V170" s="32"/>
      <c r="W170" s="32"/>
      <c r="X170" s="32"/>
      <c r="Y170" s="32"/>
      <c r="Z170" s="32"/>
      <c r="AA170" s="32"/>
      <c r="AB170" s="32"/>
      <c r="AC170" s="28">
        <f t="shared" si="67"/>
        <v>0</v>
      </c>
      <c r="AD170" s="33"/>
      <c r="AE170" s="33"/>
      <c r="AF170" s="33"/>
      <c r="AG170" s="33"/>
      <c r="AH170" s="33"/>
      <c r="AI170" s="33"/>
      <c r="AJ170" s="33"/>
      <c r="AK170" s="33"/>
      <c r="AL170" s="33"/>
      <c r="AM170" s="33"/>
      <c r="AN170" s="33"/>
      <c r="AO170" s="33"/>
      <c r="AP170" s="33"/>
      <c r="AQ170" s="33"/>
      <c r="AR170" s="33"/>
      <c r="AS170" s="33"/>
      <c r="AT170" s="34"/>
      <c r="AU170" s="1679"/>
      <c r="AV170" s="2256">
        <f t="shared" si="91"/>
        <v>0</v>
      </c>
      <c r="AW170" s="2256">
        <f t="shared" si="92"/>
        <v>0</v>
      </c>
      <c r="AX170" s="2256">
        <f t="shared" si="93"/>
        <v>0</v>
      </c>
      <c r="AY170" s="2781">
        <f t="shared" si="68"/>
        <v>0</v>
      </c>
      <c r="AZ170" s="28">
        <f t="shared" si="69"/>
        <v>0</v>
      </c>
      <c r="BA170" s="28">
        <f t="shared" si="70"/>
        <v>0</v>
      </c>
      <c r="BB170" s="28">
        <f t="shared" si="71"/>
        <v>0</v>
      </c>
      <c r="BC170" s="28">
        <f t="shared" si="72"/>
        <v>0</v>
      </c>
      <c r="BD170" s="3439">
        <f t="shared" si="73"/>
        <v>0</v>
      </c>
      <c r="BE170" s="3439">
        <f t="shared" si="74"/>
        <v>0</v>
      </c>
      <c r="BF170" s="3439">
        <f t="shared" si="75"/>
        <v>0</v>
      </c>
      <c r="BG170" s="3439">
        <f t="shared" si="76"/>
        <v>0</v>
      </c>
      <c r="BH170" s="3439">
        <f t="shared" si="77"/>
        <v>0</v>
      </c>
      <c r="BI170" s="3439">
        <f t="shared" si="78"/>
        <v>0</v>
      </c>
      <c r="BJ170" s="3439">
        <f t="shared" si="79"/>
        <v>0</v>
      </c>
      <c r="BK170" s="3439">
        <f t="shared" si="80"/>
        <v>0</v>
      </c>
      <c r="BL170" s="28">
        <f t="shared" si="81"/>
        <v>0</v>
      </c>
      <c r="BM170" s="28">
        <f t="shared" si="82"/>
        <v>0</v>
      </c>
      <c r="BN170" s="28">
        <f t="shared" si="83"/>
        <v>0</v>
      </c>
      <c r="BO170" s="28">
        <f t="shared" si="84"/>
        <v>0</v>
      </c>
      <c r="BP170" s="28">
        <f t="shared" si="85"/>
        <v>0</v>
      </c>
      <c r="BQ170" s="3439">
        <f t="shared" si="86"/>
        <v>0</v>
      </c>
      <c r="BR170" s="3439">
        <f t="shared" si="87"/>
        <v>0</v>
      </c>
      <c r="BS170" s="3439">
        <f t="shared" si="88"/>
        <v>0</v>
      </c>
      <c r="BT170" s="3451">
        <f t="shared" si="89"/>
        <v>0</v>
      </c>
    </row>
    <row r="171" spans="1:72">
      <c r="A171" s="9"/>
      <c r="B171" s="27"/>
      <c r="C171" s="27"/>
      <c r="D171" s="1678"/>
      <c r="E171" s="28">
        <f t="shared" si="90"/>
        <v>0</v>
      </c>
      <c r="F171" s="29"/>
      <c r="G171" s="30">
        <f t="shared" si="65"/>
        <v>0</v>
      </c>
      <c r="H171" s="31">
        <f t="shared" si="66"/>
        <v>0</v>
      </c>
      <c r="I171" s="32"/>
      <c r="J171" s="32"/>
      <c r="K171" s="32"/>
      <c r="L171" s="32"/>
      <c r="M171" s="32"/>
      <c r="N171" s="32"/>
      <c r="O171" s="32"/>
      <c r="P171" s="32"/>
      <c r="Q171" s="32"/>
      <c r="R171" s="32"/>
      <c r="S171" s="32"/>
      <c r="T171" s="32"/>
      <c r="U171" s="32"/>
      <c r="V171" s="32"/>
      <c r="W171" s="32"/>
      <c r="X171" s="32"/>
      <c r="Y171" s="32"/>
      <c r="Z171" s="32"/>
      <c r="AA171" s="32"/>
      <c r="AB171" s="32"/>
      <c r="AC171" s="28">
        <f t="shared" si="67"/>
        <v>0</v>
      </c>
      <c r="AD171" s="33"/>
      <c r="AE171" s="33"/>
      <c r="AF171" s="33"/>
      <c r="AG171" s="33"/>
      <c r="AH171" s="33"/>
      <c r="AI171" s="33"/>
      <c r="AJ171" s="33"/>
      <c r="AK171" s="33"/>
      <c r="AL171" s="33"/>
      <c r="AM171" s="33"/>
      <c r="AN171" s="33"/>
      <c r="AO171" s="33"/>
      <c r="AP171" s="33"/>
      <c r="AQ171" s="33"/>
      <c r="AR171" s="33"/>
      <c r="AS171" s="33"/>
      <c r="AT171" s="34"/>
      <c r="AU171" s="1679"/>
      <c r="AV171" s="2256">
        <f t="shared" si="91"/>
        <v>0</v>
      </c>
      <c r="AW171" s="2256">
        <f t="shared" si="92"/>
        <v>0</v>
      </c>
      <c r="AX171" s="2256">
        <f t="shared" si="93"/>
        <v>0</v>
      </c>
      <c r="AY171" s="2781">
        <f t="shared" si="68"/>
        <v>0</v>
      </c>
      <c r="AZ171" s="28">
        <f t="shared" si="69"/>
        <v>0</v>
      </c>
      <c r="BA171" s="28">
        <f t="shared" si="70"/>
        <v>0</v>
      </c>
      <c r="BB171" s="28">
        <f t="shared" si="71"/>
        <v>0</v>
      </c>
      <c r="BC171" s="28">
        <f t="shared" si="72"/>
        <v>0</v>
      </c>
      <c r="BD171" s="3439">
        <f t="shared" si="73"/>
        <v>0</v>
      </c>
      <c r="BE171" s="3439">
        <f t="shared" si="74"/>
        <v>0</v>
      </c>
      <c r="BF171" s="3439">
        <f t="shared" si="75"/>
        <v>0</v>
      </c>
      <c r="BG171" s="3439">
        <f t="shared" si="76"/>
        <v>0</v>
      </c>
      <c r="BH171" s="3439">
        <f t="shared" si="77"/>
        <v>0</v>
      </c>
      <c r="BI171" s="3439">
        <f t="shared" si="78"/>
        <v>0</v>
      </c>
      <c r="BJ171" s="3439">
        <f t="shared" si="79"/>
        <v>0</v>
      </c>
      <c r="BK171" s="3439">
        <f t="shared" si="80"/>
        <v>0</v>
      </c>
      <c r="BL171" s="28">
        <f t="shared" si="81"/>
        <v>0</v>
      </c>
      <c r="BM171" s="28">
        <f t="shared" si="82"/>
        <v>0</v>
      </c>
      <c r="BN171" s="28">
        <f t="shared" si="83"/>
        <v>0</v>
      </c>
      <c r="BO171" s="28">
        <f t="shared" si="84"/>
        <v>0</v>
      </c>
      <c r="BP171" s="28">
        <f t="shared" si="85"/>
        <v>0</v>
      </c>
      <c r="BQ171" s="3439">
        <f t="shared" si="86"/>
        <v>0</v>
      </c>
      <c r="BR171" s="3439">
        <f t="shared" si="87"/>
        <v>0</v>
      </c>
      <c r="BS171" s="3439">
        <f t="shared" si="88"/>
        <v>0</v>
      </c>
      <c r="BT171" s="3451">
        <f t="shared" si="89"/>
        <v>0</v>
      </c>
    </row>
    <row r="172" spans="1:72">
      <c r="A172" s="9"/>
      <c r="B172" s="27"/>
      <c r="C172" s="27"/>
      <c r="D172" s="1678"/>
      <c r="E172" s="28">
        <f t="shared" si="90"/>
        <v>0</v>
      </c>
      <c r="F172" s="29"/>
      <c r="G172" s="30">
        <f t="shared" si="65"/>
        <v>0</v>
      </c>
      <c r="H172" s="31">
        <f t="shared" si="66"/>
        <v>0</v>
      </c>
      <c r="I172" s="32"/>
      <c r="J172" s="32"/>
      <c r="K172" s="32"/>
      <c r="L172" s="32"/>
      <c r="M172" s="32"/>
      <c r="N172" s="32"/>
      <c r="O172" s="32"/>
      <c r="P172" s="32"/>
      <c r="Q172" s="32"/>
      <c r="R172" s="32"/>
      <c r="S172" s="32"/>
      <c r="T172" s="32"/>
      <c r="U172" s="32"/>
      <c r="V172" s="32"/>
      <c r="W172" s="32"/>
      <c r="X172" s="32"/>
      <c r="Y172" s="32"/>
      <c r="Z172" s="32"/>
      <c r="AA172" s="32"/>
      <c r="AB172" s="32"/>
      <c r="AC172" s="28">
        <f t="shared" si="67"/>
        <v>0</v>
      </c>
      <c r="AD172" s="33"/>
      <c r="AE172" s="33"/>
      <c r="AF172" s="33"/>
      <c r="AG172" s="33"/>
      <c r="AH172" s="33"/>
      <c r="AI172" s="33"/>
      <c r="AJ172" s="33"/>
      <c r="AK172" s="33"/>
      <c r="AL172" s="33"/>
      <c r="AM172" s="33"/>
      <c r="AN172" s="33"/>
      <c r="AO172" s="33"/>
      <c r="AP172" s="33"/>
      <c r="AQ172" s="33"/>
      <c r="AR172" s="33"/>
      <c r="AS172" s="33"/>
      <c r="AT172" s="34"/>
      <c r="AU172" s="1679"/>
      <c r="AV172" s="2256">
        <f t="shared" si="91"/>
        <v>0</v>
      </c>
      <c r="AW172" s="2256">
        <f t="shared" si="92"/>
        <v>0</v>
      </c>
      <c r="AX172" s="2256">
        <f t="shared" si="93"/>
        <v>0</v>
      </c>
      <c r="AY172" s="2781">
        <f t="shared" si="68"/>
        <v>0</v>
      </c>
      <c r="AZ172" s="28">
        <f t="shared" si="69"/>
        <v>0</v>
      </c>
      <c r="BA172" s="28">
        <f t="shared" si="70"/>
        <v>0</v>
      </c>
      <c r="BB172" s="28">
        <f t="shared" si="71"/>
        <v>0</v>
      </c>
      <c r="BC172" s="28">
        <f t="shared" si="72"/>
        <v>0</v>
      </c>
      <c r="BD172" s="3439">
        <f t="shared" si="73"/>
        <v>0</v>
      </c>
      <c r="BE172" s="3439">
        <f t="shared" si="74"/>
        <v>0</v>
      </c>
      <c r="BF172" s="3439">
        <f t="shared" si="75"/>
        <v>0</v>
      </c>
      <c r="BG172" s="3439">
        <f t="shared" si="76"/>
        <v>0</v>
      </c>
      <c r="BH172" s="3439">
        <f t="shared" si="77"/>
        <v>0</v>
      </c>
      <c r="BI172" s="3439">
        <f t="shared" si="78"/>
        <v>0</v>
      </c>
      <c r="BJ172" s="3439">
        <f t="shared" si="79"/>
        <v>0</v>
      </c>
      <c r="BK172" s="3439">
        <f t="shared" si="80"/>
        <v>0</v>
      </c>
      <c r="BL172" s="28">
        <f t="shared" si="81"/>
        <v>0</v>
      </c>
      <c r="BM172" s="28">
        <f t="shared" si="82"/>
        <v>0</v>
      </c>
      <c r="BN172" s="28">
        <f t="shared" si="83"/>
        <v>0</v>
      </c>
      <c r="BO172" s="28">
        <f t="shared" si="84"/>
        <v>0</v>
      </c>
      <c r="BP172" s="28">
        <f t="shared" si="85"/>
        <v>0</v>
      </c>
      <c r="BQ172" s="3439">
        <f t="shared" si="86"/>
        <v>0</v>
      </c>
      <c r="BR172" s="3439">
        <f t="shared" si="87"/>
        <v>0</v>
      </c>
      <c r="BS172" s="3439">
        <f t="shared" si="88"/>
        <v>0</v>
      </c>
      <c r="BT172" s="3451">
        <f t="shared" si="89"/>
        <v>0</v>
      </c>
    </row>
    <row r="173" spans="1:72">
      <c r="A173" s="9"/>
      <c r="B173" s="27"/>
      <c r="C173" s="27"/>
      <c r="D173" s="1678"/>
      <c r="E173" s="28">
        <f t="shared" si="90"/>
        <v>0</v>
      </c>
      <c r="F173" s="29"/>
      <c r="G173" s="30">
        <f t="shared" si="65"/>
        <v>0</v>
      </c>
      <c r="H173" s="31">
        <f t="shared" si="66"/>
        <v>0</v>
      </c>
      <c r="I173" s="32"/>
      <c r="J173" s="32"/>
      <c r="K173" s="32"/>
      <c r="L173" s="32"/>
      <c r="M173" s="32"/>
      <c r="N173" s="32"/>
      <c r="O173" s="32"/>
      <c r="P173" s="32"/>
      <c r="Q173" s="32"/>
      <c r="R173" s="32"/>
      <c r="S173" s="32"/>
      <c r="T173" s="32"/>
      <c r="U173" s="32"/>
      <c r="V173" s="32"/>
      <c r="W173" s="32"/>
      <c r="X173" s="32"/>
      <c r="Y173" s="32"/>
      <c r="Z173" s="32"/>
      <c r="AA173" s="32"/>
      <c r="AB173" s="32"/>
      <c r="AC173" s="28">
        <f t="shared" si="67"/>
        <v>0</v>
      </c>
      <c r="AD173" s="33"/>
      <c r="AE173" s="33"/>
      <c r="AF173" s="33"/>
      <c r="AG173" s="33"/>
      <c r="AH173" s="33"/>
      <c r="AI173" s="33"/>
      <c r="AJ173" s="33"/>
      <c r="AK173" s="33"/>
      <c r="AL173" s="33"/>
      <c r="AM173" s="33"/>
      <c r="AN173" s="33"/>
      <c r="AO173" s="33"/>
      <c r="AP173" s="33"/>
      <c r="AQ173" s="33"/>
      <c r="AR173" s="33"/>
      <c r="AS173" s="33"/>
      <c r="AT173" s="34"/>
      <c r="AU173" s="1679"/>
      <c r="AV173" s="2256">
        <f t="shared" si="91"/>
        <v>0</v>
      </c>
      <c r="AW173" s="2256">
        <f t="shared" si="92"/>
        <v>0</v>
      </c>
      <c r="AX173" s="2256">
        <f t="shared" si="93"/>
        <v>0</v>
      </c>
      <c r="AY173" s="2781">
        <f t="shared" si="68"/>
        <v>0</v>
      </c>
      <c r="AZ173" s="28">
        <f t="shared" si="69"/>
        <v>0</v>
      </c>
      <c r="BA173" s="28">
        <f t="shared" si="70"/>
        <v>0</v>
      </c>
      <c r="BB173" s="28">
        <f t="shared" si="71"/>
        <v>0</v>
      </c>
      <c r="BC173" s="28">
        <f t="shared" si="72"/>
        <v>0</v>
      </c>
      <c r="BD173" s="3439">
        <f t="shared" si="73"/>
        <v>0</v>
      </c>
      <c r="BE173" s="3439">
        <f t="shared" si="74"/>
        <v>0</v>
      </c>
      <c r="BF173" s="3439">
        <f t="shared" si="75"/>
        <v>0</v>
      </c>
      <c r="BG173" s="3439">
        <f t="shared" si="76"/>
        <v>0</v>
      </c>
      <c r="BH173" s="3439">
        <f t="shared" si="77"/>
        <v>0</v>
      </c>
      <c r="BI173" s="3439">
        <f t="shared" si="78"/>
        <v>0</v>
      </c>
      <c r="BJ173" s="3439">
        <f t="shared" si="79"/>
        <v>0</v>
      </c>
      <c r="BK173" s="3439">
        <f t="shared" si="80"/>
        <v>0</v>
      </c>
      <c r="BL173" s="28">
        <f t="shared" si="81"/>
        <v>0</v>
      </c>
      <c r="BM173" s="28">
        <f t="shared" si="82"/>
        <v>0</v>
      </c>
      <c r="BN173" s="28">
        <f t="shared" si="83"/>
        <v>0</v>
      </c>
      <c r="BO173" s="28">
        <f t="shared" si="84"/>
        <v>0</v>
      </c>
      <c r="BP173" s="28">
        <f t="shared" si="85"/>
        <v>0</v>
      </c>
      <c r="BQ173" s="3439">
        <f t="shared" si="86"/>
        <v>0</v>
      </c>
      <c r="BR173" s="3439">
        <f t="shared" si="87"/>
        <v>0</v>
      </c>
      <c r="BS173" s="3439">
        <f t="shared" si="88"/>
        <v>0</v>
      </c>
      <c r="BT173" s="3451">
        <f t="shared" si="89"/>
        <v>0</v>
      </c>
    </row>
    <row r="174" spans="1:72">
      <c r="A174" s="9"/>
      <c r="B174" s="27"/>
      <c r="C174" s="27"/>
      <c r="D174" s="1678"/>
      <c r="E174" s="28">
        <f t="shared" si="90"/>
        <v>0</v>
      </c>
      <c r="F174" s="29"/>
      <c r="G174" s="30">
        <f t="shared" ref="G174:G205" si="94">H174+AC174+AT174</f>
        <v>0</v>
      </c>
      <c r="H174" s="31">
        <f t="shared" ref="H174:H205" si="95">SUMIF(I$12:AB$12,"总值",I174:AB174)</f>
        <v>0</v>
      </c>
      <c r="I174" s="32"/>
      <c r="J174" s="32"/>
      <c r="K174" s="32"/>
      <c r="L174" s="32"/>
      <c r="M174" s="32"/>
      <c r="N174" s="32"/>
      <c r="O174" s="32"/>
      <c r="P174" s="32"/>
      <c r="Q174" s="32"/>
      <c r="R174" s="32"/>
      <c r="S174" s="32"/>
      <c r="T174" s="32"/>
      <c r="U174" s="32"/>
      <c r="V174" s="32"/>
      <c r="W174" s="32"/>
      <c r="X174" s="32"/>
      <c r="Y174" s="32"/>
      <c r="Z174" s="32"/>
      <c r="AA174" s="32"/>
      <c r="AB174" s="32"/>
      <c r="AC174" s="28">
        <f t="shared" ref="AC174:AC205" si="96">SUMIF(AD$12:AS$12,"总值",AD174:AS174)</f>
        <v>0</v>
      </c>
      <c r="AD174" s="33"/>
      <c r="AE174" s="33"/>
      <c r="AF174" s="33"/>
      <c r="AG174" s="33"/>
      <c r="AH174" s="33"/>
      <c r="AI174" s="33"/>
      <c r="AJ174" s="33"/>
      <c r="AK174" s="33"/>
      <c r="AL174" s="33"/>
      <c r="AM174" s="33"/>
      <c r="AN174" s="33"/>
      <c r="AO174" s="33"/>
      <c r="AP174" s="33"/>
      <c r="AQ174" s="33"/>
      <c r="AR174" s="33"/>
      <c r="AS174" s="33"/>
      <c r="AT174" s="34"/>
      <c r="AU174" s="1679"/>
      <c r="AV174" s="2256">
        <f t="shared" si="91"/>
        <v>0</v>
      </c>
      <c r="AW174" s="2256">
        <f t="shared" si="92"/>
        <v>0</v>
      </c>
      <c r="AX174" s="2256">
        <f t="shared" si="93"/>
        <v>0</v>
      </c>
      <c r="AY174" s="2781">
        <f t="shared" ref="AY174:AY205" si="97">ROUND($AY$6*AZ174/$AZ$5,2)</f>
        <v>0</v>
      </c>
      <c r="AZ174" s="28">
        <f t="shared" ref="AZ174:AZ205" si="98">BA174+BL174</f>
        <v>0</v>
      </c>
      <c r="BA174" s="28">
        <f t="shared" ref="BA174:BA205" si="99">SUM(BB174:BK174)</f>
        <v>0</v>
      </c>
      <c r="BB174" s="28">
        <f t="shared" ref="BB174:BB207" si="100">IF($D174="是",I174-J174,0)</f>
        <v>0</v>
      </c>
      <c r="BC174" s="28">
        <f t="shared" ref="BC174:BC207" si="101">IF($D174="是",K174-L174,0)</f>
        <v>0</v>
      </c>
      <c r="BD174" s="3439">
        <f t="shared" ref="BD174:BD207" si="102">IF($D174="是",M174-N174,0)</f>
        <v>0</v>
      </c>
      <c r="BE174" s="3439">
        <f t="shared" ref="BE174:BE207" si="103">IF($D174="是",O174-P174,0)</f>
        <v>0</v>
      </c>
      <c r="BF174" s="3439">
        <f t="shared" ref="BF174:BF207" si="104">IF($D174="是",Q174-R174,0)</f>
        <v>0</v>
      </c>
      <c r="BG174" s="3439">
        <f t="shared" ref="BG174:BG207" si="105">IF($D174="是",S174-T174,0)</f>
        <v>0</v>
      </c>
      <c r="BH174" s="3439">
        <f t="shared" ref="BH174:BH207" si="106">IF($D174="是",U174-V174,0)</f>
        <v>0</v>
      </c>
      <c r="BI174" s="3439">
        <f t="shared" ref="BI174:BI207" si="107">IF($D174="是",W174-X174,0)</f>
        <v>0</v>
      </c>
      <c r="BJ174" s="3439">
        <f t="shared" ref="BJ174:BJ207" si="108">IF($D174="是",Y174-Z174,0)</f>
        <v>0</v>
      </c>
      <c r="BK174" s="3439">
        <f t="shared" ref="BK174:BK207" si="109">IF($D174="是",AA174-AB174,0)</f>
        <v>0</v>
      </c>
      <c r="BL174" s="28">
        <f t="shared" ref="BL174:BL205" si="110">SUM(BM174:BT174)</f>
        <v>0</v>
      </c>
      <c r="BM174" s="28">
        <f t="shared" ref="BM174:BM207" si="111">IF($D174="是",AD174-AE174,0)</f>
        <v>0</v>
      </c>
      <c r="BN174" s="28">
        <f t="shared" ref="BN174:BN207" si="112">IF($D174="是",AF174-AG174,0)</f>
        <v>0</v>
      </c>
      <c r="BO174" s="28">
        <f t="shared" ref="BO174:BO207" si="113">IF($D174="是",AH174-AI174,0)</f>
        <v>0</v>
      </c>
      <c r="BP174" s="28">
        <f t="shared" ref="BP174:BP207" si="114">IF($D174="是",AJ174-AK174,0)</f>
        <v>0</v>
      </c>
      <c r="BQ174" s="3439">
        <f t="shared" ref="BQ174:BQ207" si="115">IF($D174="是",AL174-AM174,0)</f>
        <v>0</v>
      </c>
      <c r="BR174" s="3439">
        <f t="shared" ref="BR174:BR207" si="116">IF($D174="是",AN174-AO174,0)</f>
        <v>0</v>
      </c>
      <c r="BS174" s="3439">
        <f t="shared" ref="BS174:BS207" si="117">IF($D174="是",AP174-AQ174,0)</f>
        <v>0</v>
      </c>
      <c r="BT174" s="3451">
        <f t="shared" ref="BT174:BT207" si="118">IF($D174="是",AR174-AS174,0)</f>
        <v>0</v>
      </c>
    </row>
    <row r="175" spans="1:72">
      <c r="A175" s="9"/>
      <c r="B175" s="27"/>
      <c r="C175" s="27"/>
      <c r="D175" s="1678"/>
      <c r="E175" s="28">
        <f t="shared" si="90"/>
        <v>0</v>
      </c>
      <c r="F175" s="29"/>
      <c r="G175" s="30">
        <f t="shared" si="94"/>
        <v>0</v>
      </c>
      <c r="H175" s="31">
        <f t="shared" si="95"/>
        <v>0</v>
      </c>
      <c r="I175" s="32"/>
      <c r="J175" s="32"/>
      <c r="K175" s="32"/>
      <c r="L175" s="32"/>
      <c r="M175" s="32"/>
      <c r="N175" s="32"/>
      <c r="O175" s="32"/>
      <c r="P175" s="32"/>
      <c r="Q175" s="32"/>
      <c r="R175" s="32"/>
      <c r="S175" s="32"/>
      <c r="T175" s="32"/>
      <c r="U175" s="32"/>
      <c r="V175" s="32"/>
      <c r="W175" s="32"/>
      <c r="X175" s="32"/>
      <c r="Y175" s="32"/>
      <c r="Z175" s="32"/>
      <c r="AA175" s="32"/>
      <c r="AB175" s="32"/>
      <c r="AC175" s="28">
        <f t="shared" si="96"/>
        <v>0</v>
      </c>
      <c r="AD175" s="33"/>
      <c r="AE175" s="33"/>
      <c r="AF175" s="33"/>
      <c r="AG175" s="33"/>
      <c r="AH175" s="33"/>
      <c r="AI175" s="33"/>
      <c r="AJ175" s="33"/>
      <c r="AK175" s="33"/>
      <c r="AL175" s="33"/>
      <c r="AM175" s="33"/>
      <c r="AN175" s="33"/>
      <c r="AO175" s="33"/>
      <c r="AP175" s="33"/>
      <c r="AQ175" s="33"/>
      <c r="AR175" s="33"/>
      <c r="AS175" s="33"/>
      <c r="AT175" s="34"/>
      <c r="AU175" s="1679"/>
      <c r="AV175" s="2256">
        <f t="shared" si="91"/>
        <v>0</v>
      </c>
      <c r="AW175" s="2256">
        <f t="shared" si="92"/>
        <v>0</v>
      </c>
      <c r="AX175" s="2256">
        <f t="shared" si="93"/>
        <v>0</v>
      </c>
      <c r="AY175" s="2781">
        <f t="shared" si="97"/>
        <v>0</v>
      </c>
      <c r="AZ175" s="28">
        <f t="shared" si="98"/>
        <v>0</v>
      </c>
      <c r="BA175" s="28">
        <f t="shared" si="99"/>
        <v>0</v>
      </c>
      <c r="BB175" s="28">
        <f t="shared" si="100"/>
        <v>0</v>
      </c>
      <c r="BC175" s="28">
        <f t="shared" si="101"/>
        <v>0</v>
      </c>
      <c r="BD175" s="3439">
        <f t="shared" si="102"/>
        <v>0</v>
      </c>
      <c r="BE175" s="3439">
        <f t="shared" si="103"/>
        <v>0</v>
      </c>
      <c r="BF175" s="3439">
        <f t="shared" si="104"/>
        <v>0</v>
      </c>
      <c r="BG175" s="3439">
        <f t="shared" si="105"/>
        <v>0</v>
      </c>
      <c r="BH175" s="3439">
        <f t="shared" si="106"/>
        <v>0</v>
      </c>
      <c r="BI175" s="3439">
        <f t="shared" si="107"/>
        <v>0</v>
      </c>
      <c r="BJ175" s="3439">
        <f t="shared" si="108"/>
        <v>0</v>
      </c>
      <c r="BK175" s="3439">
        <f t="shared" si="109"/>
        <v>0</v>
      </c>
      <c r="BL175" s="28">
        <f t="shared" si="110"/>
        <v>0</v>
      </c>
      <c r="BM175" s="28">
        <f t="shared" si="111"/>
        <v>0</v>
      </c>
      <c r="BN175" s="28">
        <f t="shared" si="112"/>
        <v>0</v>
      </c>
      <c r="BO175" s="28">
        <f t="shared" si="113"/>
        <v>0</v>
      </c>
      <c r="BP175" s="28">
        <f t="shared" si="114"/>
        <v>0</v>
      </c>
      <c r="BQ175" s="3439">
        <f t="shared" si="115"/>
        <v>0</v>
      </c>
      <c r="BR175" s="3439">
        <f t="shared" si="116"/>
        <v>0</v>
      </c>
      <c r="BS175" s="3439">
        <f t="shared" si="117"/>
        <v>0</v>
      </c>
      <c r="BT175" s="3451">
        <f t="shared" si="118"/>
        <v>0</v>
      </c>
    </row>
    <row r="176" spans="1:72">
      <c r="A176" s="9"/>
      <c r="B176" s="27"/>
      <c r="C176" s="27"/>
      <c r="D176" s="1678"/>
      <c r="E176" s="28">
        <f t="shared" si="90"/>
        <v>0</v>
      </c>
      <c r="F176" s="29"/>
      <c r="G176" s="30">
        <f t="shared" si="94"/>
        <v>0</v>
      </c>
      <c r="H176" s="31">
        <f t="shared" si="95"/>
        <v>0</v>
      </c>
      <c r="I176" s="32"/>
      <c r="J176" s="32"/>
      <c r="K176" s="32"/>
      <c r="L176" s="32"/>
      <c r="M176" s="32"/>
      <c r="N176" s="32"/>
      <c r="O176" s="32"/>
      <c r="P176" s="32"/>
      <c r="Q176" s="32"/>
      <c r="R176" s="32"/>
      <c r="S176" s="32"/>
      <c r="T176" s="32"/>
      <c r="U176" s="32"/>
      <c r="V176" s="32"/>
      <c r="W176" s="32"/>
      <c r="X176" s="32"/>
      <c r="Y176" s="32"/>
      <c r="Z176" s="32"/>
      <c r="AA176" s="32"/>
      <c r="AB176" s="32"/>
      <c r="AC176" s="28">
        <f t="shared" si="96"/>
        <v>0</v>
      </c>
      <c r="AD176" s="33"/>
      <c r="AE176" s="33"/>
      <c r="AF176" s="33"/>
      <c r="AG176" s="33"/>
      <c r="AH176" s="33"/>
      <c r="AI176" s="33"/>
      <c r="AJ176" s="33"/>
      <c r="AK176" s="33"/>
      <c r="AL176" s="33"/>
      <c r="AM176" s="33"/>
      <c r="AN176" s="33"/>
      <c r="AO176" s="33"/>
      <c r="AP176" s="33"/>
      <c r="AQ176" s="33"/>
      <c r="AR176" s="33"/>
      <c r="AS176" s="33"/>
      <c r="AT176" s="34"/>
      <c r="AU176" s="1679"/>
      <c r="AV176" s="2256">
        <f t="shared" si="91"/>
        <v>0</v>
      </c>
      <c r="AW176" s="2256">
        <f t="shared" si="92"/>
        <v>0</v>
      </c>
      <c r="AX176" s="2256">
        <f t="shared" si="93"/>
        <v>0</v>
      </c>
      <c r="AY176" s="2781">
        <f t="shared" si="97"/>
        <v>0</v>
      </c>
      <c r="AZ176" s="28">
        <f t="shared" si="98"/>
        <v>0</v>
      </c>
      <c r="BA176" s="28">
        <f t="shared" si="99"/>
        <v>0</v>
      </c>
      <c r="BB176" s="28">
        <f t="shared" si="100"/>
        <v>0</v>
      </c>
      <c r="BC176" s="28">
        <f t="shared" si="101"/>
        <v>0</v>
      </c>
      <c r="BD176" s="3439">
        <f t="shared" si="102"/>
        <v>0</v>
      </c>
      <c r="BE176" s="3439">
        <f t="shared" si="103"/>
        <v>0</v>
      </c>
      <c r="BF176" s="3439">
        <f t="shared" si="104"/>
        <v>0</v>
      </c>
      <c r="BG176" s="3439">
        <f t="shared" si="105"/>
        <v>0</v>
      </c>
      <c r="BH176" s="3439">
        <f t="shared" si="106"/>
        <v>0</v>
      </c>
      <c r="BI176" s="3439">
        <f t="shared" si="107"/>
        <v>0</v>
      </c>
      <c r="BJ176" s="3439">
        <f t="shared" si="108"/>
        <v>0</v>
      </c>
      <c r="BK176" s="3439">
        <f t="shared" si="109"/>
        <v>0</v>
      </c>
      <c r="BL176" s="28">
        <f t="shared" si="110"/>
        <v>0</v>
      </c>
      <c r="BM176" s="28">
        <f t="shared" si="111"/>
        <v>0</v>
      </c>
      <c r="BN176" s="28">
        <f t="shared" si="112"/>
        <v>0</v>
      </c>
      <c r="BO176" s="28">
        <f t="shared" si="113"/>
        <v>0</v>
      </c>
      <c r="BP176" s="28">
        <f t="shared" si="114"/>
        <v>0</v>
      </c>
      <c r="BQ176" s="3439">
        <f t="shared" si="115"/>
        <v>0</v>
      </c>
      <c r="BR176" s="3439">
        <f t="shared" si="116"/>
        <v>0</v>
      </c>
      <c r="BS176" s="3439">
        <f t="shared" si="117"/>
        <v>0</v>
      </c>
      <c r="BT176" s="3451">
        <f t="shared" si="118"/>
        <v>0</v>
      </c>
    </row>
    <row r="177" spans="1:72">
      <c r="A177" s="9"/>
      <c r="B177" s="27"/>
      <c r="C177" s="27"/>
      <c r="D177" s="1678"/>
      <c r="E177" s="28">
        <f t="shared" ref="E177:E207" si="119">IF($C$3="是",ROUND($A$3*G177/$B$3,2),ROUND($A$3*(G177-AT177)/$B$3,2))</f>
        <v>0</v>
      </c>
      <c r="F177" s="29"/>
      <c r="G177" s="30">
        <f t="shared" si="94"/>
        <v>0</v>
      </c>
      <c r="H177" s="31">
        <f t="shared" si="95"/>
        <v>0</v>
      </c>
      <c r="I177" s="32"/>
      <c r="J177" s="32"/>
      <c r="K177" s="32"/>
      <c r="L177" s="32"/>
      <c r="M177" s="32"/>
      <c r="N177" s="32"/>
      <c r="O177" s="32"/>
      <c r="P177" s="32"/>
      <c r="Q177" s="32"/>
      <c r="R177" s="32"/>
      <c r="S177" s="32"/>
      <c r="T177" s="32"/>
      <c r="U177" s="32"/>
      <c r="V177" s="32"/>
      <c r="W177" s="32"/>
      <c r="X177" s="32"/>
      <c r="Y177" s="32"/>
      <c r="Z177" s="32"/>
      <c r="AA177" s="32"/>
      <c r="AB177" s="32"/>
      <c r="AC177" s="28">
        <f t="shared" si="96"/>
        <v>0</v>
      </c>
      <c r="AD177" s="33"/>
      <c r="AE177" s="33"/>
      <c r="AF177" s="33"/>
      <c r="AG177" s="33"/>
      <c r="AH177" s="33"/>
      <c r="AI177" s="33"/>
      <c r="AJ177" s="33"/>
      <c r="AK177" s="33"/>
      <c r="AL177" s="33"/>
      <c r="AM177" s="33"/>
      <c r="AN177" s="33"/>
      <c r="AO177" s="33"/>
      <c r="AP177" s="33"/>
      <c r="AQ177" s="33"/>
      <c r="AR177" s="33"/>
      <c r="AS177" s="33"/>
      <c r="AT177" s="34"/>
      <c r="AU177" s="1679"/>
      <c r="AV177" s="2256">
        <f t="shared" ref="AV177:AV207" si="120">A177</f>
        <v>0</v>
      </c>
      <c r="AW177" s="2256">
        <f t="shared" ref="AW177:AW207" si="121">B177</f>
        <v>0</v>
      </c>
      <c r="AX177" s="2256">
        <f t="shared" ref="AX177:AX207" si="122">C177</f>
        <v>0</v>
      </c>
      <c r="AY177" s="2781">
        <f t="shared" si="97"/>
        <v>0</v>
      </c>
      <c r="AZ177" s="28">
        <f t="shared" si="98"/>
        <v>0</v>
      </c>
      <c r="BA177" s="28">
        <f t="shared" si="99"/>
        <v>0</v>
      </c>
      <c r="BB177" s="28">
        <f t="shared" si="100"/>
        <v>0</v>
      </c>
      <c r="BC177" s="28">
        <f t="shared" si="101"/>
        <v>0</v>
      </c>
      <c r="BD177" s="3439">
        <f t="shared" si="102"/>
        <v>0</v>
      </c>
      <c r="BE177" s="3439">
        <f t="shared" si="103"/>
        <v>0</v>
      </c>
      <c r="BF177" s="3439">
        <f t="shared" si="104"/>
        <v>0</v>
      </c>
      <c r="BG177" s="3439">
        <f t="shared" si="105"/>
        <v>0</v>
      </c>
      <c r="BH177" s="3439">
        <f t="shared" si="106"/>
        <v>0</v>
      </c>
      <c r="BI177" s="3439">
        <f t="shared" si="107"/>
        <v>0</v>
      </c>
      <c r="BJ177" s="3439">
        <f t="shared" si="108"/>
        <v>0</v>
      </c>
      <c r="BK177" s="3439">
        <f t="shared" si="109"/>
        <v>0</v>
      </c>
      <c r="BL177" s="28">
        <f t="shared" si="110"/>
        <v>0</v>
      </c>
      <c r="BM177" s="28">
        <f t="shared" si="111"/>
        <v>0</v>
      </c>
      <c r="BN177" s="28">
        <f t="shared" si="112"/>
        <v>0</v>
      </c>
      <c r="BO177" s="28">
        <f t="shared" si="113"/>
        <v>0</v>
      </c>
      <c r="BP177" s="28">
        <f t="shared" si="114"/>
        <v>0</v>
      </c>
      <c r="BQ177" s="3439">
        <f t="shared" si="115"/>
        <v>0</v>
      </c>
      <c r="BR177" s="3439">
        <f t="shared" si="116"/>
        <v>0</v>
      </c>
      <c r="BS177" s="3439">
        <f t="shared" si="117"/>
        <v>0</v>
      </c>
      <c r="BT177" s="3451">
        <f t="shared" si="118"/>
        <v>0</v>
      </c>
    </row>
    <row r="178" spans="1:72">
      <c r="A178" s="9"/>
      <c r="B178" s="27"/>
      <c r="C178" s="27"/>
      <c r="D178" s="1678"/>
      <c r="E178" s="28">
        <f t="shared" si="119"/>
        <v>0</v>
      </c>
      <c r="F178" s="29"/>
      <c r="G178" s="30">
        <f t="shared" si="94"/>
        <v>0</v>
      </c>
      <c r="H178" s="31">
        <f t="shared" si="95"/>
        <v>0</v>
      </c>
      <c r="I178" s="32"/>
      <c r="J178" s="32"/>
      <c r="K178" s="32"/>
      <c r="L178" s="32"/>
      <c r="M178" s="32"/>
      <c r="N178" s="32"/>
      <c r="O178" s="32"/>
      <c r="P178" s="32"/>
      <c r="Q178" s="32"/>
      <c r="R178" s="32"/>
      <c r="S178" s="32"/>
      <c r="T178" s="32"/>
      <c r="U178" s="32"/>
      <c r="V178" s="32"/>
      <c r="W178" s="32"/>
      <c r="X178" s="32"/>
      <c r="Y178" s="32"/>
      <c r="Z178" s="32"/>
      <c r="AA178" s="32"/>
      <c r="AB178" s="32"/>
      <c r="AC178" s="28">
        <f t="shared" si="96"/>
        <v>0</v>
      </c>
      <c r="AD178" s="33"/>
      <c r="AE178" s="33"/>
      <c r="AF178" s="33"/>
      <c r="AG178" s="33"/>
      <c r="AH178" s="33"/>
      <c r="AI178" s="33"/>
      <c r="AJ178" s="33"/>
      <c r="AK178" s="33"/>
      <c r="AL178" s="33"/>
      <c r="AM178" s="33"/>
      <c r="AN178" s="33"/>
      <c r="AO178" s="33"/>
      <c r="AP178" s="33"/>
      <c r="AQ178" s="33"/>
      <c r="AR178" s="33"/>
      <c r="AS178" s="33"/>
      <c r="AT178" s="34"/>
      <c r="AU178" s="1679"/>
      <c r="AV178" s="2256">
        <f t="shared" si="120"/>
        <v>0</v>
      </c>
      <c r="AW178" s="2256">
        <f t="shared" si="121"/>
        <v>0</v>
      </c>
      <c r="AX178" s="2256">
        <f t="shared" si="122"/>
        <v>0</v>
      </c>
      <c r="AY178" s="2781">
        <f t="shared" si="97"/>
        <v>0</v>
      </c>
      <c r="AZ178" s="28">
        <f t="shared" si="98"/>
        <v>0</v>
      </c>
      <c r="BA178" s="28">
        <f t="shared" si="99"/>
        <v>0</v>
      </c>
      <c r="BB178" s="28">
        <f t="shared" si="100"/>
        <v>0</v>
      </c>
      <c r="BC178" s="28">
        <f t="shared" si="101"/>
        <v>0</v>
      </c>
      <c r="BD178" s="3439">
        <f t="shared" si="102"/>
        <v>0</v>
      </c>
      <c r="BE178" s="3439">
        <f t="shared" si="103"/>
        <v>0</v>
      </c>
      <c r="BF178" s="3439">
        <f t="shared" si="104"/>
        <v>0</v>
      </c>
      <c r="BG178" s="3439">
        <f t="shared" si="105"/>
        <v>0</v>
      </c>
      <c r="BH178" s="3439">
        <f t="shared" si="106"/>
        <v>0</v>
      </c>
      <c r="BI178" s="3439">
        <f t="shared" si="107"/>
        <v>0</v>
      </c>
      <c r="BJ178" s="3439">
        <f t="shared" si="108"/>
        <v>0</v>
      </c>
      <c r="BK178" s="3439">
        <f t="shared" si="109"/>
        <v>0</v>
      </c>
      <c r="BL178" s="28">
        <f t="shared" si="110"/>
        <v>0</v>
      </c>
      <c r="BM178" s="28">
        <f t="shared" si="111"/>
        <v>0</v>
      </c>
      <c r="BN178" s="28">
        <f t="shared" si="112"/>
        <v>0</v>
      </c>
      <c r="BO178" s="28">
        <f t="shared" si="113"/>
        <v>0</v>
      </c>
      <c r="BP178" s="28">
        <f t="shared" si="114"/>
        <v>0</v>
      </c>
      <c r="BQ178" s="3439">
        <f t="shared" si="115"/>
        <v>0</v>
      </c>
      <c r="BR178" s="3439">
        <f t="shared" si="116"/>
        <v>0</v>
      </c>
      <c r="BS178" s="3439">
        <f t="shared" si="117"/>
        <v>0</v>
      </c>
      <c r="BT178" s="3451">
        <f t="shared" si="118"/>
        <v>0</v>
      </c>
    </row>
    <row r="179" spans="1:72">
      <c r="A179" s="9"/>
      <c r="B179" s="27"/>
      <c r="C179" s="27"/>
      <c r="D179" s="1678"/>
      <c r="E179" s="28">
        <f t="shared" si="119"/>
        <v>0</v>
      </c>
      <c r="F179" s="29"/>
      <c r="G179" s="30">
        <f t="shared" si="94"/>
        <v>0</v>
      </c>
      <c r="H179" s="31">
        <f t="shared" si="95"/>
        <v>0</v>
      </c>
      <c r="I179" s="32"/>
      <c r="J179" s="32"/>
      <c r="K179" s="32"/>
      <c r="L179" s="32"/>
      <c r="M179" s="32"/>
      <c r="N179" s="32"/>
      <c r="O179" s="32"/>
      <c r="P179" s="32"/>
      <c r="Q179" s="32"/>
      <c r="R179" s="32"/>
      <c r="S179" s="32"/>
      <c r="T179" s="32"/>
      <c r="U179" s="32"/>
      <c r="V179" s="32"/>
      <c r="W179" s="32"/>
      <c r="X179" s="32"/>
      <c r="Y179" s="32"/>
      <c r="Z179" s="32"/>
      <c r="AA179" s="32"/>
      <c r="AB179" s="32"/>
      <c r="AC179" s="28">
        <f t="shared" si="96"/>
        <v>0</v>
      </c>
      <c r="AD179" s="33"/>
      <c r="AE179" s="33"/>
      <c r="AF179" s="33"/>
      <c r="AG179" s="33"/>
      <c r="AH179" s="33"/>
      <c r="AI179" s="33"/>
      <c r="AJ179" s="33"/>
      <c r="AK179" s="33"/>
      <c r="AL179" s="33"/>
      <c r="AM179" s="33"/>
      <c r="AN179" s="33"/>
      <c r="AO179" s="33"/>
      <c r="AP179" s="33"/>
      <c r="AQ179" s="33"/>
      <c r="AR179" s="33"/>
      <c r="AS179" s="33"/>
      <c r="AT179" s="34"/>
      <c r="AU179" s="1679"/>
      <c r="AV179" s="2256">
        <f t="shared" si="120"/>
        <v>0</v>
      </c>
      <c r="AW179" s="2256">
        <f t="shared" si="121"/>
        <v>0</v>
      </c>
      <c r="AX179" s="2256">
        <f t="shared" si="122"/>
        <v>0</v>
      </c>
      <c r="AY179" s="2781">
        <f t="shared" si="97"/>
        <v>0</v>
      </c>
      <c r="AZ179" s="28">
        <f t="shared" si="98"/>
        <v>0</v>
      </c>
      <c r="BA179" s="28">
        <f t="shared" si="99"/>
        <v>0</v>
      </c>
      <c r="BB179" s="28">
        <f t="shared" si="100"/>
        <v>0</v>
      </c>
      <c r="BC179" s="28">
        <f t="shared" si="101"/>
        <v>0</v>
      </c>
      <c r="BD179" s="3439">
        <f t="shared" si="102"/>
        <v>0</v>
      </c>
      <c r="BE179" s="3439">
        <f t="shared" si="103"/>
        <v>0</v>
      </c>
      <c r="BF179" s="3439">
        <f t="shared" si="104"/>
        <v>0</v>
      </c>
      <c r="BG179" s="3439">
        <f t="shared" si="105"/>
        <v>0</v>
      </c>
      <c r="BH179" s="3439">
        <f t="shared" si="106"/>
        <v>0</v>
      </c>
      <c r="BI179" s="3439">
        <f t="shared" si="107"/>
        <v>0</v>
      </c>
      <c r="BJ179" s="3439">
        <f t="shared" si="108"/>
        <v>0</v>
      </c>
      <c r="BK179" s="3439">
        <f t="shared" si="109"/>
        <v>0</v>
      </c>
      <c r="BL179" s="28">
        <f t="shared" si="110"/>
        <v>0</v>
      </c>
      <c r="BM179" s="28">
        <f t="shared" si="111"/>
        <v>0</v>
      </c>
      <c r="BN179" s="28">
        <f t="shared" si="112"/>
        <v>0</v>
      </c>
      <c r="BO179" s="28">
        <f t="shared" si="113"/>
        <v>0</v>
      </c>
      <c r="BP179" s="28">
        <f t="shared" si="114"/>
        <v>0</v>
      </c>
      <c r="BQ179" s="3439">
        <f t="shared" si="115"/>
        <v>0</v>
      </c>
      <c r="BR179" s="3439">
        <f t="shared" si="116"/>
        <v>0</v>
      </c>
      <c r="BS179" s="3439">
        <f t="shared" si="117"/>
        <v>0</v>
      </c>
      <c r="BT179" s="3451">
        <f t="shared" si="118"/>
        <v>0</v>
      </c>
    </row>
    <row r="180" spans="1:72">
      <c r="A180" s="9"/>
      <c r="B180" s="27"/>
      <c r="C180" s="27"/>
      <c r="D180" s="1678"/>
      <c r="E180" s="28">
        <f t="shared" si="119"/>
        <v>0</v>
      </c>
      <c r="F180" s="29"/>
      <c r="G180" s="30">
        <f t="shared" si="94"/>
        <v>0</v>
      </c>
      <c r="H180" s="31">
        <f t="shared" si="95"/>
        <v>0</v>
      </c>
      <c r="I180" s="32"/>
      <c r="J180" s="32"/>
      <c r="K180" s="32"/>
      <c r="L180" s="32"/>
      <c r="M180" s="32"/>
      <c r="N180" s="32"/>
      <c r="O180" s="32"/>
      <c r="P180" s="32"/>
      <c r="Q180" s="32"/>
      <c r="R180" s="32"/>
      <c r="S180" s="32"/>
      <c r="T180" s="32"/>
      <c r="U180" s="32"/>
      <c r="V180" s="32"/>
      <c r="W180" s="32"/>
      <c r="X180" s="32"/>
      <c r="Y180" s="32"/>
      <c r="Z180" s="32"/>
      <c r="AA180" s="32"/>
      <c r="AB180" s="32"/>
      <c r="AC180" s="28">
        <f t="shared" si="96"/>
        <v>0</v>
      </c>
      <c r="AD180" s="33"/>
      <c r="AE180" s="33"/>
      <c r="AF180" s="33"/>
      <c r="AG180" s="33"/>
      <c r="AH180" s="33"/>
      <c r="AI180" s="33"/>
      <c r="AJ180" s="33"/>
      <c r="AK180" s="33"/>
      <c r="AL180" s="33"/>
      <c r="AM180" s="33"/>
      <c r="AN180" s="33"/>
      <c r="AO180" s="33"/>
      <c r="AP180" s="33"/>
      <c r="AQ180" s="33"/>
      <c r="AR180" s="33"/>
      <c r="AS180" s="33"/>
      <c r="AT180" s="34"/>
      <c r="AU180" s="1679"/>
      <c r="AV180" s="2256">
        <f t="shared" si="120"/>
        <v>0</v>
      </c>
      <c r="AW180" s="2256">
        <f t="shared" si="121"/>
        <v>0</v>
      </c>
      <c r="AX180" s="2256">
        <f t="shared" si="122"/>
        <v>0</v>
      </c>
      <c r="AY180" s="2781">
        <f t="shared" si="97"/>
        <v>0</v>
      </c>
      <c r="AZ180" s="28">
        <f t="shared" si="98"/>
        <v>0</v>
      </c>
      <c r="BA180" s="28">
        <f t="shared" si="99"/>
        <v>0</v>
      </c>
      <c r="BB180" s="28">
        <f t="shared" si="100"/>
        <v>0</v>
      </c>
      <c r="BC180" s="28">
        <f t="shared" si="101"/>
        <v>0</v>
      </c>
      <c r="BD180" s="3439">
        <f t="shared" si="102"/>
        <v>0</v>
      </c>
      <c r="BE180" s="3439">
        <f t="shared" si="103"/>
        <v>0</v>
      </c>
      <c r="BF180" s="3439">
        <f t="shared" si="104"/>
        <v>0</v>
      </c>
      <c r="BG180" s="3439">
        <f t="shared" si="105"/>
        <v>0</v>
      </c>
      <c r="BH180" s="3439">
        <f t="shared" si="106"/>
        <v>0</v>
      </c>
      <c r="BI180" s="3439">
        <f t="shared" si="107"/>
        <v>0</v>
      </c>
      <c r="BJ180" s="3439">
        <f t="shared" si="108"/>
        <v>0</v>
      </c>
      <c r="BK180" s="3439">
        <f t="shared" si="109"/>
        <v>0</v>
      </c>
      <c r="BL180" s="28">
        <f t="shared" si="110"/>
        <v>0</v>
      </c>
      <c r="BM180" s="28">
        <f t="shared" si="111"/>
        <v>0</v>
      </c>
      <c r="BN180" s="28">
        <f t="shared" si="112"/>
        <v>0</v>
      </c>
      <c r="BO180" s="28">
        <f t="shared" si="113"/>
        <v>0</v>
      </c>
      <c r="BP180" s="28">
        <f t="shared" si="114"/>
        <v>0</v>
      </c>
      <c r="BQ180" s="3439">
        <f t="shared" si="115"/>
        <v>0</v>
      </c>
      <c r="BR180" s="3439">
        <f t="shared" si="116"/>
        <v>0</v>
      </c>
      <c r="BS180" s="3439">
        <f t="shared" si="117"/>
        <v>0</v>
      </c>
      <c r="BT180" s="3451">
        <f t="shared" si="118"/>
        <v>0</v>
      </c>
    </row>
    <row r="181" spans="1:72">
      <c r="A181" s="9"/>
      <c r="B181" s="27"/>
      <c r="C181" s="27"/>
      <c r="D181" s="1678"/>
      <c r="E181" s="28">
        <f t="shared" si="119"/>
        <v>0</v>
      </c>
      <c r="F181" s="29"/>
      <c r="G181" s="30">
        <f t="shared" si="94"/>
        <v>0</v>
      </c>
      <c r="H181" s="31">
        <f t="shared" si="95"/>
        <v>0</v>
      </c>
      <c r="I181" s="32"/>
      <c r="J181" s="32"/>
      <c r="K181" s="32"/>
      <c r="L181" s="32"/>
      <c r="M181" s="32"/>
      <c r="N181" s="32"/>
      <c r="O181" s="32"/>
      <c r="P181" s="32"/>
      <c r="Q181" s="32"/>
      <c r="R181" s="32"/>
      <c r="S181" s="32"/>
      <c r="T181" s="32"/>
      <c r="U181" s="32"/>
      <c r="V181" s="32"/>
      <c r="W181" s="32"/>
      <c r="X181" s="32"/>
      <c r="Y181" s="32"/>
      <c r="Z181" s="32"/>
      <c r="AA181" s="32"/>
      <c r="AB181" s="32"/>
      <c r="AC181" s="28">
        <f t="shared" si="96"/>
        <v>0</v>
      </c>
      <c r="AD181" s="33"/>
      <c r="AE181" s="33"/>
      <c r="AF181" s="33"/>
      <c r="AG181" s="33"/>
      <c r="AH181" s="33"/>
      <c r="AI181" s="33"/>
      <c r="AJ181" s="33"/>
      <c r="AK181" s="33"/>
      <c r="AL181" s="33"/>
      <c r="AM181" s="33"/>
      <c r="AN181" s="33"/>
      <c r="AO181" s="33"/>
      <c r="AP181" s="33"/>
      <c r="AQ181" s="33"/>
      <c r="AR181" s="33"/>
      <c r="AS181" s="33"/>
      <c r="AT181" s="34"/>
      <c r="AU181" s="1679"/>
      <c r="AV181" s="2256">
        <f t="shared" si="120"/>
        <v>0</v>
      </c>
      <c r="AW181" s="2256">
        <f t="shared" si="121"/>
        <v>0</v>
      </c>
      <c r="AX181" s="2256">
        <f t="shared" si="122"/>
        <v>0</v>
      </c>
      <c r="AY181" s="2781">
        <f t="shared" si="97"/>
        <v>0</v>
      </c>
      <c r="AZ181" s="28">
        <f t="shared" si="98"/>
        <v>0</v>
      </c>
      <c r="BA181" s="28">
        <f t="shared" si="99"/>
        <v>0</v>
      </c>
      <c r="BB181" s="28">
        <f t="shared" si="100"/>
        <v>0</v>
      </c>
      <c r="BC181" s="28">
        <f t="shared" si="101"/>
        <v>0</v>
      </c>
      <c r="BD181" s="3439">
        <f t="shared" si="102"/>
        <v>0</v>
      </c>
      <c r="BE181" s="3439">
        <f t="shared" si="103"/>
        <v>0</v>
      </c>
      <c r="BF181" s="3439">
        <f t="shared" si="104"/>
        <v>0</v>
      </c>
      <c r="BG181" s="3439">
        <f t="shared" si="105"/>
        <v>0</v>
      </c>
      <c r="BH181" s="3439">
        <f t="shared" si="106"/>
        <v>0</v>
      </c>
      <c r="BI181" s="3439">
        <f t="shared" si="107"/>
        <v>0</v>
      </c>
      <c r="BJ181" s="3439">
        <f t="shared" si="108"/>
        <v>0</v>
      </c>
      <c r="BK181" s="3439">
        <f t="shared" si="109"/>
        <v>0</v>
      </c>
      <c r="BL181" s="28">
        <f t="shared" si="110"/>
        <v>0</v>
      </c>
      <c r="BM181" s="28">
        <f t="shared" si="111"/>
        <v>0</v>
      </c>
      <c r="BN181" s="28">
        <f t="shared" si="112"/>
        <v>0</v>
      </c>
      <c r="BO181" s="28">
        <f t="shared" si="113"/>
        <v>0</v>
      </c>
      <c r="BP181" s="28">
        <f t="shared" si="114"/>
        <v>0</v>
      </c>
      <c r="BQ181" s="3439">
        <f t="shared" si="115"/>
        <v>0</v>
      </c>
      <c r="BR181" s="3439">
        <f t="shared" si="116"/>
        <v>0</v>
      </c>
      <c r="BS181" s="3439">
        <f t="shared" si="117"/>
        <v>0</v>
      </c>
      <c r="BT181" s="3451">
        <f t="shared" si="118"/>
        <v>0</v>
      </c>
    </row>
    <row r="182" spans="1:72">
      <c r="A182" s="9"/>
      <c r="B182" s="27"/>
      <c r="C182" s="27"/>
      <c r="D182" s="1678"/>
      <c r="E182" s="28">
        <f t="shared" si="119"/>
        <v>0</v>
      </c>
      <c r="F182" s="29"/>
      <c r="G182" s="30">
        <f t="shared" si="94"/>
        <v>0</v>
      </c>
      <c r="H182" s="31">
        <f t="shared" si="95"/>
        <v>0</v>
      </c>
      <c r="I182" s="32"/>
      <c r="J182" s="32"/>
      <c r="K182" s="32"/>
      <c r="L182" s="32"/>
      <c r="M182" s="32"/>
      <c r="N182" s="32"/>
      <c r="O182" s="32"/>
      <c r="P182" s="32"/>
      <c r="Q182" s="32"/>
      <c r="R182" s="32"/>
      <c r="S182" s="32"/>
      <c r="T182" s="32"/>
      <c r="U182" s="32"/>
      <c r="V182" s="32"/>
      <c r="W182" s="32"/>
      <c r="X182" s="32"/>
      <c r="Y182" s="32"/>
      <c r="Z182" s="32"/>
      <c r="AA182" s="32"/>
      <c r="AB182" s="32"/>
      <c r="AC182" s="28">
        <f t="shared" si="96"/>
        <v>0</v>
      </c>
      <c r="AD182" s="33"/>
      <c r="AE182" s="33"/>
      <c r="AF182" s="33"/>
      <c r="AG182" s="33"/>
      <c r="AH182" s="33"/>
      <c r="AI182" s="33"/>
      <c r="AJ182" s="33"/>
      <c r="AK182" s="33"/>
      <c r="AL182" s="33"/>
      <c r="AM182" s="33"/>
      <c r="AN182" s="33"/>
      <c r="AO182" s="33"/>
      <c r="AP182" s="33"/>
      <c r="AQ182" s="33"/>
      <c r="AR182" s="33"/>
      <c r="AS182" s="33"/>
      <c r="AT182" s="34"/>
      <c r="AU182" s="1679"/>
      <c r="AV182" s="2256">
        <f t="shared" si="120"/>
        <v>0</v>
      </c>
      <c r="AW182" s="2256">
        <f t="shared" si="121"/>
        <v>0</v>
      </c>
      <c r="AX182" s="2256">
        <f t="shared" si="122"/>
        <v>0</v>
      </c>
      <c r="AY182" s="2781">
        <f t="shared" si="97"/>
        <v>0</v>
      </c>
      <c r="AZ182" s="28">
        <f t="shared" si="98"/>
        <v>0</v>
      </c>
      <c r="BA182" s="28">
        <f t="shared" si="99"/>
        <v>0</v>
      </c>
      <c r="BB182" s="28">
        <f t="shared" si="100"/>
        <v>0</v>
      </c>
      <c r="BC182" s="28">
        <f t="shared" si="101"/>
        <v>0</v>
      </c>
      <c r="BD182" s="3439">
        <f t="shared" si="102"/>
        <v>0</v>
      </c>
      <c r="BE182" s="3439">
        <f t="shared" si="103"/>
        <v>0</v>
      </c>
      <c r="BF182" s="3439">
        <f t="shared" si="104"/>
        <v>0</v>
      </c>
      <c r="BG182" s="3439">
        <f t="shared" si="105"/>
        <v>0</v>
      </c>
      <c r="BH182" s="3439">
        <f t="shared" si="106"/>
        <v>0</v>
      </c>
      <c r="BI182" s="3439">
        <f t="shared" si="107"/>
        <v>0</v>
      </c>
      <c r="BJ182" s="3439">
        <f t="shared" si="108"/>
        <v>0</v>
      </c>
      <c r="BK182" s="3439">
        <f t="shared" si="109"/>
        <v>0</v>
      </c>
      <c r="BL182" s="28">
        <f t="shared" si="110"/>
        <v>0</v>
      </c>
      <c r="BM182" s="28">
        <f t="shared" si="111"/>
        <v>0</v>
      </c>
      <c r="BN182" s="28">
        <f t="shared" si="112"/>
        <v>0</v>
      </c>
      <c r="BO182" s="28">
        <f t="shared" si="113"/>
        <v>0</v>
      </c>
      <c r="BP182" s="28">
        <f t="shared" si="114"/>
        <v>0</v>
      </c>
      <c r="BQ182" s="3439">
        <f t="shared" si="115"/>
        <v>0</v>
      </c>
      <c r="BR182" s="3439">
        <f t="shared" si="116"/>
        <v>0</v>
      </c>
      <c r="BS182" s="3439">
        <f t="shared" si="117"/>
        <v>0</v>
      </c>
      <c r="BT182" s="3451">
        <f t="shared" si="118"/>
        <v>0</v>
      </c>
    </row>
    <row r="183" spans="1:72">
      <c r="A183" s="9"/>
      <c r="B183" s="27"/>
      <c r="C183" s="27"/>
      <c r="D183" s="1678"/>
      <c r="E183" s="28">
        <f t="shared" si="119"/>
        <v>0</v>
      </c>
      <c r="F183" s="29"/>
      <c r="G183" s="30">
        <f t="shared" si="94"/>
        <v>0</v>
      </c>
      <c r="H183" s="31">
        <f t="shared" si="95"/>
        <v>0</v>
      </c>
      <c r="I183" s="32"/>
      <c r="J183" s="32"/>
      <c r="K183" s="32"/>
      <c r="L183" s="32"/>
      <c r="M183" s="32"/>
      <c r="N183" s="32"/>
      <c r="O183" s="32"/>
      <c r="P183" s="32"/>
      <c r="Q183" s="32"/>
      <c r="R183" s="32"/>
      <c r="S183" s="32"/>
      <c r="T183" s="32"/>
      <c r="U183" s="32"/>
      <c r="V183" s="32"/>
      <c r="W183" s="32"/>
      <c r="X183" s="32"/>
      <c r="Y183" s="32"/>
      <c r="Z183" s="32"/>
      <c r="AA183" s="32"/>
      <c r="AB183" s="32"/>
      <c r="AC183" s="28">
        <f t="shared" si="96"/>
        <v>0</v>
      </c>
      <c r="AD183" s="33"/>
      <c r="AE183" s="33"/>
      <c r="AF183" s="33"/>
      <c r="AG183" s="33"/>
      <c r="AH183" s="33"/>
      <c r="AI183" s="33"/>
      <c r="AJ183" s="33"/>
      <c r="AK183" s="33"/>
      <c r="AL183" s="33"/>
      <c r="AM183" s="33"/>
      <c r="AN183" s="33"/>
      <c r="AO183" s="33"/>
      <c r="AP183" s="33"/>
      <c r="AQ183" s="33"/>
      <c r="AR183" s="33"/>
      <c r="AS183" s="33"/>
      <c r="AT183" s="34"/>
      <c r="AU183" s="1679"/>
      <c r="AV183" s="2256">
        <f t="shared" si="120"/>
        <v>0</v>
      </c>
      <c r="AW183" s="2256">
        <f t="shared" si="121"/>
        <v>0</v>
      </c>
      <c r="AX183" s="2256">
        <f t="shared" si="122"/>
        <v>0</v>
      </c>
      <c r="AY183" s="2781">
        <f t="shared" si="97"/>
        <v>0</v>
      </c>
      <c r="AZ183" s="28">
        <f t="shared" si="98"/>
        <v>0</v>
      </c>
      <c r="BA183" s="28">
        <f t="shared" si="99"/>
        <v>0</v>
      </c>
      <c r="BB183" s="28">
        <f t="shared" si="100"/>
        <v>0</v>
      </c>
      <c r="BC183" s="28">
        <f t="shared" si="101"/>
        <v>0</v>
      </c>
      <c r="BD183" s="3439">
        <f t="shared" si="102"/>
        <v>0</v>
      </c>
      <c r="BE183" s="3439">
        <f t="shared" si="103"/>
        <v>0</v>
      </c>
      <c r="BF183" s="3439">
        <f t="shared" si="104"/>
        <v>0</v>
      </c>
      <c r="BG183" s="3439">
        <f t="shared" si="105"/>
        <v>0</v>
      </c>
      <c r="BH183" s="3439">
        <f t="shared" si="106"/>
        <v>0</v>
      </c>
      <c r="BI183" s="3439">
        <f t="shared" si="107"/>
        <v>0</v>
      </c>
      <c r="BJ183" s="3439">
        <f t="shared" si="108"/>
        <v>0</v>
      </c>
      <c r="BK183" s="3439">
        <f t="shared" si="109"/>
        <v>0</v>
      </c>
      <c r="BL183" s="28">
        <f t="shared" si="110"/>
        <v>0</v>
      </c>
      <c r="BM183" s="28">
        <f t="shared" si="111"/>
        <v>0</v>
      </c>
      <c r="BN183" s="28">
        <f t="shared" si="112"/>
        <v>0</v>
      </c>
      <c r="BO183" s="28">
        <f t="shared" si="113"/>
        <v>0</v>
      </c>
      <c r="BP183" s="28">
        <f t="shared" si="114"/>
        <v>0</v>
      </c>
      <c r="BQ183" s="3439">
        <f t="shared" si="115"/>
        <v>0</v>
      </c>
      <c r="BR183" s="3439">
        <f t="shared" si="116"/>
        <v>0</v>
      </c>
      <c r="BS183" s="3439">
        <f t="shared" si="117"/>
        <v>0</v>
      </c>
      <c r="BT183" s="3451">
        <f t="shared" si="118"/>
        <v>0</v>
      </c>
    </row>
    <row r="184" spans="1:72">
      <c r="A184" s="9"/>
      <c r="B184" s="27"/>
      <c r="C184" s="27"/>
      <c r="D184" s="1678"/>
      <c r="E184" s="28">
        <f t="shared" si="119"/>
        <v>0</v>
      </c>
      <c r="F184" s="29"/>
      <c r="G184" s="30">
        <f t="shared" si="94"/>
        <v>0</v>
      </c>
      <c r="H184" s="31">
        <f t="shared" si="95"/>
        <v>0</v>
      </c>
      <c r="I184" s="32"/>
      <c r="J184" s="32"/>
      <c r="K184" s="32"/>
      <c r="L184" s="32"/>
      <c r="M184" s="32"/>
      <c r="N184" s="32"/>
      <c r="O184" s="32"/>
      <c r="P184" s="32"/>
      <c r="Q184" s="32"/>
      <c r="R184" s="32"/>
      <c r="S184" s="32"/>
      <c r="T184" s="32"/>
      <c r="U184" s="32"/>
      <c r="V184" s="32"/>
      <c r="W184" s="32"/>
      <c r="X184" s="32"/>
      <c r="Y184" s="32"/>
      <c r="Z184" s="32"/>
      <c r="AA184" s="32"/>
      <c r="AB184" s="32"/>
      <c r="AC184" s="28">
        <f t="shared" si="96"/>
        <v>0</v>
      </c>
      <c r="AD184" s="33"/>
      <c r="AE184" s="33"/>
      <c r="AF184" s="33"/>
      <c r="AG184" s="33"/>
      <c r="AH184" s="33"/>
      <c r="AI184" s="33"/>
      <c r="AJ184" s="33"/>
      <c r="AK184" s="33"/>
      <c r="AL184" s="33"/>
      <c r="AM184" s="33"/>
      <c r="AN184" s="33"/>
      <c r="AO184" s="33"/>
      <c r="AP184" s="33"/>
      <c r="AQ184" s="33"/>
      <c r="AR184" s="33"/>
      <c r="AS184" s="33"/>
      <c r="AT184" s="34"/>
      <c r="AU184" s="1679"/>
      <c r="AV184" s="2256">
        <f t="shared" si="120"/>
        <v>0</v>
      </c>
      <c r="AW184" s="2256">
        <f t="shared" si="121"/>
        <v>0</v>
      </c>
      <c r="AX184" s="2256">
        <f t="shared" si="122"/>
        <v>0</v>
      </c>
      <c r="AY184" s="2781">
        <f t="shared" si="97"/>
        <v>0</v>
      </c>
      <c r="AZ184" s="28">
        <f t="shared" si="98"/>
        <v>0</v>
      </c>
      <c r="BA184" s="28">
        <f t="shared" si="99"/>
        <v>0</v>
      </c>
      <c r="BB184" s="28">
        <f t="shared" si="100"/>
        <v>0</v>
      </c>
      <c r="BC184" s="28">
        <f t="shared" si="101"/>
        <v>0</v>
      </c>
      <c r="BD184" s="3439">
        <f t="shared" si="102"/>
        <v>0</v>
      </c>
      <c r="BE184" s="3439">
        <f t="shared" si="103"/>
        <v>0</v>
      </c>
      <c r="BF184" s="3439">
        <f t="shared" si="104"/>
        <v>0</v>
      </c>
      <c r="BG184" s="3439">
        <f t="shared" si="105"/>
        <v>0</v>
      </c>
      <c r="BH184" s="3439">
        <f t="shared" si="106"/>
        <v>0</v>
      </c>
      <c r="BI184" s="3439">
        <f t="shared" si="107"/>
        <v>0</v>
      </c>
      <c r="BJ184" s="3439">
        <f t="shared" si="108"/>
        <v>0</v>
      </c>
      <c r="BK184" s="3439">
        <f t="shared" si="109"/>
        <v>0</v>
      </c>
      <c r="BL184" s="28">
        <f t="shared" si="110"/>
        <v>0</v>
      </c>
      <c r="BM184" s="28">
        <f t="shared" si="111"/>
        <v>0</v>
      </c>
      <c r="BN184" s="28">
        <f t="shared" si="112"/>
        <v>0</v>
      </c>
      <c r="BO184" s="28">
        <f t="shared" si="113"/>
        <v>0</v>
      </c>
      <c r="BP184" s="28">
        <f t="shared" si="114"/>
        <v>0</v>
      </c>
      <c r="BQ184" s="3439">
        <f t="shared" si="115"/>
        <v>0</v>
      </c>
      <c r="BR184" s="3439">
        <f t="shared" si="116"/>
        <v>0</v>
      </c>
      <c r="BS184" s="3439">
        <f t="shared" si="117"/>
        <v>0</v>
      </c>
      <c r="BT184" s="3451">
        <f t="shared" si="118"/>
        <v>0</v>
      </c>
    </row>
    <row r="185" spans="1:72">
      <c r="A185" s="9"/>
      <c r="B185" s="27"/>
      <c r="C185" s="27"/>
      <c r="D185" s="1678"/>
      <c r="E185" s="28">
        <f t="shared" si="119"/>
        <v>0</v>
      </c>
      <c r="F185" s="29"/>
      <c r="G185" s="30">
        <f t="shared" si="94"/>
        <v>0</v>
      </c>
      <c r="H185" s="31">
        <f t="shared" si="95"/>
        <v>0</v>
      </c>
      <c r="I185" s="32"/>
      <c r="J185" s="32"/>
      <c r="K185" s="32"/>
      <c r="L185" s="32"/>
      <c r="M185" s="32"/>
      <c r="N185" s="32"/>
      <c r="O185" s="32"/>
      <c r="P185" s="32"/>
      <c r="Q185" s="32"/>
      <c r="R185" s="32"/>
      <c r="S185" s="32"/>
      <c r="T185" s="32"/>
      <c r="U185" s="32"/>
      <c r="V185" s="32"/>
      <c r="W185" s="32"/>
      <c r="X185" s="32"/>
      <c r="Y185" s="32"/>
      <c r="Z185" s="32"/>
      <c r="AA185" s="32"/>
      <c r="AB185" s="32"/>
      <c r="AC185" s="28">
        <f t="shared" si="96"/>
        <v>0</v>
      </c>
      <c r="AD185" s="33"/>
      <c r="AE185" s="33"/>
      <c r="AF185" s="33"/>
      <c r="AG185" s="33"/>
      <c r="AH185" s="33"/>
      <c r="AI185" s="33"/>
      <c r="AJ185" s="33"/>
      <c r="AK185" s="33"/>
      <c r="AL185" s="33"/>
      <c r="AM185" s="33"/>
      <c r="AN185" s="33"/>
      <c r="AO185" s="33"/>
      <c r="AP185" s="33"/>
      <c r="AQ185" s="33"/>
      <c r="AR185" s="33"/>
      <c r="AS185" s="33"/>
      <c r="AT185" s="34"/>
      <c r="AU185" s="1679"/>
      <c r="AV185" s="2256">
        <f t="shared" si="120"/>
        <v>0</v>
      </c>
      <c r="AW185" s="2256">
        <f t="shared" si="121"/>
        <v>0</v>
      </c>
      <c r="AX185" s="2256">
        <f t="shared" si="122"/>
        <v>0</v>
      </c>
      <c r="AY185" s="2781">
        <f t="shared" si="97"/>
        <v>0</v>
      </c>
      <c r="AZ185" s="28">
        <f t="shared" si="98"/>
        <v>0</v>
      </c>
      <c r="BA185" s="28">
        <f t="shared" si="99"/>
        <v>0</v>
      </c>
      <c r="BB185" s="28">
        <f t="shared" si="100"/>
        <v>0</v>
      </c>
      <c r="BC185" s="28">
        <f t="shared" si="101"/>
        <v>0</v>
      </c>
      <c r="BD185" s="3439">
        <f t="shared" si="102"/>
        <v>0</v>
      </c>
      <c r="BE185" s="3439">
        <f t="shared" si="103"/>
        <v>0</v>
      </c>
      <c r="BF185" s="3439">
        <f t="shared" si="104"/>
        <v>0</v>
      </c>
      <c r="BG185" s="3439">
        <f t="shared" si="105"/>
        <v>0</v>
      </c>
      <c r="BH185" s="3439">
        <f t="shared" si="106"/>
        <v>0</v>
      </c>
      <c r="BI185" s="3439">
        <f t="shared" si="107"/>
        <v>0</v>
      </c>
      <c r="BJ185" s="3439">
        <f t="shared" si="108"/>
        <v>0</v>
      </c>
      <c r="BK185" s="3439">
        <f t="shared" si="109"/>
        <v>0</v>
      </c>
      <c r="BL185" s="28">
        <f t="shared" si="110"/>
        <v>0</v>
      </c>
      <c r="BM185" s="28">
        <f t="shared" si="111"/>
        <v>0</v>
      </c>
      <c r="BN185" s="28">
        <f t="shared" si="112"/>
        <v>0</v>
      </c>
      <c r="BO185" s="28">
        <f t="shared" si="113"/>
        <v>0</v>
      </c>
      <c r="BP185" s="28">
        <f t="shared" si="114"/>
        <v>0</v>
      </c>
      <c r="BQ185" s="3439">
        <f t="shared" si="115"/>
        <v>0</v>
      </c>
      <c r="BR185" s="3439">
        <f t="shared" si="116"/>
        <v>0</v>
      </c>
      <c r="BS185" s="3439">
        <f t="shared" si="117"/>
        <v>0</v>
      </c>
      <c r="BT185" s="3451">
        <f t="shared" si="118"/>
        <v>0</v>
      </c>
    </row>
    <row r="186" spans="1:72">
      <c r="A186" s="9"/>
      <c r="B186" s="27"/>
      <c r="C186" s="27"/>
      <c r="D186" s="1678"/>
      <c r="E186" s="28">
        <f t="shared" si="119"/>
        <v>0</v>
      </c>
      <c r="F186" s="29"/>
      <c r="G186" s="30">
        <f t="shared" si="94"/>
        <v>0</v>
      </c>
      <c r="H186" s="31">
        <f t="shared" si="95"/>
        <v>0</v>
      </c>
      <c r="I186" s="32"/>
      <c r="J186" s="32"/>
      <c r="K186" s="32"/>
      <c r="L186" s="32"/>
      <c r="M186" s="32"/>
      <c r="N186" s="32"/>
      <c r="O186" s="32"/>
      <c r="P186" s="32"/>
      <c r="Q186" s="32"/>
      <c r="R186" s="32"/>
      <c r="S186" s="32"/>
      <c r="T186" s="32"/>
      <c r="U186" s="32"/>
      <c r="V186" s="32"/>
      <c r="W186" s="32"/>
      <c r="X186" s="32"/>
      <c r="Y186" s="32"/>
      <c r="Z186" s="32"/>
      <c r="AA186" s="32"/>
      <c r="AB186" s="32"/>
      <c r="AC186" s="28">
        <f t="shared" si="96"/>
        <v>0</v>
      </c>
      <c r="AD186" s="33"/>
      <c r="AE186" s="33"/>
      <c r="AF186" s="33"/>
      <c r="AG186" s="33"/>
      <c r="AH186" s="33"/>
      <c r="AI186" s="33"/>
      <c r="AJ186" s="33"/>
      <c r="AK186" s="33"/>
      <c r="AL186" s="33"/>
      <c r="AM186" s="33"/>
      <c r="AN186" s="33"/>
      <c r="AO186" s="33"/>
      <c r="AP186" s="33"/>
      <c r="AQ186" s="33"/>
      <c r="AR186" s="33"/>
      <c r="AS186" s="33"/>
      <c r="AT186" s="34"/>
      <c r="AU186" s="1679"/>
      <c r="AV186" s="2256">
        <f t="shared" si="120"/>
        <v>0</v>
      </c>
      <c r="AW186" s="2256">
        <f t="shared" si="121"/>
        <v>0</v>
      </c>
      <c r="AX186" s="2256">
        <f t="shared" si="122"/>
        <v>0</v>
      </c>
      <c r="AY186" s="2781">
        <f t="shared" si="97"/>
        <v>0</v>
      </c>
      <c r="AZ186" s="28">
        <f t="shared" si="98"/>
        <v>0</v>
      </c>
      <c r="BA186" s="28">
        <f t="shared" si="99"/>
        <v>0</v>
      </c>
      <c r="BB186" s="28">
        <f t="shared" si="100"/>
        <v>0</v>
      </c>
      <c r="BC186" s="28">
        <f t="shared" si="101"/>
        <v>0</v>
      </c>
      <c r="BD186" s="3439">
        <f t="shared" si="102"/>
        <v>0</v>
      </c>
      <c r="BE186" s="3439">
        <f t="shared" si="103"/>
        <v>0</v>
      </c>
      <c r="BF186" s="3439">
        <f t="shared" si="104"/>
        <v>0</v>
      </c>
      <c r="BG186" s="3439">
        <f t="shared" si="105"/>
        <v>0</v>
      </c>
      <c r="BH186" s="3439">
        <f t="shared" si="106"/>
        <v>0</v>
      </c>
      <c r="BI186" s="3439">
        <f t="shared" si="107"/>
        <v>0</v>
      </c>
      <c r="BJ186" s="3439">
        <f t="shared" si="108"/>
        <v>0</v>
      </c>
      <c r="BK186" s="3439">
        <f t="shared" si="109"/>
        <v>0</v>
      </c>
      <c r="BL186" s="28">
        <f t="shared" si="110"/>
        <v>0</v>
      </c>
      <c r="BM186" s="28">
        <f t="shared" si="111"/>
        <v>0</v>
      </c>
      <c r="BN186" s="28">
        <f t="shared" si="112"/>
        <v>0</v>
      </c>
      <c r="BO186" s="28">
        <f t="shared" si="113"/>
        <v>0</v>
      </c>
      <c r="BP186" s="28">
        <f t="shared" si="114"/>
        <v>0</v>
      </c>
      <c r="BQ186" s="3439">
        <f t="shared" si="115"/>
        <v>0</v>
      </c>
      <c r="BR186" s="3439">
        <f t="shared" si="116"/>
        <v>0</v>
      </c>
      <c r="BS186" s="3439">
        <f t="shared" si="117"/>
        <v>0</v>
      </c>
      <c r="BT186" s="3451">
        <f t="shared" si="118"/>
        <v>0</v>
      </c>
    </row>
    <row r="187" spans="1:72">
      <c r="A187" s="9"/>
      <c r="B187" s="27"/>
      <c r="C187" s="27"/>
      <c r="D187" s="1678"/>
      <c r="E187" s="28">
        <f t="shared" si="119"/>
        <v>0</v>
      </c>
      <c r="F187" s="29"/>
      <c r="G187" s="30">
        <f t="shared" si="94"/>
        <v>0</v>
      </c>
      <c r="H187" s="31">
        <f t="shared" si="95"/>
        <v>0</v>
      </c>
      <c r="I187" s="32"/>
      <c r="J187" s="32"/>
      <c r="K187" s="32"/>
      <c r="L187" s="32"/>
      <c r="M187" s="32"/>
      <c r="N187" s="32"/>
      <c r="O187" s="32"/>
      <c r="P187" s="32"/>
      <c r="Q187" s="32"/>
      <c r="R187" s="32"/>
      <c r="S187" s="32"/>
      <c r="T187" s="32"/>
      <c r="U187" s="32"/>
      <c r="V187" s="32"/>
      <c r="W187" s="32"/>
      <c r="X187" s="32"/>
      <c r="Y187" s="32"/>
      <c r="Z187" s="32"/>
      <c r="AA187" s="32"/>
      <c r="AB187" s="32"/>
      <c r="AC187" s="28">
        <f t="shared" si="96"/>
        <v>0</v>
      </c>
      <c r="AD187" s="33"/>
      <c r="AE187" s="33"/>
      <c r="AF187" s="33"/>
      <c r="AG187" s="33"/>
      <c r="AH187" s="33"/>
      <c r="AI187" s="33"/>
      <c r="AJ187" s="33"/>
      <c r="AK187" s="33"/>
      <c r="AL187" s="33"/>
      <c r="AM187" s="33"/>
      <c r="AN187" s="33"/>
      <c r="AO187" s="33"/>
      <c r="AP187" s="33"/>
      <c r="AQ187" s="33"/>
      <c r="AR187" s="33"/>
      <c r="AS187" s="33"/>
      <c r="AT187" s="34"/>
      <c r="AU187" s="1679"/>
      <c r="AV187" s="2256">
        <f t="shared" si="120"/>
        <v>0</v>
      </c>
      <c r="AW187" s="2256">
        <f t="shared" si="121"/>
        <v>0</v>
      </c>
      <c r="AX187" s="2256">
        <f t="shared" si="122"/>
        <v>0</v>
      </c>
      <c r="AY187" s="2781">
        <f t="shared" si="97"/>
        <v>0</v>
      </c>
      <c r="AZ187" s="28">
        <f t="shared" si="98"/>
        <v>0</v>
      </c>
      <c r="BA187" s="28">
        <f t="shared" si="99"/>
        <v>0</v>
      </c>
      <c r="BB187" s="28">
        <f t="shared" si="100"/>
        <v>0</v>
      </c>
      <c r="BC187" s="28">
        <f t="shared" si="101"/>
        <v>0</v>
      </c>
      <c r="BD187" s="3439">
        <f t="shared" si="102"/>
        <v>0</v>
      </c>
      <c r="BE187" s="3439">
        <f t="shared" si="103"/>
        <v>0</v>
      </c>
      <c r="BF187" s="3439">
        <f t="shared" si="104"/>
        <v>0</v>
      </c>
      <c r="BG187" s="3439">
        <f t="shared" si="105"/>
        <v>0</v>
      </c>
      <c r="BH187" s="3439">
        <f t="shared" si="106"/>
        <v>0</v>
      </c>
      <c r="BI187" s="3439">
        <f t="shared" si="107"/>
        <v>0</v>
      </c>
      <c r="BJ187" s="3439">
        <f t="shared" si="108"/>
        <v>0</v>
      </c>
      <c r="BK187" s="3439">
        <f t="shared" si="109"/>
        <v>0</v>
      </c>
      <c r="BL187" s="28">
        <f t="shared" si="110"/>
        <v>0</v>
      </c>
      <c r="BM187" s="28">
        <f t="shared" si="111"/>
        <v>0</v>
      </c>
      <c r="BN187" s="28">
        <f t="shared" si="112"/>
        <v>0</v>
      </c>
      <c r="BO187" s="28">
        <f t="shared" si="113"/>
        <v>0</v>
      </c>
      <c r="BP187" s="28">
        <f t="shared" si="114"/>
        <v>0</v>
      </c>
      <c r="BQ187" s="3439">
        <f t="shared" si="115"/>
        <v>0</v>
      </c>
      <c r="BR187" s="3439">
        <f t="shared" si="116"/>
        <v>0</v>
      </c>
      <c r="BS187" s="3439">
        <f t="shared" si="117"/>
        <v>0</v>
      </c>
      <c r="BT187" s="3451">
        <f t="shared" si="118"/>
        <v>0</v>
      </c>
    </row>
    <row r="188" spans="1:72">
      <c r="A188" s="9"/>
      <c r="B188" s="27"/>
      <c r="C188" s="27"/>
      <c r="D188" s="1678"/>
      <c r="E188" s="28">
        <f t="shared" si="119"/>
        <v>0</v>
      </c>
      <c r="F188" s="29"/>
      <c r="G188" s="30">
        <f t="shared" si="94"/>
        <v>0</v>
      </c>
      <c r="H188" s="31">
        <f t="shared" si="95"/>
        <v>0</v>
      </c>
      <c r="I188" s="32"/>
      <c r="J188" s="32"/>
      <c r="K188" s="32"/>
      <c r="L188" s="32"/>
      <c r="M188" s="32"/>
      <c r="N188" s="32"/>
      <c r="O188" s="32"/>
      <c r="P188" s="32"/>
      <c r="Q188" s="32"/>
      <c r="R188" s="32"/>
      <c r="S188" s="32"/>
      <c r="T188" s="32"/>
      <c r="U188" s="32"/>
      <c r="V188" s="32"/>
      <c r="W188" s="32"/>
      <c r="X188" s="32"/>
      <c r="Y188" s="32"/>
      <c r="Z188" s="32"/>
      <c r="AA188" s="32"/>
      <c r="AB188" s="32"/>
      <c r="AC188" s="28">
        <f t="shared" si="96"/>
        <v>0</v>
      </c>
      <c r="AD188" s="33"/>
      <c r="AE188" s="33"/>
      <c r="AF188" s="33"/>
      <c r="AG188" s="33"/>
      <c r="AH188" s="33"/>
      <c r="AI188" s="33"/>
      <c r="AJ188" s="33"/>
      <c r="AK188" s="33"/>
      <c r="AL188" s="33"/>
      <c r="AM188" s="33"/>
      <c r="AN188" s="33"/>
      <c r="AO188" s="33"/>
      <c r="AP188" s="33"/>
      <c r="AQ188" s="33"/>
      <c r="AR188" s="33"/>
      <c r="AS188" s="33"/>
      <c r="AT188" s="34"/>
      <c r="AU188" s="1679"/>
      <c r="AV188" s="2256">
        <f t="shared" si="120"/>
        <v>0</v>
      </c>
      <c r="AW188" s="2256">
        <f t="shared" si="121"/>
        <v>0</v>
      </c>
      <c r="AX188" s="2256">
        <f t="shared" si="122"/>
        <v>0</v>
      </c>
      <c r="AY188" s="2781">
        <f t="shared" si="97"/>
        <v>0</v>
      </c>
      <c r="AZ188" s="28">
        <f t="shared" si="98"/>
        <v>0</v>
      </c>
      <c r="BA188" s="28">
        <f t="shared" si="99"/>
        <v>0</v>
      </c>
      <c r="BB188" s="28">
        <f t="shared" si="100"/>
        <v>0</v>
      </c>
      <c r="BC188" s="28">
        <f t="shared" si="101"/>
        <v>0</v>
      </c>
      <c r="BD188" s="3439">
        <f t="shared" si="102"/>
        <v>0</v>
      </c>
      <c r="BE188" s="3439">
        <f t="shared" si="103"/>
        <v>0</v>
      </c>
      <c r="BF188" s="3439">
        <f t="shared" si="104"/>
        <v>0</v>
      </c>
      <c r="BG188" s="3439">
        <f t="shared" si="105"/>
        <v>0</v>
      </c>
      <c r="BH188" s="3439">
        <f t="shared" si="106"/>
        <v>0</v>
      </c>
      <c r="BI188" s="3439">
        <f t="shared" si="107"/>
        <v>0</v>
      </c>
      <c r="BJ188" s="3439">
        <f t="shared" si="108"/>
        <v>0</v>
      </c>
      <c r="BK188" s="3439">
        <f t="shared" si="109"/>
        <v>0</v>
      </c>
      <c r="BL188" s="28">
        <f t="shared" si="110"/>
        <v>0</v>
      </c>
      <c r="BM188" s="28">
        <f t="shared" si="111"/>
        <v>0</v>
      </c>
      <c r="BN188" s="28">
        <f t="shared" si="112"/>
        <v>0</v>
      </c>
      <c r="BO188" s="28">
        <f t="shared" si="113"/>
        <v>0</v>
      </c>
      <c r="BP188" s="28">
        <f t="shared" si="114"/>
        <v>0</v>
      </c>
      <c r="BQ188" s="3439">
        <f t="shared" si="115"/>
        <v>0</v>
      </c>
      <c r="BR188" s="3439">
        <f t="shared" si="116"/>
        <v>0</v>
      </c>
      <c r="BS188" s="3439">
        <f t="shared" si="117"/>
        <v>0</v>
      </c>
      <c r="BT188" s="3451">
        <f t="shared" si="118"/>
        <v>0</v>
      </c>
    </row>
    <row r="189" spans="1:72">
      <c r="A189" s="9"/>
      <c r="B189" s="27"/>
      <c r="C189" s="27"/>
      <c r="D189" s="1678"/>
      <c r="E189" s="28">
        <f t="shared" si="119"/>
        <v>0</v>
      </c>
      <c r="F189" s="29"/>
      <c r="G189" s="30">
        <f t="shared" si="94"/>
        <v>0</v>
      </c>
      <c r="H189" s="31">
        <f t="shared" si="95"/>
        <v>0</v>
      </c>
      <c r="I189" s="32"/>
      <c r="J189" s="32"/>
      <c r="K189" s="32"/>
      <c r="L189" s="32"/>
      <c r="M189" s="32"/>
      <c r="N189" s="32"/>
      <c r="O189" s="32"/>
      <c r="P189" s="32"/>
      <c r="Q189" s="32"/>
      <c r="R189" s="32"/>
      <c r="S189" s="32"/>
      <c r="T189" s="32"/>
      <c r="U189" s="32"/>
      <c r="V189" s="32"/>
      <c r="W189" s="32"/>
      <c r="X189" s="32"/>
      <c r="Y189" s="32"/>
      <c r="Z189" s="32"/>
      <c r="AA189" s="32"/>
      <c r="AB189" s="32"/>
      <c r="AC189" s="28">
        <f t="shared" si="96"/>
        <v>0</v>
      </c>
      <c r="AD189" s="33"/>
      <c r="AE189" s="33"/>
      <c r="AF189" s="33"/>
      <c r="AG189" s="33"/>
      <c r="AH189" s="33"/>
      <c r="AI189" s="33"/>
      <c r="AJ189" s="33"/>
      <c r="AK189" s="33"/>
      <c r="AL189" s="33"/>
      <c r="AM189" s="33"/>
      <c r="AN189" s="33"/>
      <c r="AO189" s="33"/>
      <c r="AP189" s="33"/>
      <c r="AQ189" s="33"/>
      <c r="AR189" s="33"/>
      <c r="AS189" s="33"/>
      <c r="AT189" s="34"/>
      <c r="AU189" s="1679"/>
      <c r="AV189" s="2256">
        <f t="shared" si="120"/>
        <v>0</v>
      </c>
      <c r="AW189" s="2256">
        <f t="shared" si="121"/>
        <v>0</v>
      </c>
      <c r="AX189" s="2256">
        <f t="shared" si="122"/>
        <v>0</v>
      </c>
      <c r="AY189" s="2781">
        <f t="shared" si="97"/>
        <v>0</v>
      </c>
      <c r="AZ189" s="28">
        <f t="shared" si="98"/>
        <v>0</v>
      </c>
      <c r="BA189" s="28">
        <f t="shared" si="99"/>
        <v>0</v>
      </c>
      <c r="BB189" s="28">
        <f t="shared" si="100"/>
        <v>0</v>
      </c>
      <c r="BC189" s="28">
        <f t="shared" si="101"/>
        <v>0</v>
      </c>
      <c r="BD189" s="3439">
        <f t="shared" si="102"/>
        <v>0</v>
      </c>
      <c r="BE189" s="3439">
        <f t="shared" si="103"/>
        <v>0</v>
      </c>
      <c r="BF189" s="3439">
        <f t="shared" si="104"/>
        <v>0</v>
      </c>
      <c r="BG189" s="3439">
        <f t="shared" si="105"/>
        <v>0</v>
      </c>
      <c r="BH189" s="3439">
        <f t="shared" si="106"/>
        <v>0</v>
      </c>
      <c r="BI189" s="3439">
        <f t="shared" si="107"/>
        <v>0</v>
      </c>
      <c r="BJ189" s="3439">
        <f t="shared" si="108"/>
        <v>0</v>
      </c>
      <c r="BK189" s="3439">
        <f t="shared" si="109"/>
        <v>0</v>
      </c>
      <c r="BL189" s="28">
        <f t="shared" si="110"/>
        <v>0</v>
      </c>
      <c r="BM189" s="28">
        <f t="shared" si="111"/>
        <v>0</v>
      </c>
      <c r="BN189" s="28">
        <f t="shared" si="112"/>
        <v>0</v>
      </c>
      <c r="BO189" s="28">
        <f t="shared" si="113"/>
        <v>0</v>
      </c>
      <c r="BP189" s="28">
        <f t="shared" si="114"/>
        <v>0</v>
      </c>
      <c r="BQ189" s="3439">
        <f t="shared" si="115"/>
        <v>0</v>
      </c>
      <c r="BR189" s="3439">
        <f t="shared" si="116"/>
        <v>0</v>
      </c>
      <c r="BS189" s="3439">
        <f t="shared" si="117"/>
        <v>0</v>
      </c>
      <c r="BT189" s="3451">
        <f t="shared" si="118"/>
        <v>0</v>
      </c>
    </row>
    <row r="190" spans="1:72">
      <c r="A190" s="9"/>
      <c r="B190" s="27"/>
      <c r="C190" s="27"/>
      <c r="D190" s="1678"/>
      <c r="E190" s="28">
        <f t="shared" si="119"/>
        <v>0</v>
      </c>
      <c r="F190" s="29"/>
      <c r="G190" s="30">
        <f t="shared" si="94"/>
        <v>0</v>
      </c>
      <c r="H190" s="31">
        <f t="shared" si="95"/>
        <v>0</v>
      </c>
      <c r="I190" s="32"/>
      <c r="J190" s="32"/>
      <c r="K190" s="32"/>
      <c r="L190" s="32"/>
      <c r="M190" s="32"/>
      <c r="N190" s="32"/>
      <c r="O190" s="32"/>
      <c r="P190" s="32"/>
      <c r="Q190" s="32"/>
      <c r="R190" s="32"/>
      <c r="S190" s="32"/>
      <c r="T190" s="32"/>
      <c r="U190" s="32"/>
      <c r="V190" s="32"/>
      <c r="W190" s="32"/>
      <c r="X190" s="32"/>
      <c r="Y190" s="32"/>
      <c r="Z190" s="32"/>
      <c r="AA190" s="32"/>
      <c r="AB190" s="32"/>
      <c r="AC190" s="28">
        <f t="shared" si="96"/>
        <v>0</v>
      </c>
      <c r="AD190" s="33"/>
      <c r="AE190" s="33"/>
      <c r="AF190" s="33"/>
      <c r="AG190" s="33"/>
      <c r="AH190" s="33"/>
      <c r="AI190" s="33"/>
      <c r="AJ190" s="33"/>
      <c r="AK190" s="33"/>
      <c r="AL190" s="33"/>
      <c r="AM190" s="33"/>
      <c r="AN190" s="33"/>
      <c r="AO190" s="33"/>
      <c r="AP190" s="33"/>
      <c r="AQ190" s="33"/>
      <c r="AR190" s="33"/>
      <c r="AS190" s="33"/>
      <c r="AT190" s="34"/>
      <c r="AU190" s="1679"/>
      <c r="AV190" s="2256">
        <f t="shared" si="120"/>
        <v>0</v>
      </c>
      <c r="AW190" s="2256">
        <f t="shared" si="121"/>
        <v>0</v>
      </c>
      <c r="AX190" s="2256">
        <f t="shared" si="122"/>
        <v>0</v>
      </c>
      <c r="AY190" s="2781">
        <f t="shared" si="97"/>
        <v>0</v>
      </c>
      <c r="AZ190" s="28">
        <f t="shared" si="98"/>
        <v>0</v>
      </c>
      <c r="BA190" s="28">
        <f t="shared" si="99"/>
        <v>0</v>
      </c>
      <c r="BB190" s="28">
        <f t="shared" si="100"/>
        <v>0</v>
      </c>
      <c r="BC190" s="28">
        <f t="shared" si="101"/>
        <v>0</v>
      </c>
      <c r="BD190" s="3439">
        <f t="shared" si="102"/>
        <v>0</v>
      </c>
      <c r="BE190" s="3439">
        <f t="shared" si="103"/>
        <v>0</v>
      </c>
      <c r="BF190" s="3439">
        <f t="shared" si="104"/>
        <v>0</v>
      </c>
      <c r="BG190" s="3439">
        <f t="shared" si="105"/>
        <v>0</v>
      </c>
      <c r="BH190" s="3439">
        <f t="shared" si="106"/>
        <v>0</v>
      </c>
      <c r="BI190" s="3439">
        <f t="shared" si="107"/>
        <v>0</v>
      </c>
      <c r="BJ190" s="3439">
        <f t="shared" si="108"/>
        <v>0</v>
      </c>
      <c r="BK190" s="3439">
        <f t="shared" si="109"/>
        <v>0</v>
      </c>
      <c r="BL190" s="28">
        <f t="shared" si="110"/>
        <v>0</v>
      </c>
      <c r="BM190" s="28">
        <f t="shared" si="111"/>
        <v>0</v>
      </c>
      <c r="BN190" s="28">
        <f t="shared" si="112"/>
        <v>0</v>
      </c>
      <c r="BO190" s="28">
        <f t="shared" si="113"/>
        <v>0</v>
      </c>
      <c r="BP190" s="28">
        <f t="shared" si="114"/>
        <v>0</v>
      </c>
      <c r="BQ190" s="3439">
        <f t="shared" si="115"/>
        <v>0</v>
      </c>
      <c r="BR190" s="3439">
        <f t="shared" si="116"/>
        <v>0</v>
      </c>
      <c r="BS190" s="3439">
        <f t="shared" si="117"/>
        <v>0</v>
      </c>
      <c r="BT190" s="3451">
        <f t="shared" si="118"/>
        <v>0</v>
      </c>
    </row>
    <row r="191" spans="1:72">
      <c r="A191" s="9"/>
      <c r="B191" s="27"/>
      <c r="C191" s="27"/>
      <c r="D191" s="1678"/>
      <c r="E191" s="28">
        <f t="shared" si="119"/>
        <v>0</v>
      </c>
      <c r="F191" s="29"/>
      <c r="G191" s="30">
        <f t="shared" si="94"/>
        <v>0</v>
      </c>
      <c r="H191" s="31">
        <f t="shared" si="95"/>
        <v>0</v>
      </c>
      <c r="I191" s="32"/>
      <c r="J191" s="32"/>
      <c r="K191" s="32"/>
      <c r="L191" s="32"/>
      <c r="M191" s="32"/>
      <c r="N191" s="32"/>
      <c r="O191" s="32"/>
      <c r="P191" s="32"/>
      <c r="Q191" s="32"/>
      <c r="R191" s="32"/>
      <c r="S191" s="32"/>
      <c r="T191" s="32"/>
      <c r="U191" s="32"/>
      <c r="V191" s="32"/>
      <c r="W191" s="32"/>
      <c r="X191" s="32"/>
      <c r="Y191" s="32"/>
      <c r="Z191" s="32"/>
      <c r="AA191" s="32"/>
      <c r="AB191" s="32"/>
      <c r="AC191" s="28">
        <f t="shared" si="96"/>
        <v>0</v>
      </c>
      <c r="AD191" s="33"/>
      <c r="AE191" s="33"/>
      <c r="AF191" s="33"/>
      <c r="AG191" s="33"/>
      <c r="AH191" s="33"/>
      <c r="AI191" s="33"/>
      <c r="AJ191" s="33"/>
      <c r="AK191" s="33"/>
      <c r="AL191" s="33"/>
      <c r="AM191" s="33"/>
      <c r="AN191" s="33"/>
      <c r="AO191" s="33"/>
      <c r="AP191" s="33"/>
      <c r="AQ191" s="33"/>
      <c r="AR191" s="33"/>
      <c r="AS191" s="33"/>
      <c r="AT191" s="34"/>
      <c r="AU191" s="1679"/>
      <c r="AV191" s="2256">
        <f t="shared" si="120"/>
        <v>0</v>
      </c>
      <c r="AW191" s="2256">
        <f t="shared" si="121"/>
        <v>0</v>
      </c>
      <c r="AX191" s="2256">
        <f t="shared" si="122"/>
        <v>0</v>
      </c>
      <c r="AY191" s="2781">
        <f t="shared" si="97"/>
        <v>0</v>
      </c>
      <c r="AZ191" s="28">
        <f t="shared" si="98"/>
        <v>0</v>
      </c>
      <c r="BA191" s="28">
        <f t="shared" si="99"/>
        <v>0</v>
      </c>
      <c r="BB191" s="28">
        <f t="shared" si="100"/>
        <v>0</v>
      </c>
      <c r="BC191" s="28">
        <f t="shared" si="101"/>
        <v>0</v>
      </c>
      <c r="BD191" s="3439">
        <f t="shared" si="102"/>
        <v>0</v>
      </c>
      <c r="BE191" s="3439">
        <f t="shared" si="103"/>
        <v>0</v>
      </c>
      <c r="BF191" s="3439">
        <f t="shared" si="104"/>
        <v>0</v>
      </c>
      <c r="BG191" s="3439">
        <f t="shared" si="105"/>
        <v>0</v>
      </c>
      <c r="BH191" s="3439">
        <f t="shared" si="106"/>
        <v>0</v>
      </c>
      <c r="BI191" s="3439">
        <f t="shared" si="107"/>
        <v>0</v>
      </c>
      <c r="BJ191" s="3439">
        <f t="shared" si="108"/>
        <v>0</v>
      </c>
      <c r="BK191" s="3439">
        <f t="shared" si="109"/>
        <v>0</v>
      </c>
      <c r="BL191" s="28">
        <f t="shared" si="110"/>
        <v>0</v>
      </c>
      <c r="BM191" s="28">
        <f t="shared" si="111"/>
        <v>0</v>
      </c>
      <c r="BN191" s="28">
        <f t="shared" si="112"/>
        <v>0</v>
      </c>
      <c r="BO191" s="28">
        <f t="shared" si="113"/>
        <v>0</v>
      </c>
      <c r="BP191" s="28">
        <f t="shared" si="114"/>
        <v>0</v>
      </c>
      <c r="BQ191" s="3439">
        <f t="shared" si="115"/>
        <v>0</v>
      </c>
      <c r="BR191" s="3439">
        <f t="shared" si="116"/>
        <v>0</v>
      </c>
      <c r="BS191" s="3439">
        <f t="shared" si="117"/>
        <v>0</v>
      </c>
      <c r="BT191" s="3451">
        <f t="shared" si="118"/>
        <v>0</v>
      </c>
    </row>
    <row r="192" spans="1:72">
      <c r="A192" s="9"/>
      <c r="B192" s="27"/>
      <c r="C192" s="27"/>
      <c r="D192" s="1678"/>
      <c r="E192" s="28">
        <f t="shared" si="119"/>
        <v>0</v>
      </c>
      <c r="F192" s="29"/>
      <c r="G192" s="30">
        <f t="shared" si="94"/>
        <v>0</v>
      </c>
      <c r="H192" s="31">
        <f t="shared" si="95"/>
        <v>0</v>
      </c>
      <c r="I192" s="32"/>
      <c r="J192" s="32"/>
      <c r="K192" s="32"/>
      <c r="L192" s="32"/>
      <c r="M192" s="32"/>
      <c r="N192" s="32"/>
      <c r="O192" s="32"/>
      <c r="P192" s="32"/>
      <c r="Q192" s="32"/>
      <c r="R192" s="32"/>
      <c r="S192" s="32"/>
      <c r="T192" s="32"/>
      <c r="U192" s="32"/>
      <c r="V192" s="32"/>
      <c r="W192" s="32"/>
      <c r="X192" s="32"/>
      <c r="Y192" s="32"/>
      <c r="Z192" s="32"/>
      <c r="AA192" s="32"/>
      <c r="AB192" s="32"/>
      <c r="AC192" s="28">
        <f t="shared" si="96"/>
        <v>0</v>
      </c>
      <c r="AD192" s="33"/>
      <c r="AE192" s="33"/>
      <c r="AF192" s="33"/>
      <c r="AG192" s="33"/>
      <c r="AH192" s="33"/>
      <c r="AI192" s="33"/>
      <c r="AJ192" s="33"/>
      <c r="AK192" s="33"/>
      <c r="AL192" s="33"/>
      <c r="AM192" s="33"/>
      <c r="AN192" s="33"/>
      <c r="AO192" s="33"/>
      <c r="AP192" s="33"/>
      <c r="AQ192" s="33"/>
      <c r="AR192" s="33"/>
      <c r="AS192" s="33"/>
      <c r="AT192" s="34"/>
      <c r="AU192" s="1679"/>
      <c r="AV192" s="2256">
        <f t="shared" si="120"/>
        <v>0</v>
      </c>
      <c r="AW192" s="2256">
        <f t="shared" si="121"/>
        <v>0</v>
      </c>
      <c r="AX192" s="2256">
        <f t="shared" si="122"/>
        <v>0</v>
      </c>
      <c r="AY192" s="2781">
        <f t="shared" si="97"/>
        <v>0</v>
      </c>
      <c r="AZ192" s="28">
        <f t="shared" si="98"/>
        <v>0</v>
      </c>
      <c r="BA192" s="28">
        <f t="shared" si="99"/>
        <v>0</v>
      </c>
      <c r="BB192" s="28">
        <f t="shared" si="100"/>
        <v>0</v>
      </c>
      <c r="BC192" s="28">
        <f t="shared" si="101"/>
        <v>0</v>
      </c>
      <c r="BD192" s="3439">
        <f t="shared" si="102"/>
        <v>0</v>
      </c>
      <c r="BE192" s="3439">
        <f t="shared" si="103"/>
        <v>0</v>
      </c>
      <c r="BF192" s="3439">
        <f t="shared" si="104"/>
        <v>0</v>
      </c>
      <c r="BG192" s="3439">
        <f t="shared" si="105"/>
        <v>0</v>
      </c>
      <c r="BH192" s="3439">
        <f t="shared" si="106"/>
        <v>0</v>
      </c>
      <c r="BI192" s="3439">
        <f t="shared" si="107"/>
        <v>0</v>
      </c>
      <c r="BJ192" s="3439">
        <f t="shared" si="108"/>
        <v>0</v>
      </c>
      <c r="BK192" s="3439">
        <f t="shared" si="109"/>
        <v>0</v>
      </c>
      <c r="BL192" s="28">
        <f t="shared" si="110"/>
        <v>0</v>
      </c>
      <c r="BM192" s="28">
        <f t="shared" si="111"/>
        <v>0</v>
      </c>
      <c r="BN192" s="28">
        <f t="shared" si="112"/>
        <v>0</v>
      </c>
      <c r="BO192" s="28">
        <f t="shared" si="113"/>
        <v>0</v>
      </c>
      <c r="BP192" s="28">
        <f t="shared" si="114"/>
        <v>0</v>
      </c>
      <c r="BQ192" s="3439">
        <f t="shared" si="115"/>
        <v>0</v>
      </c>
      <c r="BR192" s="3439">
        <f t="shared" si="116"/>
        <v>0</v>
      </c>
      <c r="BS192" s="3439">
        <f t="shared" si="117"/>
        <v>0</v>
      </c>
      <c r="BT192" s="3451">
        <f t="shared" si="118"/>
        <v>0</v>
      </c>
    </row>
    <row r="193" spans="1:72">
      <c r="A193" s="9"/>
      <c r="B193" s="27"/>
      <c r="C193" s="27"/>
      <c r="D193" s="1678"/>
      <c r="E193" s="28">
        <f t="shared" si="119"/>
        <v>0</v>
      </c>
      <c r="F193" s="29"/>
      <c r="G193" s="30">
        <f t="shared" si="94"/>
        <v>0</v>
      </c>
      <c r="H193" s="31">
        <f t="shared" si="95"/>
        <v>0</v>
      </c>
      <c r="I193" s="32"/>
      <c r="J193" s="32"/>
      <c r="K193" s="32"/>
      <c r="L193" s="32"/>
      <c r="M193" s="32"/>
      <c r="N193" s="32"/>
      <c r="O193" s="32"/>
      <c r="P193" s="32"/>
      <c r="Q193" s="32"/>
      <c r="R193" s="32"/>
      <c r="S193" s="32"/>
      <c r="T193" s="32"/>
      <c r="U193" s="32"/>
      <c r="V193" s="32"/>
      <c r="W193" s="32"/>
      <c r="X193" s="32"/>
      <c r="Y193" s="32"/>
      <c r="Z193" s="32"/>
      <c r="AA193" s="32"/>
      <c r="AB193" s="32"/>
      <c r="AC193" s="28">
        <f t="shared" si="96"/>
        <v>0</v>
      </c>
      <c r="AD193" s="33"/>
      <c r="AE193" s="33"/>
      <c r="AF193" s="33"/>
      <c r="AG193" s="33"/>
      <c r="AH193" s="33"/>
      <c r="AI193" s="33"/>
      <c r="AJ193" s="33"/>
      <c r="AK193" s="33"/>
      <c r="AL193" s="33"/>
      <c r="AM193" s="33"/>
      <c r="AN193" s="33"/>
      <c r="AO193" s="33"/>
      <c r="AP193" s="33"/>
      <c r="AQ193" s="33"/>
      <c r="AR193" s="33"/>
      <c r="AS193" s="33"/>
      <c r="AT193" s="34"/>
      <c r="AU193" s="1679"/>
      <c r="AV193" s="2256">
        <f t="shared" si="120"/>
        <v>0</v>
      </c>
      <c r="AW193" s="2256">
        <f t="shared" si="121"/>
        <v>0</v>
      </c>
      <c r="AX193" s="2256">
        <f t="shared" si="122"/>
        <v>0</v>
      </c>
      <c r="AY193" s="2781">
        <f t="shared" si="97"/>
        <v>0</v>
      </c>
      <c r="AZ193" s="28">
        <f t="shared" si="98"/>
        <v>0</v>
      </c>
      <c r="BA193" s="28">
        <f t="shared" si="99"/>
        <v>0</v>
      </c>
      <c r="BB193" s="28">
        <f t="shared" si="100"/>
        <v>0</v>
      </c>
      <c r="BC193" s="28">
        <f t="shared" si="101"/>
        <v>0</v>
      </c>
      <c r="BD193" s="3439">
        <f t="shared" si="102"/>
        <v>0</v>
      </c>
      <c r="BE193" s="3439">
        <f t="shared" si="103"/>
        <v>0</v>
      </c>
      <c r="BF193" s="3439">
        <f t="shared" si="104"/>
        <v>0</v>
      </c>
      <c r="BG193" s="3439">
        <f t="shared" si="105"/>
        <v>0</v>
      </c>
      <c r="BH193" s="3439">
        <f t="shared" si="106"/>
        <v>0</v>
      </c>
      <c r="BI193" s="3439">
        <f t="shared" si="107"/>
        <v>0</v>
      </c>
      <c r="BJ193" s="3439">
        <f t="shared" si="108"/>
        <v>0</v>
      </c>
      <c r="BK193" s="3439">
        <f t="shared" si="109"/>
        <v>0</v>
      </c>
      <c r="BL193" s="28">
        <f t="shared" si="110"/>
        <v>0</v>
      </c>
      <c r="BM193" s="28">
        <f t="shared" si="111"/>
        <v>0</v>
      </c>
      <c r="BN193" s="28">
        <f t="shared" si="112"/>
        <v>0</v>
      </c>
      <c r="BO193" s="28">
        <f t="shared" si="113"/>
        <v>0</v>
      </c>
      <c r="BP193" s="28">
        <f t="shared" si="114"/>
        <v>0</v>
      </c>
      <c r="BQ193" s="3439">
        <f t="shared" si="115"/>
        <v>0</v>
      </c>
      <c r="BR193" s="3439">
        <f t="shared" si="116"/>
        <v>0</v>
      </c>
      <c r="BS193" s="3439">
        <f t="shared" si="117"/>
        <v>0</v>
      </c>
      <c r="BT193" s="3451">
        <f t="shared" si="118"/>
        <v>0</v>
      </c>
    </row>
    <row r="194" spans="1:72">
      <c r="A194" s="9"/>
      <c r="B194" s="27"/>
      <c r="C194" s="27"/>
      <c r="D194" s="1678"/>
      <c r="E194" s="28">
        <f t="shared" si="119"/>
        <v>0</v>
      </c>
      <c r="F194" s="29"/>
      <c r="G194" s="30">
        <f t="shared" si="94"/>
        <v>0</v>
      </c>
      <c r="H194" s="31">
        <f t="shared" si="95"/>
        <v>0</v>
      </c>
      <c r="I194" s="32"/>
      <c r="J194" s="32"/>
      <c r="K194" s="32"/>
      <c r="L194" s="32"/>
      <c r="M194" s="32"/>
      <c r="N194" s="32"/>
      <c r="O194" s="32"/>
      <c r="P194" s="32"/>
      <c r="Q194" s="32"/>
      <c r="R194" s="32"/>
      <c r="S194" s="32"/>
      <c r="T194" s="32"/>
      <c r="U194" s="32"/>
      <c r="V194" s="32"/>
      <c r="W194" s="32"/>
      <c r="X194" s="32"/>
      <c r="Y194" s="32"/>
      <c r="Z194" s="32"/>
      <c r="AA194" s="32"/>
      <c r="AB194" s="32"/>
      <c r="AC194" s="28">
        <f t="shared" si="96"/>
        <v>0</v>
      </c>
      <c r="AD194" s="33"/>
      <c r="AE194" s="33"/>
      <c r="AF194" s="33"/>
      <c r="AG194" s="33"/>
      <c r="AH194" s="33"/>
      <c r="AI194" s="33"/>
      <c r="AJ194" s="33"/>
      <c r="AK194" s="33"/>
      <c r="AL194" s="33"/>
      <c r="AM194" s="33"/>
      <c r="AN194" s="33"/>
      <c r="AO194" s="33"/>
      <c r="AP194" s="33"/>
      <c r="AQ194" s="33"/>
      <c r="AR194" s="33"/>
      <c r="AS194" s="33"/>
      <c r="AT194" s="34"/>
      <c r="AU194" s="1679"/>
      <c r="AV194" s="2256">
        <f t="shared" si="120"/>
        <v>0</v>
      </c>
      <c r="AW194" s="2256">
        <f t="shared" si="121"/>
        <v>0</v>
      </c>
      <c r="AX194" s="2256">
        <f t="shared" si="122"/>
        <v>0</v>
      </c>
      <c r="AY194" s="2781">
        <f t="shared" si="97"/>
        <v>0</v>
      </c>
      <c r="AZ194" s="28">
        <f t="shared" si="98"/>
        <v>0</v>
      </c>
      <c r="BA194" s="28">
        <f t="shared" si="99"/>
        <v>0</v>
      </c>
      <c r="BB194" s="28">
        <f t="shared" si="100"/>
        <v>0</v>
      </c>
      <c r="BC194" s="28">
        <f t="shared" si="101"/>
        <v>0</v>
      </c>
      <c r="BD194" s="3439">
        <f t="shared" si="102"/>
        <v>0</v>
      </c>
      <c r="BE194" s="3439">
        <f t="shared" si="103"/>
        <v>0</v>
      </c>
      <c r="BF194" s="3439">
        <f t="shared" si="104"/>
        <v>0</v>
      </c>
      <c r="BG194" s="3439">
        <f t="shared" si="105"/>
        <v>0</v>
      </c>
      <c r="BH194" s="3439">
        <f t="shared" si="106"/>
        <v>0</v>
      </c>
      <c r="BI194" s="3439">
        <f t="shared" si="107"/>
        <v>0</v>
      </c>
      <c r="BJ194" s="3439">
        <f t="shared" si="108"/>
        <v>0</v>
      </c>
      <c r="BK194" s="3439">
        <f t="shared" si="109"/>
        <v>0</v>
      </c>
      <c r="BL194" s="28">
        <f t="shared" si="110"/>
        <v>0</v>
      </c>
      <c r="BM194" s="28">
        <f t="shared" si="111"/>
        <v>0</v>
      </c>
      <c r="BN194" s="28">
        <f t="shared" si="112"/>
        <v>0</v>
      </c>
      <c r="BO194" s="28">
        <f t="shared" si="113"/>
        <v>0</v>
      </c>
      <c r="BP194" s="28">
        <f t="shared" si="114"/>
        <v>0</v>
      </c>
      <c r="BQ194" s="3439">
        <f t="shared" si="115"/>
        <v>0</v>
      </c>
      <c r="BR194" s="3439">
        <f t="shared" si="116"/>
        <v>0</v>
      </c>
      <c r="BS194" s="3439">
        <f t="shared" si="117"/>
        <v>0</v>
      </c>
      <c r="BT194" s="3451">
        <f t="shared" si="118"/>
        <v>0</v>
      </c>
    </row>
    <row r="195" spans="1:72">
      <c r="A195" s="9"/>
      <c r="B195" s="27"/>
      <c r="C195" s="27"/>
      <c r="D195" s="1678"/>
      <c r="E195" s="28">
        <f t="shared" si="119"/>
        <v>0</v>
      </c>
      <c r="F195" s="29"/>
      <c r="G195" s="30">
        <f t="shared" si="94"/>
        <v>0</v>
      </c>
      <c r="H195" s="31">
        <f t="shared" si="95"/>
        <v>0</v>
      </c>
      <c r="I195" s="32"/>
      <c r="J195" s="32"/>
      <c r="K195" s="32"/>
      <c r="L195" s="32"/>
      <c r="M195" s="32"/>
      <c r="N195" s="32"/>
      <c r="O195" s="32"/>
      <c r="P195" s="32"/>
      <c r="Q195" s="32"/>
      <c r="R195" s="32"/>
      <c r="S195" s="32"/>
      <c r="T195" s="32"/>
      <c r="U195" s="32"/>
      <c r="V195" s="32"/>
      <c r="W195" s="32"/>
      <c r="X195" s="32"/>
      <c r="Y195" s="32"/>
      <c r="Z195" s="32"/>
      <c r="AA195" s="32"/>
      <c r="AB195" s="32"/>
      <c r="AC195" s="28">
        <f t="shared" si="96"/>
        <v>0</v>
      </c>
      <c r="AD195" s="33"/>
      <c r="AE195" s="33"/>
      <c r="AF195" s="33"/>
      <c r="AG195" s="33"/>
      <c r="AH195" s="33"/>
      <c r="AI195" s="33"/>
      <c r="AJ195" s="33"/>
      <c r="AK195" s="33"/>
      <c r="AL195" s="33"/>
      <c r="AM195" s="33"/>
      <c r="AN195" s="33"/>
      <c r="AO195" s="33"/>
      <c r="AP195" s="33"/>
      <c r="AQ195" s="33"/>
      <c r="AR195" s="33"/>
      <c r="AS195" s="33"/>
      <c r="AT195" s="34"/>
      <c r="AU195" s="1679"/>
      <c r="AV195" s="2256">
        <f t="shared" si="120"/>
        <v>0</v>
      </c>
      <c r="AW195" s="2256">
        <f t="shared" si="121"/>
        <v>0</v>
      </c>
      <c r="AX195" s="2256">
        <f t="shared" si="122"/>
        <v>0</v>
      </c>
      <c r="AY195" s="2781">
        <f t="shared" si="97"/>
        <v>0</v>
      </c>
      <c r="AZ195" s="28">
        <f t="shared" si="98"/>
        <v>0</v>
      </c>
      <c r="BA195" s="28">
        <f t="shared" si="99"/>
        <v>0</v>
      </c>
      <c r="BB195" s="28">
        <f t="shared" si="100"/>
        <v>0</v>
      </c>
      <c r="BC195" s="28">
        <f t="shared" si="101"/>
        <v>0</v>
      </c>
      <c r="BD195" s="3439">
        <f t="shared" si="102"/>
        <v>0</v>
      </c>
      <c r="BE195" s="3439">
        <f t="shared" si="103"/>
        <v>0</v>
      </c>
      <c r="BF195" s="3439">
        <f t="shared" si="104"/>
        <v>0</v>
      </c>
      <c r="BG195" s="3439">
        <f t="shared" si="105"/>
        <v>0</v>
      </c>
      <c r="BH195" s="3439">
        <f t="shared" si="106"/>
        <v>0</v>
      </c>
      <c r="BI195" s="3439">
        <f t="shared" si="107"/>
        <v>0</v>
      </c>
      <c r="BJ195" s="3439">
        <f t="shared" si="108"/>
        <v>0</v>
      </c>
      <c r="BK195" s="3439">
        <f t="shared" si="109"/>
        <v>0</v>
      </c>
      <c r="BL195" s="28">
        <f t="shared" si="110"/>
        <v>0</v>
      </c>
      <c r="BM195" s="28">
        <f t="shared" si="111"/>
        <v>0</v>
      </c>
      <c r="BN195" s="28">
        <f t="shared" si="112"/>
        <v>0</v>
      </c>
      <c r="BO195" s="28">
        <f t="shared" si="113"/>
        <v>0</v>
      </c>
      <c r="BP195" s="28">
        <f t="shared" si="114"/>
        <v>0</v>
      </c>
      <c r="BQ195" s="3439">
        <f t="shared" si="115"/>
        <v>0</v>
      </c>
      <c r="BR195" s="3439">
        <f t="shared" si="116"/>
        <v>0</v>
      </c>
      <c r="BS195" s="3439">
        <f t="shared" si="117"/>
        <v>0</v>
      </c>
      <c r="BT195" s="3451">
        <f t="shared" si="118"/>
        <v>0</v>
      </c>
    </row>
    <row r="196" spans="1:72">
      <c r="A196" s="9"/>
      <c r="B196" s="27"/>
      <c r="C196" s="27"/>
      <c r="D196" s="1678"/>
      <c r="E196" s="28">
        <f t="shared" si="119"/>
        <v>0</v>
      </c>
      <c r="F196" s="29"/>
      <c r="G196" s="30">
        <f t="shared" si="94"/>
        <v>0</v>
      </c>
      <c r="H196" s="31">
        <f t="shared" si="95"/>
        <v>0</v>
      </c>
      <c r="I196" s="32"/>
      <c r="J196" s="32"/>
      <c r="K196" s="32"/>
      <c r="L196" s="32"/>
      <c r="M196" s="32"/>
      <c r="N196" s="32"/>
      <c r="O196" s="32"/>
      <c r="P196" s="32"/>
      <c r="Q196" s="32"/>
      <c r="R196" s="32"/>
      <c r="S196" s="32"/>
      <c r="T196" s="32"/>
      <c r="U196" s="32"/>
      <c r="V196" s="32"/>
      <c r="W196" s="32"/>
      <c r="X196" s="32"/>
      <c r="Y196" s="32"/>
      <c r="Z196" s="32"/>
      <c r="AA196" s="32"/>
      <c r="AB196" s="32"/>
      <c r="AC196" s="28">
        <f t="shared" si="96"/>
        <v>0</v>
      </c>
      <c r="AD196" s="33"/>
      <c r="AE196" s="33"/>
      <c r="AF196" s="33"/>
      <c r="AG196" s="33"/>
      <c r="AH196" s="33"/>
      <c r="AI196" s="33"/>
      <c r="AJ196" s="33"/>
      <c r="AK196" s="33"/>
      <c r="AL196" s="33"/>
      <c r="AM196" s="33"/>
      <c r="AN196" s="33"/>
      <c r="AO196" s="33"/>
      <c r="AP196" s="33"/>
      <c r="AQ196" s="33"/>
      <c r="AR196" s="33"/>
      <c r="AS196" s="33"/>
      <c r="AT196" s="34"/>
      <c r="AU196" s="1679"/>
      <c r="AV196" s="2256">
        <f t="shared" si="120"/>
        <v>0</v>
      </c>
      <c r="AW196" s="2256">
        <f t="shared" si="121"/>
        <v>0</v>
      </c>
      <c r="AX196" s="2256">
        <f t="shared" si="122"/>
        <v>0</v>
      </c>
      <c r="AY196" s="2781">
        <f t="shared" si="97"/>
        <v>0</v>
      </c>
      <c r="AZ196" s="28">
        <f t="shared" si="98"/>
        <v>0</v>
      </c>
      <c r="BA196" s="28">
        <f t="shared" si="99"/>
        <v>0</v>
      </c>
      <c r="BB196" s="28">
        <f t="shared" si="100"/>
        <v>0</v>
      </c>
      <c r="BC196" s="28">
        <f t="shared" si="101"/>
        <v>0</v>
      </c>
      <c r="BD196" s="3439">
        <f t="shared" si="102"/>
        <v>0</v>
      </c>
      <c r="BE196" s="3439">
        <f t="shared" si="103"/>
        <v>0</v>
      </c>
      <c r="BF196" s="3439">
        <f t="shared" si="104"/>
        <v>0</v>
      </c>
      <c r="BG196" s="3439">
        <f t="shared" si="105"/>
        <v>0</v>
      </c>
      <c r="BH196" s="3439">
        <f t="shared" si="106"/>
        <v>0</v>
      </c>
      <c r="BI196" s="3439">
        <f t="shared" si="107"/>
        <v>0</v>
      </c>
      <c r="BJ196" s="3439">
        <f t="shared" si="108"/>
        <v>0</v>
      </c>
      <c r="BK196" s="3439">
        <f t="shared" si="109"/>
        <v>0</v>
      </c>
      <c r="BL196" s="28">
        <f t="shared" si="110"/>
        <v>0</v>
      </c>
      <c r="BM196" s="28">
        <f t="shared" si="111"/>
        <v>0</v>
      </c>
      <c r="BN196" s="28">
        <f t="shared" si="112"/>
        <v>0</v>
      </c>
      <c r="BO196" s="28">
        <f t="shared" si="113"/>
        <v>0</v>
      </c>
      <c r="BP196" s="28">
        <f t="shared" si="114"/>
        <v>0</v>
      </c>
      <c r="BQ196" s="3439">
        <f t="shared" si="115"/>
        <v>0</v>
      </c>
      <c r="BR196" s="3439">
        <f t="shared" si="116"/>
        <v>0</v>
      </c>
      <c r="BS196" s="3439">
        <f t="shared" si="117"/>
        <v>0</v>
      </c>
      <c r="BT196" s="3451">
        <f t="shared" si="118"/>
        <v>0</v>
      </c>
    </row>
    <row r="197" spans="1:72">
      <c r="A197" s="9"/>
      <c r="B197" s="27"/>
      <c r="C197" s="27"/>
      <c r="D197" s="1678"/>
      <c r="E197" s="28">
        <f t="shared" si="119"/>
        <v>0</v>
      </c>
      <c r="F197" s="29"/>
      <c r="G197" s="30">
        <f t="shared" si="94"/>
        <v>0</v>
      </c>
      <c r="H197" s="31">
        <f t="shared" si="95"/>
        <v>0</v>
      </c>
      <c r="I197" s="32"/>
      <c r="J197" s="32"/>
      <c r="K197" s="32"/>
      <c r="L197" s="32"/>
      <c r="M197" s="32"/>
      <c r="N197" s="32"/>
      <c r="O197" s="32"/>
      <c r="P197" s="32"/>
      <c r="Q197" s="32"/>
      <c r="R197" s="32"/>
      <c r="S197" s="32"/>
      <c r="T197" s="32"/>
      <c r="U197" s="32"/>
      <c r="V197" s="32"/>
      <c r="W197" s="32"/>
      <c r="X197" s="32"/>
      <c r="Y197" s="32"/>
      <c r="Z197" s="32"/>
      <c r="AA197" s="32"/>
      <c r="AB197" s="32"/>
      <c r="AC197" s="28">
        <f t="shared" si="96"/>
        <v>0</v>
      </c>
      <c r="AD197" s="33"/>
      <c r="AE197" s="33"/>
      <c r="AF197" s="33"/>
      <c r="AG197" s="33"/>
      <c r="AH197" s="33"/>
      <c r="AI197" s="33"/>
      <c r="AJ197" s="33"/>
      <c r="AK197" s="33"/>
      <c r="AL197" s="33"/>
      <c r="AM197" s="33"/>
      <c r="AN197" s="33"/>
      <c r="AO197" s="33"/>
      <c r="AP197" s="33"/>
      <c r="AQ197" s="33"/>
      <c r="AR197" s="33"/>
      <c r="AS197" s="33"/>
      <c r="AT197" s="34"/>
      <c r="AU197" s="1679"/>
      <c r="AV197" s="2256">
        <f t="shared" si="120"/>
        <v>0</v>
      </c>
      <c r="AW197" s="2256">
        <f t="shared" si="121"/>
        <v>0</v>
      </c>
      <c r="AX197" s="2256">
        <f t="shared" si="122"/>
        <v>0</v>
      </c>
      <c r="AY197" s="2781">
        <f t="shared" si="97"/>
        <v>0</v>
      </c>
      <c r="AZ197" s="28">
        <f t="shared" si="98"/>
        <v>0</v>
      </c>
      <c r="BA197" s="28">
        <f t="shared" si="99"/>
        <v>0</v>
      </c>
      <c r="BB197" s="28">
        <f t="shared" si="100"/>
        <v>0</v>
      </c>
      <c r="BC197" s="28">
        <f t="shared" si="101"/>
        <v>0</v>
      </c>
      <c r="BD197" s="3439">
        <f t="shared" si="102"/>
        <v>0</v>
      </c>
      <c r="BE197" s="3439">
        <f t="shared" si="103"/>
        <v>0</v>
      </c>
      <c r="BF197" s="3439">
        <f t="shared" si="104"/>
        <v>0</v>
      </c>
      <c r="BG197" s="3439">
        <f t="shared" si="105"/>
        <v>0</v>
      </c>
      <c r="BH197" s="3439">
        <f t="shared" si="106"/>
        <v>0</v>
      </c>
      <c r="BI197" s="3439">
        <f t="shared" si="107"/>
        <v>0</v>
      </c>
      <c r="BJ197" s="3439">
        <f t="shared" si="108"/>
        <v>0</v>
      </c>
      <c r="BK197" s="3439">
        <f t="shared" si="109"/>
        <v>0</v>
      </c>
      <c r="BL197" s="28">
        <f t="shared" si="110"/>
        <v>0</v>
      </c>
      <c r="BM197" s="28">
        <f t="shared" si="111"/>
        <v>0</v>
      </c>
      <c r="BN197" s="28">
        <f t="shared" si="112"/>
        <v>0</v>
      </c>
      <c r="BO197" s="28">
        <f t="shared" si="113"/>
        <v>0</v>
      </c>
      <c r="BP197" s="28">
        <f t="shared" si="114"/>
        <v>0</v>
      </c>
      <c r="BQ197" s="3439">
        <f t="shared" si="115"/>
        <v>0</v>
      </c>
      <c r="BR197" s="3439">
        <f t="shared" si="116"/>
        <v>0</v>
      </c>
      <c r="BS197" s="3439">
        <f t="shared" si="117"/>
        <v>0</v>
      </c>
      <c r="BT197" s="3451">
        <f t="shared" si="118"/>
        <v>0</v>
      </c>
    </row>
    <row r="198" spans="1:72">
      <c r="A198" s="9"/>
      <c r="B198" s="27"/>
      <c r="C198" s="27"/>
      <c r="D198" s="1678"/>
      <c r="E198" s="28">
        <f t="shared" si="119"/>
        <v>0</v>
      </c>
      <c r="F198" s="29"/>
      <c r="G198" s="30">
        <f t="shared" si="94"/>
        <v>0</v>
      </c>
      <c r="H198" s="31">
        <f t="shared" si="95"/>
        <v>0</v>
      </c>
      <c r="I198" s="32"/>
      <c r="J198" s="32"/>
      <c r="K198" s="32"/>
      <c r="L198" s="32"/>
      <c r="M198" s="32"/>
      <c r="N198" s="32"/>
      <c r="O198" s="32"/>
      <c r="P198" s="32"/>
      <c r="Q198" s="32"/>
      <c r="R198" s="32"/>
      <c r="S198" s="32"/>
      <c r="T198" s="32"/>
      <c r="U198" s="32"/>
      <c r="V198" s="32"/>
      <c r="W198" s="32"/>
      <c r="X198" s="32"/>
      <c r="Y198" s="32"/>
      <c r="Z198" s="32"/>
      <c r="AA198" s="32"/>
      <c r="AB198" s="32"/>
      <c r="AC198" s="28">
        <f t="shared" si="96"/>
        <v>0</v>
      </c>
      <c r="AD198" s="33"/>
      <c r="AE198" s="33"/>
      <c r="AF198" s="33"/>
      <c r="AG198" s="33"/>
      <c r="AH198" s="33"/>
      <c r="AI198" s="33"/>
      <c r="AJ198" s="33"/>
      <c r="AK198" s="33"/>
      <c r="AL198" s="33"/>
      <c r="AM198" s="33"/>
      <c r="AN198" s="33"/>
      <c r="AO198" s="33"/>
      <c r="AP198" s="33"/>
      <c r="AQ198" s="33"/>
      <c r="AR198" s="33"/>
      <c r="AS198" s="33"/>
      <c r="AT198" s="34"/>
      <c r="AU198" s="1679"/>
      <c r="AV198" s="2256">
        <f t="shared" si="120"/>
        <v>0</v>
      </c>
      <c r="AW198" s="2256">
        <f t="shared" si="121"/>
        <v>0</v>
      </c>
      <c r="AX198" s="2256">
        <f t="shared" si="122"/>
        <v>0</v>
      </c>
      <c r="AY198" s="2781">
        <f t="shared" si="97"/>
        <v>0</v>
      </c>
      <c r="AZ198" s="28">
        <f t="shared" si="98"/>
        <v>0</v>
      </c>
      <c r="BA198" s="28">
        <f t="shared" si="99"/>
        <v>0</v>
      </c>
      <c r="BB198" s="28">
        <f t="shared" si="100"/>
        <v>0</v>
      </c>
      <c r="BC198" s="28">
        <f t="shared" si="101"/>
        <v>0</v>
      </c>
      <c r="BD198" s="3439">
        <f t="shared" si="102"/>
        <v>0</v>
      </c>
      <c r="BE198" s="3439">
        <f t="shared" si="103"/>
        <v>0</v>
      </c>
      <c r="BF198" s="3439">
        <f t="shared" si="104"/>
        <v>0</v>
      </c>
      <c r="BG198" s="3439">
        <f t="shared" si="105"/>
        <v>0</v>
      </c>
      <c r="BH198" s="3439">
        <f t="shared" si="106"/>
        <v>0</v>
      </c>
      <c r="BI198" s="3439">
        <f t="shared" si="107"/>
        <v>0</v>
      </c>
      <c r="BJ198" s="3439">
        <f t="shared" si="108"/>
        <v>0</v>
      </c>
      <c r="BK198" s="3439">
        <f t="shared" si="109"/>
        <v>0</v>
      </c>
      <c r="BL198" s="28">
        <f t="shared" si="110"/>
        <v>0</v>
      </c>
      <c r="BM198" s="28">
        <f t="shared" si="111"/>
        <v>0</v>
      </c>
      <c r="BN198" s="28">
        <f t="shared" si="112"/>
        <v>0</v>
      </c>
      <c r="BO198" s="28">
        <f t="shared" si="113"/>
        <v>0</v>
      </c>
      <c r="BP198" s="28">
        <f t="shared" si="114"/>
        <v>0</v>
      </c>
      <c r="BQ198" s="3439">
        <f t="shared" si="115"/>
        <v>0</v>
      </c>
      <c r="BR198" s="3439">
        <f t="shared" si="116"/>
        <v>0</v>
      </c>
      <c r="BS198" s="3439">
        <f t="shared" si="117"/>
        <v>0</v>
      </c>
      <c r="BT198" s="3451">
        <f t="shared" si="118"/>
        <v>0</v>
      </c>
    </row>
    <row r="199" spans="1:72">
      <c r="A199" s="9"/>
      <c r="B199" s="27"/>
      <c r="C199" s="27"/>
      <c r="D199" s="1678"/>
      <c r="E199" s="28">
        <f t="shared" si="119"/>
        <v>0</v>
      </c>
      <c r="F199" s="29"/>
      <c r="G199" s="30">
        <f t="shared" si="94"/>
        <v>0</v>
      </c>
      <c r="H199" s="31">
        <f t="shared" si="95"/>
        <v>0</v>
      </c>
      <c r="I199" s="32"/>
      <c r="J199" s="32"/>
      <c r="K199" s="32"/>
      <c r="L199" s="32"/>
      <c r="M199" s="32"/>
      <c r="N199" s="32"/>
      <c r="O199" s="32"/>
      <c r="P199" s="32"/>
      <c r="Q199" s="32"/>
      <c r="R199" s="32"/>
      <c r="S199" s="32"/>
      <c r="T199" s="32"/>
      <c r="U199" s="32"/>
      <c r="V199" s="32"/>
      <c r="W199" s="32"/>
      <c r="X199" s="32"/>
      <c r="Y199" s="32"/>
      <c r="Z199" s="32"/>
      <c r="AA199" s="32"/>
      <c r="AB199" s="32"/>
      <c r="AC199" s="28">
        <f t="shared" si="96"/>
        <v>0</v>
      </c>
      <c r="AD199" s="33"/>
      <c r="AE199" s="33"/>
      <c r="AF199" s="33"/>
      <c r="AG199" s="33"/>
      <c r="AH199" s="33"/>
      <c r="AI199" s="33"/>
      <c r="AJ199" s="33"/>
      <c r="AK199" s="33"/>
      <c r="AL199" s="33"/>
      <c r="AM199" s="33"/>
      <c r="AN199" s="33"/>
      <c r="AO199" s="33"/>
      <c r="AP199" s="33"/>
      <c r="AQ199" s="33"/>
      <c r="AR199" s="33"/>
      <c r="AS199" s="33"/>
      <c r="AT199" s="34"/>
      <c r="AU199" s="1679"/>
      <c r="AV199" s="2256">
        <f t="shared" si="120"/>
        <v>0</v>
      </c>
      <c r="AW199" s="2256">
        <f t="shared" si="121"/>
        <v>0</v>
      </c>
      <c r="AX199" s="2256">
        <f t="shared" si="122"/>
        <v>0</v>
      </c>
      <c r="AY199" s="2781">
        <f t="shared" si="97"/>
        <v>0</v>
      </c>
      <c r="AZ199" s="28">
        <f t="shared" si="98"/>
        <v>0</v>
      </c>
      <c r="BA199" s="28">
        <f t="shared" si="99"/>
        <v>0</v>
      </c>
      <c r="BB199" s="28">
        <f t="shared" si="100"/>
        <v>0</v>
      </c>
      <c r="BC199" s="28">
        <f t="shared" si="101"/>
        <v>0</v>
      </c>
      <c r="BD199" s="3439">
        <f t="shared" si="102"/>
        <v>0</v>
      </c>
      <c r="BE199" s="3439">
        <f t="shared" si="103"/>
        <v>0</v>
      </c>
      <c r="BF199" s="3439">
        <f t="shared" si="104"/>
        <v>0</v>
      </c>
      <c r="BG199" s="3439">
        <f t="shared" si="105"/>
        <v>0</v>
      </c>
      <c r="BH199" s="3439">
        <f t="shared" si="106"/>
        <v>0</v>
      </c>
      <c r="BI199" s="3439">
        <f t="shared" si="107"/>
        <v>0</v>
      </c>
      <c r="BJ199" s="3439">
        <f t="shared" si="108"/>
        <v>0</v>
      </c>
      <c r="BK199" s="3439">
        <f t="shared" si="109"/>
        <v>0</v>
      </c>
      <c r="BL199" s="28">
        <f t="shared" si="110"/>
        <v>0</v>
      </c>
      <c r="BM199" s="28">
        <f t="shared" si="111"/>
        <v>0</v>
      </c>
      <c r="BN199" s="28">
        <f t="shared" si="112"/>
        <v>0</v>
      </c>
      <c r="BO199" s="28">
        <f t="shared" si="113"/>
        <v>0</v>
      </c>
      <c r="BP199" s="28">
        <f t="shared" si="114"/>
        <v>0</v>
      </c>
      <c r="BQ199" s="3439">
        <f t="shared" si="115"/>
        <v>0</v>
      </c>
      <c r="BR199" s="3439">
        <f t="shared" si="116"/>
        <v>0</v>
      </c>
      <c r="BS199" s="3439">
        <f t="shared" si="117"/>
        <v>0</v>
      </c>
      <c r="BT199" s="3451">
        <f t="shared" si="118"/>
        <v>0</v>
      </c>
    </row>
    <row r="200" spans="1:72">
      <c r="A200" s="9"/>
      <c r="B200" s="27"/>
      <c r="C200" s="27"/>
      <c r="D200" s="1678"/>
      <c r="E200" s="28">
        <f t="shared" si="119"/>
        <v>0</v>
      </c>
      <c r="F200" s="29"/>
      <c r="G200" s="30">
        <f t="shared" si="94"/>
        <v>0</v>
      </c>
      <c r="H200" s="31">
        <f t="shared" si="95"/>
        <v>0</v>
      </c>
      <c r="I200" s="32"/>
      <c r="J200" s="32"/>
      <c r="K200" s="32"/>
      <c r="L200" s="32"/>
      <c r="M200" s="32"/>
      <c r="N200" s="32"/>
      <c r="O200" s="32"/>
      <c r="P200" s="32"/>
      <c r="Q200" s="32"/>
      <c r="R200" s="32"/>
      <c r="S200" s="32"/>
      <c r="T200" s="32"/>
      <c r="U200" s="32"/>
      <c r="V200" s="32"/>
      <c r="W200" s="32"/>
      <c r="X200" s="32"/>
      <c r="Y200" s="32"/>
      <c r="Z200" s="32"/>
      <c r="AA200" s="32"/>
      <c r="AB200" s="32"/>
      <c r="AC200" s="28">
        <f t="shared" si="96"/>
        <v>0</v>
      </c>
      <c r="AD200" s="33"/>
      <c r="AE200" s="33"/>
      <c r="AF200" s="33"/>
      <c r="AG200" s="33"/>
      <c r="AH200" s="33"/>
      <c r="AI200" s="33"/>
      <c r="AJ200" s="33"/>
      <c r="AK200" s="33"/>
      <c r="AL200" s="33"/>
      <c r="AM200" s="33"/>
      <c r="AN200" s="33"/>
      <c r="AO200" s="33"/>
      <c r="AP200" s="33"/>
      <c r="AQ200" s="33"/>
      <c r="AR200" s="33"/>
      <c r="AS200" s="33"/>
      <c r="AT200" s="34"/>
      <c r="AU200" s="1679"/>
      <c r="AV200" s="2256">
        <f t="shared" si="120"/>
        <v>0</v>
      </c>
      <c r="AW200" s="2256">
        <f t="shared" si="121"/>
        <v>0</v>
      </c>
      <c r="AX200" s="2256">
        <f t="shared" si="122"/>
        <v>0</v>
      </c>
      <c r="AY200" s="2781">
        <f t="shared" si="97"/>
        <v>0</v>
      </c>
      <c r="AZ200" s="28">
        <f t="shared" si="98"/>
        <v>0</v>
      </c>
      <c r="BA200" s="28">
        <f t="shared" si="99"/>
        <v>0</v>
      </c>
      <c r="BB200" s="28">
        <f t="shared" si="100"/>
        <v>0</v>
      </c>
      <c r="BC200" s="28">
        <f t="shared" si="101"/>
        <v>0</v>
      </c>
      <c r="BD200" s="3439">
        <f t="shared" si="102"/>
        <v>0</v>
      </c>
      <c r="BE200" s="3439">
        <f t="shared" si="103"/>
        <v>0</v>
      </c>
      <c r="BF200" s="3439">
        <f t="shared" si="104"/>
        <v>0</v>
      </c>
      <c r="BG200" s="3439">
        <f t="shared" si="105"/>
        <v>0</v>
      </c>
      <c r="BH200" s="3439">
        <f t="shared" si="106"/>
        <v>0</v>
      </c>
      <c r="BI200" s="3439">
        <f t="shared" si="107"/>
        <v>0</v>
      </c>
      <c r="BJ200" s="3439">
        <f t="shared" si="108"/>
        <v>0</v>
      </c>
      <c r="BK200" s="3439">
        <f t="shared" si="109"/>
        <v>0</v>
      </c>
      <c r="BL200" s="28">
        <f t="shared" si="110"/>
        <v>0</v>
      </c>
      <c r="BM200" s="28">
        <f t="shared" si="111"/>
        <v>0</v>
      </c>
      <c r="BN200" s="28">
        <f t="shared" si="112"/>
        <v>0</v>
      </c>
      <c r="BO200" s="28">
        <f t="shared" si="113"/>
        <v>0</v>
      </c>
      <c r="BP200" s="28">
        <f t="shared" si="114"/>
        <v>0</v>
      </c>
      <c r="BQ200" s="3439">
        <f t="shared" si="115"/>
        <v>0</v>
      </c>
      <c r="BR200" s="3439">
        <f t="shared" si="116"/>
        <v>0</v>
      </c>
      <c r="BS200" s="3439">
        <f t="shared" si="117"/>
        <v>0</v>
      </c>
      <c r="BT200" s="3451">
        <f t="shared" si="118"/>
        <v>0</v>
      </c>
    </row>
    <row r="201" spans="1:72">
      <c r="A201" s="9"/>
      <c r="B201" s="27"/>
      <c r="C201" s="27"/>
      <c r="D201" s="1678"/>
      <c r="E201" s="28">
        <f t="shared" si="119"/>
        <v>0</v>
      </c>
      <c r="F201" s="29"/>
      <c r="G201" s="30">
        <f t="shared" si="94"/>
        <v>0</v>
      </c>
      <c r="H201" s="31">
        <f t="shared" si="95"/>
        <v>0</v>
      </c>
      <c r="I201" s="32"/>
      <c r="J201" s="32"/>
      <c r="K201" s="32"/>
      <c r="L201" s="32"/>
      <c r="M201" s="32"/>
      <c r="N201" s="32"/>
      <c r="O201" s="32"/>
      <c r="P201" s="32"/>
      <c r="Q201" s="32"/>
      <c r="R201" s="32"/>
      <c r="S201" s="32"/>
      <c r="T201" s="32"/>
      <c r="U201" s="32"/>
      <c r="V201" s="32"/>
      <c r="W201" s="32"/>
      <c r="X201" s="32"/>
      <c r="Y201" s="32"/>
      <c r="Z201" s="32"/>
      <c r="AA201" s="32"/>
      <c r="AB201" s="32"/>
      <c r="AC201" s="28">
        <f t="shared" si="96"/>
        <v>0</v>
      </c>
      <c r="AD201" s="33"/>
      <c r="AE201" s="33"/>
      <c r="AF201" s="33"/>
      <c r="AG201" s="33"/>
      <c r="AH201" s="33"/>
      <c r="AI201" s="33"/>
      <c r="AJ201" s="33"/>
      <c r="AK201" s="33"/>
      <c r="AL201" s="33"/>
      <c r="AM201" s="33"/>
      <c r="AN201" s="33"/>
      <c r="AO201" s="33"/>
      <c r="AP201" s="33"/>
      <c r="AQ201" s="33"/>
      <c r="AR201" s="33"/>
      <c r="AS201" s="33"/>
      <c r="AT201" s="34"/>
      <c r="AU201" s="1679"/>
      <c r="AV201" s="2256">
        <f t="shared" si="120"/>
        <v>0</v>
      </c>
      <c r="AW201" s="2256">
        <f t="shared" si="121"/>
        <v>0</v>
      </c>
      <c r="AX201" s="2256">
        <f t="shared" si="122"/>
        <v>0</v>
      </c>
      <c r="AY201" s="2781">
        <f t="shared" si="97"/>
        <v>0</v>
      </c>
      <c r="AZ201" s="28">
        <f t="shared" si="98"/>
        <v>0</v>
      </c>
      <c r="BA201" s="28">
        <f t="shared" si="99"/>
        <v>0</v>
      </c>
      <c r="BB201" s="28">
        <f t="shared" si="100"/>
        <v>0</v>
      </c>
      <c r="BC201" s="28">
        <f t="shared" si="101"/>
        <v>0</v>
      </c>
      <c r="BD201" s="3439">
        <f t="shared" si="102"/>
        <v>0</v>
      </c>
      <c r="BE201" s="3439">
        <f t="shared" si="103"/>
        <v>0</v>
      </c>
      <c r="BF201" s="3439">
        <f t="shared" si="104"/>
        <v>0</v>
      </c>
      <c r="BG201" s="3439">
        <f t="shared" si="105"/>
        <v>0</v>
      </c>
      <c r="BH201" s="3439">
        <f t="shared" si="106"/>
        <v>0</v>
      </c>
      <c r="BI201" s="3439">
        <f t="shared" si="107"/>
        <v>0</v>
      </c>
      <c r="BJ201" s="3439">
        <f t="shared" si="108"/>
        <v>0</v>
      </c>
      <c r="BK201" s="3439">
        <f t="shared" si="109"/>
        <v>0</v>
      </c>
      <c r="BL201" s="28">
        <f t="shared" si="110"/>
        <v>0</v>
      </c>
      <c r="BM201" s="28">
        <f t="shared" si="111"/>
        <v>0</v>
      </c>
      <c r="BN201" s="28">
        <f t="shared" si="112"/>
        <v>0</v>
      </c>
      <c r="BO201" s="28">
        <f t="shared" si="113"/>
        <v>0</v>
      </c>
      <c r="BP201" s="28">
        <f t="shared" si="114"/>
        <v>0</v>
      </c>
      <c r="BQ201" s="3439">
        <f t="shared" si="115"/>
        <v>0</v>
      </c>
      <c r="BR201" s="3439">
        <f t="shared" si="116"/>
        <v>0</v>
      </c>
      <c r="BS201" s="3439">
        <f t="shared" si="117"/>
        <v>0</v>
      </c>
      <c r="BT201" s="3451">
        <f t="shared" si="118"/>
        <v>0</v>
      </c>
    </row>
    <row r="202" spans="1:72">
      <c r="A202" s="9"/>
      <c r="B202" s="27"/>
      <c r="C202" s="27"/>
      <c r="D202" s="1678"/>
      <c r="E202" s="28">
        <f t="shared" si="119"/>
        <v>0</v>
      </c>
      <c r="F202" s="29"/>
      <c r="G202" s="30">
        <f t="shared" si="94"/>
        <v>0</v>
      </c>
      <c r="H202" s="31">
        <f t="shared" si="95"/>
        <v>0</v>
      </c>
      <c r="I202" s="32"/>
      <c r="J202" s="32"/>
      <c r="K202" s="32"/>
      <c r="L202" s="32"/>
      <c r="M202" s="32"/>
      <c r="N202" s="32"/>
      <c r="O202" s="32"/>
      <c r="P202" s="32"/>
      <c r="Q202" s="32"/>
      <c r="R202" s="32"/>
      <c r="S202" s="32"/>
      <c r="T202" s="32"/>
      <c r="U202" s="32"/>
      <c r="V202" s="32"/>
      <c r="W202" s="32"/>
      <c r="X202" s="32"/>
      <c r="Y202" s="32"/>
      <c r="Z202" s="32"/>
      <c r="AA202" s="32"/>
      <c r="AB202" s="32"/>
      <c r="AC202" s="28">
        <f t="shared" si="96"/>
        <v>0</v>
      </c>
      <c r="AD202" s="33"/>
      <c r="AE202" s="33"/>
      <c r="AF202" s="33"/>
      <c r="AG202" s="33"/>
      <c r="AH202" s="33"/>
      <c r="AI202" s="33"/>
      <c r="AJ202" s="33"/>
      <c r="AK202" s="33"/>
      <c r="AL202" s="33"/>
      <c r="AM202" s="33"/>
      <c r="AN202" s="33"/>
      <c r="AO202" s="33"/>
      <c r="AP202" s="33"/>
      <c r="AQ202" s="33"/>
      <c r="AR202" s="33"/>
      <c r="AS202" s="33"/>
      <c r="AT202" s="34"/>
      <c r="AU202" s="1679"/>
      <c r="AV202" s="2256">
        <f t="shared" si="120"/>
        <v>0</v>
      </c>
      <c r="AW202" s="2256">
        <f t="shared" si="121"/>
        <v>0</v>
      </c>
      <c r="AX202" s="2256">
        <f t="shared" si="122"/>
        <v>0</v>
      </c>
      <c r="AY202" s="2781">
        <f t="shared" si="97"/>
        <v>0</v>
      </c>
      <c r="AZ202" s="28">
        <f t="shared" si="98"/>
        <v>0</v>
      </c>
      <c r="BA202" s="28">
        <f t="shared" si="99"/>
        <v>0</v>
      </c>
      <c r="BB202" s="28">
        <f t="shared" si="100"/>
        <v>0</v>
      </c>
      <c r="BC202" s="28">
        <f t="shared" si="101"/>
        <v>0</v>
      </c>
      <c r="BD202" s="3439">
        <f t="shared" si="102"/>
        <v>0</v>
      </c>
      <c r="BE202" s="3439">
        <f t="shared" si="103"/>
        <v>0</v>
      </c>
      <c r="BF202" s="3439">
        <f t="shared" si="104"/>
        <v>0</v>
      </c>
      <c r="BG202" s="3439">
        <f t="shared" si="105"/>
        <v>0</v>
      </c>
      <c r="BH202" s="3439">
        <f t="shared" si="106"/>
        <v>0</v>
      </c>
      <c r="BI202" s="3439">
        <f t="shared" si="107"/>
        <v>0</v>
      </c>
      <c r="BJ202" s="3439">
        <f t="shared" si="108"/>
        <v>0</v>
      </c>
      <c r="BK202" s="3439">
        <f t="shared" si="109"/>
        <v>0</v>
      </c>
      <c r="BL202" s="28">
        <f t="shared" si="110"/>
        <v>0</v>
      </c>
      <c r="BM202" s="28">
        <f t="shared" si="111"/>
        <v>0</v>
      </c>
      <c r="BN202" s="28">
        <f t="shared" si="112"/>
        <v>0</v>
      </c>
      <c r="BO202" s="28">
        <f t="shared" si="113"/>
        <v>0</v>
      </c>
      <c r="BP202" s="28">
        <f t="shared" si="114"/>
        <v>0</v>
      </c>
      <c r="BQ202" s="3439">
        <f t="shared" si="115"/>
        <v>0</v>
      </c>
      <c r="BR202" s="3439">
        <f t="shared" si="116"/>
        <v>0</v>
      </c>
      <c r="BS202" s="3439">
        <f t="shared" si="117"/>
        <v>0</v>
      </c>
      <c r="BT202" s="3451">
        <f t="shared" si="118"/>
        <v>0</v>
      </c>
    </row>
    <row r="203" spans="1:72">
      <c r="A203" s="9"/>
      <c r="B203" s="27"/>
      <c r="C203" s="27"/>
      <c r="D203" s="1678"/>
      <c r="E203" s="28">
        <f t="shared" si="119"/>
        <v>0</v>
      </c>
      <c r="F203" s="29"/>
      <c r="G203" s="30">
        <f t="shared" si="94"/>
        <v>0</v>
      </c>
      <c r="H203" s="31">
        <f t="shared" si="95"/>
        <v>0</v>
      </c>
      <c r="I203" s="32"/>
      <c r="J203" s="32"/>
      <c r="K203" s="32"/>
      <c r="L203" s="32"/>
      <c r="M203" s="32"/>
      <c r="N203" s="32"/>
      <c r="O203" s="32"/>
      <c r="P203" s="32"/>
      <c r="Q203" s="32"/>
      <c r="R203" s="32"/>
      <c r="S203" s="32"/>
      <c r="T203" s="32"/>
      <c r="U203" s="32"/>
      <c r="V203" s="32"/>
      <c r="W203" s="32"/>
      <c r="X203" s="32"/>
      <c r="Y203" s="32"/>
      <c r="Z203" s="32"/>
      <c r="AA203" s="32"/>
      <c r="AB203" s="32"/>
      <c r="AC203" s="28">
        <f t="shared" si="96"/>
        <v>0</v>
      </c>
      <c r="AD203" s="33"/>
      <c r="AE203" s="33"/>
      <c r="AF203" s="33"/>
      <c r="AG203" s="33"/>
      <c r="AH203" s="33"/>
      <c r="AI203" s="33"/>
      <c r="AJ203" s="33"/>
      <c r="AK203" s="33"/>
      <c r="AL203" s="33"/>
      <c r="AM203" s="33"/>
      <c r="AN203" s="33"/>
      <c r="AO203" s="33"/>
      <c r="AP203" s="33"/>
      <c r="AQ203" s="33"/>
      <c r="AR203" s="33"/>
      <c r="AS203" s="33"/>
      <c r="AT203" s="34"/>
      <c r="AU203" s="1679"/>
      <c r="AV203" s="2256">
        <f t="shared" si="120"/>
        <v>0</v>
      </c>
      <c r="AW203" s="2256">
        <f t="shared" si="121"/>
        <v>0</v>
      </c>
      <c r="AX203" s="2256">
        <f t="shared" si="122"/>
        <v>0</v>
      </c>
      <c r="AY203" s="2781">
        <f t="shared" si="97"/>
        <v>0</v>
      </c>
      <c r="AZ203" s="28">
        <f t="shared" si="98"/>
        <v>0</v>
      </c>
      <c r="BA203" s="28">
        <f t="shared" si="99"/>
        <v>0</v>
      </c>
      <c r="BB203" s="28">
        <f t="shared" si="100"/>
        <v>0</v>
      </c>
      <c r="BC203" s="28">
        <f t="shared" si="101"/>
        <v>0</v>
      </c>
      <c r="BD203" s="3439">
        <f t="shared" si="102"/>
        <v>0</v>
      </c>
      <c r="BE203" s="3439">
        <f t="shared" si="103"/>
        <v>0</v>
      </c>
      <c r="BF203" s="3439">
        <f t="shared" si="104"/>
        <v>0</v>
      </c>
      <c r="BG203" s="3439">
        <f t="shared" si="105"/>
        <v>0</v>
      </c>
      <c r="BH203" s="3439">
        <f t="shared" si="106"/>
        <v>0</v>
      </c>
      <c r="BI203" s="3439">
        <f t="shared" si="107"/>
        <v>0</v>
      </c>
      <c r="BJ203" s="3439">
        <f t="shared" si="108"/>
        <v>0</v>
      </c>
      <c r="BK203" s="3439">
        <f t="shared" si="109"/>
        <v>0</v>
      </c>
      <c r="BL203" s="28">
        <f t="shared" si="110"/>
        <v>0</v>
      </c>
      <c r="BM203" s="28">
        <f t="shared" si="111"/>
        <v>0</v>
      </c>
      <c r="BN203" s="28">
        <f t="shared" si="112"/>
        <v>0</v>
      </c>
      <c r="BO203" s="28">
        <f t="shared" si="113"/>
        <v>0</v>
      </c>
      <c r="BP203" s="28">
        <f t="shared" si="114"/>
        <v>0</v>
      </c>
      <c r="BQ203" s="3439">
        <f t="shared" si="115"/>
        <v>0</v>
      </c>
      <c r="BR203" s="3439">
        <f t="shared" si="116"/>
        <v>0</v>
      </c>
      <c r="BS203" s="3439">
        <f t="shared" si="117"/>
        <v>0</v>
      </c>
      <c r="BT203" s="3451">
        <f t="shared" si="118"/>
        <v>0</v>
      </c>
    </row>
    <row r="204" spans="1:72">
      <c r="A204" s="9"/>
      <c r="B204" s="27"/>
      <c r="C204" s="27"/>
      <c r="D204" s="1678"/>
      <c r="E204" s="28">
        <f t="shared" si="119"/>
        <v>0</v>
      </c>
      <c r="F204" s="29"/>
      <c r="G204" s="30">
        <f t="shared" si="94"/>
        <v>0</v>
      </c>
      <c r="H204" s="31">
        <f t="shared" si="95"/>
        <v>0</v>
      </c>
      <c r="I204" s="32"/>
      <c r="J204" s="32"/>
      <c r="K204" s="32"/>
      <c r="L204" s="32"/>
      <c r="M204" s="32"/>
      <c r="N204" s="32"/>
      <c r="O204" s="32"/>
      <c r="P204" s="32"/>
      <c r="Q204" s="32"/>
      <c r="R204" s="32"/>
      <c r="S204" s="32"/>
      <c r="T204" s="32"/>
      <c r="U204" s="32"/>
      <c r="V204" s="32"/>
      <c r="W204" s="32"/>
      <c r="X204" s="32"/>
      <c r="Y204" s="32"/>
      <c r="Z204" s="32"/>
      <c r="AA204" s="32"/>
      <c r="AB204" s="32"/>
      <c r="AC204" s="28">
        <f t="shared" si="96"/>
        <v>0</v>
      </c>
      <c r="AD204" s="33"/>
      <c r="AE204" s="33"/>
      <c r="AF204" s="33"/>
      <c r="AG204" s="33"/>
      <c r="AH204" s="33"/>
      <c r="AI204" s="33"/>
      <c r="AJ204" s="33"/>
      <c r="AK204" s="33"/>
      <c r="AL204" s="33"/>
      <c r="AM204" s="33"/>
      <c r="AN204" s="33"/>
      <c r="AO204" s="33"/>
      <c r="AP204" s="33"/>
      <c r="AQ204" s="33"/>
      <c r="AR204" s="33"/>
      <c r="AS204" s="33"/>
      <c r="AT204" s="34"/>
      <c r="AU204" s="1679"/>
      <c r="AV204" s="2256">
        <f t="shared" si="120"/>
        <v>0</v>
      </c>
      <c r="AW204" s="2256">
        <f t="shared" si="121"/>
        <v>0</v>
      </c>
      <c r="AX204" s="2256">
        <f t="shared" si="122"/>
        <v>0</v>
      </c>
      <c r="AY204" s="2781">
        <f t="shared" si="97"/>
        <v>0</v>
      </c>
      <c r="AZ204" s="28">
        <f t="shared" si="98"/>
        <v>0</v>
      </c>
      <c r="BA204" s="28">
        <f t="shared" si="99"/>
        <v>0</v>
      </c>
      <c r="BB204" s="28">
        <f t="shared" si="100"/>
        <v>0</v>
      </c>
      <c r="BC204" s="28">
        <f t="shared" si="101"/>
        <v>0</v>
      </c>
      <c r="BD204" s="3439">
        <f t="shared" si="102"/>
        <v>0</v>
      </c>
      <c r="BE204" s="3439">
        <f t="shared" si="103"/>
        <v>0</v>
      </c>
      <c r="BF204" s="3439">
        <f t="shared" si="104"/>
        <v>0</v>
      </c>
      <c r="BG204" s="3439">
        <f t="shared" si="105"/>
        <v>0</v>
      </c>
      <c r="BH204" s="3439">
        <f t="shared" si="106"/>
        <v>0</v>
      </c>
      <c r="BI204" s="3439">
        <f t="shared" si="107"/>
        <v>0</v>
      </c>
      <c r="BJ204" s="3439">
        <f t="shared" si="108"/>
        <v>0</v>
      </c>
      <c r="BK204" s="3439">
        <f t="shared" si="109"/>
        <v>0</v>
      </c>
      <c r="BL204" s="28">
        <f t="shared" si="110"/>
        <v>0</v>
      </c>
      <c r="BM204" s="28">
        <f t="shared" si="111"/>
        <v>0</v>
      </c>
      <c r="BN204" s="28">
        <f t="shared" si="112"/>
        <v>0</v>
      </c>
      <c r="BO204" s="28">
        <f t="shared" si="113"/>
        <v>0</v>
      </c>
      <c r="BP204" s="28">
        <f t="shared" si="114"/>
        <v>0</v>
      </c>
      <c r="BQ204" s="3439">
        <f t="shared" si="115"/>
        <v>0</v>
      </c>
      <c r="BR204" s="3439">
        <f t="shared" si="116"/>
        <v>0</v>
      </c>
      <c r="BS204" s="3439">
        <f t="shared" si="117"/>
        <v>0</v>
      </c>
      <c r="BT204" s="3451">
        <f t="shared" si="118"/>
        <v>0</v>
      </c>
    </row>
    <row r="205" spans="1:72">
      <c r="A205" s="9"/>
      <c r="B205" s="9"/>
      <c r="C205" s="9"/>
      <c r="D205" s="1678"/>
      <c r="E205" s="28">
        <f t="shared" si="119"/>
        <v>0</v>
      </c>
      <c r="F205" s="37"/>
      <c r="G205" s="30">
        <f t="shared" si="94"/>
        <v>0</v>
      </c>
      <c r="H205" s="31">
        <f t="shared" si="95"/>
        <v>0</v>
      </c>
      <c r="I205" s="10"/>
      <c r="J205" s="10"/>
      <c r="K205" s="32"/>
      <c r="L205" s="32"/>
      <c r="M205" s="32"/>
      <c r="N205" s="32"/>
      <c r="O205" s="32"/>
      <c r="P205" s="32"/>
      <c r="Q205" s="32"/>
      <c r="R205" s="32"/>
      <c r="S205" s="32"/>
      <c r="T205" s="32"/>
      <c r="U205" s="32"/>
      <c r="V205" s="32"/>
      <c r="W205" s="32"/>
      <c r="X205" s="32"/>
      <c r="Y205" s="32"/>
      <c r="Z205" s="32"/>
      <c r="AA205" s="32"/>
      <c r="AB205" s="32"/>
      <c r="AC205" s="28">
        <f t="shared" si="96"/>
        <v>0</v>
      </c>
      <c r="AD205" s="33"/>
      <c r="AE205" s="33"/>
      <c r="AF205" s="33"/>
      <c r="AG205" s="33"/>
      <c r="AH205" s="33"/>
      <c r="AI205" s="33"/>
      <c r="AJ205" s="33"/>
      <c r="AK205" s="33"/>
      <c r="AL205" s="33"/>
      <c r="AM205" s="33"/>
      <c r="AN205" s="33"/>
      <c r="AO205" s="33"/>
      <c r="AP205" s="33"/>
      <c r="AQ205" s="33"/>
      <c r="AR205" s="33"/>
      <c r="AS205" s="33"/>
      <c r="AT205" s="33"/>
      <c r="AU205" s="1626"/>
      <c r="AV205" s="2256">
        <f t="shared" si="120"/>
        <v>0</v>
      </c>
      <c r="AW205" s="2256">
        <f t="shared" si="121"/>
        <v>0</v>
      </c>
      <c r="AX205" s="2256">
        <f t="shared" si="122"/>
        <v>0</v>
      </c>
      <c r="AY205" s="2781">
        <f t="shared" si="97"/>
        <v>0</v>
      </c>
      <c r="AZ205" s="28">
        <f t="shared" si="98"/>
        <v>0</v>
      </c>
      <c r="BA205" s="28">
        <f t="shared" si="99"/>
        <v>0</v>
      </c>
      <c r="BB205" s="28">
        <f t="shared" si="100"/>
        <v>0</v>
      </c>
      <c r="BC205" s="28">
        <f t="shared" si="101"/>
        <v>0</v>
      </c>
      <c r="BD205" s="3439">
        <f t="shared" si="102"/>
        <v>0</v>
      </c>
      <c r="BE205" s="3439">
        <f t="shared" si="103"/>
        <v>0</v>
      </c>
      <c r="BF205" s="3439">
        <f t="shared" si="104"/>
        <v>0</v>
      </c>
      <c r="BG205" s="3439">
        <f t="shared" si="105"/>
        <v>0</v>
      </c>
      <c r="BH205" s="3439">
        <f t="shared" si="106"/>
        <v>0</v>
      </c>
      <c r="BI205" s="3439">
        <f t="shared" si="107"/>
        <v>0</v>
      </c>
      <c r="BJ205" s="3439">
        <f t="shared" si="108"/>
        <v>0</v>
      </c>
      <c r="BK205" s="3439">
        <f t="shared" si="109"/>
        <v>0</v>
      </c>
      <c r="BL205" s="28">
        <f t="shared" si="110"/>
        <v>0</v>
      </c>
      <c r="BM205" s="28">
        <f t="shared" si="111"/>
        <v>0</v>
      </c>
      <c r="BN205" s="28">
        <f t="shared" si="112"/>
        <v>0</v>
      </c>
      <c r="BO205" s="28">
        <f t="shared" si="113"/>
        <v>0</v>
      </c>
      <c r="BP205" s="28">
        <f t="shared" si="114"/>
        <v>0</v>
      </c>
      <c r="BQ205" s="3439">
        <f t="shared" si="115"/>
        <v>0</v>
      </c>
      <c r="BR205" s="3439">
        <f t="shared" si="116"/>
        <v>0</v>
      </c>
      <c r="BS205" s="3439">
        <f t="shared" si="117"/>
        <v>0</v>
      </c>
      <c r="BT205" s="3451">
        <f t="shared" si="118"/>
        <v>0</v>
      </c>
    </row>
    <row r="206" spans="1:72">
      <c r="A206" s="9"/>
      <c r="B206" s="9"/>
      <c r="C206" s="9"/>
      <c r="D206" s="1678"/>
      <c r="E206" s="28">
        <f t="shared" si="119"/>
        <v>0</v>
      </c>
      <c r="F206" s="37"/>
      <c r="G206" s="30">
        <f>H206+AC206+AT206</f>
        <v>0</v>
      </c>
      <c r="H206" s="31">
        <f>SUMIF(I$12:AB$12,"总值",I206:AB206)</f>
        <v>0</v>
      </c>
      <c r="I206" s="32"/>
      <c r="J206" s="32"/>
      <c r="K206" s="32"/>
      <c r="L206" s="32"/>
      <c r="M206" s="32"/>
      <c r="N206" s="32"/>
      <c r="O206" s="32"/>
      <c r="P206" s="32"/>
      <c r="Q206" s="32"/>
      <c r="R206" s="32"/>
      <c r="S206" s="32"/>
      <c r="T206" s="32"/>
      <c r="U206" s="32"/>
      <c r="V206" s="32"/>
      <c r="W206" s="32"/>
      <c r="X206" s="32"/>
      <c r="Y206" s="32"/>
      <c r="Z206" s="32"/>
      <c r="AA206" s="32"/>
      <c r="AB206" s="32"/>
      <c r="AC206" s="28">
        <f>SUMIF(AD$12:AS$12,"总值",AD206:AS206)</f>
        <v>0</v>
      </c>
      <c r="AD206" s="33"/>
      <c r="AE206" s="33"/>
      <c r="AF206" s="33"/>
      <c r="AG206" s="33"/>
      <c r="AH206" s="33"/>
      <c r="AI206" s="33"/>
      <c r="AJ206" s="33"/>
      <c r="AK206" s="33"/>
      <c r="AL206" s="33"/>
      <c r="AM206" s="33"/>
      <c r="AN206" s="33"/>
      <c r="AO206" s="33"/>
      <c r="AP206" s="33"/>
      <c r="AQ206" s="33"/>
      <c r="AR206" s="33"/>
      <c r="AS206" s="33"/>
      <c r="AT206" s="33"/>
      <c r="AU206" s="1626"/>
      <c r="AV206" s="2256">
        <f t="shared" si="120"/>
        <v>0</v>
      </c>
      <c r="AW206" s="2256">
        <f t="shared" si="121"/>
        <v>0</v>
      </c>
      <c r="AX206" s="2256">
        <f t="shared" si="122"/>
        <v>0</v>
      </c>
      <c r="AY206" s="2781">
        <f>ROUND($AY$6*AZ206/$AZ$5,2)</f>
        <v>0</v>
      </c>
      <c r="AZ206" s="28">
        <f>BA206+BL206</f>
        <v>0</v>
      </c>
      <c r="BA206" s="28">
        <f>SUM(BB206:BK206)</f>
        <v>0</v>
      </c>
      <c r="BB206" s="28">
        <f t="shared" si="100"/>
        <v>0</v>
      </c>
      <c r="BC206" s="28">
        <f t="shared" si="101"/>
        <v>0</v>
      </c>
      <c r="BD206" s="3439">
        <f t="shared" si="102"/>
        <v>0</v>
      </c>
      <c r="BE206" s="3439">
        <f t="shared" si="103"/>
        <v>0</v>
      </c>
      <c r="BF206" s="3439">
        <f t="shared" si="104"/>
        <v>0</v>
      </c>
      <c r="BG206" s="3439">
        <f t="shared" si="105"/>
        <v>0</v>
      </c>
      <c r="BH206" s="3439">
        <f t="shared" si="106"/>
        <v>0</v>
      </c>
      <c r="BI206" s="3439">
        <f t="shared" si="107"/>
        <v>0</v>
      </c>
      <c r="BJ206" s="3439">
        <f t="shared" si="108"/>
        <v>0</v>
      </c>
      <c r="BK206" s="3439">
        <f t="shared" si="109"/>
        <v>0</v>
      </c>
      <c r="BL206" s="28">
        <f>SUM(BM206:BT206)</f>
        <v>0</v>
      </c>
      <c r="BM206" s="28">
        <f t="shared" si="111"/>
        <v>0</v>
      </c>
      <c r="BN206" s="28">
        <f t="shared" si="112"/>
        <v>0</v>
      </c>
      <c r="BO206" s="28">
        <f t="shared" si="113"/>
        <v>0</v>
      </c>
      <c r="BP206" s="28">
        <f t="shared" si="114"/>
        <v>0</v>
      </c>
      <c r="BQ206" s="3439">
        <f t="shared" si="115"/>
        <v>0</v>
      </c>
      <c r="BR206" s="3439">
        <f t="shared" si="116"/>
        <v>0</v>
      </c>
      <c r="BS206" s="3439">
        <f t="shared" si="117"/>
        <v>0</v>
      </c>
      <c r="BT206" s="3451">
        <f t="shared" si="118"/>
        <v>0</v>
      </c>
    </row>
    <row r="207" spans="1:72">
      <c r="A207" s="9"/>
      <c r="B207" s="9"/>
      <c r="C207" s="9"/>
      <c r="D207" s="1678"/>
      <c r="E207" s="28">
        <f t="shared" si="119"/>
        <v>0</v>
      </c>
      <c r="F207" s="37"/>
      <c r="G207" s="30">
        <f>H207+AC207+AT207</f>
        <v>0</v>
      </c>
      <c r="H207" s="31">
        <f>SUMIF(I$12:AB$12,"总值",I207:AB207)</f>
        <v>0</v>
      </c>
      <c r="I207" s="32"/>
      <c r="J207" s="32"/>
      <c r="K207" s="32"/>
      <c r="L207" s="32"/>
      <c r="M207" s="32"/>
      <c r="N207" s="32"/>
      <c r="O207" s="32"/>
      <c r="P207" s="32"/>
      <c r="Q207" s="32"/>
      <c r="R207" s="32"/>
      <c r="S207" s="32"/>
      <c r="T207" s="32"/>
      <c r="U207" s="32"/>
      <c r="V207" s="32"/>
      <c r="W207" s="32"/>
      <c r="X207" s="32"/>
      <c r="Y207" s="32"/>
      <c r="Z207" s="32"/>
      <c r="AA207" s="32"/>
      <c r="AB207" s="32"/>
      <c r="AC207" s="28">
        <f>SUMIF(AD$12:AS$12,"总值",AD207:AS207)</f>
        <v>0</v>
      </c>
      <c r="AD207" s="33"/>
      <c r="AE207" s="33"/>
      <c r="AF207" s="33"/>
      <c r="AG207" s="33"/>
      <c r="AH207" s="33"/>
      <c r="AI207" s="33"/>
      <c r="AJ207" s="33"/>
      <c r="AK207" s="33"/>
      <c r="AL207" s="33"/>
      <c r="AM207" s="33"/>
      <c r="AN207" s="33"/>
      <c r="AO207" s="33"/>
      <c r="AP207" s="33"/>
      <c r="AQ207" s="33"/>
      <c r="AR207" s="33"/>
      <c r="AS207" s="33"/>
      <c r="AT207" s="33"/>
      <c r="AU207" s="1626"/>
      <c r="AV207" s="2256">
        <f t="shared" si="120"/>
        <v>0</v>
      </c>
      <c r="AW207" s="2256">
        <f t="shared" si="121"/>
        <v>0</v>
      </c>
      <c r="AX207" s="2256">
        <f t="shared" si="122"/>
        <v>0</v>
      </c>
      <c r="AY207" s="2781">
        <f>ROUND($AY$6*AZ207/$AZ$5,2)</f>
        <v>0</v>
      </c>
      <c r="AZ207" s="28">
        <f>BA207+BL207</f>
        <v>0</v>
      </c>
      <c r="BA207" s="28">
        <f>SUM(BB207:BK207)</f>
        <v>0</v>
      </c>
      <c r="BB207" s="28">
        <f t="shared" si="100"/>
        <v>0</v>
      </c>
      <c r="BC207" s="28">
        <f t="shared" si="101"/>
        <v>0</v>
      </c>
      <c r="BD207" s="3439">
        <f t="shared" si="102"/>
        <v>0</v>
      </c>
      <c r="BE207" s="3439">
        <f t="shared" si="103"/>
        <v>0</v>
      </c>
      <c r="BF207" s="3439">
        <f t="shared" si="104"/>
        <v>0</v>
      </c>
      <c r="BG207" s="3439">
        <f t="shared" si="105"/>
        <v>0</v>
      </c>
      <c r="BH207" s="3439">
        <f t="shared" si="106"/>
        <v>0</v>
      </c>
      <c r="BI207" s="3439">
        <f t="shared" si="107"/>
        <v>0</v>
      </c>
      <c r="BJ207" s="3439">
        <f t="shared" si="108"/>
        <v>0</v>
      </c>
      <c r="BK207" s="3439">
        <f t="shared" si="109"/>
        <v>0</v>
      </c>
      <c r="BL207" s="28">
        <f>SUM(BM207:BT207)</f>
        <v>0</v>
      </c>
      <c r="BM207" s="28">
        <f t="shared" si="111"/>
        <v>0</v>
      </c>
      <c r="BN207" s="28">
        <f t="shared" si="112"/>
        <v>0</v>
      </c>
      <c r="BO207" s="28">
        <f t="shared" si="113"/>
        <v>0</v>
      </c>
      <c r="BP207" s="28">
        <f t="shared" si="114"/>
        <v>0</v>
      </c>
      <c r="BQ207" s="3439">
        <f t="shared" si="115"/>
        <v>0</v>
      </c>
      <c r="BR207" s="3439">
        <f t="shared" si="116"/>
        <v>0</v>
      </c>
      <c r="BS207" s="3439">
        <f t="shared" si="117"/>
        <v>0</v>
      </c>
      <c r="BT207" s="3451">
        <f t="shared" si="118"/>
        <v>0</v>
      </c>
    </row>
    <row r="208" spans="1:72">
      <c r="A208" s="9"/>
      <c r="B208" s="27"/>
      <c r="C208" s="27"/>
      <c r="D208" s="1678"/>
      <c r="E208" s="28">
        <f t="shared" ref="E208:E302" si="123">IF($C$3="是",ROUND($A$3*G208/$B$3,2),ROUND($A$3*(G208-AT208)/$B$3,2))</f>
        <v>0</v>
      </c>
      <c r="F208" s="29"/>
      <c r="G208" s="30">
        <f t="shared" ref="G208:G299" si="124">H208+AC208+AT208</f>
        <v>0</v>
      </c>
      <c r="H208" s="31">
        <f t="shared" ref="H208:H299" si="125">SUMIF(I$12:AB$12,"总值",I208:AB208)</f>
        <v>0</v>
      </c>
      <c r="I208" s="32"/>
      <c r="J208" s="32"/>
      <c r="K208" s="32"/>
      <c r="L208" s="32"/>
      <c r="M208" s="32"/>
      <c r="N208" s="32"/>
      <c r="O208" s="32"/>
      <c r="P208" s="32"/>
      <c r="Q208" s="32"/>
      <c r="R208" s="32"/>
      <c r="S208" s="32"/>
      <c r="T208" s="32"/>
      <c r="U208" s="32"/>
      <c r="V208" s="32"/>
      <c r="W208" s="32"/>
      <c r="X208" s="32"/>
      <c r="Y208" s="32"/>
      <c r="Z208" s="32"/>
      <c r="AA208" s="32"/>
      <c r="AB208" s="32"/>
      <c r="AC208" s="28">
        <f t="shared" ref="AC208:AC299" si="126">SUMIF(AD$12:AS$12,"总值",AD208:AS208)</f>
        <v>0</v>
      </c>
      <c r="AD208" s="33"/>
      <c r="AE208" s="33"/>
      <c r="AF208" s="33"/>
      <c r="AG208" s="33"/>
      <c r="AH208" s="33"/>
      <c r="AI208" s="33"/>
      <c r="AJ208" s="33"/>
      <c r="AK208" s="33"/>
      <c r="AL208" s="33"/>
      <c r="AM208" s="33"/>
      <c r="AN208" s="33"/>
      <c r="AO208" s="33"/>
      <c r="AP208" s="33"/>
      <c r="AQ208" s="33"/>
      <c r="AR208" s="33"/>
      <c r="AS208" s="33"/>
      <c r="AT208" s="34"/>
      <c r="AU208" s="1679"/>
      <c r="AV208" s="2256">
        <f t="shared" ref="AV208:AV302" si="127">A208</f>
        <v>0</v>
      </c>
      <c r="AW208" s="2256">
        <f t="shared" ref="AW208:AW302" si="128">B208</f>
        <v>0</v>
      </c>
      <c r="AX208" s="2256">
        <f t="shared" ref="AX208:AX302" si="129">C208</f>
        <v>0</v>
      </c>
      <c r="AY208" s="2781">
        <f t="shared" ref="AY208:AY299" si="130">ROUND($AY$6*AZ208/$AZ$5,2)</f>
        <v>0</v>
      </c>
      <c r="AZ208" s="28">
        <f t="shared" ref="AZ208:AZ299" si="131">BA208+BL208</f>
        <v>0</v>
      </c>
      <c r="BA208" s="28">
        <f t="shared" ref="BA208:BA299" si="132">SUM(BB208:BK208)</f>
        <v>0</v>
      </c>
      <c r="BB208" s="28">
        <f t="shared" ref="BB208:BB299" si="133">IF($D208="是",I208-J208,0)</f>
        <v>0</v>
      </c>
      <c r="BC208" s="28">
        <f t="shared" ref="BC208:BC299" si="134">IF($D208="是",K208-L208,0)</f>
        <v>0</v>
      </c>
      <c r="BD208" s="3439">
        <f t="shared" ref="BD208:BD299" si="135">IF($D208="是",M208-N208,0)</f>
        <v>0</v>
      </c>
      <c r="BE208" s="3439">
        <f t="shared" ref="BE208:BE299" si="136">IF($D208="是",O208-P208,0)</f>
        <v>0</v>
      </c>
      <c r="BF208" s="3439">
        <f t="shared" ref="BF208:BF299" si="137">IF($D208="是",Q208-R208,0)</f>
        <v>0</v>
      </c>
      <c r="BG208" s="3439">
        <f t="shared" ref="BG208:BG299" si="138">IF($D208="是",S208-T208,0)</f>
        <v>0</v>
      </c>
      <c r="BH208" s="3439">
        <f t="shared" ref="BH208:BH299" si="139">IF($D208="是",U208-V208,0)</f>
        <v>0</v>
      </c>
      <c r="BI208" s="3439">
        <f t="shared" ref="BI208:BI299" si="140">IF($D208="是",W208-X208,0)</f>
        <v>0</v>
      </c>
      <c r="BJ208" s="3439">
        <f t="shared" ref="BJ208:BJ299" si="141">IF($D208="是",Y208-Z208,0)</f>
        <v>0</v>
      </c>
      <c r="BK208" s="3439">
        <f t="shared" ref="BK208:BK299" si="142">IF($D208="是",AA208-AB208,0)</f>
        <v>0</v>
      </c>
      <c r="BL208" s="28">
        <f t="shared" ref="BL208:BL299" si="143">SUM(BM208:BT208)</f>
        <v>0</v>
      </c>
      <c r="BM208" s="28">
        <f t="shared" ref="BM208:BM299" si="144">IF($D208="是",AD208-AE208,0)</f>
        <v>0</v>
      </c>
      <c r="BN208" s="28">
        <f t="shared" ref="BN208:BN299" si="145">IF($D208="是",AF208-AG208,0)</f>
        <v>0</v>
      </c>
      <c r="BO208" s="28">
        <f t="shared" ref="BO208:BO299" si="146">IF($D208="是",AH208-AI208,0)</f>
        <v>0</v>
      </c>
      <c r="BP208" s="28">
        <f t="shared" ref="BP208:BP299" si="147">IF($D208="是",AJ208-AK208,0)</f>
        <v>0</v>
      </c>
      <c r="BQ208" s="3439">
        <f t="shared" ref="BQ208:BQ299" si="148">IF($D208="是",AL208-AM208,0)</f>
        <v>0</v>
      </c>
      <c r="BR208" s="3439">
        <f t="shared" ref="BR208:BR299" si="149">IF($D208="是",AN208-AO208,0)</f>
        <v>0</v>
      </c>
      <c r="BS208" s="3439">
        <f t="shared" ref="BS208:BS299" si="150">IF($D208="是",AP208-AQ208,0)</f>
        <v>0</v>
      </c>
      <c r="BT208" s="3451">
        <f t="shared" ref="BT208:BT299" si="151">IF($D208="是",AR208-AS208,0)</f>
        <v>0</v>
      </c>
    </row>
    <row r="209" spans="1:72">
      <c r="A209" s="9"/>
      <c r="B209" s="27"/>
      <c r="C209" s="27"/>
      <c r="D209" s="1678"/>
      <c r="E209" s="28">
        <f t="shared" si="123"/>
        <v>0</v>
      </c>
      <c r="F209" s="29"/>
      <c r="G209" s="30">
        <f t="shared" si="124"/>
        <v>0</v>
      </c>
      <c r="H209" s="31">
        <f t="shared" si="125"/>
        <v>0</v>
      </c>
      <c r="I209" s="32"/>
      <c r="J209" s="32"/>
      <c r="K209" s="32"/>
      <c r="L209" s="32"/>
      <c r="M209" s="32"/>
      <c r="N209" s="32"/>
      <c r="O209" s="32"/>
      <c r="P209" s="32"/>
      <c r="Q209" s="32"/>
      <c r="R209" s="32"/>
      <c r="S209" s="32"/>
      <c r="T209" s="32"/>
      <c r="U209" s="32"/>
      <c r="V209" s="32"/>
      <c r="W209" s="32"/>
      <c r="X209" s="32"/>
      <c r="Y209" s="32"/>
      <c r="Z209" s="32"/>
      <c r="AA209" s="32"/>
      <c r="AB209" s="32"/>
      <c r="AC209" s="28">
        <f t="shared" si="126"/>
        <v>0</v>
      </c>
      <c r="AD209" s="33"/>
      <c r="AE209" s="33"/>
      <c r="AF209" s="33"/>
      <c r="AG209" s="33"/>
      <c r="AH209" s="33"/>
      <c r="AI209" s="33"/>
      <c r="AJ209" s="33"/>
      <c r="AK209" s="33"/>
      <c r="AL209" s="33"/>
      <c r="AM209" s="33"/>
      <c r="AN209" s="33"/>
      <c r="AO209" s="33"/>
      <c r="AP209" s="33"/>
      <c r="AQ209" s="33"/>
      <c r="AR209" s="33"/>
      <c r="AS209" s="33"/>
      <c r="AT209" s="34"/>
      <c r="AU209" s="1679"/>
      <c r="AV209" s="2256">
        <f t="shared" si="127"/>
        <v>0</v>
      </c>
      <c r="AW209" s="2256">
        <f t="shared" si="128"/>
        <v>0</v>
      </c>
      <c r="AX209" s="2256">
        <f t="shared" si="129"/>
        <v>0</v>
      </c>
      <c r="AY209" s="2781">
        <f t="shared" si="130"/>
        <v>0</v>
      </c>
      <c r="AZ209" s="28">
        <f t="shared" si="131"/>
        <v>0</v>
      </c>
      <c r="BA209" s="28">
        <f t="shared" si="132"/>
        <v>0</v>
      </c>
      <c r="BB209" s="28">
        <f t="shared" si="133"/>
        <v>0</v>
      </c>
      <c r="BC209" s="28">
        <f t="shared" si="134"/>
        <v>0</v>
      </c>
      <c r="BD209" s="3439">
        <f t="shared" si="135"/>
        <v>0</v>
      </c>
      <c r="BE209" s="3439">
        <f t="shared" si="136"/>
        <v>0</v>
      </c>
      <c r="BF209" s="3439">
        <f t="shared" si="137"/>
        <v>0</v>
      </c>
      <c r="BG209" s="3439">
        <f t="shared" si="138"/>
        <v>0</v>
      </c>
      <c r="BH209" s="3439">
        <f t="shared" si="139"/>
        <v>0</v>
      </c>
      <c r="BI209" s="3439">
        <f t="shared" si="140"/>
        <v>0</v>
      </c>
      <c r="BJ209" s="3439">
        <f t="shared" si="141"/>
        <v>0</v>
      </c>
      <c r="BK209" s="3439">
        <f t="shared" si="142"/>
        <v>0</v>
      </c>
      <c r="BL209" s="28">
        <f t="shared" si="143"/>
        <v>0</v>
      </c>
      <c r="BM209" s="28">
        <f t="shared" si="144"/>
        <v>0</v>
      </c>
      <c r="BN209" s="28">
        <f t="shared" si="145"/>
        <v>0</v>
      </c>
      <c r="BO209" s="28">
        <f t="shared" si="146"/>
        <v>0</v>
      </c>
      <c r="BP209" s="28">
        <f t="shared" si="147"/>
        <v>0</v>
      </c>
      <c r="BQ209" s="3439">
        <f t="shared" si="148"/>
        <v>0</v>
      </c>
      <c r="BR209" s="3439">
        <f t="shared" si="149"/>
        <v>0</v>
      </c>
      <c r="BS209" s="3439">
        <f t="shared" si="150"/>
        <v>0</v>
      </c>
      <c r="BT209" s="3451">
        <f t="shared" si="151"/>
        <v>0</v>
      </c>
    </row>
    <row r="210" spans="1:72">
      <c r="A210" s="9"/>
      <c r="B210" s="27"/>
      <c r="C210" s="27"/>
      <c r="D210" s="1678"/>
      <c r="E210" s="28">
        <f t="shared" si="123"/>
        <v>0</v>
      </c>
      <c r="F210" s="29"/>
      <c r="G210" s="30">
        <f t="shared" si="124"/>
        <v>0</v>
      </c>
      <c r="H210" s="31">
        <f t="shared" si="125"/>
        <v>0</v>
      </c>
      <c r="I210" s="32"/>
      <c r="J210" s="32"/>
      <c r="K210" s="32"/>
      <c r="L210" s="32"/>
      <c r="M210" s="32"/>
      <c r="N210" s="32"/>
      <c r="O210" s="32"/>
      <c r="P210" s="32"/>
      <c r="Q210" s="32"/>
      <c r="R210" s="32"/>
      <c r="S210" s="32"/>
      <c r="T210" s="32"/>
      <c r="U210" s="32"/>
      <c r="V210" s="32"/>
      <c r="W210" s="32"/>
      <c r="X210" s="32"/>
      <c r="Y210" s="32"/>
      <c r="Z210" s="32"/>
      <c r="AA210" s="32"/>
      <c r="AB210" s="32"/>
      <c r="AC210" s="28">
        <f t="shared" si="126"/>
        <v>0</v>
      </c>
      <c r="AD210" s="33"/>
      <c r="AE210" s="33"/>
      <c r="AF210" s="33"/>
      <c r="AG210" s="33"/>
      <c r="AH210" s="33"/>
      <c r="AI210" s="33"/>
      <c r="AJ210" s="33"/>
      <c r="AK210" s="33"/>
      <c r="AL210" s="33"/>
      <c r="AM210" s="33"/>
      <c r="AN210" s="33"/>
      <c r="AO210" s="33"/>
      <c r="AP210" s="33"/>
      <c r="AQ210" s="33"/>
      <c r="AR210" s="33"/>
      <c r="AS210" s="33"/>
      <c r="AT210" s="34"/>
      <c r="AU210" s="1679"/>
      <c r="AV210" s="2256">
        <f t="shared" si="127"/>
        <v>0</v>
      </c>
      <c r="AW210" s="2256">
        <f t="shared" si="128"/>
        <v>0</v>
      </c>
      <c r="AX210" s="2256">
        <f t="shared" si="129"/>
        <v>0</v>
      </c>
      <c r="AY210" s="2781">
        <f t="shared" si="130"/>
        <v>0</v>
      </c>
      <c r="AZ210" s="28">
        <f t="shared" si="131"/>
        <v>0</v>
      </c>
      <c r="BA210" s="28">
        <f t="shared" si="132"/>
        <v>0</v>
      </c>
      <c r="BB210" s="28">
        <f t="shared" si="133"/>
        <v>0</v>
      </c>
      <c r="BC210" s="28">
        <f t="shared" si="134"/>
        <v>0</v>
      </c>
      <c r="BD210" s="3439">
        <f t="shared" si="135"/>
        <v>0</v>
      </c>
      <c r="BE210" s="3439">
        <f t="shared" si="136"/>
        <v>0</v>
      </c>
      <c r="BF210" s="3439">
        <f t="shared" si="137"/>
        <v>0</v>
      </c>
      <c r="BG210" s="3439">
        <f t="shared" si="138"/>
        <v>0</v>
      </c>
      <c r="BH210" s="3439">
        <f t="shared" si="139"/>
        <v>0</v>
      </c>
      <c r="BI210" s="3439">
        <f t="shared" si="140"/>
        <v>0</v>
      </c>
      <c r="BJ210" s="3439">
        <f t="shared" si="141"/>
        <v>0</v>
      </c>
      <c r="BK210" s="3439">
        <f t="shared" si="142"/>
        <v>0</v>
      </c>
      <c r="BL210" s="28">
        <f t="shared" si="143"/>
        <v>0</v>
      </c>
      <c r="BM210" s="28">
        <f t="shared" si="144"/>
        <v>0</v>
      </c>
      <c r="BN210" s="28">
        <f t="shared" si="145"/>
        <v>0</v>
      </c>
      <c r="BO210" s="28">
        <f t="shared" si="146"/>
        <v>0</v>
      </c>
      <c r="BP210" s="28">
        <f t="shared" si="147"/>
        <v>0</v>
      </c>
      <c r="BQ210" s="3439">
        <f t="shared" si="148"/>
        <v>0</v>
      </c>
      <c r="BR210" s="3439">
        <f t="shared" si="149"/>
        <v>0</v>
      </c>
      <c r="BS210" s="3439">
        <f t="shared" si="150"/>
        <v>0</v>
      </c>
      <c r="BT210" s="3451">
        <f t="shared" si="151"/>
        <v>0</v>
      </c>
    </row>
    <row r="211" spans="1:72">
      <c r="A211" s="9"/>
      <c r="B211" s="27"/>
      <c r="C211" s="27"/>
      <c r="D211" s="1678"/>
      <c r="E211" s="28">
        <f t="shared" si="123"/>
        <v>0</v>
      </c>
      <c r="F211" s="29"/>
      <c r="G211" s="30">
        <f t="shared" si="124"/>
        <v>0</v>
      </c>
      <c r="H211" s="31">
        <f t="shared" si="125"/>
        <v>0</v>
      </c>
      <c r="I211" s="32"/>
      <c r="J211" s="32"/>
      <c r="K211" s="32"/>
      <c r="L211" s="32"/>
      <c r="M211" s="32"/>
      <c r="N211" s="32"/>
      <c r="O211" s="32"/>
      <c r="P211" s="32"/>
      <c r="Q211" s="32"/>
      <c r="R211" s="32"/>
      <c r="S211" s="32"/>
      <c r="T211" s="32"/>
      <c r="U211" s="32"/>
      <c r="V211" s="32"/>
      <c r="W211" s="32"/>
      <c r="X211" s="32"/>
      <c r="Y211" s="32"/>
      <c r="Z211" s="32"/>
      <c r="AA211" s="32"/>
      <c r="AB211" s="32"/>
      <c r="AC211" s="28">
        <f t="shared" si="126"/>
        <v>0</v>
      </c>
      <c r="AD211" s="33"/>
      <c r="AE211" s="33"/>
      <c r="AF211" s="33"/>
      <c r="AG211" s="33"/>
      <c r="AH211" s="33"/>
      <c r="AI211" s="33"/>
      <c r="AJ211" s="33"/>
      <c r="AK211" s="33"/>
      <c r="AL211" s="33"/>
      <c r="AM211" s="33"/>
      <c r="AN211" s="33"/>
      <c r="AO211" s="33"/>
      <c r="AP211" s="33"/>
      <c r="AQ211" s="33"/>
      <c r="AR211" s="33"/>
      <c r="AS211" s="33"/>
      <c r="AT211" s="34"/>
      <c r="AU211" s="1679"/>
      <c r="AV211" s="2256">
        <f t="shared" si="127"/>
        <v>0</v>
      </c>
      <c r="AW211" s="2256">
        <f t="shared" si="128"/>
        <v>0</v>
      </c>
      <c r="AX211" s="2256">
        <f t="shared" si="129"/>
        <v>0</v>
      </c>
      <c r="AY211" s="2781">
        <f t="shared" si="130"/>
        <v>0</v>
      </c>
      <c r="AZ211" s="28">
        <f t="shared" si="131"/>
        <v>0</v>
      </c>
      <c r="BA211" s="28">
        <f t="shared" si="132"/>
        <v>0</v>
      </c>
      <c r="BB211" s="28">
        <f t="shared" si="133"/>
        <v>0</v>
      </c>
      <c r="BC211" s="28">
        <f t="shared" si="134"/>
        <v>0</v>
      </c>
      <c r="BD211" s="3439">
        <f t="shared" si="135"/>
        <v>0</v>
      </c>
      <c r="BE211" s="3439">
        <f t="shared" si="136"/>
        <v>0</v>
      </c>
      <c r="BF211" s="3439">
        <f t="shared" si="137"/>
        <v>0</v>
      </c>
      <c r="BG211" s="3439">
        <f t="shared" si="138"/>
        <v>0</v>
      </c>
      <c r="BH211" s="3439">
        <f t="shared" si="139"/>
        <v>0</v>
      </c>
      <c r="BI211" s="3439">
        <f t="shared" si="140"/>
        <v>0</v>
      </c>
      <c r="BJ211" s="3439">
        <f t="shared" si="141"/>
        <v>0</v>
      </c>
      <c r="BK211" s="3439">
        <f t="shared" si="142"/>
        <v>0</v>
      </c>
      <c r="BL211" s="28">
        <f t="shared" si="143"/>
        <v>0</v>
      </c>
      <c r="BM211" s="28">
        <f t="shared" si="144"/>
        <v>0</v>
      </c>
      <c r="BN211" s="28">
        <f t="shared" si="145"/>
        <v>0</v>
      </c>
      <c r="BO211" s="28">
        <f t="shared" si="146"/>
        <v>0</v>
      </c>
      <c r="BP211" s="28">
        <f t="shared" si="147"/>
        <v>0</v>
      </c>
      <c r="BQ211" s="3439">
        <f t="shared" si="148"/>
        <v>0</v>
      </c>
      <c r="BR211" s="3439">
        <f t="shared" si="149"/>
        <v>0</v>
      </c>
      <c r="BS211" s="3439">
        <f t="shared" si="150"/>
        <v>0</v>
      </c>
      <c r="BT211" s="3451">
        <f t="shared" si="151"/>
        <v>0</v>
      </c>
    </row>
    <row r="212" spans="1:72">
      <c r="A212" s="9"/>
      <c r="B212" s="27"/>
      <c r="C212" s="27"/>
      <c r="D212" s="1678"/>
      <c r="E212" s="28">
        <f t="shared" si="123"/>
        <v>0</v>
      </c>
      <c r="F212" s="29"/>
      <c r="G212" s="30">
        <f t="shared" si="124"/>
        <v>0</v>
      </c>
      <c r="H212" s="31">
        <f t="shared" si="125"/>
        <v>0</v>
      </c>
      <c r="I212" s="32"/>
      <c r="J212" s="32"/>
      <c r="K212" s="32"/>
      <c r="L212" s="32"/>
      <c r="M212" s="32"/>
      <c r="N212" s="32"/>
      <c r="O212" s="32"/>
      <c r="P212" s="32"/>
      <c r="Q212" s="32"/>
      <c r="R212" s="32"/>
      <c r="S212" s="32"/>
      <c r="T212" s="32"/>
      <c r="U212" s="32"/>
      <c r="V212" s="32"/>
      <c r="W212" s="32"/>
      <c r="X212" s="32"/>
      <c r="Y212" s="32"/>
      <c r="Z212" s="32"/>
      <c r="AA212" s="32"/>
      <c r="AB212" s="32"/>
      <c r="AC212" s="28">
        <f t="shared" si="126"/>
        <v>0</v>
      </c>
      <c r="AD212" s="33"/>
      <c r="AE212" s="33"/>
      <c r="AF212" s="33"/>
      <c r="AG212" s="33"/>
      <c r="AH212" s="33"/>
      <c r="AI212" s="33"/>
      <c r="AJ212" s="33"/>
      <c r="AK212" s="33"/>
      <c r="AL212" s="33"/>
      <c r="AM212" s="33"/>
      <c r="AN212" s="33"/>
      <c r="AO212" s="33"/>
      <c r="AP212" s="33"/>
      <c r="AQ212" s="33"/>
      <c r="AR212" s="33"/>
      <c r="AS212" s="33"/>
      <c r="AT212" s="34"/>
      <c r="AU212" s="1679"/>
      <c r="AV212" s="2256">
        <f t="shared" si="127"/>
        <v>0</v>
      </c>
      <c r="AW212" s="2256">
        <f t="shared" si="128"/>
        <v>0</v>
      </c>
      <c r="AX212" s="2256">
        <f t="shared" si="129"/>
        <v>0</v>
      </c>
      <c r="AY212" s="2781">
        <f t="shared" si="130"/>
        <v>0</v>
      </c>
      <c r="AZ212" s="28">
        <f t="shared" si="131"/>
        <v>0</v>
      </c>
      <c r="BA212" s="28">
        <f t="shared" si="132"/>
        <v>0</v>
      </c>
      <c r="BB212" s="28">
        <f t="shared" si="133"/>
        <v>0</v>
      </c>
      <c r="BC212" s="28">
        <f t="shared" si="134"/>
        <v>0</v>
      </c>
      <c r="BD212" s="3439">
        <f t="shared" si="135"/>
        <v>0</v>
      </c>
      <c r="BE212" s="3439">
        <f t="shared" si="136"/>
        <v>0</v>
      </c>
      <c r="BF212" s="3439">
        <f t="shared" si="137"/>
        <v>0</v>
      </c>
      <c r="BG212" s="3439">
        <f t="shared" si="138"/>
        <v>0</v>
      </c>
      <c r="BH212" s="3439">
        <f t="shared" si="139"/>
        <v>0</v>
      </c>
      <c r="BI212" s="3439">
        <f t="shared" si="140"/>
        <v>0</v>
      </c>
      <c r="BJ212" s="3439">
        <f t="shared" si="141"/>
        <v>0</v>
      </c>
      <c r="BK212" s="3439">
        <f t="shared" si="142"/>
        <v>0</v>
      </c>
      <c r="BL212" s="28">
        <f t="shared" si="143"/>
        <v>0</v>
      </c>
      <c r="BM212" s="28">
        <f t="shared" si="144"/>
        <v>0</v>
      </c>
      <c r="BN212" s="28">
        <f t="shared" si="145"/>
        <v>0</v>
      </c>
      <c r="BO212" s="28">
        <f t="shared" si="146"/>
        <v>0</v>
      </c>
      <c r="BP212" s="28">
        <f t="shared" si="147"/>
        <v>0</v>
      </c>
      <c r="BQ212" s="3439">
        <f t="shared" si="148"/>
        <v>0</v>
      </c>
      <c r="BR212" s="3439">
        <f t="shared" si="149"/>
        <v>0</v>
      </c>
      <c r="BS212" s="3439">
        <f t="shared" si="150"/>
        <v>0</v>
      </c>
      <c r="BT212" s="3451">
        <f t="shared" si="151"/>
        <v>0</v>
      </c>
    </row>
    <row r="213" spans="1:72">
      <c r="A213" s="9"/>
      <c r="B213" s="27"/>
      <c r="C213" s="27"/>
      <c r="D213" s="1678"/>
      <c r="E213" s="28">
        <f t="shared" si="123"/>
        <v>0</v>
      </c>
      <c r="F213" s="29"/>
      <c r="G213" s="30">
        <f t="shared" si="124"/>
        <v>0</v>
      </c>
      <c r="H213" s="31">
        <f t="shared" si="125"/>
        <v>0</v>
      </c>
      <c r="I213" s="32"/>
      <c r="J213" s="32"/>
      <c r="K213" s="32"/>
      <c r="L213" s="32"/>
      <c r="M213" s="32"/>
      <c r="N213" s="32"/>
      <c r="O213" s="32"/>
      <c r="P213" s="32"/>
      <c r="Q213" s="32"/>
      <c r="R213" s="32"/>
      <c r="S213" s="32"/>
      <c r="T213" s="32"/>
      <c r="U213" s="32"/>
      <c r="V213" s="32"/>
      <c r="W213" s="32"/>
      <c r="X213" s="32"/>
      <c r="Y213" s="32"/>
      <c r="Z213" s="32"/>
      <c r="AA213" s="32"/>
      <c r="AB213" s="32"/>
      <c r="AC213" s="28">
        <f t="shared" si="126"/>
        <v>0</v>
      </c>
      <c r="AD213" s="33"/>
      <c r="AE213" s="33"/>
      <c r="AF213" s="33"/>
      <c r="AG213" s="33"/>
      <c r="AH213" s="33"/>
      <c r="AI213" s="33"/>
      <c r="AJ213" s="33"/>
      <c r="AK213" s="33"/>
      <c r="AL213" s="33"/>
      <c r="AM213" s="33"/>
      <c r="AN213" s="33"/>
      <c r="AO213" s="33"/>
      <c r="AP213" s="33"/>
      <c r="AQ213" s="33"/>
      <c r="AR213" s="33"/>
      <c r="AS213" s="33"/>
      <c r="AT213" s="34"/>
      <c r="AU213" s="1679"/>
      <c r="AV213" s="2256">
        <f t="shared" si="127"/>
        <v>0</v>
      </c>
      <c r="AW213" s="2256">
        <f t="shared" si="128"/>
        <v>0</v>
      </c>
      <c r="AX213" s="2256">
        <f t="shared" si="129"/>
        <v>0</v>
      </c>
      <c r="AY213" s="2781">
        <f t="shared" si="130"/>
        <v>0</v>
      </c>
      <c r="AZ213" s="28">
        <f t="shared" si="131"/>
        <v>0</v>
      </c>
      <c r="BA213" s="28">
        <f t="shared" si="132"/>
        <v>0</v>
      </c>
      <c r="BB213" s="28">
        <f t="shared" si="133"/>
        <v>0</v>
      </c>
      <c r="BC213" s="28">
        <f t="shared" si="134"/>
        <v>0</v>
      </c>
      <c r="BD213" s="3439">
        <f t="shared" si="135"/>
        <v>0</v>
      </c>
      <c r="BE213" s="3439">
        <f t="shared" si="136"/>
        <v>0</v>
      </c>
      <c r="BF213" s="3439">
        <f t="shared" si="137"/>
        <v>0</v>
      </c>
      <c r="BG213" s="3439">
        <f t="shared" si="138"/>
        <v>0</v>
      </c>
      <c r="BH213" s="3439">
        <f t="shared" si="139"/>
        <v>0</v>
      </c>
      <c r="BI213" s="3439">
        <f t="shared" si="140"/>
        <v>0</v>
      </c>
      <c r="BJ213" s="3439">
        <f t="shared" si="141"/>
        <v>0</v>
      </c>
      <c r="BK213" s="3439">
        <f t="shared" si="142"/>
        <v>0</v>
      </c>
      <c r="BL213" s="28">
        <f t="shared" si="143"/>
        <v>0</v>
      </c>
      <c r="BM213" s="28">
        <f t="shared" si="144"/>
        <v>0</v>
      </c>
      <c r="BN213" s="28">
        <f t="shared" si="145"/>
        <v>0</v>
      </c>
      <c r="BO213" s="28">
        <f t="shared" si="146"/>
        <v>0</v>
      </c>
      <c r="BP213" s="28">
        <f t="shared" si="147"/>
        <v>0</v>
      </c>
      <c r="BQ213" s="3439">
        <f t="shared" si="148"/>
        <v>0</v>
      </c>
      <c r="BR213" s="3439">
        <f t="shared" si="149"/>
        <v>0</v>
      </c>
      <c r="BS213" s="3439">
        <f t="shared" si="150"/>
        <v>0</v>
      </c>
      <c r="BT213" s="3451">
        <f t="shared" si="151"/>
        <v>0</v>
      </c>
    </row>
    <row r="214" spans="1:72">
      <c r="A214" s="9"/>
      <c r="B214" s="27"/>
      <c r="C214" s="27"/>
      <c r="D214" s="1678"/>
      <c r="E214" s="28">
        <f t="shared" si="123"/>
        <v>0</v>
      </c>
      <c r="F214" s="29"/>
      <c r="G214" s="30">
        <f t="shared" si="124"/>
        <v>0</v>
      </c>
      <c r="H214" s="31">
        <f t="shared" si="125"/>
        <v>0</v>
      </c>
      <c r="I214" s="32"/>
      <c r="J214" s="32"/>
      <c r="K214" s="32"/>
      <c r="L214" s="32"/>
      <c r="M214" s="32"/>
      <c r="N214" s="32"/>
      <c r="O214" s="32"/>
      <c r="P214" s="32"/>
      <c r="Q214" s="32"/>
      <c r="R214" s="32"/>
      <c r="S214" s="32"/>
      <c r="T214" s="32"/>
      <c r="U214" s="32"/>
      <c r="V214" s="32"/>
      <c r="W214" s="32"/>
      <c r="X214" s="32"/>
      <c r="Y214" s="32"/>
      <c r="Z214" s="32"/>
      <c r="AA214" s="32"/>
      <c r="AB214" s="32"/>
      <c r="AC214" s="28">
        <f t="shared" si="126"/>
        <v>0</v>
      </c>
      <c r="AD214" s="33"/>
      <c r="AE214" s="33"/>
      <c r="AF214" s="33"/>
      <c r="AG214" s="33"/>
      <c r="AH214" s="33"/>
      <c r="AI214" s="33"/>
      <c r="AJ214" s="33"/>
      <c r="AK214" s="33"/>
      <c r="AL214" s="33"/>
      <c r="AM214" s="33"/>
      <c r="AN214" s="33"/>
      <c r="AO214" s="33"/>
      <c r="AP214" s="33"/>
      <c r="AQ214" s="33"/>
      <c r="AR214" s="33"/>
      <c r="AS214" s="33"/>
      <c r="AT214" s="34"/>
      <c r="AU214" s="1679"/>
      <c r="AV214" s="2256">
        <f t="shared" si="127"/>
        <v>0</v>
      </c>
      <c r="AW214" s="2256">
        <f t="shared" si="128"/>
        <v>0</v>
      </c>
      <c r="AX214" s="2256">
        <f t="shared" si="129"/>
        <v>0</v>
      </c>
      <c r="AY214" s="2781">
        <f t="shared" si="130"/>
        <v>0</v>
      </c>
      <c r="AZ214" s="28">
        <f t="shared" si="131"/>
        <v>0</v>
      </c>
      <c r="BA214" s="28">
        <f t="shared" si="132"/>
        <v>0</v>
      </c>
      <c r="BB214" s="28">
        <f t="shared" si="133"/>
        <v>0</v>
      </c>
      <c r="BC214" s="28">
        <f t="shared" si="134"/>
        <v>0</v>
      </c>
      <c r="BD214" s="3439">
        <f t="shared" si="135"/>
        <v>0</v>
      </c>
      <c r="BE214" s="3439">
        <f t="shared" si="136"/>
        <v>0</v>
      </c>
      <c r="BF214" s="3439">
        <f t="shared" si="137"/>
        <v>0</v>
      </c>
      <c r="BG214" s="3439">
        <f t="shared" si="138"/>
        <v>0</v>
      </c>
      <c r="BH214" s="3439">
        <f t="shared" si="139"/>
        <v>0</v>
      </c>
      <c r="BI214" s="3439">
        <f t="shared" si="140"/>
        <v>0</v>
      </c>
      <c r="BJ214" s="3439">
        <f t="shared" si="141"/>
        <v>0</v>
      </c>
      <c r="BK214" s="3439">
        <f t="shared" si="142"/>
        <v>0</v>
      </c>
      <c r="BL214" s="28">
        <f t="shared" si="143"/>
        <v>0</v>
      </c>
      <c r="BM214" s="28">
        <f t="shared" si="144"/>
        <v>0</v>
      </c>
      <c r="BN214" s="28">
        <f t="shared" si="145"/>
        <v>0</v>
      </c>
      <c r="BO214" s="28">
        <f t="shared" si="146"/>
        <v>0</v>
      </c>
      <c r="BP214" s="28">
        <f t="shared" si="147"/>
        <v>0</v>
      </c>
      <c r="BQ214" s="3439">
        <f t="shared" si="148"/>
        <v>0</v>
      </c>
      <c r="BR214" s="3439">
        <f t="shared" si="149"/>
        <v>0</v>
      </c>
      <c r="BS214" s="3439">
        <f t="shared" si="150"/>
        <v>0</v>
      </c>
      <c r="BT214" s="3451">
        <f t="shared" si="151"/>
        <v>0</v>
      </c>
    </row>
    <row r="215" spans="1:72">
      <c r="A215" s="9"/>
      <c r="B215" s="27"/>
      <c r="C215" s="27"/>
      <c r="D215" s="1678"/>
      <c r="E215" s="28">
        <f t="shared" si="123"/>
        <v>0</v>
      </c>
      <c r="F215" s="29"/>
      <c r="G215" s="30">
        <f t="shared" si="124"/>
        <v>0</v>
      </c>
      <c r="H215" s="31">
        <f t="shared" si="125"/>
        <v>0</v>
      </c>
      <c r="I215" s="32"/>
      <c r="J215" s="32"/>
      <c r="K215" s="32"/>
      <c r="L215" s="32"/>
      <c r="M215" s="32"/>
      <c r="N215" s="32"/>
      <c r="O215" s="32"/>
      <c r="P215" s="32"/>
      <c r="Q215" s="32"/>
      <c r="R215" s="32"/>
      <c r="S215" s="32"/>
      <c r="T215" s="32"/>
      <c r="U215" s="32"/>
      <c r="V215" s="32"/>
      <c r="W215" s="32"/>
      <c r="X215" s="32"/>
      <c r="Y215" s="32"/>
      <c r="Z215" s="32"/>
      <c r="AA215" s="32"/>
      <c r="AB215" s="32"/>
      <c r="AC215" s="28">
        <f t="shared" si="126"/>
        <v>0</v>
      </c>
      <c r="AD215" s="33"/>
      <c r="AE215" s="33"/>
      <c r="AF215" s="33"/>
      <c r="AG215" s="33"/>
      <c r="AH215" s="33"/>
      <c r="AI215" s="33"/>
      <c r="AJ215" s="33"/>
      <c r="AK215" s="33"/>
      <c r="AL215" s="33"/>
      <c r="AM215" s="33"/>
      <c r="AN215" s="33"/>
      <c r="AO215" s="33"/>
      <c r="AP215" s="33"/>
      <c r="AQ215" s="33"/>
      <c r="AR215" s="33"/>
      <c r="AS215" s="33"/>
      <c r="AT215" s="34"/>
      <c r="AU215" s="1679"/>
      <c r="AV215" s="2256">
        <f t="shared" si="127"/>
        <v>0</v>
      </c>
      <c r="AW215" s="2256">
        <f t="shared" si="128"/>
        <v>0</v>
      </c>
      <c r="AX215" s="2256">
        <f t="shared" si="129"/>
        <v>0</v>
      </c>
      <c r="AY215" s="2781">
        <f t="shared" si="130"/>
        <v>0</v>
      </c>
      <c r="AZ215" s="28">
        <f t="shared" si="131"/>
        <v>0</v>
      </c>
      <c r="BA215" s="28">
        <f t="shared" si="132"/>
        <v>0</v>
      </c>
      <c r="BB215" s="28">
        <f t="shared" si="133"/>
        <v>0</v>
      </c>
      <c r="BC215" s="28">
        <f t="shared" si="134"/>
        <v>0</v>
      </c>
      <c r="BD215" s="3439">
        <f t="shared" si="135"/>
        <v>0</v>
      </c>
      <c r="BE215" s="3439">
        <f t="shared" si="136"/>
        <v>0</v>
      </c>
      <c r="BF215" s="3439">
        <f t="shared" si="137"/>
        <v>0</v>
      </c>
      <c r="BG215" s="3439">
        <f t="shared" si="138"/>
        <v>0</v>
      </c>
      <c r="BH215" s="3439">
        <f t="shared" si="139"/>
        <v>0</v>
      </c>
      <c r="BI215" s="3439">
        <f t="shared" si="140"/>
        <v>0</v>
      </c>
      <c r="BJ215" s="3439">
        <f t="shared" si="141"/>
        <v>0</v>
      </c>
      <c r="BK215" s="3439">
        <f t="shared" si="142"/>
        <v>0</v>
      </c>
      <c r="BL215" s="28">
        <f t="shared" si="143"/>
        <v>0</v>
      </c>
      <c r="BM215" s="28">
        <f t="shared" si="144"/>
        <v>0</v>
      </c>
      <c r="BN215" s="28">
        <f t="shared" si="145"/>
        <v>0</v>
      </c>
      <c r="BO215" s="28">
        <f t="shared" si="146"/>
        <v>0</v>
      </c>
      <c r="BP215" s="28">
        <f t="shared" si="147"/>
        <v>0</v>
      </c>
      <c r="BQ215" s="3439">
        <f t="shared" si="148"/>
        <v>0</v>
      </c>
      <c r="BR215" s="3439">
        <f t="shared" si="149"/>
        <v>0</v>
      </c>
      <c r="BS215" s="3439">
        <f t="shared" si="150"/>
        <v>0</v>
      </c>
      <c r="BT215" s="3451">
        <f t="shared" si="151"/>
        <v>0</v>
      </c>
    </row>
    <row r="216" spans="1:72">
      <c r="A216" s="9"/>
      <c r="B216" s="27"/>
      <c r="C216" s="27"/>
      <c r="D216" s="1678"/>
      <c r="E216" s="28">
        <f t="shared" si="123"/>
        <v>0</v>
      </c>
      <c r="F216" s="29"/>
      <c r="G216" s="30">
        <f t="shared" si="124"/>
        <v>0</v>
      </c>
      <c r="H216" s="31">
        <f t="shared" si="125"/>
        <v>0</v>
      </c>
      <c r="I216" s="32"/>
      <c r="J216" s="32"/>
      <c r="K216" s="32"/>
      <c r="L216" s="32"/>
      <c r="M216" s="32"/>
      <c r="N216" s="32"/>
      <c r="O216" s="32"/>
      <c r="P216" s="32"/>
      <c r="Q216" s="32"/>
      <c r="R216" s="32"/>
      <c r="S216" s="32"/>
      <c r="T216" s="32"/>
      <c r="U216" s="32"/>
      <c r="V216" s="32"/>
      <c r="W216" s="32"/>
      <c r="X216" s="32"/>
      <c r="Y216" s="32"/>
      <c r="Z216" s="32"/>
      <c r="AA216" s="32"/>
      <c r="AB216" s="32"/>
      <c r="AC216" s="28">
        <f t="shared" si="126"/>
        <v>0</v>
      </c>
      <c r="AD216" s="33"/>
      <c r="AE216" s="33"/>
      <c r="AF216" s="33"/>
      <c r="AG216" s="33"/>
      <c r="AH216" s="33"/>
      <c r="AI216" s="33"/>
      <c r="AJ216" s="33"/>
      <c r="AK216" s="33"/>
      <c r="AL216" s="33"/>
      <c r="AM216" s="33"/>
      <c r="AN216" s="33"/>
      <c r="AO216" s="33"/>
      <c r="AP216" s="33"/>
      <c r="AQ216" s="33"/>
      <c r="AR216" s="33"/>
      <c r="AS216" s="33"/>
      <c r="AT216" s="34"/>
      <c r="AU216" s="1679"/>
      <c r="AV216" s="2256">
        <f t="shared" si="127"/>
        <v>0</v>
      </c>
      <c r="AW216" s="2256">
        <f t="shared" si="128"/>
        <v>0</v>
      </c>
      <c r="AX216" s="2256">
        <f t="shared" si="129"/>
        <v>0</v>
      </c>
      <c r="AY216" s="2781">
        <f t="shared" si="130"/>
        <v>0</v>
      </c>
      <c r="AZ216" s="28">
        <f t="shared" si="131"/>
        <v>0</v>
      </c>
      <c r="BA216" s="28">
        <f t="shared" si="132"/>
        <v>0</v>
      </c>
      <c r="BB216" s="28">
        <f t="shared" si="133"/>
        <v>0</v>
      </c>
      <c r="BC216" s="28">
        <f t="shared" si="134"/>
        <v>0</v>
      </c>
      <c r="BD216" s="3439">
        <f t="shared" si="135"/>
        <v>0</v>
      </c>
      <c r="BE216" s="3439">
        <f t="shared" si="136"/>
        <v>0</v>
      </c>
      <c r="BF216" s="3439">
        <f t="shared" si="137"/>
        <v>0</v>
      </c>
      <c r="BG216" s="3439">
        <f t="shared" si="138"/>
        <v>0</v>
      </c>
      <c r="BH216" s="3439">
        <f t="shared" si="139"/>
        <v>0</v>
      </c>
      <c r="BI216" s="3439">
        <f t="shared" si="140"/>
        <v>0</v>
      </c>
      <c r="BJ216" s="3439">
        <f t="shared" si="141"/>
        <v>0</v>
      </c>
      <c r="BK216" s="3439">
        <f t="shared" si="142"/>
        <v>0</v>
      </c>
      <c r="BL216" s="28">
        <f t="shared" si="143"/>
        <v>0</v>
      </c>
      <c r="BM216" s="28">
        <f t="shared" si="144"/>
        <v>0</v>
      </c>
      <c r="BN216" s="28">
        <f t="shared" si="145"/>
        <v>0</v>
      </c>
      <c r="BO216" s="28">
        <f t="shared" si="146"/>
        <v>0</v>
      </c>
      <c r="BP216" s="28">
        <f t="shared" si="147"/>
        <v>0</v>
      </c>
      <c r="BQ216" s="3439">
        <f t="shared" si="148"/>
        <v>0</v>
      </c>
      <c r="BR216" s="3439">
        <f t="shared" si="149"/>
        <v>0</v>
      </c>
      <c r="BS216" s="3439">
        <f t="shared" si="150"/>
        <v>0</v>
      </c>
      <c r="BT216" s="3451">
        <f t="shared" si="151"/>
        <v>0</v>
      </c>
    </row>
    <row r="217" spans="1:72">
      <c r="A217" s="9"/>
      <c r="B217" s="27"/>
      <c r="C217" s="27"/>
      <c r="D217" s="1678"/>
      <c r="E217" s="28">
        <f t="shared" si="123"/>
        <v>0</v>
      </c>
      <c r="F217" s="29"/>
      <c r="G217" s="30">
        <f t="shared" si="124"/>
        <v>0</v>
      </c>
      <c r="H217" s="31">
        <f t="shared" si="125"/>
        <v>0</v>
      </c>
      <c r="I217" s="32"/>
      <c r="J217" s="32"/>
      <c r="K217" s="32"/>
      <c r="L217" s="32"/>
      <c r="M217" s="32"/>
      <c r="N217" s="32"/>
      <c r="O217" s="32"/>
      <c r="P217" s="32"/>
      <c r="Q217" s="32"/>
      <c r="R217" s="32"/>
      <c r="S217" s="32"/>
      <c r="T217" s="32"/>
      <c r="U217" s="32"/>
      <c r="V217" s="32"/>
      <c r="W217" s="32"/>
      <c r="X217" s="32"/>
      <c r="Y217" s="32"/>
      <c r="Z217" s="32"/>
      <c r="AA217" s="32"/>
      <c r="AB217" s="32"/>
      <c r="AC217" s="28">
        <f t="shared" si="126"/>
        <v>0</v>
      </c>
      <c r="AD217" s="33"/>
      <c r="AE217" s="33"/>
      <c r="AF217" s="33"/>
      <c r="AG217" s="33"/>
      <c r="AH217" s="33"/>
      <c r="AI217" s="33"/>
      <c r="AJ217" s="33"/>
      <c r="AK217" s="33"/>
      <c r="AL217" s="33"/>
      <c r="AM217" s="33"/>
      <c r="AN217" s="33"/>
      <c r="AO217" s="33"/>
      <c r="AP217" s="33"/>
      <c r="AQ217" s="33"/>
      <c r="AR217" s="33"/>
      <c r="AS217" s="33"/>
      <c r="AT217" s="34"/>
      <c r="AU217" s="1679"/>
      <c r="AV217" s="2256">
        <f t="shared" si="127"/>
        <v>0</v>
      </c>
      <c r="AW217" s="2256">
        <f t="shared" si="128"/>
        <v>0</v>
      </c>
      <c r="AX217" s="2256">
        <f t="shared" si="129"/>
        <v>0</v>
      </c>
      <c r="AY217" s="2781">
        <f t="shared" si="130"/>
        <v>0</v>
      </c>
      <c r="AZ217" s="28">
        <f t="shared" si="131"/>
        <v>0</v>
      </c>
      <c r="BA217" s="28">
        <f t="shared" si="132"/>
        <v>0</v>
      </c>
      <c r="BB217" s="28">
        <f t="shared" si="133"/>
        <v>0</v>
      </c>
      <c r="BC217" s="28">
        <f t="shared" si="134"/>
        <v>0</v>
      </c>
      <c r="BD217" s="3439">
        <f t="shared" si="135"/>
        <v>0</v>
      </c>
      <c r="BE217" s="3439">
        <f t="shared" si="136"/>
        <v>0</v>
      </c>
      <c r="BF217" s="3439">
        <f t="shared" si="137"/>
        <v>0</v>
      </c>
      <c r="BG217" s="3439">
        <f t="shared" si="138"/>
        <v>0</v>
      </c>
      <c r="BH217" s="3439">
        <f t="shared" si="139"/>
        <v>0</v>
      </c>
      <c r="BI217" s="3439">
        <f t="shared" si="140"/>
        <v>0</v>
      </c>
      <c r="BJ217" s="3439">
        <f t="shared" si="141"/>
        <v>0</v>
      </c>
      <c r="BK217" s="3439">
        <f t="shared" si="142"/>
        <v>0</v>
      </c>
      <c r="BL217" s="28">
        <f t="shared" si="143"/>
        <v>0</v>
      </c>
      <c r="BM217" s="28">
        <f t="shared" si="144"/>
        <v>0</v>
      </c>
      <c r="BN217" s="28">
        <f t="shared" si="145"/>
        <v>0</v>
      </c>
      <c r="BO217" s="28">
        <f t="shared" si="146"/>
        <v>0</v>
      </c>
      <c r="BP217" s="28">
        <f t="shared" si="147"/>
        <v>0</v>
      </c>
      <c r="BQ217" s="3439">
        <f t="shared" si="148"/>
        <v>0</v>
      </c>
      <c r="BR217" s="3439">
        <f t="shared" si="149"/>
        <v>0</v>
      </c>
      <c r="BS217" s="3439">
        <f t="shared" si="150"/>
        <v>0</v>
      </c>
      <c r="BT217" s="3451">
        <f t="shared" si="151"/>
        <v>0</v>
      </c>
    </row>
    <row r="218" spans="1:72">
      <c r="A218" s="9"/>
      <c r="B218" s="27"/>
      <c r="C218" s="27"/>
      <c r="D218" s="1678"/>
      <c r="E218" s="28">
        <f t="shared" si="123"/>
        <v>0</v>
      </c>
      <c r="F218" s="29"/>
      <c r="G218" s="30">
        <f t="shared" si="124"/>
        <v>0</v>
      </c>
      <c r="H218" s="31">
        <f t="shared" si="125"/>
        <v>0</v>
      </c>
      <c r="I218" s="32"/>
      <c r="J218" s="32"/>
      <c r="K218" s="32"/>
      <c r="L218" s="32"/>
      <c r="M218" s="32"/>
      <c r="N218" s="32"/>
      <c r="O218" s="32"/>
      <c r="P218" s="32"/>
      <c r="Q218" s="32"/>
      <c r="R218" s="32"/>
      <c r="S218" s="32"/>
      <c r="T218" s="32"/>
      <c r="U218" s="32"/>
      <c r="V218" s="32"/>
      <c r="W218" s="32"/>
      <c r="X218" s="32"/>
      <c r="Y218" s="32"/>
      <c r="Z218" s="32"/>
      <c r="AA218" s="32"/>
      <c r="AB218" s="32"/>
      <c r="AC218" s="28">
        <f t="shared" si="126"/>
        <v>0</v>
      </c>
      <c r="AD218" s="33"/>
      <c r="AE218" s="33"/>
      <c r="AF218" s="33"/>
      <c r="AG218" s="33"/>
      <c r="AH218" s="33"/>
      <c r="AI218" s="33"/>
      <c r="AJ218" s="33"/>
      <c r="AK218" s="33"/>
      <c r="AL218" s="33"/>
      <c r="AM218" s="33"/>
      <c r="AN218" s="33"/>
      <c r="AO218" s="33"/>
      <c r="AP218" s="33"/>
      <c r="AQ218" s="33"/>
      <c r="AR218" s="33"/>
      <c r="AS218" s="33"/>
      <c r="AT218" s="34"/>
      <c r="AU218" s="1679"/>
      <c r="AV218" s="2256">
        <f t="shared" si="127"/>
        <v>0</v>
      </c>
      <c r="AW218" s="2256">
        <f t="shared" si="128"/>
        <v>0</v>
      </c>
      <c r="AX218" s="2256">
        <f t="shared" si="129"/>
        <v>0</v>
      </c>
      <c r="AY218" s="2781">
        <f t="shared" si="130"/>
        <v>0</v>
      </c>
      <c r="AZ218" s="28">
        <f t="shared" si="131"/>
        <v>0</v>
      </c>
      <c r="BA218" s="28">
        <f t="shared" si="132"/>
        <v>0</v>
      </c>
      <c r="BB218" s="28">
        <f t="shared" si="133"/>
        <v>0</v>
      </c>
      <c r="BC218" s="28">
        <f t="shared" si="134"/>
        <v>0</v>
      </c>
      <c r="BD218" s="3439">
        <f t="shared" si="135"/>
        <v>0</v>
      </c>
      <c r="BE218" s="3439">
        <f t="shared" si="136"/>
        <v>0</v>
      </c>
      <c r="BF218" s="3439">
        <f t="shared" si="137"/>
        <v>0</v>
      </c>
      <c r="BG218" s="3439">
        <f t="shared" si="138"/>
        <v>0</v>
      </c>
      <c r="BH218" s="3439">
        <f t="shared" si="139"/>
        <v>0</v>
      </c>
      <c r="BI218" s="3439">
        <f t="shared" si="140"/>
        <v>0</v>
      </c>
      <c r="BJ218" s="3439">
        <f t="shared" si="141"/>
        <v>0</v>
      </c>
      <c r="BK218" s="3439">
        <f t="shared" si="142"/>
        <v>0</v>
      </c>
      <c r="BL218" s="28">
        <f t="shared" si="143"/>
        <v>0</v>
      </c>
      <c r="BM218" s="28">
        <f t="shared" si="144"/>
        <v>0</v>
      </c>
      <c r="BN218" s="28">
        <f t="shared" si="145"/>
        <v>0</v>
      </c>
      <c r="BO218" s="28">
        <f t="shared" si="146"/>
        <v>0</v>
      </c>
      <c r="BP218" s="28">
        <f t="shared" si="147"/>
        <v>0</v>
      </c>
      <c r="BQ218" s="3439">
        <f t="shared" si="148"/>
        <v>0</v>
      </c>
      <c r="BR218" s="3439">
        <f t="shared" si="149"/>
        <v>0</v>
      </c>
      <c r="BS218" s="3439">
        <f t="shared" si="150"/>
        <v>0</v>
      </c>
      <c r="BT218" s="3451">
        <f t="shared" si="151"/>
        <v>0</v>
      </c>
    </row>
    <row r="219" spans="1:72">
      <c r="A219" s="9"/>
      <c r="B219" s="27"/>
      <c r="C219" s="27"/>
      <c r="D219" s="1678"/>
      <c r="E219" s="28">
        <f t="shared" si="123"/>
        <v>0</v>
      </c>
      <c r="F219" s="29"/>
      <c r="G219" s="30">
        <f t="shared" si="124"/>
        <v>0</v>
      </c>
      <c r="H219" s="31">
        <f t="shared" si="125"/>
        <v>0</v>
      </c>
      <c r="I219" s="32"/>
      <c r="J219" s="32"/>
      <c r="K219" s="32"/>
      <c r="L219" s="32"/>
      <c r="M219" s="32"/>
      <c r="N219" s="32"/>
      <c r="O219" s="32"/>
      <c r="P219" s="32"/>
      <c r="Q219" s="32"/>
      <c r="R219" s="32"/>
      <c r="S219" s="32"/>
      <c r="T219" s="32"/>
      <c r="U219" s="32"/>
      <c r="V219" s="32"/>
      <c r="W219" s="32"/>
      <c r="X219" s="32"/>
      <c r="Y219" s="32"/>
      <c r="Z219" s="32"/>
      <c r="AA219" s="32"/>
      <c r="AB219" s="32"/>
      <c r="AC219" s="28">
        <f t="shared" si="126"/>
        <v>0</v>
      </c>
      <c r="AD219" s="33"/>
      <c r="AE219" s="33"/>
      <c r="AF219" s="33"/>
      <c r="AG219" s="33"/>
      <c r="AH219" s="33"/>
      <c r="AI219" s="33"/>
      <c r="AJ219" s="33"/>
      <c r="AK219" s="33"/>
      <c r="AL219" s="33"/>
      <c r="AM219" s="33"/>
      <c r="AN219" s="33"/>
      <c r="AO219" s="33"/>
      <c r="AP219" s="33"/>
      <c r="AQ219" s="33"/>
      <c r="AR219" s="33"/>
      <c r="AS219" s="33"/>
      <c r="AT219" s="34"/>
      <c r="AU219" s="1679"/>
      <c r="AV219" s="2256">
        <f t="shared" si="127"/>
        <v>0</v>
      </c>
      <c r="AW219" s="2256">
        <f t="shared" si="128"/>
        <v>0</v>
      </c>
      <c r="AX219" s="2256">
        <f t="shared" si="129"/>
        <v>0</v>
      </c>
      <c r="AY219" s="2781">
        <f t="shared" si="130"/>
        <v>0</v>
      </c>
      <c r="AZ219" s="28">
        <f t="shared" si="131"/>
        <v>0</v>
      </c>
      <c r="BA219" s="28">
        <f t="shared" si="132"/>
        <v>0</v>
      </c>
      <c r="BB219" s="28">
        <f t="shared" si="133"/>
        <v>0</v>
      </c>
      <c r="BC219" s="28">
        <f t="shared" si="134"/>
        <v>0</v>
      </c>
      <c r="BD219" s="3439">
        <f t="shared" si="135"/>
        <v>0</v>
      </c>
      <c r="BE219" s="3439">
        <f t="shared" si="136"/>
        <v>0</v>
      </c>
      <c r="BF219" s="3439">
        <f t="shared" si="137"/>
        <v>0</v>
      </c>
      <c r="BG219" s="3439">
        <f t="shared" si="138"/>
        <v>0</v>
      </c>
      <c r="BH219" s="3439">
        <f t="shared" si="139"/>
        <v>0</v>
      </c>
      <c r="BI219" s="3439">
        <f t="shared" si="140"/>
        <v>0</v>
      </c>
      <c r="BJ219" s="3439">
        <f t="shared" si="141"/>
        <v>0</v>
      </c>
      <c r="BK219" s="3439">
        <f t="shared" si="142"/>
        <v>0</v>
      </c>
      <c r="BL219" s="28">
        <f t="shared" si="143"/>
        <v>0</v>
      </c>
      <c r="BM219" s="28">
        <f t="shared" si="144"/>
        <v>0</v>
      </c>
      <c r="BN219" s="28">
        <f t="shared" si="145"/>
        <v>0</v>
      </c>
      <c r="BO219" s="28">
        <f t="shared" si="146"/>
        <v>0</v>
      </c>
      <c r="BP219" s="28">
        <f t="shared" si="147"/>
        <v>0</v>
      </c>
      <c r="BQ219" s="3439">
        <f t="shared" si="148"/>
        <v>0</v>
      </c>
      <c r="BR219" s="3439">
        <f t="shared" si="149"/>
        <v>0</v>
      </c>
      <c r="BS219" s="3439">
        <f t="shared" si="150"/>
        <v>0</v>
      </c>
      <c r="BT219" s="3451">
        <f t="shared" si="151"/>
        <v>0</v>
      </c>
    </row>
    <row r="220" spans="1:72">
      <c r="A220" s="9"/>
      <c r="B220" s="27"/>
      <c r="C220" s="27"/>
      <c r="D220" s="1678"/>
      <c r="E220" s="28">
        <f t="shared" si="123"/>
        <v>0</v>
      </c>
      <c r="F220" s="29"/>
      <c r="G220" s="30">
        <f t="shared" si="124"/>
        <v>0</v>
      </c>
      <c r="H220" s="31">
        <f t="shared" si="125"/>
        <v>0</v>
      </c>
      <c r="I220" s="32"/>
      <c r="J220" s="32"/>
      <c r="K220" s="32"/>
      <c r="L220" s="32"/>
      <c r="M220" s="32"/>
      <c r="N220" s="32"/>
      <c r="O220" s="32"/>
      <c r="P220" s="32"/>
      <c r="Q220" s="32"/>
      <c r="R220" s="32"/>
      <c r="S220" s="32"/>
      <c r="T220" s="32"/>
      <c r="U220" s="32"/>
      <c r="V220" s="32"/>
      <c r="W220" s="32"/>
      <c r="X220" s="32"/>
      <c r="Y220" s="32"/>
      <c r="Z220" s="32"/>
      <c r="AA220" s="32"/>
      <c r="AB220" s="32"/>
      <c r="AC220" s="28">
        <f t="shared" si="126"/>
        <v>0</v>
      </c>
      <c r="AD220" s="33"/>
      <c r="AE220" s="33"/>
      <c r="AF220" s="33"/>
      <c r="AG220" s="33"/>
      <c r="AH220" s="33"/>
      <c r="AI220" s="33"/>
      <c r="AJ220" s="33"/>
      <c r="AK220" s="33"/>
      <c r="AL220" s="33"/>
      <c r="AM220" s="33"/>
      <c r="AN220" s="33"/>
      <c r="AO220" s="33"/>
      <c r="AP220" s="33"/>
      <c r="AQ220" s="33"/>
      <c r="AR220" s="33"/>
      <c r="AS220" s="33"/>
      <c r="AT220" s="34"/>
      <c r="AU220" s="1679"/>
      <c r="AV220" s="2256">
        <f t="shared" si="127"/>
        <v>0</v>
      </c>
      <c r="AW220" s="2256">
        <f t="shared" si="128"/>
        <v>0</v>
      </c>
      <c r="AX220" s="2256">
        <f t="shared" si="129"/>
        <v>0</v>
      </c>
      <c r="AY220" s="2781">
        <f t="shared" si="130"/>
        <v>0</v>
      </c>
      <c r="AZ220" s="28">
        <f t="shared" si="131"/>
        <v>0</v>
      </c>
      <c r="BA220" s="28">
        <f t="shared" si="132"/>
        <v>0</v>
      </c>
      <c r="BB220" s="28">
        <f t="shared" si="133"/>
        <v>0</v>
      </c>
      <c r="BC220" s="28">
        <f t="shared" si="134"/>
        <v>0</v>
      </c>
      <c r="BD220" s="3439">
        <f t="shared" si="135"/>
        <v>0</v>
      </c>
      <c r="BE220" s="3439">
        <f t="shared" si="136"/>
        <v>0</v>
      </c>
      <c r="BF220" s="3439">
        <f t="shared" si="137"/>
        <v>0</v>
      </c>
      <c r="BG220" s="3439">
        <f t="shared" si="138"/>
        <v>0</v>
      </c>
      <c r="BH220" s="3439">
        <f t="shared" si="139"/>
        <v>0</v>
      </c>
      <c r="BI220" s="3439">
        <f t="shared" si="140"/>
        <v>0</v>
      </c>
      <c r="BJ220" s="3439">
        <f t="shared" si="141"/>
        <v>0</v>
      </c>
      <c r="BK220" s="3439">
        <f t="shared" si="142"/>
        <v>0</v>
      </c>
      <c r="BL220" s="28">
        <f t="shared" si="143"/>
        <v>0</v>
      </c>
      <c r="BM220" s="28">
        <f t="shared" si="144"/>
        <v>0</v>
      </c>
      <c r="BN220" s="28">
        <f t="shared" si="145"/>
        <v>0</v>
      </c>
      <c r="BO220" s="28">
        <f t="shared" si="146"/>
        <v>0</v>
      </c>
      <c r="BP220" s="28">
        <f t="shared" si="147"/>
        <v>0</v>
      </c>
      <c r="BQ220" s="3439">
        <f t="shared" si="148"/>
        <v>0</v>
      </c>
      <c r="BR220" s="3439">
        <f t="shared" si="149"/>
        <v>0</v>
      </c>
      <c r="BS220" s="3439">
        <f t="shared" si="150"/>
        <v>0</v>
      </c>
      <c r="BT220" s="3451">
        <f t="shared" si="151"/>
        <v>0</v>
      </c>
    </row>
    <row r="221" spans="1:72">
      <c r="A221" s="9"/>
      <c r="B221" s="27"/>
      <c r="C221" s="27"/>
      <c r="D221" s="1678"/>
      <c r="E221" s="28">
        <f t="shared" si="123"/>
        <v>0</v>
      </c>
      <c r="F221" s="29"/>
      <c r="G221" s="30">
        <f t="shared" si="124"/>
        <v>0</v>
      </c>
      <c r="H221" s="31">
        <f t="shared" si="125"/>
        <v>0</v>
      </c>
      <c r="I221" s="32"/>
      <c r="J221" s="32"/>
      <c r="K221" s="32"/>
      <c r="L221" s="32"/>
      <c r="M221" s="32"/>
      <c r="N221" s="32"/>
      <c r="O221" s="32"/>
      <c r="P221" s="32"/>
      <c r="Q221" s="32"/>
      <c r="R221" s="32"/>
      <c r="S221" s="32"/>
      <c r="T221" s="32"/>
      <c r="U221" s="32"/>
      <c r="V221" s="32"/>
      <c r="W221" s="32"/>
      <c r="X221" s="32"/>
      <c r="Y221" s="32"/>
      <c r="Z221" s="32"/>
      <c r="AA221" s="32"/>
      <c r="AB221" s="32"/>
      <c r="AC221" s="28">
        <f t="shared" si="126"/>
        <v>0</v>
      </c>
      <c r="AD221" s="33"/>
      <c r="AE221" s="33"/>
      <c r="AF221" s="33"/>
      <c r="AG221" s="33"/>
      <c r="AH221" s="33"/>
      <c r="AI221" s="33"/>
      <c r="AJ221" s="33"/>
      <c r="AK221" s="33"/>
      <c r="AL221" s="33"/>
      <c r="AM221" s="33"/>
      <c r="AN221" s="33"/>
      <c r="AO221" s="33"/>
      <c r="AP221" s="33"/>
      <c r="AQ221" s="33"/>
      <c r="AR221" s="33"/>
      <c r="AS221" s="33"/>
      <c r="AT221" s="34"/>
      <c r="AU221" s="1679"/>
      <c r="AV221" s="2256">
        <f t="shared" si="127"/>
        <v>0</v>
      </c>
      <c r="AW221" s="2256">
        <f t="shared" si="128"/>
        <v>0</v>
      </c>
      <c r="AX221" s="2256">
        <f t="shared" si="129"/>
        <v>0</v>
      </c>
      <c r="AY221" s="2781">
        <f t="shared" si="130"/>
        <v>0</v>
      </c>
      <c r="AZ221" s="28">
        <f t="shared" si="131"/>
        <v>0</v>
      </c>
      <c r="BA221" s="28">
        <f t="shared" si="132"/>
        <v>0</v>
      </c>
      <c r="BB221" s="28">
        <f t="shared" si="133"/>
        <v>0</v>
      </c>
      <c r="BC221" s="28">
        <f t="shared" si="134"/>
        <v>0</v>
      </c>
      <c r="BD221" s="3439">
        <f t="shared" si="135"/>
        <v>0</v>
      </c>
      <c r="BE221" s="3439">
        <f t="shared" si="136"/>
        <v>0</v>
      </c>
      <c r="BF221" s="3439">
        <f t="shared" si="137"/>
        <v>0</v>
      </c>
      <c r="BG221" s="3439">
        <f t="shared" si="138"/>
        <v>0</v>
      </c>
      <c r="BH221" s="3439">
        <f t="shared" si="139"/>
        <v>0</v>
      </c>
      <c r="BI221" s="3439">
        <f t="shared" si="140"/>
        <v>0</v>
      </c>
      <c r="BJ221" s="3439">
        <f t="shared" si="141"/>
        <v>0</v>
      </c>
      <c r="BK221" s="3439">
        <f t="shared" si="142"/>
        <v>0</v>
      </c>
      <c r="BL221" s="28">
        <f t="shared" si="143"/>
        <v>0</v>
      </c>
      <c r="BM221" s="28">
        <f t="shared" si="144"/>
        <v>0</v>
      </c>
      <c r="BN221" s="28">
        <f t="shared" si="145"/>
        <v>0</v>
      </c>
      <c r="BO221" s="28">
        <f t="shared" si="146"/>
        <v>0</v>
      </c>
      <c r="BP221" s="28">
        <f t="shared" si="147"/>
        <v>0</v>
      </c>
      <c r="BQ221" s="3439">
        <f t="shared" si="148"/>
        <v>0</v>
      </c>
      <c r="BR221" s="3439">
        <f t="shared" si="149"/>
        <v>0</v>
      </c>
      <c r="BS221" s="3439">
        <f t="shared" si="150"/>
        <v>0</v>
      </c>
      <c r="BT221" s="3451">
        <f t="shared" si="151"/>
        <v>0</v>
      </c>
    </row>
    <row r="222" spans="1:72">
      <c r="A222" s="9"/>
      <c r="B222" s="27"/>
      <c r="C222" s="27"/>
      <c r="D222" s="1678"/>
      <c r="E222" s="28">
        <f t="shared" si="123"/>
        <v>0</v>
      </c>
      <c r="F222" s="29"/>
      <c r="G222" s="30">
        <f t="shared" si="124"/>
        <v>0</v>
      </c>
      <c r="H222" s="31">
        <f t="shared" si="125"/>
        <v>0</v>
      </c>
      <c r="I222" s="32"/>
      <c r="J222" s="32"/>
      <c r="K222" s="32"/>
      <c r="L222" s="32"/>
      <c r="M222" s="32"/>
      <c r="N222" s="32"/>
      <c r="O222" s="32"/>
      <c r="P222" s="32"/>
      <c r="Q222" s="32"/>
      <c r="R222" s="32"/>
      <c r="S222" s="32"/>
      <c r="T222" s="32"/>
      <c r="U222" s="32"/>
      <c r="V222" s="32"/>
      <c r="W222" s="32"/>
      <c r="X222" s="32"/>
      <c r="Y222" s="32"/>
      <c r="Z222" s="32"/>
      <c r="AA222" s="32"/>
      <c r="AB222" s="32"/>
      <c r="AC222" s="28">
        <f t="shared" si="126"/>
        <v>0</v>
      </c>
      <c r="AD222" s="33"/>
      <c r="AE222" s="33"/>
      <c r="AF222" s="33"/>
      <c r="AG222" s="33"/>
      <c r="AH222" s="33"/>
      <c r="AI222" s="33"/>
      <c r="AJ222" s="33"/>
      <c r="AK222" s="33"/>
      <c r="AL222" s="33"/>
      <c r="AM222" s="33"/>
      <c r="AN222" s="33"/>
      <c r="AO222" s="33"/>
      <c r="AP222" s="33"/>
      <c r="AQ222" s="33"/>
      <c r="AR222" s="33"/>
      <c r="AS222" s="33"/>
      <c r="AT222" s="34"/>
      <c r="AU222" s="1679"/>
      <c r="AV222" s="2256">
        <f t="shared" si="127"/>
        <v>0</v>
      </c>
      <c r="AW222" s="2256">
        <f t="shared" si="128"/>
        <v>0</v>
      </c>
      <c r="AX222" s="2256">
        <f t="shared" si="129"/>
        <v>0</v>
      </c>
      <c r="AY222" s="2781">
        <f t="shared" si="130"/>
        <v>0</v>
      </c>
      <c r="AZ222" s="28">
        <f t="shared" si="131"/>
        <v>0</v>
      </c>
      <c r="BA222" s="28">
        <f t="shared" si="132"/>
        <v>0</v>
      </c>
      <c r="BB222" s="28">
        <f t="shared" si="133"/>
        <v>0</v>
      </c>
      <c r="BC222" s="28">
        <f t="shared" si="134"/>
        <v>0</v>
      </c>
      <c r="BD222" s="3439">
        <f t="shared" si="135"/>
        <v>0</v>
      </c>
      <c r="BE222" s="3439">
        <f t="shared" si="136"/>
        <v>0</v>
      </c>
      <c r="BF222" s="3439">
        <f t="shared" si="137"/>
        <v>0</v>
      </c>
      <c r="BG222" s="3439">
        <f t="shared" si="138"/>
        <v>0</v>
      </c>
      <c r="BH222" s="3439">
        <f t="shared" si="139"/>
        <v>0</v>
      </c>
      <c r="BI222" s="3439">
        <f t="shared" si="140"/>
        <v>0</v>
      </c>
      <c r="BJ222" s="3439">
        <f t="shared" si="141"/>
        <v>0</v>
      </c>
      <c r="BK222" s="3439">
        <f t="shared" si="142"/>
        <v>0</v>
      </c>
      <c r="BL222" s="28">
        <f t="shared" si="143"/>
        <v>0</v>
      </c>
      <c r="BM222" s="28">
        <f t="shared" si="144"/>
        <v>0</v>
      </c>
      <c r="BN222" s="28">
        <f t="shared" si="145"/>
        <v>0</v>
      </c>
      <c r="BO222" s="28">
        <f t="shared" si="146"/>
        <v>0</v>
      </c>
      <c r="BP222" s="28">
        <f t="shared" si="147"/>
        <v>0</v>
      </c>
      <c r="BQ222" s="3439">
        <f t="shared" si="148"/>
        <v>0</v>
      </c>
      <c r="BR222" s="3439">
        <f t="shared" si="149"/>
        <v>0</v>
      </c>
      <c r="BS222" s="3439">
        <f t="shared" si="150"/>
        <v>0</v>
      </c>
      <c r="BT222" s="3451">
        <f t="shared" si="151"/>
        <v>0</v>
      </c>
    </row>
    <row r="223" spans="1:72">
      <c r="A223" s="9"/>
      <c r="B223" s="27"/>
      <c r="C223" s="27"/>
      <c r="D223" s="1678"/>
      <c r="E223" s="28">
        <f t="shared" si="123"/>
        <v>0</v>
      </c>
      <c r="F223" s="29"/>
      <c r="G223" s="30">
        <f t="shared" si="124"/>
        <v>0</v>
      </c>
      <c r="H223" s="31">
        <f t="shared" si="125"/>
        <v>0</v>
      </c>
      <c r="I223" s="32"/>
      <c r="J223" s="32"/>
      <c r="K223" s="32"/>
      <c r="L223" s="32"/>
      <c r="M223" s="32"/>
      <c r="N223" s="32"/>
      <c r="O223" s="32"/>
      <c r="P223" s="32"/>
      <c r="Q223" s="32"/>
      <c r="R223" s="32"/>
      <c r="S223" s="32"/>
      <c r="T223" s="32"/>
      <c r="U223" s="32"/>
      <c r="V223" s="32"/>
      <c r="W223" s="32"/>
      <c r="X223" s="32"/>
      <c r="Y223" s="32"/>
      <c r="Z223" s="32"/>
      <c r="AA223" s="32"/>
      <c r="AB223" s="32"/>
      <c r="AC223" s="28">
        <f t="shared" si="126"/>
        <v>0</v>
      </c>
      <c r="AD223" s="33"/>
      <c r="AE223" s="33"/>
      <c r="AF223" s="33"/>
      <c r="AG223" s="33"/>
      <c r="AH223" s="33"/>
      <c r="AI223" s="33"/>
      <c r="AJ223" s="33"/>
      <c r="AK223" s="33"/>
      <c r="AL223" s="33"/>
      <c r="AM223" s="33"/>
      <c r="AN223" s="33"/>
      <c r="AO223" s="33"/>
      <c r="AP223" s="33"/>
      <c r="AQ223" s="33"/>
      <c r="AR223" s="33"/>
      <c r="AS223" s="33"/>
      <c r="AT223" s="34"/>
      <c r="AU223" s="1679"/>
      <c r="AV223" s="2256">
        <f t="shared" si="127"/>
        <v>0</v>
      </c>
      <c r="AW223" s="2256">
        <f t="shared" si="128"/>
        <v>0</v>
      </c>
      <c r="AX223" s="2256">
        <f t="shared" si="129"/>
        <v>0</v>
      </c>
      <c r="AY223" s="2781">
        <f t="shared" si="130"/>
        <v>0</v>
      </c>
      <c r="AZ223" s="28">
        <f t="shared" si="131"/>
        <v>0</v>
      </c>
      <c r="BA223" s="28">
        <f t="shared" si="132"/>
        <v>0</v>
      </c>
      <c r="BB223" s="28">
        <f t="shared" si="133"/>
        <v>0</v>
      </c>
      <c r="BC223" s="28">
        <f t="shared" si="134"/>
        <v>0</v>
      </c>
      <c r="BD223" s="3439">
        <f t="shared" si="135"/>
        <v>0</v>
      </c>
      <c r="BE223" s="3439">
        <f t="shared" si="136"/>
        <v>0</v>
      </c>
      <c r="BF223" s="3439">
        <f t="shared" si="137"/>
        <v>0</v>
      </c>
      <c r="BG223" s="3439">
        <f t="shared" si="138"/>
        <v>0</v>
      </c>
      <c r="BH223" s="3439">
        <f t="shared" si="139"/>
        <v>0</v>
      </c>
      <c r="BI223" s="3439">
        <f t="shared" si="140"/>
        <v>0</v>
      </c>
      <c r="BJ223" s="3439">
        <f t="shared" si="141"/>
        <v>0</v>
      </c>
      <c r="BK223" s="3439">
        <f t="shared" si="142"/>
        <v>0</v>
      </c>
      <c r="BL223" s="28">
        <f t="shared" si="143"/>
        <v>0</v>
      </c>
      <c r="BM223" s="28">
        <f t="shared" si="144"/>
        <v>0</v>
      </c>
      <c r="BN223" s="28">
        <f t="shared" si="145"/>
        <v>0</v>
      </c>
      <c r="BO223" s="28">
        <f t="shared" si="146"/>
        <v>0</v>
      </c>
      <c r="BP223" s="28">
        <f t="shared" si="147"/>
        <v>0</v>
      </c>
      <c r="BQ223" s="3439">
        <f t="shared" si="148"/>
        <v>0</v>
      </c>
      <c r="BR223" s="3439">
        <f t="shared" si="149"/>
        <v>0</v>
      </c>
      <c r="BS223" s="3439">
        <f t="shared" si="150"/>
        <v>0</v>
      </c>
      <c r="BT223" s="3451">
        <f t="shared" si="151"/>
        <v>0</v>
      </c>
    </row>
    <row r="224" spans="1:72">
      <c r="A224" s="9"/>
      <c r="B224" s="27"/>
      <c r="C224" s="27"/>
      <c r="D224" s="1678"/>
      <c r="E224" s="28">
        <f t="shared" si="123"/>
        <v>0</v>
      </c>
      <c r="F224" s="29"/>
      <c r="G224" s="30">
        <f t="shared" si="124"/>
        <v>0</v>
      </c>
      <c r="H224" s="31">
        <f t="shared" si="125"/>
        <v>0</v>
      </c>
      <c r="I224" s="32"/>
      <c r="J224" s="32"/>
      <c r="K224" s="32"/>
      <c r="L224" s="32"/>
      <c r="M224" s="32"/>
      <c r="N224" s="32"/>
      <c r="O224" s="32"/>
      <c r="P224" s="32"/>
      <c r="Q224" s="32"/>
      <c r="R224" s="32"/>
      <c r="S224" s="32"/>
      <c r="T224" s="32"/>
      <c r="U224" s="32"/>
      <c r="V224" s="32"/>
      <c r="W224" s="32"/>
      <c r="X224" s="32"/>
      <c r="Y224" s="32"/>
      <c r="Z224" s="32"/>
      <c r="AA224" s="32"/>
      <c r="AB224" s="32"/>
      <c r="AC224" s="28">
        <f t="shared" si="126"/>
        <v>0</v>
      </c>
      <c r="AD224" s="33"/>
      <c r="AE224" s="33"/>
      <c r="AF224" s="33"/>
      <c r="AG224" s="33"/>
      <c r="AH224" s="33"/>
      <c r="AI224" s="33"/>
      <c r="AJ224" s="33"/>
      <c r="AK224" s="33"/>
      <c r="AL224" s="33"/>
      <c r="AM224" s="33"/>
      <c r="AN224" s="33"/>
      <c r="AO224" s="33"/>
      <c r="AP224" s="33"/>
      <c r="AQ224" s="33"/>
      <c r="AR224" s="33"/>
      <c r="AS224" s="33"/>
      <c r="AT224" s="34"/>
      <c r="AU224" s="1679"/>
      <c r="AV224" s="2256">
        <f t="shared" si="127"/>
        <v>0</v>
      </c>
      <c r="AW224" s="2256">
        <f t="shared" si="128"/>
        <v>0</v>
      </c>
      <c r="AX224" s="2256">
        <f t="shared" si="129"/>
        <v>0</v>
      </c>
      <c r="AY224" s="2781">
        <f t="shared" si="130"/>
        <v>0</v>
      </c>
      <c r="AZ224" s="28">
        <f t="shared" si="131"/>
        <v>0</v>
      </c>
      <c r="BA224" s="28">
        <f t="shared" si="132"/>
        <v>0</v>
      </c>
      <c r="BB224" s="28">
        <f t="shared" si="133"/>
        <v>0</v>
      </c>
      <c r="BC224" s="28">
        <f t="shared" si="134"/>
        <v>0</v>
      </c>
      <c r="BD224" s="3439">
        <f t="shared" si="135"/>
        <v>0</v>
      </c>
      <c r="BE224" s="3439">
        <f t="shared" si="136"/>
        <v>0</v>
      </c>
      <c r="BF224" s="3439">
        <f t="shared" si="137"/>
        <v>0</v>
      </c>
      <c r="BG224" s="3439">
        <f t="shared" si="138"/>
        <v>0</v>
      </c>
      <c r="BH224" s="3439">
        <f t="shared" si="139"/>
        <v>0</v>
      </c>
      <c r="BI224" s="3439">
        <f t="shared" si="140"/>
        <v>0</v>
      </c>
      <c r="BJ224" s="3439">
        <f t="shared" si="141"/>
        <v>0</v>
      </c>
      <c r="BK224" s="3439">
        <f t="shared" si="142"/>
        <v>0</v>
      </c>
      <c r="BL224" s="28">
        <f t="shared" si="143"/>
        <v>0</v>
      </c>
      <c r="BM224" s="28">
        <f t="shared" si="144"/>
        <v>0</v>
      </c>
      <c r="BN224" s="28">
        <f t="shared" si="145"/>
        <v>0</v>
      </c>
      <c r="BO224" s="28">
        <f t="shared" si="146"/>
        <v>0</v>
      </c>
      <c r="BP224" s="28">
        <f t="shared" si="147"/>
        <v>0</v>
      </c>
      <c r="BQ224" s="3439">
        <f t="shared" si="148"/>
        <v>0</v>
      </c>
      <c r="BR224" s="3439">
        <f t="shared" si="149"/>
        <v>0</v>
      </c>
      <c r="BS224" s="3439">
        <f t="shared" si="150"/>
        <v>0</v>
      </c>
      <c r="BT224" s="3451">
        <f t="shared" si="151"/>
        <v>0</v>
      </c>
    </row>
    <row r="225" spans="1:72">
      <c r="A225" s="9"/>
      <c r="B225" s="27"/>
      <c r="C225" s="27"/>
      <c r="D225" s="1678"/>
      <c r="E225" s="28">
        <f t="shared" si="123"/>
        <v>0</v>
      </c>
      <c r="F225" s="29"/>
      <c r="G225" s="30">
        <f t="shared" si="124"/>
        <v>0</v>
      </c>
      <c r="H225" s="31">
        <f t="shared" si="125"/>
        <v>0</v>
      </c>
      <c r="I225" s="32"/>
      <c r="J225" s="32"/>
      <c r="K225" s="32"/>
      <c r="L225" s="32"/>
      <c r="M225" s="32"/>
      <c r="N225" s="32"/>
      <c r="O225" s="32"/>
      <c r="P225" s="32"/>
      <c r="Q225" s="32"/>
      <c r="R225" s="32"/>
      <c r="S225" s="32"/>
      <c r="T225" s="32"/>
      <c r="U225" s="32"/>
      <c r="V225" s="32"/>
      <c r="W225" s="32"/>
      <c r="X225" s="32"/>
      <c r="Y225" s="32"/>
      <c r="Z225" s="32"/>
      <c r="AA225" s="32"/>
      <c r="AB225" s="32"/>
      <c r="AC225" s="28">
        <f t="shared" si="126"/>
        <v>0</v>
      </c>
      <c r="AD225" s="33"/>
      <c r="AE225" s="33"/>
      <c r="AF225" s="33"/>
      <c r="AG225" s="33"/>
      <c r="AH225" s="33"/>
      <c r="AI225" s="33"/>
      <c r="AJ225" s="33"/>
      <c r="AK225" s="33"/>
      <c r="AL225" s="33"/>
      <c r="AM225" s="33"/>
      <c r="AN225" s="33"/>
      <c r="AO225" s="33"/>
      <c r="AP225" s="33"/>
      <c r="AQ225" s="33"/>
      <c r="AR225" s="33"/>
      <c r="AS225" s="33"/>
      <c r="AT225" s="34"/>
      <c r="AU225" s="1679"/>
      <c r="AV225" s="2256">
        <f t="shared" si="127"/>
        <v>0</v>
      </c>
      <c r="AW225" s="2256">
        <f t="shared" si="128"/>
        <v>0</v>
      </c>
      <c r="AX225" s="2256">
        <f t="shared" si="129"/>
        <v>0</v>
      </c>
      <c r="AY225" s="2781">
        <f t="shared" si="130"/>
        <v>0</v>
      </c>
      <c r="AZ225" s="28">
        <f t="shared" si="131"/>
        <v>0</v>
      </c>
      <c r="BA225" s="28">
        <f t="shared" si="132"/>
        <v>0</v>
      </c>
      <c r="BB225" s="28">
        <f t="shared" si="133"/>
        <v>0</v>
      </c>
      <c r="BC225" s="28">
        <f t="shared" si="134"/>
        <v>0</v>
      </c>
      <c r="BD225" s="3439">
        <f t="shared" si="135"/>
        <v>0</v>
      </c>
      <c r="BE225" s="3439">
        <f t="shared" si="136"/>
        <v>0</v>
      </c>
      <c r="BF225" s="3439">
        <f t="shared" si="137"/>
        <v>0</v>
      </c>
      <c r="BG225" s="3439">
        <f t="shared" si="138"/>
        <v>0</v>
      </c>
      <c r="BH225" s="3439">
        <f t="shared" si="139"/>
        <v>0</v>
      </c>
      <c r="BI225" s="3439">
        <f t="shared" si="140"/>
        <v>0</v>
      </c>
      <c r="BJ225" s="3439">
        <f t="shared" si="141"/>
        <v>0</v>
      </c>
      <c r="BK225" s="3439">
        <f t="shared" si="142"/>
        <v>0</v>
      </c>
      <c r="BL225" s="28">
        <f t="shared" si="143"/>
        <v>0</v>
      </c>
      <c r="BM225" s="28">
        <f t="shared" si="144"/>
        <v>0</v>
      </c>
      <c r="BN225" s="28">
        <f t="shared" si="145"/>
        <v>0</v>
      </c>
      <c r="BO225" s="28">
        <f t="shared" si="146"/>
        <v>0</v>
      </c>
      <c r="BP225" s="28">
        <f t="shared" si="147"/>
        <v>0</v>
      </c>
      <c r="BQ225" s="3439">
        <f t="shared" si="148"/>
        <v>0</v>
      </c>
      <c r="BR225" s="3439">
        <f t="shared" si="149"/>
        <v>0</v>
      </c>
      <c r="BS225" s="3439">
        <f t="shared" si="150"/>
        <v>0</v>
      </c>
      <c r="BT225" s="3451">
        <f t="shared" si="151"/>
        <v>0</v>
      </c>
    </row>
    <row r="226" spans="1:72">
      <c r="A226" s="9"/>
      <c r="B226" s="27"/>
      <c r="C226" s="27"/>
      <c r="D226" s="1678"/>
      <c r="E226" s="28">
        <f t="shared" si="123"/>
        <v>0</v>
      </c>
      <c r="F226" s="29"/>
      <c r="G226" s="30">
        <f t="shared" si="124"/>
        <v>0</v>
      </c>
      <c r="H226" s="31">
        <f t="shared" si="125"/>
        <v>0</v>
      </c>
      <c r="I226" s="32"/>
      <c r="J226" s="32"/>
      <c r="K226" s="32"/>
      <c r="L226" s="32"/>
      <c r="M226" s="32"/>
      <c r="N226" s="32"/>
      <c r="O226" s="32"/>
      <c r="P226" s="32"/>
      <c r="Q226" s="32"/>
      <c r="R226" s="32"/>
      <c r="S226" s="32"/>
      <c r="T226" s="32"/>
      <c r="U226" s="32"/>
      <c r="V226" s="32"/>
      <c r="W226" s="32"/>
      <c r="X226" s="32"/>
      <c r="Y226" s="32"/>
      <c r="Z226" s="32"/>
      <c r="AA226" s="32"/>
      <c r="AB226" s="32"/>
      <c r="AC226" s="28">
        <f t="shared" si="126"/>
        <v>0</v>
      </c>
      <c r="AD226" s="33"/>
      <c r="AE226" s="33"/>
      <c r="AF226" s="33"/>
      <c r="AG226" s="33"/>
      <c r="AH226" s="33"/>
      <c r="AI226" s="33"/>
      <c r="AJ226" s="33"/>
      <c r="AK226" s="33"/>
      <c r="AL226" s="33"/>
      <c r="AM226" s="33"/>
      <c r="AN226" s="33"/>
      <c r="AO226" s="33"/>
      <c r="AP226" s="33"/>
      <c r="AQ226" s="33"/>
      <c r="AR226" s="33"/>
      <c r="AS226" s="33"/>
      <c r="AT226" s="34"/>
      <c r="AU226" s="1679"/>
      <c r="AV226" s="2256">
        <f t="shared" si="127"/>
        <v>0</v>
      </c>
      <c r="AW226" s="2256">
        <f t="shared" si="128"/>
        <v>0</v>
      </c>
      <c r="AX226" s="2256">
        <f t="shared" si="129"/>
        <v>0</v>
      </c>
      <c r="AY226" s="2781">
        <f t="shared" si="130"/>
        <v>0</v>
      </c>
      <c r="AZ226" s="28">
        <f t="shared" si="131"/>
        <v>0</v>
      </c>
      <c r="BA226" s="28">
        <f t="shared" si="132"/>
        <v>0</v>
      </c>
      <c r="BB226" s="28">
        <f t="shared" si="133"/>
        <v>0</v>
      </c>
      <c r="BC226" s="28">
        <f t="shared" si="134"/>
        <v>0</v>
      </c>
      <c r="BD226" s="3439">
        <f t="shared" si="135"/>
        <v>0</v>
      </c>
      <c r="BE226" s="3439">
        <f t="shared" si="136"/>
        <v>0</v>
      </c>
      <c r="BF226" s="3439">
        <f t="shared" si="137"/>
        <v>0</v>
      </c>
      <c r="BG226" s="3439">
        <f t="shared" si="138"/>
        <v>0</v>
      </c>
      <c r="BH226" s="3439">
        <f t="shared" si="139"/>
        <v>0</v>
      </c>
      <c r="BI226" s="3439">
        <f t="shared" si="140"/>
        <v>0</v>
      </c>
      <c r="BJ226" s="3439">
        <f t="shared" si="141"/>
        <v>0</v>
      </c>
      <c r="BK226" s="3439">
        <f t="shared" si="142"/>
        <v>0</v>
      </c>
      <c r="BL226" s="28">
        <f t="shared" si="143"/>
        <v>0</v>
      </c>
      <c r="BM226" s="28">
        <f t="shared" si="144"/>
        <v>0</v>
      </c>
      <c r="BN226" s="28">
        <f t="shared" si="145"/>
        <v>0</v>
      </c>
      <c r="BO226" s="28">
        <f t="shared" si="146"/>
        <v>0</v>
      </c>
      <c r="BP226" s="28">
        <f t="shared" si="147"/>
        <v>0</v>
      </c>
      <c r="BQ226" s="3439">
        <f t="shared" si="148"/>
        <v>0</v>
      </c>
      <c r="BR226" s="3439">
        <f t="shared" si="149"/>
        <v>0</v>
      </c>
      <c r="BS226" s="3439">
        <f t="shared" si="150"/>
        <v>0</v>
      </c>
      <c r="BT226" s="3451">
        <f t="shared" si="151"/>
        <v>0</v>
      </c>
    </row>
    <row r="227" spans="1:72">
      <c r="A227" s="9"/>
      <c r="B227" s="27"/>
      <c r="C227" s="27"/>
      <c r="D227" s="1678"/>
      <c r="E227" s="28">
        <f t="shared" si="123"/>
        <v>0</v>
      </c>
      <c r="F227" s="29"/>
      <c r="G227" s="30">
        <f t="shared" si="124"/>
        <v>0</v>
      </c>
      <c r="H227" s="31">
        <f t="shared" si="125"/>
        <v>0</v>
      </c>
      <c r="I227" s="32"/>
      <c r="J227" s="32"/>
      <c r="K227" s="32"/>
      <c r="L227" s="32"/>
      <c r="M227" s="32"/>
      <c r="N227" s="32"/>
      <c r="O227" s="32"/>
      <c r="P227" s="32"/>
      <c r="Q227" s="32"/>
      <c r="R227" s="32"/>
      <c r="S227" s="32"/>
      <c r="T227" s="32"/>
      <c r="U227" s="32"/>
      <c r="V227" s="32"/>
      <c r="W227" s="32"/>
      <c r="X227" s="32"/>
      <c r="Y227" s="32"/>
      <c r="Z227" s="32"/>
      <c r="AA227" s="32"/>
      <c r="AB227" s="32"/>
      <c r="AC227" s="28">
        <f t="shared" si="126"/>
        <v>0</v>
      </c>
      <c r="AD227" s="33"/>
      <c r="AE227" s="33"/>
      <c r="AF227" s="33"/>
      <c r="AG227" s="33"/>
      <c r="AH227" s="33"/>
      <c r="AI227" s="33"/>
      <c r="AJ227" s="33"/>
      <c r="AK227" s="33"/>
      <c r="AL227" s="33"/>
      <c r="AM227" s="33"/>
      <c r="AN227" s="33"/>
      <c r="AO227" s="33"/>
      <c r="AP227" s="33"/>
      <c r="AQ227" s="33"/>
      <c r="AR227" s="33"/>
      <c r="AS227" s="33"/>
      <c r="AT227" s="34"/>
      <c r="AU227" s="1679"/>
      <c r="AV227" s="2256">
        <f t="shared" si="127"/>
        <v>0</v>
      </c>
      <c r="AW227" s="2256">
        <f t="shared" si="128"/>
        <v>0</v>
      </c>
      <c r="AX227" s="2256">
        <f t="shared" si="129"/>
        <v>0</v>
      </c>
      <c r="AY227" s="2781">
        <f t="shared" si="130"/>
        <v>0</v>
      </c>
      <c r="AZ227" s="28">
        <f t="shared" si="131"/>
        <v>0</v>
      </c>
      <c r="BA227" s="28">
        <f t="shared" si="132"/>
        <v>0</v>
      </c>
      <c r="BB227" s="28">
        <f t="shared" si="133"/>
        <v>0</v>
      </c>
      <c r="BC227" s="28">
        <f t="shared" si="134"/>
        <v>0</v>
      </c>
      <c r="BD227" s="3439">
        <f t="shared" si="135"/>
        <v>0</v>
      </c>
      <c r="BE227" s="3439">
        <f t="shared" si="136"/>
        <v>0</v>
      </c>
      <c r="BF227" s="3439">
        <f t="shared" si="137"/>
        <v>0</v>
      </c>
      <c r="BG227" s="3439">
        <f t="shared" si="138"/>
        <v>0</v>
      </c>
      <c r="BH227" s="3439">
        <f t="shared" si="139"/>
        <v>0</v>
      </c>
      <c r="BI227" s="3439">
        <f t="shared" si="140"/>
        <v>0</v>
      </c>
      <c r="BJ227" s="3439">
        <f t="shared" si="141"/>
        <v>0</v>
      </c>
      <c r="BK227" s="3439">
        <f t="shared" si="142"/>
        <v>0</v>
      </c>
      <c r="BL227" s="28">
        <f t="shared" si="143"/>
        <v>0</v>
      </c>
      <c r="BM227" s="28">
        <f t="shared" si="144"/>
        <v>0</v>
      </c>
      <c r="BN227" s="28">
        <f t="shared" si="145"/>
        <v>0</v>
      </c>
      <c r="BO227" s="28">
        <f t="shared" si="146"/>
        <v>0</v>
      </c>
      <c r="BP227" s="28">
        <f t="shared" si="147"/>
        <v>0</v>
      </c>
      <c r="BQ227" s="3439">
        <f t="shared" si="148"/>
        <v>0</v>
      </c>
      <c r="BR227" s="3439">
        <f t="shared" si="149"/>
        <v>0</v>
      </c>
      <c r="BS227" s="3439">
        <f t="shared" si="150"/>
        <v>0</v>
      </c>
      <c r="BT227" s="3451">
        <f t="shared" si="151"/>
        <v>0</v>
      </c>
    </row>
    <row r="228" spans="1:72">
      <c r="A228" s="9"/>
      <c r="B228" s="27"/>
      <c r="C228" s="27"/>
      <c r="D228" s="1678"/>
      <c r="E228" s="28">
        <f t="shared" si="123"/>
        <v>0</v>
      </c>
      <c r="F228" s="29"/>
      <c r="G228" s="30">
        <f t="shared" si="124"/>
        <v>0</v>
      </c>
      <c r="H228" s="31">
        <f t="shared" si="125"/>
        <v>0</v>
      </c>
      <c r="I228" s="32"/>
      <c r="J228" s="32"/>
      <c r="K228" s="32"/>
      <c r="L228" s="32"/>
      <c r="M228" s="32"/>
      <c r="N228" s="32"/>
      <c r="O228" s="32"/>
      <c r="P228" s="32"/>
      <c r="Q228" s="32"/>
      <c r="R228" s="32"/>
      <c r="S228" s="32"/>
      <c r="T228" s="32"/>
      <c r="U228" s="32"/>
      <c r="V228" s="32"/>
      <c r="W228" s="32"/>
      <c r="X228" s="32"/>
      <c r="Y228" s="32"/>
      <c r="Z228" s="32"/>
      <c r="AA228" s="32"/>
      <c r="AB228" s="32"/>
      <c r="AC228" s="28">
        <f t="shared" si="126"/>
        <v>0</v>
      </c>
      <c r="AD228" s="33"/>
      <c r="AE228" s="33"/>
      <c r="AF228" s="33"/>
      <c r="AG228" s="33"/>
      <c r="AH228" s="33"/>
      <c r="AI228" s="33"/>
      <c r="AJ228" s="33"/>
      <c r="AK228" s="33"/>
      <c r="AL228" s="33"/>
      <c r="AM228" s="33"/>
      <c r="AN228" s="33"/>
      <c r="AO228" s="33"/>
      <c r="AP228" s="33"/>
      <c r="AQ228" s="33"/>
      <c r="AR228" s="33"/>
      <c r="AS228" s="33"/>
      <c r="AT228" s="34"/>
      <c r="AU228" s="1679"/>
      <c r="AV228" s="2256">
        <f t="shared" si="127"/>
        <v>0</v>
      </c>
      <c r="AW228" s="2256">
        <f t="shared" si="128"/>
        <v>0</v>
      </c>
      <c r="AX228" s="2256">
        <f t="shared" si="129"/>
        <v>0</v>
      </c>
      <c r="AY228" s="2781">
        <f t="shared" si="130"/>
        <v>0</v>
      </c>
      <c r="AZ228" s="28">
        <f t="shared" si="131"/>
        <v>0</v>
      </c>
      <c r="BA228" s="28">
        <f t="shared" si="132"/>
        <v>0</v>
      </c>
      <c r="BB228" s="28">
        <f t="shared" si="133"/>
        <v>0</v>
      </c>
      <c r="BC228" s="28">
        <f t="shared" si="134"/>
        <v>0</v>
      </c>
      <c r="BD228" s="3439">
        <f t="shared" si="135"/>
        <v>0</v>
      </c>
      <c r="BE228" s="3439">
        <f t="shared" si="136"/>
        <v>0</v>
      </c>
      <c r="BF228" s="3439">
        <f t="shared" si="137"/>
        <v>0</v>
      </c>
      <c r="BG228" s="3439">
        <f t="shared" si="138"/>
        <v>0</v>
      </c>
      <c r="BH228" s="3439">
        <f t="shared" si="139"/>
        <v>0</v>
      </c>
      <c r="BI228" s="3439">
        <f t="shared" si="140"/>
        <v>0</v>
      </c>
      <c r="BJ228" s="3439">
        <f t="shared" si="141"/>
        <v>0</v>
      </c>
      <c r="BK228" s="3439">
        <f t="shared" si="142"/>
        <v>0</v>
      </c>
      <c r="BL228" s="28">
        <f t="shared" si="143"/>
        <v>0</v>
      </c>
      <c r="BM228" s="28">
        <f t="shared" si="144"/>
        <v>0</v>
      </c>
      <c r="BN228" s="28">
        <f t="shared" si="145"/>
        <v>0</v>
      </c>
      <c r="BO228" s="28">
        <f t="shared" si="146"/>
        <v>0</v>
      </c>
      <c r="BP228" s="28">
        <f t="shared" si="147"/>
        <v>0</v>
      </c>
      <c r="BQ228" s="3439">
        <f t="shared" si="148"/>
        <v>0</v>
      </c>
      <c r="BR228" s="3439">
        <f t="shared" si="149"/>
        <v>0</v>
      </c>
      <c r="BS228" s="3439">
        <f t="shared" si="150"/>
        <v>0</v>
      </c>
      <c r="BT228" s="3451">
        <f t="shared" si="151"/>
        <v>0</v>
      </c>
    </row>
    <row r="229" spans="1:72">
      <c r="A229" s="9"/>
      <c r="B229" s="27"/>
      <c r="C229" s="27"/>
      <c r="D229" s="1678"/>
      <c r="E229" s="28">
        <f t="shared" si="123"/>
        <v>0</v>
      </c>
      <c r="F229" s="29"/>
      <c r="G229" s="30">
        <f t="shared" si="124"/>
        <v>0</v>
      </c>
      <c r="H229" s="31">
        <f t="shared" si="125"/>
        <v>0</v>
      </c>
      <c r="I229" s="32"/>
      <c r="J229" s="32"/>
      <c r="K229" s="32"/>
      <c r="L229" s="32"/>
      <c r="M229" s="32"/>
      <c r="N229" s="32"/>
      <c r="O229" s="32"/>
      <c r="P229" s="32"/>
      <c r="Q229" s="32"/>
      <c r="R229" s="32"/>
      <c r="S229" s="32"/>
      <c r="T229" s="32"/>
      <c r="U229" s="32"/>
      <c r="V229" s="32"/>
      <c r="W229" s="32"/>
      <c r="X229" s="32"/>
      <c r="Y229" s="32"/>
      <c r="Z229" s="32"/>
      <c r="AA229" s="32"/>
      <c r="AB229" s="32"/>
      <c r="AC229" s="28">
        <f t="shared" si="126"/>
        <v>0</v>
      </c>
      <c r="AD229" s="33"/>
      <c r="AE229" s="33"/>
      <c r="AF229" s="33"/>
      <c r="AG229" s="33"/>
      <c r="AH229" s="33"/>
      <c r="AI229" s="33"/>
      <c r="AJ229" s="33"/>
      <c r="AK229" s="33"/>
      <c r="AL229" s="33"/>
      <c r="AM229" s="33"/>
      <c r="AN229" s="33"/>
      <c r="AO229" s="33"/>
      <c r="AP229" s="33"/>
      <c r="AQ229" s="33"/>
      <c r="AR229" s="33"/>
      <c r="AS229" s="33"/>
      <c r="AT229" s="34"/>
      <c r="AU229" s="1679"/>
      <c r="AV229" s="2256">
        <f t="shared" si="127"/>
        <v>0</v>
      </c>
      <c r="AW229" s="2256">
        <f t="shared" si="128"/>
        <v>0</v>
      </c>
      <c r="AX229" s="2256">
        <f t="shared" si="129"/>
        <v>0</v>
      </c>
      <c r="AY229" s="2781">
        <f t="shared" si="130"/>
        <v>0</v>
      </c>
      <c r="AZ229" s="28">
        <f t="shared" si="131"/>
        <v>0</v>
      </c>
      <c r="BA229" s="28">
        <f t="shared" si="132"/>
        <v>0</v>
      </c>
      <c r="BB229" s="28">
        <f t="shared" si="133"/>
        <v>0</v>
      </c>
      <c r="BC229" s="28">
        <f t="shared" si="134"/>
        <v>0</v>
      </c>
      <c r="BD229" s="3439">
        <f t="shared" si="135"/>
        <v>0</v>
      </c>
      <c r="BE229" s="3439">
        <f t="shared" si="136"/>
        <v>0</v>
      </c>
      <c r="BF229" s="3439">
        <f t="shared" si="137"/>
        <v>0</v>
      </c>
      <c r="BG229" s="3439">
        <f t="shared" si="138"/>
        <v>0</v>
      </c>
      <c r="BH229" s="3439">
        <f t="shared" si="139"/>
        <v>0</v>
      </c>
      <c r="BI229" s="3439">
        <f t="shared" si="140"/>
        <v>0</v>
      </c>
      <c r="BJ229" s="3439">
        <f t="shared" si="141"/>
        <v>0</v>
      </c>
      <c r="BK229" s="3439">
        <f t="shared" si="142"/>
        <v>0</v>
      </c>
      <c r="BL229" s="28">
        <f t="shared" si="143"/>
        <v>0</v>
      </c>
      <c r="BM229" s="28">
        <f t="shared" si="144"/>
        <v>0</v>
      </c>
      <c r="BN229" s="28">
        <f t="shared" si="145"/>
        <v>0</v>
      </c>
      <c r="BO229" s="28">
        <f t="shared" si="146"/>
        <v>0</v>
      </c>
      <c r="BP229" s="28">
        <f t="shared" si="147"/>
        <v>0</v>
      </c>
      <c r="BQ229" s="3439">
        <f t="shared" si="148"/>
        <v>0</v>
      </c>
      <c r="BR229" s="3439">
        <f t="shared" si="149"/>
        <v>0</v>
      </c>
      <c r="BS229" s="3439">
        <f t="shared" si="150"/>
        <v>0</v>
      </c>
      <c r="BT229" s="3451">
        <f t="shared" si="151"/>
        <v>0</v>
      </c>
    </row>
    <row r="230" spans="1:72">
      <c r="A230" s="9"/>
      <c r="B230" s="27"/>
      <c r="C230" s="27"/>
      <c r="D230" s="1678"/>
      <c r="E230" s="28">
        <f t="shared" si="123"/>
        <v>0</v>
      </c>
      <c r="F230" s="29"/>
      <c r="G230" s="30">
        <f t="shared" si="124"/>
        <v>0</v>
      </c>
      <c r="H230" s="31">
        <f t="shared" si="125"/>
        <v>0</v>
      </c>
      <c r="I230" s="32"/>
      <c r="J230" s="32"/>
      <c r="K230" s="32"/>
      <c r="L230" s="32"/>
      <c r="M230" s="32"/>
      <c r="N230" s="32"/>
      <c r="O230" s="32"/>
      <c r="P230" s="32"/>
      <c r="Q230" s="32"/>
      <c r="R230" s="32"/>
      <c r="S230" s="32"/>
      <c r="T230" s="32"/>
      <c r="U230" s="32"/>
      <c r="V230" s="32"/>
      <c r="W230" s="32"/>
      <c r="X230" s="32"/>
      <c r="Y230" s="32"/>
      <c r="Z230" s="32"/>
      <c r="AA230" s="32"/>
      <c r="AB230" s="32"/>
      <c r="AC230" s="28">
        <f t="shared" si="126"/>
        <v>0</v>
      </c>
      <c r="AD230" s="33"/>
      <c r="AE230" s="33"/>
      <c r="AF230" s="33"/>
      <c r="AG230" s="33"/>
      <c r="AH230" s="33"/>
      <c r="AI230" s="33"/>
      <c r="AJ230" s="33"/>
      <c r="AK230" s="33"/>
      <c r="AL230" s="33"/>
      <c r="AM230" s="33"/>
      <c r="AN230" s="33"/>
      <c r="AO230" s="33"/>
      <c r="AP230" s="33"/>
      <c r="AQ230" s="33"/>
      <c r="AR230" s="33"/>
      <c r="AS230" s="33"/>
      <c r="AT230" s="34"/>
      <c r="AU230" s="1679"/>
      <c r="AV230" s="2256">
        <f t="shared" si="127"/>
        <v>0</v>
      </c>
      <c r="AW230" s="2256">
        <f t="shared" si="128"/>
        <v>0</v>
      </c>
      <c r="AX230" s="2256">
        <f t="shared" si="129"/>
        <v>0</v>
      </c>
      <c r="AY230" s="2781">
        <f t="shared" si="130"/>
        <v>0</v>
      </c>
      <c r="AZ230" s="28">
        <f t="shared" si="131"/>
        <v>0</v>
      </c>
      <c r="BA230" s="28">
        <f t="shared" si="132"/>
        <v>0</v>
      </c>
      <c r="BB230" s="28">
        <f t="shared" si="133"/>
        <v>0</v>
      </c>
      <c r="BC230" s="28">
        <f t="shared" si="134"/>
        <v>0</v>
      </c>
      <c r="BD230" s="3439">
        <f t="shared" si="135"/>
        <v>0</v>
      </c>
      <c r="BE230" s="3439">
        <f t="shared" si="136"/>
        <v>0</v>
      </c>
      <c r="BF230" s="3439">
        <f t="shared" si="137"/>
        <v>0</v>
      </c>
      <c r="BG230" s="3439">
        <f t="shared" si="138"/>
        <v>0</v>
      </c>
      <c r="BH230" s="3439">
        <f t="shared" si="139"/>
        <v>0</v>
      </c>
      <c r="BI230" s="3439">
        <f t="shared" si="140"/>
        <v>0</v>
      </c>
      <c r="BJ230" s="3439">
        <f t="shared" si="141"/>
        <v>0</v>
      </c>
      <c r="BK230" s="3439">
        <f t="shared" si="142"/>
        <v>0</v>
      </c>
      <c r="BL230" s="28">
        <f t="shared" si="143"/>
        <v>0</v>
      </c>
      <c r="BM230" s="28">
        <f t="shared" si="144"/>
        <v>0</v>
      </c>
      <c r="BN230" s="28">
        <f t="shared" si="145"/>
        <v>0</v>
      </c>
      <c r="BO230" s="28">
        <f t="shared" si="146"/>
        <v>0</v>
      </c>
      <c r="BP230" s="28">
        <f t="shared" si="147"/>
        <v>0</v>
      </c>
      <c r="BQ230" s="3439">
        <f t="shared" si="148"/>
        <v>0</v>
      </c>
      <c r="BR230" s="3439">
        <f t="shared" si="149"/>
        <v>0</v>
      </c>
      <c r="BS230" s="3439">
        <f t="shared" si="150"/>
        <v>0</v>
      </c>
      <c r="BT230" s="3451">
        <f t="shared" si="151"/>
        <v>0</v>
      </c>
    </row>
    <row r="231" spans="1:72">
      <c r="A231" s="9"/>
      <c r="B231" s="27"/>
      <c r="C231" s="27"/>
      <c r="D231" s="1678"/>
      <c r="E231" s="28">
        <f t="shared" si="123"/>
        <v>0</v>
      </c>
      <c r="F231" s="29"/>
      <c r="G231" s="30">
        <f t="shared" si="124"/>
        <v>0</v>
      </c>
      <c r="H231" s="31">
        <f t="shared" si="125"/>
        <v>0</v>
      </c>
      <c r="I231" s="32"/>
      <c r="J231" s="32"/>
      <c r="K231" s="32"/>
      <c r="L231" s="32"/>
      <c r="M231" s="32"/>
      <c r="N231" s="32"/>
      <c r="O231" s="32"/>
      <c r="P231" s="32"/>
      <c r="Q231" s="32"/>
      <c r="R231" s="32"/>
      <c r="S231" s="32"/>
      <c r="T231" s="32"/>
      <c r="U231" s="32"/>
      <c r="V231" s="32"/>
      <c r="W231" s="32"/>
      <c r="X231" s="32"/>
      <c r="Y231" s="32"/>
      <c r="Z231" s="32"/>
      <c r="AA231" s="32"/>
      <c r="AB231" s="32"/>
      <c r="AC231" s="28">
        <f t="shared" si="126"/>
        <v>0</v>
      </c>
      <c r="AD231" s="33"/>
      <c r="AE231" s="33"/>
      <c r="AF231" s="33"/>
      <c r="AG231" s="33"/>
      <c r="AH231" s="33"/>
      <c r="AI231" s="33"/>
      <c r="AJ231" s="33"/>
      <c r="AK231" s="33"/>
      <c r="AL231" s="33"/>
      <c r="AM231" s="33"/>
      <c r="AN231" s="33"/>
      <c r="AO231" s="33"/>
      <c r="AP231" s="33"/>
      <c r="AQ231" s="33"/>
      <c r="AR231" s="33"/>
      <c r="AS231" s="33"/>
      <c r="AT231" s="34"/>
      <c r="AU231" s="1679"/>
      <c r="AV231" s="2256">
        <f t="shared" si="127"/>
        <v>0</v>
      </c>
      <c r="AW231" s="2256">
        <f t="shared" si="128"/>
        <v>0</v>
      </c>
      <c r="AX231" s="2256">
        <f t="shared" si="129"/>
        <v>0</v>
      </c>
      <c r="AY231" s="2781">
        <f t="shared" si="130"/>
        <v>0</v>
      </c>
      <c r="AZ231" s="28">
        <f t="shared" si="131"/>
        <v>0</v>
      </c>
      <c r="BA231" s="28">
        <f t="shared" si="132"/>
        <v>0</v>
      </c>
      <c r="BB231" s="28">
        <f t="shared" si="133"/>
        <v>0</v>
      </c>
      <c r="BC231" s="28">
        <f t="shared" si="134"/>
        <v>0</v>
      </c>
      <c r="BD231" s="3439">
        <f t="shared" si="135"/>
        <v>0</v>
      </c>
      <c r="BE231" s="3439">
        <f t="shared" si="136"/>
        <v>0</v>
      </c>
      <c r="BF231" s="3439">
        <f t="shared" si="137"/>
        <v>0</v>
      </c>
      <c r="BG231" s="3439">
        <f t="shared" si="138"/>
        <v>0</v>
      </c>
      <c r="BH231" s="3439">
        <f t="shared" si="139"/>
        <v>0</v>
      </c>
      <c r="BI231" s="3439">
        <f t="shared" si="140"/>
        <v>0</v>
      </c>
      <c r="BJ231" s="3439">
        <f t="shared" si="141"/>
        <v>0</v>
      </c>
      <c r="BK231" s="3439">
        <f t="shared" si="142"/>
        <v>0</v>
      </c>
      <c r="BL231" s="28">
        <f t="shared" si="143"/>
        <v>0</v>
      </c>
      <c r="BM231" s="28">
        <f t="shared" si="144"/>
        <v>0</v>
      </c>
      <c r="BN231" s="28">
        <f t="shared" si="145"/>
        <v>0</v>
      </c>
      <c r="BO231" s="28">
        <f t="shared" si="146"/>
        <v>0</v>
      </c>
      <c r="BP231" s="28">
        <f t="shared" si="147"/>
        <v>0</v>
      </c>
      <c r="BQ231" s="3439">
        <f t="shared" si="148"/>
        <v>0</v>
      </c>
      <c r="BR231" s="3439">
        <f t="shared" si="149"/>
        <v>0</v>
      </c>
      <c r="BS231" s="3439">
        <f t="shared" si="150"/>
        <v>0</v>
      </c>
      <c r="BT231" s="3451">
        <f t="shared" si="151"/>
        <v>0</v>
      </c>
    </row>
    <row r="232" spans="1:72">
      <c r="A232" s="9"/>
      <c r="B232" s="27"/>
      <c r="C232" s="27"/>
      <c r="D232" s="1678"/>
      <c r="E232" s="28">
        <f t="shared" si="123"/>
        <v>0</v>
      </c>
      <c r="F232" s="29"/>
      <c r="G232" s="30">
        <f t="shared" si="124"/>
        <v>0</v>
      </c>
      <c r="H232" s="31">
        <f t="shared" si="125"/>
        <v>0</v>
      </c>
      <c r="I232" s="32"/>
      <c r="J232" s="32"/>
      <c r="K232" s="32"/>
      <c r="L232" s="32"/>
      <c r="M232" s="32"/>
      <c r="N232" s="32"/>
      <c r="O232" s="32"/>
      <c r="P232" s="32"/>
      <c r="Q232" s="32"/>
      <c r="R232" s="32"/>
      <c r="S232" s="32"/>
      <c r="T232" s="32"/>
      <c r="U232" s="32"/>
      <c r="V232" s="32"/>
      <c r="W232" s="32"/>
      <c r="X232" s="32"/>
      <c r="Y232" s="32"/>
      <c r="Z232" s="32"/>
      <c r="AA232" s="32"/>
      <c r="AB232" s="32"/>
      <c r="AC232" s="28">
        <f t="shared" si="126"/>
        <v>0</v>
      </c>
      <c r="AD232" s="33"/>
      <c r="AE232" s="33"/>
      <c r="AF232" s="33"/>
      <c r="AG232" s="33"/>
      <c r="AH232" s="33"/>
      <c r="AI232" s="33"/>
      <c r="AJ232" s="33"/>
      <c r="AK232" s="33"/>
      <c r="AL232" s="33"/>
      <c r="AM232" s="33"/>
      <c r="AN232" s="33"/>
      <c r="AO232" s="33"/>
      <c r="AP232" s="33"/>
      <c r="AQ232" s="33"/>
      <c r="AR232" s="33"/>
      <c r="AS232" s="33"/>
      <c r="AT232" s="34"/>
      <c r="AU232" s="1679"/>
      <c r="AV232" s="2256">
        <f t="shared" si="127"/>
        <v>0</v>
      </c>
      <c r="AW232" s="2256">
        <f t="shared" si="128"/>
        <v>0</v>
      </c>
      <c r="AX232" s="2256">
        <f t="shared" si="129"/>
        <v>0</v>
      </c>
      <c r="AY232" s="2781">
        <f t="shared" si="130"/>
        <v>0</v>
      </c>
      <c r="AZ232" s="28">
        <f t="shared" si="131"/>
        <v>0</v>
      </c>
      <c r="BA232" s="28">
        <f t="shared" si="132"/>
        <v>0</v>
      </c>
      <c r="BB232" s="28">
        <f t="shared" si="133"/>
        <v>0</v>
      </c>
      <c r="BC232" s="28">
        <f t="shared" si="134"/>
        <v>0</v>
      </c>
      <c r="BD232" s="3439">
        <f t="shared" si="135"/>
        <v>0</v>
      </c>
      <c r="BE232" s="3439">
        <f t="shared" si="136"/>
        <v>0</v>
      </c>
      <c r="BF232" s="3439">
        <f t="shared" si="137"/>
        <v>0</v>
      </c>
      <c r="BG232" s="3439">
        <f t="shared" si="138"/>
        <v>0</v>
      </c>
      <c r="BH232" s="3439">
        <f t="shared" si="139"/>
        <v>0</v>
      </c>
      <c r="BI232" s="3439">
        <f t="shared" si="140"/>
        <v>0</v>
      </c>
      <c r="BJ232" s="3439">
        <f t="shared" si="141"/>
        <v>0</v>
      </c>
      <c r="BK232" s="3439">
        <f t="shared" si="142"/>
        <v>0</v>
      </c>
      <c r="BL232" s="28">
        <f t="shared" si="143"/>
        <v>0</v>
      </c>
      <c r="BM232" s="28">
        <f t="shared" si="144"/>
        <v>0</v>
      </c>
      <c r="BN232" s="28">
        <f t="shared" si="145"/>
        <v>0</v>
      </c>
      <c r="BO232" s="28">
        <f t="shared" si="146"/>
        <v>0</v>
      </c>
      <c r="BP232" s="28">
        <f t="shared" si="147"/>
        <v>0</v>
      </c>
      <c r="BQ232" s="3439">
        <f t="shared" si="148"/>
        <v>0</v>
      </c>
      <c r="BR232" s="3439">
        <f t="shared" si="149"/>
        <v>0</v>
      </c>
      <c r="BS232" s="3439">
        <f t="shared" si="150"/>
        <v>0</v>
      </c>
      <c r="BT232" s="3451">
        <f t="shared" si="151"/>
        <v>0</v>
      </c>
    </row>
    <row r="233" spans="1:72">
      <c r="A233" s="9"/>
      <c r="B233" s="27"/>
      <c r="C233" s="27"/>
      <c r="D233" s="1678"/>
      <c r="E233" s="28">
        <f t="shared" si="123"/>
        <v>0</v>
      </c>
      <c r="F233" s="29"/>
      <c r="G233" s="30">
        <f t="shared" si="124"/>
        <v>0</v>
      </c>
      <c r="H233" s="31">
        <f t="shared" si="125"/>
        <v>0</v>
      </c>
      <c r="I233" s="32"/>
      <c r="J233" s="32"/>
      <c r="K233" s="32"/>
      <c r="L233" s="32"/>
      <c r="M233" s="32"/>
      <c r="N233" s="32"/>
      <c r="O233" s="32"/>
      <c r="P233" s="32"/>
      <c r="Q233" s="32"/>
      <c r="R233" s="32"/>
      <c r="S233" s="32"/>
      <c r="T233" s="32"/>
      <c r="U233" s="32"/>
      <c r="V233" s="32"/>
      <c r="W233" s="32"/>
      <c r="X233" s="32"/>
      <c r="Y233" s="32"/>
      <c r="Z233" s="32"/>
      <c r="AA233" s="32"/>
      <c r="AB233" s="32"/>
      <c r="AC233" s="28">
        <f t="shared" si="126"/>
        <v>0</v>
      </c>
      <c r="AD233" s="33"/>
      <c r="AE233" s="33"/>
      <c r="AF233" s="33"/>
      <c r="AG233" s="33"/>
      <c r="AH233" s="33"/>
      <c r="AI233" s="33"/>
      <c r="AJ233" s="33"/>
      <c r="AK233" s="33"/>
      <c r="AL233" s="33"/>
      <c r="AM233" s="33"/>
      <c r="AN233" s="33"/>
      <c r="AO233" s="33"/>
      <c r="AP233" s="33"/>
      <c r="AQ233" s="33"/>
      <c r="AR233" s="33"/>
      <c r="AS233" s="33"/>
      <c r="AT233" s="34"/>
      <c r="AU233" s="1679"/>
      <c r="AV233" s="2256">
        <f t="shared" si="127"/>
        <v>0</v>
      </c>
      <c r="AW233" s="2256">
        <f t="shared" si="128"/>
        <v>0</v>
      </c>
      <c r="AX233" s="2256">
        <f t="shared" si="129"/>
        <v>0</v>
      </c>
      <c r="AY233" s="2781">
        <f t="shared" si="130"/>
        <v>0</v>
      </c>
      <c r="AZ233" s="28">
        <f t="shared" si="131"/>
        <v>0</v>
      </c>
      <c r="BA233" s="28">
        <f t="shared" si="132"/>
        <v>0</v>
      </c>
      <c r="BB233" s="28">
        <f t="shared" si="133"/>
        <v>0</v>
      </c>
      <c r="BC233" s="28">
        <f t="shared" si="134"/>
        <v>0</v>
      </c>
      <c r="BD233" s="3439">
        <f t="shared" si="135"/>
        <v>0</v>
      </c>
      <c r="BE233" s="3439">
        <f t="shared" si="136"/>
        <v>0</v>
      </c>
      <c r="BF233" s="3439">
        <f t="shared" si="137"/>
        <v>0</v>
      </c>
      <c r="BG233" s="3439">
        <f t="shared" si="138"/>
        <v>0</v>
      </c>
      <c r="BH233" s="3439">
        <f t="shared" si="139"/>
        <v>0</v>
      </c>
      <c r="BI233" s="3439">
        <f t="shared" si="140"/>
        <v>0</v>
      </c>
      <c r="BJ233" s="3439">
        <f t="shared" si="141"/>
        <v>0</v>
      </c>
      <c r="BK233" s="3439">
        <f t="shared" si="142"/>
        <v>0</v>
      </c>
      <c r="BL233" s="28">
        <f t="shared" si="143"/>
        <v>0</v>
      </c>
      <c r="BM233" s="28">
        <f t="shared" si="144"/>
        <v>0</v>
      </c>
      <c r="BN233" s="28">
        <f t="shared" si="145"/>
        <v>0</v>
      </c>
      <c r="BO233" s="28">
        <f t="shared" si="146"/>
        <v>0</v>
      </c>
      <c r="BP233" s="28">
        <f t="shared" si="147"/>
        <v>0</v>
      </c>
      <c r="BQ233" s="3439">
        <f t="shared" si="148"/>
        <v>0</v>
      </c>
      <c r="BR233" s="3439">
        <f t="shared" si="149"/>
        <v>0</v>
      </c>
      <c r="BS233" s="3439">
        <f t="shared" si="150"/>
        <v>0</v>
      </c>
      <c r="BT233" s="3451">
        <f t="shared" si="151"/>
        <v>0</v>
      </c>
    </row>
    <row r="234" spans="1:72">
      <c r="A234" s="9"/>
      <c r="B234" s="27"/>
      <c r="C234" s="27"/>
      <c r="D234" s="1678"/>
      <c r="E234" s="28">
        <f t="shared" si="123"/>
        <v>0</v>
      </c>
      <c r="F234" s="29"/>
      <c r="G234" s="30">
        <f t="shared" si="124"/>
        <v>0</v>
      </c>
      <c r="H234" s="31">
        <f t="shared" si="125"/>
        <v>0</v>
      </c>
      <c r="I234" s="32"/>
      <c r="J234" s="32"/>
      <c r="K234" s="32"/>
      <c r="L234" s="32"/>
      <c r="M234" s="32"/>
      <c r="N234" s="32"/>
      <c r="O234" s="32"/>
      <c r="P234" s="32"/>
      <c r="Q234" s="32"/>
      <c r="R234" s="32"/>
      <c r="S234" s="32"/>
      <c r="T234" s="32"/>
      <c r="U234" s="32"/>
      <c r="V234" s="32"/>
      <c r="W234" s="32"/>
      <c r="X234" s="32"/>
      <c r="Y234" s="32"/>
      <c r="Z234" s="32"/>
      <c r="AA234" s="32"/>
      <c r="AB234" s="32"/>
      <c r="AC234" s="28">
        <f t="shared" si="126"/>
        <v>0</v>
      </c>
      <c r="AD234" s="33"/>
      <c r="AE234" s="33"/>
      <c r="AF234" s="33"/>
      <c r="AG234" s="33"/>
      <c r="AH234" s="33"/>
      <c r="AI234" s="33"/>
      <c r="AJ234" s="33"/>
      <c r="AK234" s="33"/>
      <c r="AL234" s="33"/>
      <c r="AM234" s="33"/>
      <c r="AN234" s="33"/>
      <c r="AO234" s="33"/>
      <c r="AP234" s="33"/>
      <c r="AQ234" s="33"/>
      <c r="AR234" s="33"/>
      <c r="AS234" s="33"/>
      <c r="AT234" s="34"/>
      <c r="AU234" s="1679"/>
      <c r="AV234" s="2256">
        <f t="shared" si="127"/>
        <v>0</v>
      </c>
      <c r="AW234" s="2256">
        <f t="shared" si="128"/>
        <v>0</v>
      </c>
      <c r="AX234" s="2256">
        <f t="shared" si="129"/>
        <v>0</v>
      </c>
      <c r="AY234" s="2781">
        <f t="shared" si="130"/>
        <v>0</v>
      </c>
      <c r="AZ234" s="28">
        <f t="shared" si="131"/>
        <v>0</v>
      </c>
      <c r="BA234" s="28">
        <f t="shared" si="132"/>
        <v>0</v>
      </c>
      <c r="BB234" s="28">
        <f t="shared" si="133"/>
        <v>0</v>
      </c>
      <c r="BC234" s="28">
        <f t="shared" si="134"/>
        <v>0</v>
      </c>
      <c r="BD234" s="3439">
        <f t="shared" si="135"/>
        <v>0</v>
      </c>
      <c r="BE234" s="3439">
        <f t="shared" si="136"/>
        <v>0</v>
      </c>
      <c r="BF234" s="3439">
        <f t="shared" si="137"/>
        <v>0</v>
      </c>
      <c r="BG234" s="3439">
        <f t="shared" si="138"/>
        <v>0</v>
      </c>
      <c r="BH234" s="3439">
        <f t="shared" si="139"/>
        <v>0</v>
      </c>
      <c r="BI234" s="3439">
        <f t="shared" si="140"/>
        <v>0</v>
      </c>
      <c r="BJ234" s="3439">
        <f t="shared" si="141"/>
        <v>0</v>
      </c>
      <c r="BK234" s="3439">
        <f t="shared" si="142"/>
        <v>0</v>
      </c>
      <c r="BL234" s="28">
        <f t="shared" si="143"/>
        <v>0</v>
      </c>
      <c r="BM234" s="28">
        <f t="shared" si="144"/>
        <v>0</v>
      </c>
      <c r="BN234" s="28">
        <f t="shared" si="145"/>
        <v>0</v>
      </c>
      <c r="BO234" s="28">
        <f t="shared" si="146"/>
        <v>0</v>
      </c>
      <c r="BP234" s="28">
        <f t="shared" si="147"/>
        <v>0</v>
      </c>
      <c r="BQ234" s="3439">
        <f t="shared" si="148"/>
        <v>0</v>
      </c>
      <c r="BR234" s="3439">
        <f t="shared" si="149"/>
        <v>0</v>
      </c>
      <c r="BS234" s="3439">
        <f t="shared" si="150"/>
        <v>0</v>
      </c>
      <c r="BT234" s="3451">
        <f t="shared" si="151"/>
        <v>0</v>
      </c>
    </row>
    <row r="235" spans="1:72">
      <c r="A235" s="9"/>
      <c r="B235" s="27"/>
      <c r="C235" s="27"/>
      <c r="D235" s="1678"/>
      <c r="E235" s="28">
        <f t="shared" si="123"/>
        <v>0</v>
      </c>
      <c r="F235" s="29"/>
      <c r="G235" s="30">
        <f t="shared" si="124"/>
        <v>0</v>
      </c>
      <c r="H235" s="31">
        <f t="shared" si="125"/>
        <v>0</v>
      </c>
      <c r="I235" s="32"/>
      <c r="J235" s="32"/>
      <c r="K235" s="32"/>
      <c r="L235" s="32"/>
      <c r="M235" s="32"/>
      <c r="N235" s="32"/>
      <c r="O235" s="32"/>
      <c r="P235" s="32"/>
      <c r="Q235" s="32"/>
      <c r="R235" s="32"/>
      <c r="S235" s="32"/>
      <c r="T235" s="32"/>
      <c r="U235" s="32"/>
      <c r="V235" s="32"/>
      <c r="W235" s="32"/>
      <c r="X235" s="32"/>
      <c r="Y235" s="32"/>
      <c r="Z235" s="32"/>
      <c r="AA235" s="32"/>
      <c r="AB235" s="32"/>
      <c r="AC235" s="28">
        <f t="shared" si="126"/>
        <v>0</v>
      </c>
      <c r="AD235" s="33"/>
      <c r="AE235" s="33"/>
      <c r="AF235" s="33"/>
      <c r="AG235" s="33"/>
      <c r="AH235" s="33"/>
      <c r="AI235" s="33"/>
      <c r="AJ235" s="33"/>
      <c r="AK235" s="33"/>
      <c r="AL235" s="33"/>
      <c r="AM235" s="33"/>
      <c r="AN235" s="33"/>
      <c r="AO235" s="33"/>
      <c r="AP235" s="33"/>
      <c r="AQ235" s="33"/>
      <c r="AR235" s="33"/>
      <c r="AS235" s="33"/>
      <c r="AT235" s="34"/>
      <c r="AU235" s="1679"/>
      <c r="AV235" s="2256">
        <f t="shared" si="127"/>
        <v>0</v>
      </c>
      <c r="AW235" s="2256">
        <f t="shared" si="128"/>
        <v>0</v>
      </c>
      <c r="AX235" s="2256">
        <f t="shared" si="129"/>
        <v>0</v>
      </c>
      <c r="AY235" s="2781">
        <f t="shared" si="130"/>
        <v>0</v>
      </c>
      <c r="AZ235" s="28">
        <f t="shared" si="131"/>
        <v>0</v>
      </c>
      <c r="BA235" s="28">
        <f t="shared" si="132"/>
        <v>0</v>
      </c>
      <c r="BB235" s="28">
        <f t="shared" si="133"/>
        <v>0</v>
      </c>
      <c r="BC235" s="28">
        <f t="shared" si="134"/>
        <v>0</v>
      </c>
      <c r="BD235" s="3439">
        <f t="shared" si="135"/>
        <v>0</v>
      </c>
      <c r="BE235" s="3439">
        <f t="shared" si="136"/>
        <v>0</v>
      </c>
      <c r="BF235" s="3439">
        <f t="shared" si="137"/>
        <v>0</v>
      </c>
      <c r="BG235" s="3439">
        <f t="shared" si="138"/>
        <v>0</v>
      </c>
      <c r="BH235" s="3439">
        <f t="shared" si="139"/>
        <v>0</v>
      </c>
      <c r="BI235" s="3439">
        <f t="shared" si="140"/>
        <v>0</v>
      </c>
      <c r="BJ235" s="3439">
        <f t="shared" si="141"/>
        <v>0</v>
      </c>
      <c r="BK235" s="3439">
        <f t="shared" si="142"/>
        <v>0</v>
      </c>
      <c r="BL235" s="28">
        <f t="shared" si="143"/>
        <v>0</v>
      </c>
      <c r="BM235" s="28">
        <f t="shared" si="144"/>
        <v>0</v>
      </c>
      <c r="BN235" s="28">
        <f t="shared" si="145"/>
        <v>0</v>
      </c>
      <c r="BO235" s="28">
        <f t="shared" si="146"/>
        <v>0</v>
      </c>
      <c r="BP235" s="28">
        <f t="shared" si="147"/>
        <v>0</v>
      </c>
      <c r="BQ235" s="3439">
        <f t="shared" si="148"/>
        <v>0</v>
      </c>
      <c r="BR235" s="3439">
        <f t="shared" si="149"/>
        <v>0</v>
      </c>
      <c r="BS235" s="3439">
        <f t="shared" si="150"/>
        <v>0</v>
      </c>
      <c r="BT235" s="3451">
        <f t="shared" si="151"/>
        <v>0</v>
      </c>
    </row>
    <row r="236" spans="1:72">
      <c r="A236" s="9"/>
      <c r="B236" s="27"/>
      <c r="C236" s="27"/>
      <c r="D236" s="1678"/>
      <c r="E236" s="28">
        <f t="shared" si="123"/>
        <v>0</v>
      </c>
      <c r="F236" s="29"/>
      <c r="G236" s="30">
        <f t="shared" si="124"/>
        <v>0</v>
      </c>
      <c r="H236" s="31">
        <f t="shared" si="125"/>
        <v>0</v>
      </c>
      <c r="I236" s="32"/>
      <c r="J236" s="32"/>
      <c r="K236" s="32"/>
      <c r="L236" s="32"/>
      <c r="M236" s="32"/>
      <c r="N236" s="32"/>
      <c r="O236" s="32"/>
      <c r="P236" s="32"/>
      <c r="Q236" s="32"/>
      <c r="R236" s="32"/>
      <c r="S236" s="32"/>
      <c r="T236" s="32"/>
      <c r="U236" s="32"/>
      <c r="V236" s="32"/>
      <c r="W236" s="32"/>
      <c r="X236" s="32"/>
      <c r="Y236" s="32"/>
      <c r="Z236" s="32"/>
      <c r="AA236" s="32"/>
      <c r="AB236" s="32"/>
      <c r="AC236" s="28">
        <f t="shared" si="126"/>
        <v>0</v>
      </c>
      <c r="AD236" s="33"/>
      <c r="AE236" s="33"/>
      <c r="AF236" s="33"/>
      <c r="AG236" s="33"/>
      <c r="AH236" s="33"/>
      <c r="AI236" s="33"/>
      <c r="AJ236" s="33"/>
      <c r="AK236" s="33"/>
      <c r="AL236" s="33"/>
      <c r="AM236" s="33"/>
      <c r="AN236" s="33"/>
      <c r="AO236" s="33"/>
      <c r="AP236" s="33"/>
      <c r="AQ236" s="33"/>
      <c r="AR236" s="33"/>
      <c r="AS236" s="33"/>
      <c r="AT236" s="34"/>
      <c r="AU236" s="1679"/>
      <c r="AV236" s="2256">
        <f t="shared" si="127"/>
        <v>0</v>
      </c>
      <c r="AW236" s="2256">
        <f t="shared" si="128"/>
        <v>0</v>
      </c>
      <c r="AX236" s="2256">
        <f t="shared" si="129"/>
        <v>0</v>
      </c>
      <c r="AY236" s="2781">
        <f t="shared" si="130"/>
        <v>0</v>
      </c>
      <c r="AZ236" s="28">
        <f t="shared" si="131"/>
        <v>0</v>
      </c>
      <c r="BA236" s="28">
        <f t="shared" si="132"/>
        <v>0</v>
      </c>
      <c r="BB236" s="28">
        <f t="shared" si="133"/>
        <v>0</v>
      </c>
      <c r="BC236" s="28">
        <f t="shared" si="134"/>
        <v>0</v>
      </c>
      <c r="BD236" s="3439">
        <f t="shared" si="135"/>
        <v>0</v>
      </c>
      <c r="BE236" s="3439">
        <f t="shared" si="136"/>
        <v>0</v>
      </c>
      <c r="BF236" s="3439">
        <f t="shared" si="137"/>
        <v>0</v>
      </c>
      <c r="BG236" s="3439">
        <f t="shared" si="138"/>
        <v>0</v>
      </c>
      <c r="BH236" s="3439">
        <f t="shared" si="139"/>
        <v>0</v>
      </c>
      <c r="BI236" s="3439">
        <f t="shared" si="140"/>
        <v>0</v>
      </c>
      <c r="BJ236" s="3439">
        <f t="shared" si="141"/>
        <v>0</v>
      </c>
      <c r="BK236" s="3439">
        <f t="shared" si="142"/>
        <v>0</v>
      </c>
      <c r="BL236" s="28">
        <f t="shared" si="143"/>
        <v>0</v>
      </c>
      <c r="BM236" s="28">
        <f t="shared" si="144"/>
        <v>0</v>
      </c>
      <c r="BN236" s="28">
        <f t="shared" si="145"/>
        <v>0</v>
      </c>
      <c r="BO236" s="28">
        <f t="shared" si="146"/>
        <v>0</v>
      </c>
      <c r="BP236" s="28">
        <f t="shared" si="147"/>
        <v>0</v>
      </c>
      <c r="BQ236" s="3439">
        <f t="shared" si="148"/>
        <v>0</v>
      </c>
      <c r="BR236" s="3439">
        <f t="shared" si="149"/>
        <v>0</v>
      </c>
      <c r="BS236" s="3439">
        <f t="shared" si="150"/>
        <v>0</v>
      </c>
      <c r="BT236" s="3451">
        <f t="shared" si="151"/>
        <v>0</v>
      </c>
    </row>
    <row r="237" spans="1:72">
      <c r="A237" s="9"/>
      <c r="B237" s="27"/>
      <c r="C237" s="27"/>
      <c r="D237" s="1678"/>
      <c r="E237" s="28">
        <f t="shared" si="123"/>
        <v>0</v>
      </c>
      <c r="F237" s="29"/>
      <c r="G237" s="30">
        <f t="shared" si="124"/>
        <v>0</v>
      </c>
      <c r="H237" s="31">
        <f t="shared" si="125"/>
        <v>0</v>
      </c>
      <c r="I237" s="32"/>
      <c r="J237" s="32"/>
      <c r="K237" s="32"/>
      <c r="L237" s="32"/>
      <c r="M237" s="32"/>
      <c r="N237" s="32"/>
      <c r="O237" s="32"/>
      <c r="P237" s="32"/>
      <c r="Q237" s="32"/>
      <c r="R237" s="32"/>
      <c r="S237" s="32"/>
      <c r="T237" s="32"/>
      <c r="U237" s="32"/>
      <c r="V237" s="32"/>
      <c r="W237" s="32"/>
      <c r="X237" s="32"/>
      <c r="Y237" s="32"/>
      <c r="Z237" s="32"/>
      <c r="AA237" s="32"/>
      <c r="AB237" s="32"/>
      <c r="AC237" s="28">
        <f t="shared" si="126"/>
        <v>0</v>
      </c>
      <c r="AD237" s="33"/>
      <c r="AE237" s="33"/>
      <c r="AF237" s="33"/>
      <c r="AG237" s="33"/>
      <c r="AH237" s="33"/>
      <c r="AI237" s="33"/>
      <c r="AJ237" s="33"/>
      <c r="AK237" s="33"/>
      <c r="AL237" s="33"/>
      <c r="AM237" s="33"/>
      <c r="AN237" s="33"/>
      <c r="AO237" s="33"/>
      <c r="AP237" s="33"/>
      <c r="AQ237" s="33"/>
      <c r="AR237" s="33"/>
      <c r="AS237" s="33"/>
      <c r="AT237" s="34"/>
      <c r="AU237" s="1679"/>
      <c r="AV237" s="2256">
        <f t="shared" si="127"/>
        <v>0</v>
      </c>
      <c r="AW237" s="2256">
        <f t="shared" si="128"/>
        <v>0</v>
      </c>
      <c r="AX237" s="2256">
        <f t="shared" si="129"/>
        <v>0</v>
      </c>
      <c r="AY237" s="2781">
        <f t="shared" si="130"/>
        <v>0</v>
      </c>
      <c r="AZ237" s="28">
        <f t="shared" si="131"/>
        <v>0</v>
      </c>
      <c r="BA237" s="28">
        <f t="shared" si="132"/>
        <v>0</v>
      </c>
      <c r="BB237" s="28">
        <f t="shared" si="133"/>
        <v>0</v>
      </c>
      <c r="BC237" s="28">
        <f t="shared" si="134"/>
        <v>0</v>
      </c>
      <c r="BD237" s="3439">
        <f t="shared" si="135"/>
        <v>0</v>
      </c>
      <c r="BE237" s="3439">
        <f t="shared" si="136"/>
        <v>0</v>
      </c>
      <c r="BF237" s="3439">
        <f t="shared" si="137"/>
        <v>0</v>
      </c>
      <c r="BG237" s="3439">
        <f t="shared" si="138"/>
        <v>0</v>
      </c>
      <c r="BH237" s="3439">
        <f t="shared" si="139"/>
        <v>0</v>
      </c>
      <c r="BI237" s="3439">
        <f t="shared" si="140"/>
        <v>0</v>
      </c>
      <c r="BJ237" s="3439">
        <f t="shared" si="141"/>
        <v>0</v>
      </c>
      <c r="BK237" s="3439">
        <f t="shared" si="142"/>
        <v>0</v>
      </c>
      <c r="BL237" s="28">
        <f t="shared" si="143"/>
        <v>0</v>
      </c>
      <c r="BM237" s="28">
        <f t="shared" si="144"/>
        <v>0</v>
      </c>
      <c r="BN237" s="28">
        <f t="shared" si="145"/>
        <v>0</v>
      </c>
      <c r="BO237" s="28">
        <f t="shared" si="146"/>
        <v>0</v>
      </c>
      <c r="BP237" s="28">
        <f t="shared" si="147"/>
        <v>0</v>
      </c>
      <c r="BQ237" s="3439">
        <f t="shared" si="148"/>
        <v>0</v>
      </c>
      <c r="BR237" s="3439">
        <f t="shared" si="149"/>
        <v>0</v>
      </c>
      <c r="BS237" s="3439">
        <f t="shared" si="150"/>
        <v>0</v>
      </c>
      <c r="BT237" s="3451">
        <f t="shared" si="151"/>
        <v>0</v>
      </c>
    </row>
    <row r="238" spans="1:72">
      <c r="A238" s="9"/>
      <c r="B238" s="27"/>
      <c r="C238" s="27"/>
      <c r="D238" s="1678"/>
      <c r="E238" s="28">
        <f t="shared" si="123"/>
        <v>0</v>
      </c>
      <c r="F238" s="29"/>
      <c r="G238" s="30">
        <f t="shared" si="124"/>
        <v>0</v>
      </c>
      <c r="H238" s="31">
        <f t="shared" si="125"/>
        <v>0</v>
      </c>
      <c r="I238" s="32"/>
      <c r="J238" s="32"/>
      <c r="K238" s="32"/>
      <c r="L238" s="32"/>
      <c r="M238" s="32"/>
      <c r="N238" s="32"/>
      <c r="O238" s="32"/>
      <c r="P238" s="32"/>
      <c r="Q238" s="32"/>
      <c r="R238" s="32"/>
      <c r="S238" s="32"/>
      <c r="T238" s="32"/>
      <c r="U238" s="32"/>
      <c r="V238" s="32"/>
      <c r="W238" s="32"/>
      <c r="X238" s="32"/>
      <c r="Y238" s="32"/>
      <c r="Z238" s="32"/>
      <c r="AA238" s="32"/>
      <c r="AB238" s="32"/>
      <c r="AC238" s="28">
        <f t="shared" si="126"/>
        <v>0</v>
      </c>
      <c r="AD238" s="33"/>
      <c r="AE238" s="33"/>
      <c r="AF238" s="33"/>
      <c r="AG238" s="33"/>
      <c r="AH238" s="33"/>
      <c r="AI238" s="33"/>
      <c r="AJ238" s="33"/>
      <c r="AK238" s="33"/>
      <c r="AL238" s="33"/>
      <c r="AM238" s="33"/>
      <c r="AN238" s="33"/>
      <c r="AO238" s="33"/>
      <c r="AP238" s="33"/>
      <c r="AQ238" s="33"/>
      <c r="AR238" s="33"/>
      <c r="AS238" s="33"/>
      <c r="AT238" s="34"/>
      <c r="AU238" s="1679"/>
      <c r="AV238" s="2256">
        <f t="shared" si="127"/>
        <v>0</v>
      </c>
      <c r="AW238" s="2256">
        <f t="shared" si="128"/>
        <v>0</v>
      </c>
      <c r="AX238" s="2256">
        <f t="shared" si="129"/>
        <v>0</v>
      </c>
      <c r="AY238" s="2781">
        <f t="shared" si="130"/>
        <v>0</v>
      </c>
      <c r="AZ238" s="28">
        <f t="shared" si="131"/>
        <v>0</v>
      </c>
      <c r="BA238" s="28">
        <f t="shared" si="132"/>
        <v>0</v>
      </c>
      <c r="BB238" s="28">
        <f t="shared" si="133"/>
        <v>0</v>
      </c>
      <c r="BC238" s="28">
        <f t="shared" si="134"/>
        <v>0</v>
      </c>
      <c r="BD238" s="3439">
        <f t="shared" si="135"/>
        <v>0</v>
      </c>
      <c r="BE238" s="3439">
        <f t="shared" si="136"/>
        <v>0</v>
      </c>
      <c r="BF238" s="3439">
        <f t="shared" si="137"/>
        <v>0</v>
      </c>
      <c r="BG238" s="3439">
        <f t="shared" si="138"/>
        <v>0</v>
      </c>
      <c r="BH238" s="3439">
        <f t="shared" si="139"/>
        <v>0</v>
      </c>
      <c r="BI238" s="3439">
        <f t="shared" si="140"/>
        <v>0</v>
      </c>
      <c r="BJ238" s="3439">
        <f t="shared" si="141"/>
        <v>0</v>
      </c>
      <c r="BK238" s="3439">
        <f t="shared" si="142"/>
        <v>0</v>
      </c>
      <c r="BL238" s="28">
        <f t="shared" si="143"/>
        <v>0</v>
      </c>
      <c r="BM238" s="28">
        <f t="shared" si="144"/>
        <v>0</v>
      </c>
      <c r="BN238" s="28">
        <f t="shared" si="145"/>
        <v>0</v>
      </c>
      <c r="BO238" s="28">
        <f t="shared" si="146"/>
        <v>0</v>
      </c>
      <c r="BP238" s="28">
        <f t="shared" si="147"/>
        <v>0</v>
      </c>
      <c r="BQ238" s="3439">
        <f t="shared" si="148"/>
        <v>0</v>
      </c>
      <c r="BR238" s="3439">
        <f t="shared" si="149"/>
        <v>0</v>
      </c>
      <c r="BS238" s="3439">
        <f t="shared" si="150"/>
        <v>0</v>
      </c>
      <c r="BT238" s="3451">
        <f t="shared" si="151"/>
        <v>0</v>
      </c>
    </row>
    <row r="239" spans="1:72">
      <c r="A239" s="9"/>
      <c r="B239" s="27"/>
      <c r="C239" s="27"/>
      <c r="D239" s="1678"/>
      <c r="E239" s="28">
        <f t="shared" si="123"/>
        <v>0</v>
      </c>
      <c r="F239" s="29"/>
      <c r="G239" s="30">
        <f t="shared" si="124"/>
        <v>0</v>
      </c>
      <c r="H239" s="31">
        <f t="shared" si="125"/>
        <v>0</v>
      </c>
      <c r="I239" s="32"/>
      <c r="J239" s="32"/>
      <c r="K239" s="32"/>
      <c r="L239" s="32"/>
      <c r="M239" s="32"/>
      <c r="N239" s="32"/>
      <c r="O239" s="32"/>
      <c r="P239" s="32"/>
      <c r="Q239" s="32"/>
      <c r="R239" s="32"/>
      <c r="S239" s="32"/>
      <c r="T239" s="32"/>
      <c r="U239" s="32"/>
      <c r="V239" s="32"/>
      <c r="W239" s="32"/>
      <c r="X239" s="32"/>
      <c r="Y239" s="32"/>
      <c r="Z239" s="32"/>
      <c r="AA239" s="32"/>
      <c r="AB239" s="32"/>
      <c r="AC239" s="28">
        <f t="shared" si="126"/>
        <v>0</v>
      </c>
      <c r="AD239" s="33"/>
      <c r="AE239" s="33"/>
      <c r="AF239" s="33"/>
      <c r="AG239" s="33"/>
      <c r="AH239" s="33"/>
      <c r="AI239" s="33"/>
      <c r="AJ239" s="33"/>
      <c r="AK239" s="33"/>
      <c r="AL239" s="33"/>
      <c r="AM239" s="33"/>
      <c r="AN239" s="33"/>
      <c r="AO239" s="33"/>
      <c r="AP239" s="33"/>
      <c r="AQ239" s="33"/>
      <c r="AR239" s="33"/>
      <c r="AS239" s="33"/>
      <c r="AT239" s="34"/>
      <c r="AU239" s="1679"/>
      <c r="AV239" s="2256">
        <f t="shared" si="127"/>
        <v>0</v>
      </c>
      <c r="AW239" s="2256">
        <f t="shared" si="128"/>
        <v>0</v>
      </c>
      <c r="AX239" s="2256">
        <f t="shared" si="129"/>
        <v>0</v>
      </c>
      <c r="AY239" s="2781">
        <f t="shared" si="130"/>
        <v>0</v>
      </c>
      <c r="AZ239" s="28">
        <f t="shared" si="131"/>
        <v>0</v>
      </c>
      <c r="BA239" s="28">
        <f t="shared" si="132"/>
        <v>0</v>
      </c>
      <c r="BB239" s="28">
        <f t="shared" si="133"/>
        <v>0</v>
      </c>
      <c r="BC239" s="28">
        <f t="shared" si="134"/>
        <v>0</v>
      </c>
      <c r="BD239" s="3439">
        <f t="shared" si="135"/>
        <v>0</v>
      </c>
      <c r="BE239" s="3439">
        <f t="shared" si="136"/>
        <v>0</v>
      </c>
      <c r="BF239" s="3439">
        <f t="shared" si="137"/>
        <v>0</v>
      </c>
      <c r="BG239" s="3439">
        <f t="shared" si="138"/>
        <v>0</v>
      </c>
      <c r="BH239" s="3439">
        <f t="shared" si="139"/>
        <v>0</v>
      </c>
      <c r="BI239" s="3439">
        <f t="shared" si="140"/>
        <v>0</v>
      </c>
      <c r="BJ239" s="3439">
        <f t="shared" si="141"/>
        <v>0</v>
      </c>
      <c r="BK239" s="3439">
        <f t="shared" si="142"/>
        <v>0</v>
      </c>
      <c r="BL239" s="28">
        <f t="shared" si="143"/>
        <v>0</v>
      </c>
      <c r="BM239" s="28">
        <f t="shared" si="144"/>
        <v>0</v>
      </c>
      <c r="BN239" s="28">
        <f t="shared" si="145"/>
        <v>0</v>
      </c>
      <c r="BO239" s="28">
        <f t="shared" si="146"/>
        <v>0</v>
      </c>
      <c r="BP239" s="28">
        <f t="shared" si="147"/>
        <v>0</v>
      </c>
      <c r="BQ239" s="3439">
        <f t="shared" si="148"/>
        <v>0</v>
      </c>
      <c r="BR239" s="3439">
        <f t="shared" si="149"/>
        <v>0</v>
      </c>
      <c r="BS239" s="3439">
        <f t="shared" si="150"/>
        <v>0</v>
      </c>
      <c r="BT239" s="3451">
        <f t="shared" si="151"/>
        <v>0</v>
      </c>
    </row>
    <row r="240" spans="1:72">
      <c r="A240" s="9"/>
      <c r="B240" s="27"/>
      <c r="C240" s="27"/>
      <c r="D240" s="1678"/>
      <c r="E240" s="28">
        <f t="shared" si="123"/>
        <v>0</v>
      </c>
      <c r="F240" s="29"/>
      <c r="G240" s="30">
        <f t="shared" si="124"/>
        <v>0</v>
      </c>
      <c r="H240" s="31">
        <f t="shared" si="125"/>
        <v>0</v>
      </c>
      <c r="I240" s="32"/>
      <c r="J240" s="32"/>
      <c r="K240" s="32"/>
      <c r="L240" s="32"/>
      <c r="M240" s="32"/>
      <c r="N240" s="32"/>
      <c r="O240" s="32"/>
      <c r="P240" s="32"/>
      <c r="Q240" s="32"/>
      <c r="R240" s="32"/>
      <c r="S240" s="32"/>
      <c r="T240" s="32"/>
      <c r="U240" s="32"/>
      <c r="V240" s="32"/>
      <c r="W240" s="32"/>
      <c r="X240" s="32"/>
      <c r="Y240" s="32"/>
      <c r="Z240" s="32"/>
      <c r="AA240" s="32"/>
      <c r="AB240" s="32"/>
      <c r="AC240" s="28">
        <f t="shared" si="126"/>
        <v>0</v>
      </c>
      <c r="AD240" s="33"/>
      <c r="AE240" s="33"/>
      <c r="AF240" s="33"/>
      <c r="AG240" s="33"/>
      <c r="AH240" s="33"/>
      <c r="AI240" s="33"/>
      <c r="AJ240" s="33"/>
      <c r="AK240" s="33"/>
      <c r="AL240" s="33"/>
      <c r="AM240" s="33"/>
      <c r="AN240" s="33"/>
      <c r="AO240" s="33"/>
      <c r="AP240" s="33"/>
      <c r="AQ240" s="33"/>
      <c r="AR240" s="33"/>
      <c r="AS240" s="33"/>
      <c r="AT240" s="34"/>
      <c r="AU240" s="1679"/>
      <c r="AV240" s="2256">
        <f t="shared" si="127"/>
        <v>0</v>
      </c>
      <c r="AW240" s="2256">
        <f t="shared" si="128"/>
        <v>0</v>
      </c>
      <c r="AX240" s="2256">
        <f t="shared" si="129"/>
        <v>0</v>
      </c>
      <c r="AY240" s="2781">
        <f t="shared" si="130"/>
        <v>0</v>
      </c>
      <c r="AZ240" s="28">
        <f t="shared" si="131"/>
        <v>0</v>
      </c>
      <c r="BA240" s="28">
        <f t="shared" si="132"/>
        <v>0</v>
      </c>
      <c r="BB240" s="28">
        <f t="shared" si="133"/>
        <v>0</v>
      </c>
      <c r="BC240" s="28">
        <f t="shared" si="134"/>
        <v>0</v>
      </c>
      <c r="BD240" s="3439">
        <f t="shared" si="135"/>
        <v>0</v>
      </c>
      <c r="BE240" s="3439">
        <f t="shared" si="136"/>
        <v>0</v>
      </c>
      <c r="BF240" s="3439">
        <f t="shared" si="137"/>
        <v>0</v>
      </c>
      <c r="BG240" s="3439">
        <f t="shared" si="138"/>
        <v>0</v>
      </c>
      <c r="BH240" s="3439">
        <f t="shared" si="139"/>
        <v>0</v>
      </c>
      <c r="BI240" s="3439">
        <f t="shared" si="140"/>
        <v>0</v>
      </c>
      <c r="BJ240" s="3439">
        <f t="shared" si="141"/>
        <v>0</v>
      </c>
      <c r="BK240" s="3439">
        <f t="shared" si="142"/>
        <v>0</v>
      </c>
      <c r="BL240" s="28">
        <f t="shared" si="143"/>
        <v>0</v>
      </c>
      <c r="BM240" s="28">
        <f t="shared" si="144"/>
        <v>0</v>
      </c>
      <c r="BN240" s="28">
        <f t="shared" si="145"/>
        <v>0</v>
      </c>
      <c r="BO240" s="28">
        <f t="shared" si="146"/>
        <v>0</v>
      </c>
      <c r="BP240" s="28">
        <f t="shared" si="147"/>
        <v>0</v>
      </c>
      <c r="BQ240" s="3439">
        <f t="shared" si="148"/>
        <v>0</v>
      </c>
      <c r="BR240" s="3439">
        <f t="shared" si="149"/>
        <v>0</v>
      </c>
      <c r="BS240" s="3439">
        <f t="shared" si="150"/>
        <v>0</v>
      </c>
      <c r="BT240" s="3451">
        <f t="shared" si="151"/>
        <v>0</v>
      </c>
    </row>
    <row r="241" spans="1:72">
      <c r="A241" s="9"/>
      <c r="B241" s="27"/>
      <c r="C241" s="27"/>
      <c r="D241" s="1678"/>
      <c r="E241" s="28">
        <f t="shared" si="123"/>
        <v>0</v>
      </c>
      <c r="F241" s="29"/>
      <c r="G241" s="30">
        <f t="shared" si="124"/>
        <v>0</v>
      </c>
      <c r="H241" s="31">
        <f t="shared" si="125"/>
        <v>0</v>
      </c>
      <c r="I241" s="32"/>
      <c r="J241" s="32"/>
      <c r="K241" s="32"/>
      <c r="L241" s="32"/>
      <c r="M241" s="32"/>
      <c r="N241" s="32"/>
      <c r="O241" s="32"/>
      <c r="P241" s="32"/>
      <c r="Q241" s="32"/>
      <c r="R241" s="32"/>
      <c r="S241" s="32"/>
      <c r="T241" s="32"/>
      <c r="U241" s="32"/>
      <c r="V241" s="32"/>
      <c r="W241" s="32"/>
      <c r="X241" s="32"/>
      <c r="Y241" s="32"/>
      <c r="Z241" s="32"/>
      <c r="AA241" s="32"/>
      <c r="AB241" s="32"/>
      <c r="AC241" s="28">
        <f t="shared" si="126"/>
        <v>0</v>
      </c>
      <c r="AD241" s="33"/>
      <c r="AE241" s="33"/>
      <c r="AF241" s="33"/>
      <c r="AG241" s="33"/>
      <c r="AH241" s="33"/>
      <c r="AI241" s="33"/>
      <c r="AJ241" s="33"/>
      <c r="AK241" s="33"/>
      <c r="AL241" s="33"/>
      <c r="AM241" s="33"/>
      <c r="AN241" s="33"/>
      <c r="AO241" s="33"/>
      <c r="AP241" s="33"/>
      <c r="AQ241" s="33"/>
      <c r="AR241" s="33"/>
      <c r="AS241" s="33"/>
      <c r="AT241" s="34"/>
      <c r="AU241" s="1679"/>
      <c r="AV241" s="2256">
        <f t="shared" si="127"/>
        <v>0</v>
      </c>
      <c r="AW241" s="2256">
        <f t="shared" si="128"/>
        <v>0</v>
      </c>
      <c r="AX241" s="2256">
        <f t="shared" si="129"/>
        <v>0</v>
      </c>
      <c r="AY241" s="2781">
        <f t="shared" si="130"/>
        <v>0</v>
      </c>
      <c r="AZ241" s="28">
        <f t="shared" si="131"/>
        <v>0</v>
      </c>
      <c r="BA241" s="28">
        <f t="shared" si="132"/>
        <v>0</v>
      </c>
      <c r="BB241" s="28">
        <f t="shared" si="133"/>
        <v>0</v>
      </c>
      <c r="BC241" s="28">
        <f t="shared" si="134"/>
        <v>0</v>
      </c>
      <c r="BD241" s="3439">
        <f t="shared" si="135"/>
        <v>0</v>
      </c>
      <c r="BE241" s="3439">
        <f t="shared" si="136"/>
        <v>0</v>
      </c>
      <c r="BF241" s="3439">
        <f t="shared" si="137"/>
        <v>0</v>
      </c>
      <c r="BG241" s="3439">
        <f t="shared" si="138"/>
        <v>0</v>
      </c>
      <c r="BH241" s="3439">
        <f t="shared" si="139"/>
        <v>0</v>
      </c>
      <c r="BI241" s="3439">
        <f t="shared" si="140"/>
        <v>0</v>
      </c>
      <c r="BJ241" s="3439">
        <f t="shared" si="141"/>
        <v>0</v>
      </c>
      <c r="BK241" s="3439">
        <f t="shared" si="142"/>
        <v>0</v>
      </c>
      <c r="BL241" s="28">
        <f t="shared" si="143"/>
        <v>0</v>
      </c>
      <c r="BM241" s="28">
        <f t="shared" si="144"/>
        <v>0</v>
      </c>
      <c r="BN241" s="28">
        <f t="shared" si="145"/>
        <v>0</v>
      </c>
      <c r="BO241" s="28">
        <f t="shared" si="146"/>
        <v>0</v>
      </c>
      <c r="BP241" s="28">
        <f t="shared" si="147"/>
        <v>0</v>
      </c>
      <c r="BQ241" s="3439">
        <f t="shared" si="148"/>
        <v>0</v>
      </c>
      <c r="BR241" s="3439">
        <f t="shared" si="149"/>
        <v>0</v>
      </c>
      <c r="BS241" s="3439">
        <f t="shared" si="150"/>
        <v>0</v>
      </c>
      <c r="BT241" s="3451">
        <f t="shared" si="151"/>
        <v>0</v>
      </c>
    </row>
    <row r="242" spans="1:72">
      <c r="A242" s="9"/>
      <c r="B242" s="27"/>
      <c r="C242" s="27"/>
      <c r="D242" s="1678"/>
      <c r="E242" s="28">
        <f t="shared" si="123"/>
        <v>0</v>
      </c>
      <c r="F242" s="29"/>
      <c r="G242" s="30">
        <f t="shared" si="124"/>
        <v>0</v>
      </c>
      <c r="H242" s="31">
        <f t="shared" si="125"/>
        <v>0</v>
      </c>
      <c r="I242" s="32"/>
      <c r="J242" s="32"/>
      <c r="K242" s="32"/>
      <c r="L242" s="32"/>
      <c r="M242" s="32"/>
      <c r="N242" s="32"/>
      <c r="O242" s="32"/>
      <c r="P242" s="32"/>
      <c r="Q242" s="32"/>
      <c r="R242" s="32"/>
      <c r="S242" s="32"/>
      <c r="T242" s="32"/>
      <c r="U242" s="32"/>
      <c r="V242" s="32"/>
      <c r="W242" s="32"/>
      <c r="X242" s="32"/>
      <c r="Y242" s="32"/>
      <c r="Z242" s="32"/>
      <c r="AA242" s="32"/>
      <c r="AB242" s="32"/>
      <c r="AC242" s="28">
        <f t="shared" si="126"/>
        <v>0</v>
      </c>
      <c r="AD242" s="33"/>
      <c r="AE242" s="33"/>
      <c r="AF242" s="33"/>
      <c r="AG242" s="33"/>
      <c r="AH242" s="33"/>
      <c r="AI242" s="33"/>
      <c r="AJ242" s="33"/>
      <c r="AK242" s="33"/>
      <c r="AL242" s="33"/>
      <c r="AM242" s="33"/>
      <c r="AN242" s="33"/>
      <c r="AO242" s="33"/>
      <c r="AP242" s="33"/>
      <c r="AQ242" s="33"/>
      <c r="AR242" s="33"/>
      <c r="AS242" s="33"/>
      <c r="AT242" s="34"/>
      <c r="AU242" s="1679"/>
      <c r="AV242" s="2256">
        <f t="shared" si="127"/>
        <v>0</v>
      </c>
      <c r="AW242" s="2256">
        <f t="shared" si="128"/>
        <v>0</v>
      </c>
      <c r="AX242" s="2256">
        <f t="shared" si="129"/>
        <v>0</v>
      </c>
      <c r="AY242" s="2781">
        <f t="shared" si="130"/>
        <v>0</v>
      </c>
      <c r="AZ242" s="28">
        <f t="shared" si="131"/>
        <v>0</v>
      </c>
      <c r="BA242" s="28">
        <f t="shared" si="132"/>
        <v>0</v>
      </c>
      <c r="BB242" s="28">
        <f t="shared" si="133"/>
        <v>0</v>
      </c>
      <c r="BC242" s="28">
        <f t="shared" si="134"/>
        <v>0</v>
      </c>
      <c r="BD242" s="3439">
        <f t="shared" si="135"/>
        <v>0</v>
      </c>
      <c r="BE242" s="3439">
        <f t="shared" si="136"/>
        <v>0</v>
      </c>
      <c r="BF242" s="3439">
        <f t="shared" si="137"/>
        <v>0</v>
      </c>
      <c r="BG242" s="3439">
        <f t="shared" si="138"/>
        <v>0</v>
      </c>
      <c r="BH242" s="3439">
        <f t="shared" si="139"/>
        <v>0</v>
      </c>
      <c r="BI242" s="3439">
        <f t="shared" si="140"/>
        <v>0</v>
      </c>
      <c r="BJ242" s="3439">
        <f t="shared" si="141"/>
        <v>0</v>
      </c>
      <c r="BK242" s="3439">
        <f t="shared" si="142"/>
        <v>0</v>
      </c>
      <c r="BL242" s="28">
        <f t="shared" si="143"/>
        <v>0</v>
      </c>
      <c r="BM242" s="28">
        <f t="shared" si="144"/>
        <v>0</v>
      </c>
      <c r="BN242" s="28">
        <f t="shared" si="145"/>
        <v>0</v>
      </c>
      <c r="BO242" s="28">
        <f t="shared" si="146"/>
        <v>0</v>
      </c>
      <c r="BP242" s="28">
        <f t="shared" si="147"/>
        <v>0</v>
      </c>
      <c r="BQ242" s="3439">
        <f t="shared" si="148"/>
        <v>0</v>
      </c>
      <c r="BR242" s="3439">
        <f t="shared" si="149"/>
        <v>0</v>
      </c>
      <c r="BS242" s="3439">
        <f t="shared" si="150"/>
        <v>0</v>
      </c>
      <c r="BT242" s="3451">
        <f t="shared" si="151"/>
        <v>0</v>
      </c>
    </row>
    <row r="243" spans="1:72">
      <c r="A243" s="9"/>
      <c r="B243" s="27"/>
      <c r="C243" s="27"/>
      <c r="D243" s="1678"/>
      <c r="E243" s="28">
        <f t="shared" si="123"/>
        <v>0</v>
      </c>
      <c r="F243" s="29"/>
      <c r="G243" s="30">
        <f t="shared" si="124"/>
        <v>0</v>
      </c>
      <c r="H243" s="31">
        <f t="shared" si="125"/>
        <v>0</v>
      </c>
      <c r="I243" s="32"/>
      <c r="J243" s="32"/>
      <c r="K243" s="32"/>
      <c r="L243" s="32"/>
      <c r="M243" s="32"/>
      <c r="N243" s="32"/>
      <c r="O243" s="32"/>
      <c r="P243" s="32"/>
      <c r="Q243" s="32"/>
      <c r="R243" s="32"/>
      <c r="S243" s="32"/>
      <c r="T243" s="32"/>
      <c r="U243" s="32"/>
      <c r="V243" s="32"/>
      <c r="W243" s="32"/>
      <c r="X243" s="32"/>
      <c r="Y243" s="32"/>
      <c r="Z243" s="32"/>
      <c r="AA243" s="32"/>
      <c r="AB243" s="32"/>
      <c r="AC243" s="28">
        <f t="shared" si="126"/>
        <v>0</v>
      </c>
      <c r="AD243" s="33"/>
      <c r="AE243" s="33"/>
      <c r="AF243" s="33"/>
      <c r="AG243" s="33"/>
      <c r="AH243" s="33"/>
      <c r="AI243" s="33"/>
      <c r="AJ243" s="33"/>
      <c r="AK243" s="33"/>
      <c r="AL243" s="33"/>
      <c r="AM243" s="33"/>
      <c r="AN243" s="33"/>
      <c r="AO243" s="33"/>
      <c r="AP243" s="33"/>
      <c r="AQ243" s="33"/>
      <c r="AR243" s="33"/>
      <c r="AS243" s="33"/>
      <c r="AT243" s="34"/>
      <c r="AU243" s="1679"/>
      <c r="AV243" s="2256">
        <f t="shared" si="127"/>
        <v>0</v>
      </c>
      <c r="AW243" s="2256">
        <f t="shared" si="128"/>
        <v>0</v>
      </c>
      <c r="AX243" s="2256">
        <f t="shared" si="129"/>
        <v>0</v>
      </c>
      <c r="AY243" s="2781">
        <f t="shared" si="130"/>
        <v>0</v>
      </c>
      <c r="AZ243" s="28">
        <f t="shared" si="131"/>
        <v>0</v>
      </c>
      <c r="BA243" s="28">
        <f t="shared" si="132"/>
        <v>0</v>
      </c>
      <c r="BB243" s="28">
        <f t="shared" si="133"/>
        <v>0</v>
      </c>
      <c r="BC243" s="28">
        <f t="shared" si="134"/>
        <v>0</v>
      </c>
      <c r="BD243" s="3439">
        <f t="shared" si="135"/>
        <v>0</v>
      </c>
      <c r="BE243" s="3439">
        <f t="shared" si="136"/>
        <v>0</v>
      </c>
      <c r="BF243" s="3439">
        <f t="shared" si="137"/>
        <v>0</v>
      </c>
      <c r="BG243" s="3439">
        <f t="shared" si="138"/>
        <v>0</v>
      </c>
      <c r="BH243" s="3439">
        <f t="shared" si="139"/>
        <v>0</v>
      </c>
      <c r="BI243" s="3439">
        <f t="shared" si="140"/>
        <v>0</v>
      </c>
      <c r="BJ243" s="3439">
        <f t="shared" si="141"/>
        <v>0</v>
      </c>
      <c r="BK243" s="3439">
        <f t="shared" si="142"/>
        <v>0</v>
      </c>
      <c r="BL243" s="28">
        <f t="shared" si="143"/>
        <v>0</v>
      </c>
      <c r="BM243" s="28">
        <f t="shared" si="144"/>
        <v>0</v>
      </c>
      <c r="BN243" s="28">
        <f t="shared" si="145"/>
        <v>0</v>
      </c>
      <c r="BO243" s="28">
        <f t="shared" si="146"/>
        <v>0</v>
      </c>
      <c r="BP243" s="28">
        <f t="shared" si="147"/>
        <v>0</v>
      </c>
      <c r="BQ243" s="3439">
        <f t="shared" si="148"/>
        <v>0</v>
      </c>
      <c r="BR243" s="3439">
        <f t="shared" si="149"/>
        <v>0</v>
      </c>
      <c r="BS243" s="3439">
        <f t="shared" si="150"/>
        <v>0</v>
      </c>
      <c r="BT243" s="3451">
        <f t="shared" si="151"/>
        <v>0</v>
      </c>
    </row>
    <row r="244" spans="1:72">
      <c r="A244" s="9"/>
      <c r="B244" s="27"/>
      <c r="C244" s="27"/>
      <c r="D244" s="1678"/>
      <c r="E244" s="28">
        <f t="shared" si="123"/>
        <v>0</v>
      </c>
      <c r="F244" s="29"/>
      <c r="G244" s="30">
        <f t="shared" si="124"/>
        <v>0</v>
      </c>
      <c r="H244" s="31">
        <f t="shared" si="125"/>
        <v>0</v>
      </c>
      <c r="I244" s="32"/>
      <c r="J244" s="32"/>
      <c r="K244" s="32"/>
      <c r="L244" s="32"/>
      <c r="M244" s="32"/>
      <c r="N244" s="32"/>
      <c r="O244" s="32"/>
      <c r="P244" s="32"/>
      <c r="Q244" s="32"/>
      <c r="R244" s="32"/>
      <c r="S244" s="32"/>
      <c r="T244" s="32"/>
      <c r="U244" s="32"/>
      <c r="V244" s="32"/>
      <c r="W244" s="32"/>
      <c r="X244" s="32"/>
      <c r="Y244" s="32"/>
      <c r="Z244" s="32"/>
      <c r="AA244" s="32"/>
      <c r="AB244" s="32"/>
      <c r="AC244" s="28">
        <f t="shared" si="126"/>
        <v>0</v>
      </c>
      <c r="AD244" s="33"/>
      <c r="AE244" s="33"/>
      <c r="AF244" s="33"/>
      <c r="AG244" s="33"/>
      <c r="AH244" s="33"/>
      <c r="AI244" s="33"/>
      <c r="AJ244" s="33"/>
      <c r="AK244" s="33"/>
      <c r="AL244" s="33"/>
      <c r="AM244" s="33"/>
      <c r="AN244" s="33"/>
      <c r="AO244" s="33"/>
      <c r="AP244" s="33"/>
      <c r="AQ244" s="33"/>
      <c r="AR244" s="33"/>
      <c r="AS244" s="33"/>
      <c r="AT244" s="34"/>
      <c r="AU244" s="1679"/>
      <c r="AV244" s="2256">
        <f t="shared" si="127"/>
        <v>0</v>
      </c>
      <c r="AW244" s="2256">
        <f t="shared" si="128"/>
        <v>0</v>
      </c>
      <c r="AX244" s="2256">
        <f t="shared" si="129"/>
        <v>0</v>
      </c>
      <c r="AY244" s="2781">
        <f t="shared" si="130"/>
        <v>0</v>
      </c>
      <c r="AZ244" s="28">
        <f t="shared" si="131"/>
        <v>0</v>
      </c>
      <c r="BA244" s="28">
        <f t="shared" si="132"/>
        <v>0</v>
      </c>
      <c r="BB244" s="28">
        <f t="shared" si="133"/>
        <v>0</v>
      </c>
      <c r="BC244" s="28">
        <f t="shared" si="134"/>
        <v>0</v>
      </c>
      <c r="BD244" s="3439">
        <f t="shared" si="135"/>
        <v>0</v>
      </c>
      <c r="BE244" s="3439">
        <f t="shared" si="136"/>
        <v>0</v>
      </c>
      <c r="BF244" s="3439">
        <f t="shared" si="137"/>
        <v>0</v>
      </c>
      <c r="BG244" s="3439">
        <f t="shared" si="138"/>
        <v>0</v>
      </c>
      <c r="BH244" s="3439">
        <f t="shared" si="139"/>
        <v>0</v>
      </c>
      <c r="BI244" s="3439">
        <f t="shared" si="140"/>
        <v>0</v>
      </c>
      <c r="BJ244" s="3439">
        <f t="shared" si="141"/>
        <v>0</v>
      </c>
      <c r="BK244" s="3439">
        <f t="shared" si="142"/>
        <v>0</v>
      </c>
      <c r="BL244" s="28">
        <f t="shared" si="143"/>
        <v>0</v>
      </c>
      <c r="BM244" s="28">
        <f t="shared" si="144"/>
        <v>0</v>
      </c>
      <c r="BN244" s="28">
        <f t="shared" si="145"/>
        <v>0</v>
      </c>
      <c r="BO244" s="28">
        <f t="shared" si="146"/>
        <v>0</v>
      </c>
      <c r="BP244" s="28">
        <f t="shared" si="147"/>
        <v>0</v>
      </c>
      <c r="BQ244" s="3439">
        <f t="shared" si="148"/>
        <v>0</v>
      </c>
      <c r="BR244" s="3439">
        <f t="shared" si="149"/>
        <v>0</v>
      </c>
      <c r="BS244" s="3439">
        <f t="shared" si="150"/>
        <v>0</v>
      </c>
      <c r="BT244" s="3451">
        <f t="shared" si="151"/>
        <v>0</v>
      </c>
    </row>
    <row r="245" spans="1:72">
      <c r="A245" s="9"/>
      <c r="B245" s="27"/>
      <c r="C245" s="27"/>
      <c r="D245" s="1678"/>
      <c r="E245" s="28">
        <f t="shared" si="123"/>
        <v>0</v>
      </c>
      <c r="F245" s="29"/>
      <c r="G245" s="30">
        <f t="shared" si="124"/>
        <v>0</v>
      </c>
      <c r="H245" s="31">
        <f t="shared" si="125"/>
        <v>0</v>
      </c>
      <c r="I245" s="32"/>
      <c r="J245" s="32"/>
      <c r="K245" s="32"/>
      <c r="L245" s="32"/>
      <c r="M245" s="32"/>
      <c r="N245" s="32"/>
      <c r="O245" s="32"/>
      <c r="P245" s="32"/>
      <c r="Q245" s="32"/>
      <c r="R245" s="32"/>
      <c r="S245" s="32"/>
      <c r="T245" s="32"/>
      <c r="U245" s="32"/>
      <c r="V245" s="32"/>
      <c r="W245" s="32"/>
      <c r="X245" s="32"/>
      <c r="Y245" s="32"/>
      <c r="Z245" s="32"/>
      <c r="AA245" s="32"/>
      <c r="AB245" s="32"/>
      <c r="AC245" s="28">
        <f t="shared" si="126"/>
        <v>0</v>
      </c>
      <c r="AD245" s="33"/>
      <c r="AE245" s="33"/>
      <c r="AF245" s="33"/>
      <c r="AG245" s="33"/>
      <c r="AH245" s="33"/>
      <c r="AI245" s="33"/>
      <c r="AJ245" s="33"/>
      <c r="AK245" s="33"/>
      <c r="AL245" s="33"/>
      <c r="AM245" s="33"/>
      <c r="AN245" s="33"/>
      <c r="AO245" s="33"/>
      <c r="AP245" s="33"/>
      <c r="AQ245" s="33"/>
      <c r="AR245" s="33"/>
      <c r="AS245" s="33"/>
      <c r="AT245" s="34"/>
      <c r="AU245" s="1679"/>
      <c r="AV245" s="2256">
        <f t="shared" si="127"/>
        <v>0</v>
      </c>
      <c r="AW245" s="2256">
        <f t="shared" si="128"/>
        <v>0</v>
      </c>
      <c r="AX245" s="2256">
        <f t="shared" si="129"/>
        <v>0</v>
      </c>
      <c r="AY245" s="2781">
        <f t="shared" si="130"/>
        <v>0</v>
      </c>
      <c r="AZ245" s="28">
        <f t="shared" si="131"/>
        <v>0</v>
      </c>
      <c r="BA245" s="28">
        <f t="shared" si="132"/>
        <v>0</v>
      </c>
      <c r="BB245" s="28">
        <f t="shared" si="133"/>
        <v>0</v>
      </c>
      <c r="BC245" s="28">
        <f t="shared" si="134"/>
        <v>0</v>
      </c>
      <c r="BD245" s="3439">
        <f t="shared" si="135"/>
        <v>0</v>
      </c>
      <c r="BE245" s="3439">
        <f t="shared" si="136"/>
        <v>0</v>
      </c>
      <c r="BF245" s="3439">
        <f t="shared" si="137"/>
        <v>0</v>
      </c>
      <c r="BG245" s="3439">
        <f t="shared" si="138"/>
        <v>0</v>
      </c>
      <c r="BH245" s="3439">
        <f t="shared" si="139"/>
        <v>0</v>
      </c>
      <c r="BI245" s="3439">
        <f t="shared" si="140"/>
        <v>0</v>
      </c>
      <c r="BJ245" s="3439">
        <f t="shared" si="141"/>
        <v>0</v>
      </c>
      <c r="BK245" s="3439">
        <f t="shared" si="142"/>
        <v>0</v>
      </c>
      <c r="BL245" s="28">
        <f t="shared" si="143"/>
        <v>0</v>
      </c>
      <c r="BM245" s="28">
        <f t="shared" si="144"/>
        <v>0</v>
      </c>
      <c r="BN245" s="28">
        <f t="shared" si="145"/>
        <v>0</v>
      </c>
      <c r="BO245" s="28">
        <f t="shared" si="146"/>
        <v>0</v>
      </c>
      <c r="BP245" s="28">
        <f t="shared" si="147"/>
        <v>0</v>
      </c>
      <c r="BQ245" s="3439">
        <f t="shared" si="148"/>
        <v>0</v>
      </c>
      <c r="BR245" s="3439">
        <f t="shared" si="149"/>
        <v>0</v>
      </c>
      <c r="BS245" s="3439">
        <f t="shared" si="150"/>
        <v>0</v>
      </c>
      <c r="BT245" s="3451">
        <f t="shared" si="151"/>
        <v>0</v>
      </c>
    </row>
    <row r="246" spans="1:72">
      <c r="A246" s="9"/>
      <c r="B246" s="27"/>
      <c r="C246" s="27"/>
      <c r="D246" s="1678"/>
      <c r="E246" s="28">
        <f t="shared" si="123"/>
        <v>0</v>
      </c>
      <c r="F246" s="29"/>
      <c r="G246" s="30">
        <f t="shared" si="124"/>
        <v>0</v>
      </c>
      <c r="H246" s="31">
        <f t="shared" si="125"/>
        <v>0</v>
      </c>
      <c r="I246" s="32"/>
      <c r="J246" s="32"/>
      <c r="K246" s="32"/>
      <c r="L246" s="32"/>
      <c r="M246" s="32"/>
      <c r="N246" s="32"/>
      <c r="O246" s="32"/>
      <c r="P246" s="32"/>
      <c r="Q246" s="32"/>
      <c r="R246" s="32"/>
      <c r="S246" s="32"/>
      <c r="T246" s="32"/>
      <c r="U246" s="32"/>
      <c r="V246" s="32"/>
      <c r="W246" s="32"/>
      <c r="X246" s="32"/>
      <c r="Y246" s="32"/>
      <c r="Z246" s="32"/>
      <c r="AA246" s="32"/>
      <c r="AB246" s="32"/>
      <c r="AC246" s="28">
        <f t="shared" si="126"/>
        <v>0</v>
      </c>
      <c r="AD246" s="33"/>
      <c r="AE246" s="33"/>
      <c r="AF246" s="33"/>
      <c r="AG246" s="33"/>
      <c r="AH246" s="33"/>
      <c r="AI246" s="33"/>
      <c r="AJ246" s="33"/>
      <c r="AK246" s="33"/>
      <c r="AL246" s="33"/>
      <c r="AM246" s="33"/>
      <c r="AN246" s="33"/>
      <c r="AO246" s="33"/>
      <c r="AP246" s="33"/>
      <c r="AQ246" s="33"/>
      <c r="AR246" s="33"/>
      <c r="AS246" s="33"/>
      <c r="AT246" s="34"/>
      <c r="AU246" s="1679"/>
      <c r="AV246" s="2256">
        <f t="shared" si="127"/>
        <v>0</v>
      </c>
      <c r="AW246" s="2256">
        <f t="shared" si="128"/>
        <v>0</v>
      </c>
      <c r="AX246" s="2256">
        <f t="shared" si="129"/>
        <v>0</v>
      </c>
      <c r="AY246" s="2781">
        <f t="shared" si="130"/>
        <v>0</v>
      </c>
      <c r="AZ246" s="28">
        <f t="shared" si="131"/>
        <v>0</v>
      </c>
      <c r="BA246" s="28">
        <f t="shared" si="132"/>
        <v>0</v>
      </c>
      <c r="BB246" s="28">
        <f t="shared" si="133"/>
        <v>0</v>
      </c>
      <c r="BC246" s="28">
        <f t="shared" si="134"/>
        <v>0</v>
      </c>
      <c r="BD246" s="3439">
        <f t="shared" si="135"/>
        <v>0</v>
      </c>
      <c r="BE246" s="3439">
        <f t="shared" si="136"/>
        <v>0</v>
      </c>
      <c r="BF246" s="3439">
        <f t="shared" si="137"/>
        <v>0</v>
      </c>
      <c r="BG246" s="3439">
        <f t="shared" si="138"/>
        <v>0</v>
      </c>
      <c r="BH246" s="3439">
        <f t="shared" si="139"/>
        <v>0</v>
      </c>
      <c r="BI246" s="3439">
        <f t="shared" si="140"/>
        <v>0</v>
      </c>
      <c r="BJ246" s="3439">
        <f t="shared" si="141"/>
        <v>0</v>
      </c>
      <c r="BK246" s="3439">
        <f t="shared" si="142"/>
        <v>0</v>
      </c>
      <c r="BL246" s="28">
        <f t="shared" si="143"/>
        <v>0</v>
      </c>
      <c r="BM246" s="28">
        <f t="shared" si="144"/>
        <v>0</v>
      </c>
      <c r="BN246" s="28">
        <f t="shared" si="145"/>
        <v>0</v>
      </c>
      <c r="BO246" s="28">
        <f t="shared" si="146"/>
        <v>0</v>
      </c>
      <c r="BP246" s="28">
        <f t="shared" si="147"/>
        <v>0</v>
      </c>
      <c r="BQ246" s="3439">
        <f t="shared" si="148"/>
        <v>0</v>
      </c>
      <c r="BR246" s="3439">
        <f t="shared" si="149"/>
        <v>0</v>
      </c>
      <c r="BS246" s="3439">
        <f t="shared" si="150"/>
        <v>0</v>
      </c>
      <c r="BT246" s="3451">
        <f t="shared" si="151"/>
        <v>0</v>
      </c>
    </row>
    <row r="247" spans="1:72">
      <c r="A247" s="9"/>
      <c r="B247" s="27"/>
      <c r="C247" s="27"/>
      <c r="D247" s="1678"/>
      <c r="E247" s="28">
        <f t="shared" si="123"/>
        <v>0</v>
      </c>
      <c r="F247" s="29"/>
      <c r="G247" s="30">
        <f t="shared" si="124"/>
        <v>0</v>
      </c>
      <c r="H247" s="31">
        <f t="shared" si="125"/>
        <v>0</v>
      </c>
      <c r="I247" s="32"/>
      <c r="J247" s="32"/>
      <c r="K247" s="32"/>
      <c r="L247" s="32"/>
      <c r="M247" s="32"/>
      <c r="N247" s="32"/>
      <c r="O247" s="32"/>
      <c r="P247" s="32"/>
      <c r="Q247" s="32"/>
      <c r="R247" s="32"/>
      <c r="S247" s="32"/>
      <c r="T247" s="32"/>
      <c r="U247" s="32"/>
      <c r="V247" s="32"/>
      <c r="W247" s="32"/>
      <c r="X247" s="32"/>
      <c r="Y247" s="32"/>
      <c r="Z247" s="32"/>
      <c r="AA247" s="32"/>
      <c r="AB247" s="32"/>
      <c r="AC247" s="28">
        <f t="shared" si="126"/>
        <v>0</v>
      </c>
      <c r="AD247" s="33"/>
      <c r="AE247" s="33"/>
      <c r="AF247" s="33"/>
      <c r="AG247" s="33"/>
      <c r="AH247" s="33"/>
      <c r="AI247" s="33"/>
      <c r="AJ247" s="33"/>
      <c r="AK247" s="33"/>
      <c r="AL247" s="33"/>
      <c r="AM247" s="33"/>
      <c r="AN247" s="33"/>
      <c r="AO247" s="33"/>
      <c r="AP247" s="33"/>
      <c r="AQ247" s="33"/>
      <c r="AR247" s="33"/>
      <c r="AS247" s="33"/>
      <c r="AT247" s="34"/>
      <c r="AU247" s="1679"/>
      <c r="AV247" s="2256">
        <f t="shared" si="127"/>
        <v>0</v>
      </c>
      <c r="AW247" s="2256">
        <f t="shared" si="128"/>
        <v>0</v>
      </c>
      <c r="AX247" s="2256">
        <f t="shared" si="129"/>
        <v>0</v>
      </c>
      <c r="AY247" s="2781">
        <f t="shared" si="130"/>
        <v>0</v>
      </c>
      <c r="AZ247" s="28">
        <f t="shared" si="131"/>
        <v>0</v>
      </c>
      <c r="BA247" s="28">
        <f t="shared" si="132"/>
        <v>0</v>
      </c>
      <c r="BB247" s="28">
        <f t="shared" si="133"/>
        <v>0</v>
      </c>
      <c r="BC247" s="28">
        <f t="shared" si="134"/>
        <v>0</v>
      </c>
      <c r="BD247" s="3439">
        <f t="shared" si="135"/>
        <v>0</v>
      </c>
      <c r="BE247" s="3439">
        <f t="shared" si="136"/>
        <v>0</v>
      </c>
      <c r="BF247" s="3439">
        <f t="shared" si="137"/>
        <v>0</v>
      </c>
      <c r="BG247" s="3439">
        <f t="shared" si="138"/>
        <v>0</v>
      </c>
      <c r="BH247" s="3439">
        <f t="shared" si="139"/>
        <v>0</v>
      </c>
      <c r="BI247" s="3439">
        <f t="shared" si="140"/>
        <v>0</v>
      </c>
      <c r="BJ247" s="3439">
        <f t="shared" si="141"/>
        <v>0</v>
      </c>
      <c r="BK247" s="3439">
        <f t="shared" si="142"/>
        <v>0</v>
      </c>
      <c r="BL247" s="28">
        <f t="shared" si="143"/>
        <v>0</v>
      </c>
      <c r="BM247" s="28">
        <f t="shared" si="144"/>
        <v>0</v>
      </c>
      <c r="BN247" s="28">
        <f t="shared" si="145"/>
        <v>0</v>
      </c>
      <c r="BO247" s="28">
        <f t="shared" si="146"/>
        <v>0</v>
      </c>
      <c r="BP247" s="28">
        <f t="shared" si="147"/>
        <v>0</v>
      </c>
      <c r="BQ247" s="3439">
        <f t="shared" si="148"/>
        <v>0</v>
      </c>
      <c r="BR247" s="3439">
        <f t="shared" si="149"/>
        <v>0</v>
      </c>
      <c r="BS247" s="3439">
        <f t="shared" si="150"/>
        <v>0</v>
      </c>
      <c r="BT247" s="3451">
        <f t="shared" si="151"/>
        <v>0</v>
      </c>
    </row>
    <row r="248" spans="1:72">
      <c r="A248" s="9"/>
      <c r="B248" s="27"/>
      <c r="C248" s="27"/>
      <c r="D248" s="1678"/>
      <c r="E248" s="28">
        <f t="shared" si="123"/>
        <v>0</v>
      </c>
      <c r="F248" s="29"/>
      <c r="G248" s="30">
        <f t="shared" si="124"/>
        <v>0</v>
      </c>
      <c r="H248" s="31">
        <f t="shared" si="125"/>
        <v>0</v>
      </c>
      <c r="I248" s="32"/>
      <c r="J248" s="32"/>
      <c r="K248" s="32"/>
      <c r="L248" s="32"/>
      <c r="M248" s="32"/>
      <c r="N248" s="32"/>
      <c r="O248" s="32"/>
      <c r="P248" s="32"/>
      <c r="Q248" s="32"/>
      <c r="R248" s="32"/>
      <c r="S248" s="32"/>
      <c r="T248" s="32"/>
      <c r="U248" s="32"/>
      <c r="V248" s="32"/>
      <c r="W248" s="32"/>
      <c r="X248" s="32"/>
      <c r="Y248" s="32"/>
      <c r="Z248" s="32"/>
      <c r="AA248" s="32"/>
      <c r="AB248" s="32"/>
      <c r="AC248" s="28">
        <f t="shared" si="126"/>
        <v>0</v>
      </c>
      <c r="AD248" s="33"/>
      <c r="AE248" s="33"/>
      <c r="AF248" s="33"/>
      <c r="AG248" s="33"/>
      <c r="AH248" s="33"/>
      <c r="AI248" s="33"/>
      <c r="AJ248" s="33"/>
      <c r="AK248" s="33"/>
      <c r="AL248" s="33"/>
      <c r="AM248" s="33"/>
      <c r="AN248" s="33"/>
      <c r="AO248" s="33"/>
      <c r="AP248" s="33"/>
      <c r="AQ248" s="33"/>
      <c r="AR248" s="33"/>
      <c r="AS248" s="33"/>
      <c r="AT248" s="34"/>
      <c r="AU248" s="1679"/>
      <c r="AV248" s="2256">
        <f t="shared" si="127"/>
        <v>0</v>
      </c>
      <c r="AW248" s="2256">
        <f t="shared" si="128"/>
        <v>0</v>
      </c>
      <c r="AX248" s="2256">
        <f t="shared" si="129"/>
        <v>0</v>
      </c>
      <c r="AY248" s="2781">
        <f t="shared" si="130"/>
        <v>0</v>
      </c>
      <c r="AZ248" s="28">
        <f t="shared" si="131"/>
        <v>0</v>
      </c>
      <c r="BA248" s="28">
        <f t="shared" si="132"/>
        <v>0</v>
      </c>
      <c r="BB248" s="28">
        <f t="shared" si="133"/>
        <v>0</v>
      </c>
      <c r="BC248" s="28">
        <f t="shared" si="134"/>
        <v>0</v>
      </c>
      <c r="BD248" s="3439">
        <f t="shared" si="135"/>
        <v>0</v>
      </c>
      <c r="BE248" s="3439">
        <f t="shared" si="136"/>
        <v>0</v>
      </c>
      <c r="BF248" s="3439">
        <f t="shared" si="137"/>
        <v>0</v>
      </c>
      <c r="BG248" s="3439">
        <f t="shared" si="138"/>
        <v>0</v>
      </c>
      <c r="BH248" s="3439">
        <f t="shared" si="139"/>
        <v>0</v>
      </c>
      <c r="BI248" s="3439">
        <f t="shared" si="140"/>
        <v>0</v>
      </c>
      <c r="BJ248" s="3439">
        <f t="shared" si="141"/>
        <v>0</v>
      </c>
      <c r="BK248" s="3439">
        <f t="shared" si="142"/>
        <v>0</v>
      </c>
      <c r="BL248" s="28">
        <f t="shared" si="143"/>
        <v>0</v>
      </c>
      <c r="BM248" s="28">
        <f t="shared" si="144"/>
        <v>0</v>
      </c>
      <c r="BN248" s="28">
        <f t="shared" si="145"/>
        <v>0</v>
      </c>
      <c r="BO248" s="28">
        <f t="shared" si="146"/>
        <v>0</v>
      </c>
      <c r="BP248" s="28">
        <f t="shared" si="147"/>
        <v>0</v>
      </c>
      <c r="BQ248" s="3439">
        <f t="shared" si="148"/>
        <v>0</v>
      </c>
      <c r="BR248" s="3439">
        <f t="shared" si="149"/>
        <v>0</v>
      </c>
      <c r="BS248" s="3439">
        <f t="shared" si="150"/>
        <v>0</v>
      </c>
      <c r="BT248" s="3451">
        <f t="shared" si="151"/>
        <v>0</v>
      </c>
    </row>
    <row r="249" spans="1:72">
      <c r="A249" s="9"/>
      <c r="B249" s="27"/>
      <c r="C249" s="27"/>
      <c r="D249" s="1678"/>
      <c r="E249" s="28">
        <f t="shared" si="123"/>
        <v>0</v>
      </c>
      <c r="F249" s="29"/>
      <c r="G249" s="30">
        <f t="shared" si="124"/>
        <v>0</v>
      </c>
      <c r="H249" s="31">
        <f t="shared" si="125"/>
        <v>0</v>
      </c>
      <c r="I249" s="32"/>
      <c r="J249" s="32"/>
      <c r="K249" s="32"/>
      <c r="L249" s="32"/>
      <c r="M249" s="32"/>
      <c r="N249" s="32"/>
      <c r="O249" s="32"/>
      <c r="P249" s="32"/>
      <c r="Q249" s="32"/>
      <c r="R249" s="32"/>
      <c r="S249" s="32"/>
      <c r="T249" s="32"/>
      <c r="U249" s="32"/>
      <c r="V249" s="32"/>
      <c r="W249" s="32"/>
      <c r="X249" s="32"/>
      <c r="Y249" s="32"/>
      <c r="Z249" s="32"/>
      <c r="AA249" s="32"/>
      <c r="AB249" s="32"/>
      <c r="AC249" s="28">
        <f t="shared" si="126"/>
        <v>0</v>
      </c>
      <c r="AD249" s="33"/>
      <c r="AE249" s="33"/>
      <c r="AF249" s="33"/>
      <c r="AG249" s="33"/>
      <c r="AH249" s="33"/>
      <c r="AI249" s="33"/>
      <c r="AJ249" s="33"/>
      <c r="AK249" s="33"/>
      <c r="AL249" s="33"/>
      <c r="AM249" s="33"/>
      <c r="AN249" s="33"/>
      <c r="AO249" s="33"/>
      <c r="AP249" s="33"/>
      <c r="AQ249" s="33"/>
      <c r="AR249" s="33"/>
      <c r="AS249" s="33"/>
      <c r="AT249" s="34"/>
      <c r="AU249" s="1679"/>
      <c r="AV249" s="2256">
        <f t="shared" si="127"/>
        <v>0</v>
      </c>
      <c r="AW249" s="2256">
        <f t="shared" si="128"/>
        <v>0</v>
      </c>
      <c r="AX249" s="2256">
        <f t="shared" si="129"/>
        <v>0</v>
      </c>
      <c r="AY249" s="2781">
        <f t="shared" si="130"/>
        <v>0</v>
      </c>
      <c r="AZ249" s="28">
        <f t="shared" si="131"/>
        <v>0</v>
      </c>
      <c r="BA249" s="28">
        <f t="shared" si="132"/>
        <v>0</v>
      </c>
      <c r="BB249" s="28">
        <f t="shared" si="133"/>
        <v>0</v>
      </c>
      <c r="BC249" s="28">
        <f t="shared" si="134"/>
        <v>0</v>
      </c>
      <c r="BD249" s="3439">
        <f t="shared" si="135"/>
        <v>0</v>
      </c>
      <c r="BE249" s="3439">
        <f t="shared" si="136"/>
        <v>0</v>
      </c>
      <c r="BF249" s="3439">
        <f t="shared" si="137"/>
        <v>0</v>
      </c>
      <c r="BG249" s="3439">
        <f t="shared" si="138"/>
        <v>0</v>
      </c>
      <c r="BH249" s="3439">
        <f t="shared" si="139"/>
        <v>0</v>
      </c>
      <c r="BI249" s="3439">
        <f t="shared" si="140"/>
        <v>0</v>
      </c>
      <c r="BJ249" s="3439">
        <f t="shared" si="141"/>
        <v>0</v>
      </c>
      <c r="BK249" s="3439">
        <f t="shared" si="142"/>
        <v>0</v>
      </c>
      <c r="BL249" s="28">
        <f t="shared" si="143"/>
        <v>0</v>
      </c>
      <c r="BM249" s="28">
        <f t="shared" si="144"/>
        <v>0</v>
      </c>
      <c r="BN249" s="28">
        <f t="shared" si="145"/>
        <v>0</v>
      </c>
      <c r="BO249" s="28">
        <f t="shared" si="146"/>
        <v>0</v>
      </c>
      <c r="BP249" s="28">
        <f t="shared" si="147"/>
        <v>0</v>
      </c>
      <c r="BQ249" s="3439">
        <f t="shared" si="148"/>
        <v>0</v>
      </c>
      <c r="BR249" s="3439">
        <f t="shared" si="149"/>
        <v>0</v>
      </c>
      <c r="BS249" s="3439">
        <f t="shared" si="150"/>
        <v>0</v>
      </c>
      <c r="BT249" s="3451">
        <f t="shared" si="151"/>
        <v>0</v>
      </c>
    </row>
    <row r="250" spans="1:72">
      <c r="A250" s="9"/>
      <c r="B250" s="27"/>
      <c r="C250" s="27"/>
      <c r="D250" s="1678"/>
      <c r="E250" s="28">
        <f t="shared" si="123"/>
        <v>0</v>
      </c>
      <c r="F250" s="29"/>
      <c r="G250" s="30">
        <f t="shared" si="124"/>
        <v>0</v>
      </c>
      <c r="H250" s="31">
        <f t="shared" si="125"/>
        <v>0</v>
      </c>
      <c r="I250" s="32"/>
      <c r="J250" s="32"/>
      <c r="K250" s="32"/>
      <c r="L250" s="32"/>
      <c r="M250" s="32"/>
      <c r="N250" s="32"/>
      <c r="O250" s="32"/>
      <c r="P250" s="32"/>
      <c r="Q250" s="32"/>
      <c r="R250" s="32"/>
      <c r="S250" s="32"/>
      <c r="T250" s="32"/>
      <c r="U250" s="32"/>
      <c r="V250" s="32"/>
      <c r="W250" s="32"/>
      <c r="X250" s="32"/>
      <c r="Y250" s="32"/>
      <c r="Z250" s="32"/>
      <c r="AA250" s="32"/>
      <c r="AB250" s="32"/>
      <c r="AC250" s="28">
        <f t="shared" si="126"/>
        <v>0</v>
      </c>
      <c r="AD250" s="33"/>
      <c r="AE250" s="33"/>
      <c r="AF250" s="33"/>
      <c r="AG250" s="33"/>
      <c r="AH250" s="33"/>
      <c r="AI250" s="33"/>
      <c r="AJ250" s="33"/>
      <c r="AK250" s="33"/>
      <c r="AL250" s="33"/>
      <c r="AM250" s="33"/>
      <c r="AN250" s="33"/>
      <c r="AO250" s="33"/>
      <c r="AP250" s="33"/>
      <c r="AQ250" s="33"/>
      <c r="AR250" s="33"/>
      <c r="AS250" s="33"/>
      <c r="AT250" s="34"/>
      <c r="AU250" s="1679"/>
      <c r="AV250" s="2256">
        <f t="shared" si="127"/>
        <v>0</v>
      </c>
      <c r="AW250" s="2256">
        <f t="shared" si="128"/>
        <v>0</v>
      </c>
      <c r="AX250" s="2256">
        <f t="shared" si="129"/>
        <v>0</v>
      </c>
      <c r="AY250" s="2781">
        <f t="shared" si="130"/>
        <v>0</v>
      </c>
      <c r="AZ250" s="28">
        <f t="shared" si="131"/>
        <v>0</v>
      </c>
      <c r="BA250" s="28">
        <f t="shared" si="132"/>
        <v>0</v>
      </c>
      <c r="BB250" s="28">
        <f t="shared" si="133"/>
        <v>0</v>
      </c>
      <c r="BC250" s="28">
        <f t="shared" si="134"/>
        <v>0</v>
      </c>
      <c r="BD250" s="3439">
        <f t="shared" si="135"/>
        <v>0</v>
      </c>
      <c r="BE250" s="3439">
        <f t="shared" si="136"/>
        <v>0</v>
      </c>
      <c r="BF250" s="3439">
        <f t="shared" si="137"/>
        <v>0</v>
      </c>
      <c r="BG250" s="3439">
        <f t="shared" si="138"/>
        <v>0</v>
      </c>
      <c r="BH250" s="3439">
        <f t="shared" si="139"/>
        <v>0</v>
      </c>
      <c r="BI250" s="3439">
        <f t="shared" si="140"/>
        <v>0</v>
      </c>
      <c r="BJ250" s="3439">
        <f t="shared" si="141"/>
        <v>0</v>
      </c>
      <c r="BK250" s="3439">
        <f t="shared" si="142"/>
        <v>0</v>
      </c>
      <c r="BL250" s="28">
        <f t="shared" si="143"/>
        <v>0</v>
      </c>
      <c r="BM250" s="28">
        <f t="shared" si="144"/>
        <v>0</v>
      </c>
      <c r="BN250" s="28">
        <f t="shared" si="145"/>
        <v>0</v>
      </c>
      <c r="BO250" s="28">
        <f t="shared" si="146"/>
        <v>0</v>
      </c>
      <c r="BP250" s="28">
        <f t="shared" si="147"/>
        <v>0</v>
      </c>
      <c r="BQ250" s="3439">
        <f t="shared" si="148"/>
        <v>0</v>
      </c>
      <c r="BR250" s="3439">
        <f t="shared" si="149"/>
        <v>0</v>
      </c>
      <c r="BS250" s="3439">
        <f t="shared" si="150"/>
        <v>0</v>
      </c>
      <c r="BT250" s="3451">
        <f t="shared" si="151"/>
        <v>0</v>
      </c>
    </row>
    <row r="251" spans="1:72">
      <c r="A251" s="9"/>
      <c r="B251" s="27"/>
      <c r="C251" s="27"/>
      <c r="D251" s="1678"/>
      <c r="E251" s="28">
        <f t="shared" si="123"/>
        <v>0</v>
      </c>
      <c r="F251" s="29"/>
      <c r="G251" s="30">
        <f t="shared" si="124"/>
        <v>0</v>
      </c>
      <c r="H251" s="31">
        <f t="shared" si="125"/>
        <v>0</v>
      </c>
      <c r="I251" s="32"/>
      <c r="J251" s="32"/>
      <c r="K251" s="32"/>
      <c r="L251" s="32"/>
      <c r="M251" s="32"/>
      <c r="N251" s="32"/>
      <c r="O251" s="32"/>
      <c r="P251" s="32"/>
      <c r="Q251" s="32"/>
      <c r="R251" s="32"/>
      <c r="S251" s="32"/>
      <c r="T251" s="32"/>
      <c r="U251" s="32"/>
      <c r="V251" s="32"/>
      <c r="W251" s="32"/>
      <c r="X251" s="32"/>
      <c r="Y251" s="32"/>
      <c r="Z251" s="32"/>
      <c r="AA251" s="32"/>
      <c r="AB251" s="32"/>
      <c r="AC251" s="28">
        <f t="shared" si="126"/>
        <v>0</v>
      </c>
      <c r="AD251" s="33"/>
      <c r="AE251" s="33"/>
      <c r="AF251" s="33"/>
      <c r="AG251" s="33"/>
      <c r="AH251" s="33"/>
      <c r="AI251" s="33"/>
      <c r="AJ251" s="33"/>
      <c r="AK251" s="33"/>
      <c r="AL251" s="33"/>
      <c r="AM251" s="33"/>
      <c r="AN251" s="33"/>
      <c r="AO251" s="33"/>
      <c r="AP251" s="33"/>
      <c r="AQ251" s="33"/>
      <c r="AR251" s="33"/>
      <c r="AS251" s="33"/>
      <c r="AT251" s="34"/>
      <c r="AU251" s="1679"/>
      <c r="AV251" s="2256">
        <f t="shared" si="127"/>
        <v>0</v>
      </c>
      <c r="AW251" s="2256">
        <f t="shared" si="128"/>
        <v>0</v>
      </c>
      <c r="AX251" s="2256">
        <f t="shared" si="129"/>
        <v>0</v>
      </c>
      <c r="AY251" s="2781">
        <f t="shared" si="130"/>
        <v>0</v>
      </c>
      <c r="AZ251" s="28">
        <f t="shared" si="131"/>
        <v>0</v>
      </c>
      <c r="BA251" s="28">
        <f t="shared" si="132"/>
        <v>0</v>
      </c>
      <c r="BB251" s="28">
        <f t="shared" si="133"/>
        <v>0</v>
      </c>
      <c r="BC251" s="28">
        <f t="shared" si="134"/>
        <v>0</v>
      </c>
      <c r="BD251" s="3439">
        <f t="shared" si="135"/>
        <v>0</v>
      </c>
      <c r="BE251" s="3439">
        <f t="shared" si="136"/>
        <v>0</v>
      </c>
      <c r="BF251" s="3439">
        <f t="shared" si="137"/>
        <v>0</v>
      </c>
      <c r="BG251" s="3439">
        <f t="shared" si="138"/>
        <v>0</v>
      </c>
      <c r="BH251" s="3439">
        <f t="shared" si="139"/>
        <v>0</v>
      </c>
      <c r="BI251" s="3439">
        <f t="shared" si="140"/>
        <v>0</v>
      </c>
      <c r="BJ251" s="3439">
        <f t="shared" si="141"/>
        <v>0</v>
      </c>
      <c r="BK251" s="3439">
        <f t="shared" si="142"/>
        <v>0</v>
      </c>
      <c r="BL251" s="28">
        <f t="shared" si="143"/>
        <v>0</v>
      </c>
      <c r="BM251" s="28">
        <f t="shared" si="144"/>
        <v>0</v>
      </c>
      <c r="BN251" s="28">
        <f t="shared" si="145"/>
        <v>0</v>
      </c>
      <c r="BO251" s="28">
        <f t="shared" si="146"/>
        <v>0</v>
      </c>
      <c r="BP251" s="28">
        <f t="shared" si="147"/>
        <v>0</v>
      </c>
      <c r="BQ251" s="3439">
        <f t="shared" si="148"/>
        <v>0</v>
      </c>
      <c r="BR251" s="3439">
        <f t="shared" si="149"/>
        <v>0</v>
      </c>
      <c r="BS251" s="3439">
        <f t="shared" si="150"/>
        <v>0</v>
      </c>
      <c r="BT251" s="3451">
        <f t="shared" si="151"/>
        <v>0</v>
      </c>
    </row>
    <row r="252" spans="1:72">
      <c r="A252" s="9"/>
      <c r="B252" s="27"/>
      <c r="C252" s="27"/>
      <c r="D252" s="1678"/>
      <c r="E252" s="28">
        <f t="shared" si="123"/>
        <v>0</v>
      </c>
      <c r="F252" s="29"/>
      <c r="G252" s="30">
        <f t="shared" si="124"/>
        <v>0</v>
      </c>
      <c r="H252" s="31">
        <f t="shared" si="125"/>
        <v>0</v>
      </c>
      <c r="I252" s="32"/>
      <c r="J252" s="32"/>
      <c r="K252" s="32"/>
      <c r="L252" s="32"/>
      <c r="M252" s="32"/>
      <c r="N252" s="32"/>
      <c r="O252" s="32"/>
      <c r="P252" s="32"/>
      <c r="Q252" s="32"/>
      <c r="R252" s="32"/>
      <c r="S252" s="32"/>
      <c r="T252" s="32"/>
      <c r="U252" s="32"/>
      <c r="V252" s="32"/>
      <c r="W252" s="32"/>
      <c r="X252" s="32"/>
      <c r="Y252" s="32"/>
      <c r="Z252" s="32"/>
      <c r="AA252" s="32"/>
      <c r="AB252" s="32"/>
      <c r="AC252" s="28">
        <f t="shared" si="126"/>
        <v>0</v>
      </c>
      <c r="AD252" s="33"/>
      <c r="AE252" s="33"/>
      <c r="AF252" s="33"/>
      <c r="AG252" s="33"/>
      <c r="AH252" s="33"/>
      <c r="AI252" s="33"/>
      <c r="AJ252" s="33"/>
      <c r="AK252" s="33"/>
      <c r="AL252" s="33"/>
      <c r="AM252" s="33"/>
      <c r="AN252" s="33"/>
      <c r="AO252" s="33"/>
      <c r="AP252" s="33"/>
      <c r="AQ252" s="33"/>
      <c r="AR252" s="33"/>
      <c r="AS252" s="33"/>
      <c r="AT252" s="34"/>
      <c r="AU252" s="1679"/>
      <c r="AV252" s="2256">
        <f t="shared" si="127"/>
        <v>0</v>
      </c>
      <c r="AW252" s="2256">
        <f t="shared" si="128"/>
        <v>0</v>
      </c>
      <c r="AX252" s="2256">
        <f t="shared" si="129"/>
        <v>0</v>
      </c>
      <c r="AY252" s="2781">
        <f t="shared" si="130"/>
        <v>0</v>
      </c>
      <c r="AZ252" s="28">
        <f t="shared" si="131"/>
        <v>0</v>
      </c>
      <c r="BA252" s="28">
        <f t="shared" si="132"/>
        <v>0</v>
      </c>
      <c r="BB252" s="28">
        <f t="shared" si="133"/>
        <v>0</v>
      </c>
      <c r="BC252" s="28">
        <f t="shared" si="134"/>
        <v>0</v>
      </c>
      <c r="BD252" s="3439">
        <f t="shared" si="135"/>
        <v>0</v>
      </c>
      <c r="BE252" s="3439">
        <f t="shared" si="136"/>
        <v>0</v>
      </c>
      <c r="BF252" s="3439">
        <f t="shared" si="137"/>
        <v>0</v>
      </c>
      <c r="BG252" s="3439">
        <f t="shared" si="138"/>
        <v>0</v>
      </c>
      <c r="BH252" s="3439">
        <f t="shared" si="139"/>
        <v>0</v>
      </c>
      <c r="BI252" s="3439">
        <f t="shared" si="140"/>
        <v>0</v>
      </c>
      <c r="BJ252" s="3439">
        <f t="shared" si="141"/>
        <v>0</v>
      </c>
      <c r="BK252" s="3439">
        <f t="shared" si="142"/>
        <v>0</v>
      </c>
      <c r="BL252" s="28">
        <f t="shared" si="143"/>
        <v>0</v>
      </c>
      <c r="BM252" s="28">
        <f t="shared" si="144"/>
        <v>0</v>
      </c>
      <c r="BN252" s="28">
        <f t="shared" si="145"/>
        <v>0</v>
      </c>
      <c r="BO252" s="28">
        <f t="shared" si="146"/>
        <v>0</v>
      </c>
      <c r="BP252" s="28">
        <f t="shared" si="147"/>
        <v>0</v>
      </c>
      <c r="BQ252" s="3439">
        <f t="shared" si="148"/>
        <v>0</v>
      </c>
      <c r="BR252" s="3439">
        <f t="shared" si="149"/>
        <v>0</v>
      </c>
      <c r="BS252" s="3439">
        <f t="shared" si="150"/>
        <v>0</v>
      </c>
      <c r="BT252" s="3451">
        <f t="shared" si="151"/>
        <v>0</v>
      </c>
    </row>
    <row r="253" spans="1:72">
      <c r="A253" s="9"/>
      <c r="B253" s="27"/>
      <c r="C253" s="27"/>
      <c r="D253" s="1678"/>
      <c r="E253" s="28">
        <f t="shared" si="123"/>
        <v>0</v>
      </c>
      <c r="F253" s="29"/>
      <c r="G253" s="30">
        <f t="shared" si="124"/>
        <v>0</v>
      </c>
      <c r="H253" s="31">
        <f t="shared" si="125"/>
        <v>0</v>
      </c>
      <c r="I253" s="32"/>
      <c r="J253" s="32"/>
      <c r="K253" s="32"/>
      <c r="L253" s="32"/>
      <c r="M253" s="32"/>
      <c r="N253" s="32"/>
      <c r="O253" s="32"/>
      <c r="P253" s="32"/>
      <c r="Q253" s="32"/>
      <c r="R253" s="32"/>
      <c r="S253" s="32"/>
      <c r="T253" s="32"/>
      <c r="U253" s="32"/>
      <c r="V253" s="32"/>
      <c r="W253" s="32"/>
      <c r="X253" s="32"/>
      <c r="Y253" s="32"/>
      <c r="Z253" s="32"/>
      <c r="AA253" s="32"/>
      <c r="AB253" s="32"/>
      <c r="AC253" s="28">
        <f t="shared" si="126"/>
        <v>0</v>
      </c>
      <c r="AD253" s="33"/>
      <c r="AE253" s="33"/>
      <c r="AF253" s="33"/>
      <c r="AG253" s="33"/>
      <c r="AH253" s="33"/>
      <c r="AI253" s="33"/>
      <c r="AJ253" s="33"/>
      <c r="AK253" s="33"/>
      <c r="AL253" s="33"/>
      <c r="AM253" s="33"/>
      <c r="AN253" s="33"/>
      <c r="AO253" s="33"/>
      <c r="AP253" s="33"/>
      <c r="AQ253" s="33"/>
      <c r="AR253" s="33"/>
      <c r="AS253" s="33"/>
      <c r="AT253" s="34"/>
      <c r="AU253" s="1679"/>
      <c r="AV253" s="2256">
        <f t="shared" si="127"/>
        <v>0</v>
      </c>
      <c r="AW253" s="2256">
        <f t="shared" si="128"/>
        <v>0</v>
      </c>
      <c r="AX253" s="2256">
        <f t="shared" si="129"/>
        <v>0</v>
      </c>
      <c r="AY253" s="2781">
        <f t="shared" si="130"/>
        <v>0</v>
      </c>
      <c r="AZ253" s="28">
        <f t="shared" si="131"/>
        <v>0</v>
      </c>
      <c r="BA253" s="28">
        <f t="shared" si="132"/>
        <v>0</v>
      </c>
      <c r="BB253" s="28">
        <f t="shared" si="133"/>
        <v>0</v>
      </c>
      <c r="BC253" s="28">
        <f t="shared" si="134"/>
        <v>0</v>
      </c>
      <c r="BD253" s="3439">
        <f t="shared" si="135"/>
        <v>0</v>
      </c>
      <c r="BE253" s="3439">
        <f t="shared" si="136"/>
        <v>0</v>
      </c>
      <c r="BF253" s="3439">
        <f t="shared" si="137"/>
        <v>0</v>
      </c>
      <c r="BG253" s="3439">
        <f t="shared" si="138"/>
        <v>0</v>
      </c>
      <c r="BH253" s="3439">
        <f t="shared" si="139"/>
        <v>0</v>
      </c>
      <c r="BI253" s="3439">
        <f t="shared" si="140"/>
        <v>0</v>
      </c>
      <c r="BJ253" s="3439">
        <f t="shared" si="141"/>
        <v>0</v>
      </c>
      <c r="BK253" s="3439">
        <f t="shared" si="142"/>
        <v>0</v>
      </c>
      <c r="BL253" s="28">
        <f t="shared" si="143"/>
        <v>0</v>
      </c>
      <c r="BM253" s="28">
        <f t="shared" si="144"/>
        <v>0</v>
      </c>
      <c r="BN253" s="28">
        <f t="shared" si="145"/>
        <v>0</v>
      </c>
      <c r="BO253" s="28">
        <f t="shared" si="146"/>
        <v>0</v>
      </c>
      <c r="BP253" s="28">
        <f t="shared" si="147"/>
        <v>0</v>
      </c>
      <c r="BQ253" s="3439">
        <f t="shared" si="148"/>
        <v>0</v>
      </c>
      <c r="BR253" s="3439">
        <f t="shared" si="149"/>
        <v>0</v>
      </c>
      <c r="BS253" s="3439">
        <f t="shared" si="150"/>
        <v>0</v>
      </c>
      <c r="BT253" s="3451">
        <f t="shared" si="151"/>
        <v>0</v>
      </c>
    </row>
    <row r="254" spans="1:72">
      <c r="A254" s="9"/>
      <c r="B254" s="27"/>
      <c r="C254" s="27"/>
      <c r="D254" s="1678"/>
      <c r="E254" s="28">
        <f t="shared" si="123"/>
        <v>0</v>
      </c>
      <c r="F254" s="29"/>
      <c r="G254" s="30">
        <f t="shared" si="124"/>
        <v>0</v>
      </c>
      <c r="H254" s="31">
        <f t="shared" si="125"/>
        <v>0</v>
      </c>
      <c r="I254" s="32"/>
      <c r="J254" s="32"/>
      <c r="K254" s="32"/>
      <c r="L254" s="32"/>
      <c r="M254" s="32"/>
      <c r="N254" s="32"/>
      <c r="O254" s="32"/>
      <c r="P254" s="32"/>
      <c r="Q254" s="32"/>
      <c r="R254" s="32"/>
      <c r="S254" s="32"/>
      <c r="T254" s="32"/>
      <c r="U254" s="32"/>
      <c r="V254" s="32"/>
      <c r="W254" s="32"/>
      <c r="X254" s="32"/>
      <c r="Y254" s="32"/>
      <c r="Z254" s="32"/>
      <c r="AA254" s="32"/>
      <c r="AB254" s="32"/>
      <c r="AC254" s="28">
        <f t="shared" si="126"/>
        <v>0</v>
      </c>
      <c r="AD254" s="33"/>
      <c r="AE254" s="33"/>
      <c r="AF254" s="33"/>
      <c r="AG254" s="33"/>
      <c r="AH254" s="33"/>
      <c r="AI254" s="33"/>
      <c r="AJ254" s="33"/>
      <c r="AK254" s="33"/>
      <c r="AL254" s="33"/>
      <c r="AM254" s="33"/>
      <c r="AN254" s="33"/>
      <c r="AO254" s="33"/>
      <c r="AP254" s="33"/>
      <c r="AQ254" s="33"/>
      <c r="AR254" s="33"/>
      <c r="AS254" s="33"/>
      <c r="AT254" s="34"/>
      <c r="AU254" s="1679"/>
      <c r="AV254" s="2256">
        <f t="shared" si="127"/>
        <v>0</v>
      </c>
      <c r="AW254" s="2256">
        <f t="shared" si="128"/>
        <v>0</v>
      </c>
      <c r="AX254" s="2256">
        <f t="shared" si="129"/>
        <v>0</v>
      </c>
      <c r="AY254" s="2781">
        <f t="shared" si="130"/>
        <v>0</v>
      </c>
      <c r="AZ254" s="28">
        <f t="shared" si="131"/>
        <v>0</v>
      </c>
      <c r="BA254" s="28">
        <f t="shared" si="132"/>
        <v>0</v>
      </c>
      <c r="BB254" s="28">
        <f t="shared" si="133"/>
        <v>0</v>
      </c>
      <c r="BC254" s="28">
        <f t="shared" si="134"/>
        <v>0</v>
      </c>
      <c r="BD254" s="3439">
        <f t="shared" si="135"/>
        <v>0</v>
      </c>
      <c r="BE254" s="3439">
        <f t="shared" si="136"/>
        <v>0</v>
      </c>
      <c r="BF254" s="3439">
        <f t="shared" si="137"/>
        <v>0</v>
      </c>
      <c r="BG254" s="3439">
        <f t="shared" si="138"/>
        <v>0</v>
      </c>
      <c r="BH254" s="3439">
        <f t="shared" si="139"/>
        <v>0</v>
      </c>
      <c r="BI254" s="3439">
        <f t="shared" si="140"/>
        <v>0</v>
      </c>
      <c r="BJ254" s="3439">
        <f t="shared" si="141"/>
        <v>0</v>
      </c>
      <c r="BK254" s="3439">
        <f t="shared" si="142"/>
        <v>0</v>
      </c>
      <c r="BL254" s="28">
        <f t="shared" si="143"/>
        <v>0</v>
      </c>
      <c r="BM254" s="28">
        <f t="shared" si="144"/>
        <v>0</v>
      </c>
      <c r="BN254" s="28">
        <f t="shared" si="145"/>
        <v>0</v>
      </c>
      <c r="BO254" s="28">
        <f t="shared" si="146"/>
        <v>0</v>
      </c>
      <c r="BP254" s="28">
        <f t="shared" si="147"/>
        <v>0</v>
      </c>
      <c r="BQ254" s="3439">
        <f t="shared" si="148"/>
        <v>0</v>
      </c>
      <c r="BR254" s="3439">
        <f t="shared" si="149"/>
        <v>0</v>
      </c>
      <c r="BS254" s="3439">
        <f t="shared" si="150"/>
        <v>0</v>
      </c>
      <c r="BT254" s="3451">
        <f t="shared" si="151"/>
        <v>0</v>
      </c>
    </row>
    <row r="255" spans="1:72">
      <c r="A255" s="9"/>
      <c r="B255" s="27"/>
      <c r="C255" s="27"/>
      <c r="D255" s="1678"/>
      <c r="E255" s="28">
        <f t="shared" si="123"/>
        <v>0</v>
      </c>
      <c r="F255" s="29"/>
      <c r="G255" s="30">
        <f t="shared" si="124"/>
        <v>0</v>
      </c>
      <c r="H255" s="31">
        <f t="shared" si="125"/>
        <v>0</v>
      </c>
      <c r="I255" s="32"/>
      <c r="J255" s="32"/>
      <c r="K255" s="32"/>
      <c r="L255" s="32"/>
      <c r="M255" s="32"/>
      <c r="N255" s="32"/>
      <c r="O255" s="32"/>
      <c r="P255" s="32"/>
      <c r="Q255" s="32"/>
      <c r="R255" s="32"/>
      <c r="S255" s="32"/>
      <c r="T255" s="32"/>
      <c r="U255" s="32"/>
      <c r="V255" s="32"/>
      <c r="W255" s="32"/>
      <c r="X255" s="32"/>
      <c r="Y255" s="32"/>
      <c r="Z255" s="32"/>
      <c r="AA255" s="32"/>
      <c r="AB255" s="32"/>
      <c r="AC255" s="28">
        <f t="shared" si="126"/>
        <v>0</v>
      </c>
      <c r="AD255" s="33"/>
      <c r="AE255" s="33"/>
      <c r="AF255" s="33"/>
      <c r="AG255" s="33"/>
      <c r="AH255" s="33"/>
      <c r="AI255" s="33"/>
      <c r="AJ255" s="33"/>
      <c r="AK255" s="33"/>
      <c r="AL255" s="33"/>
      <c r="AM255" s="33"/>
      <c r="AN255" s="33"/>
      <c r="AO255" s="33"/>
      <c r="AP255" s="33"/>
      <c r="AQ255" s="33"/>
      <c r="AR255" s="33"/>
      <c r="AS255" s="33"/>
      <c r="AT255" s="34"/>
      <c r="AU255" s="1679"/>
      <c r="AV255" s="2256">
        <f t="shared" si="127"/>
        <v>0</v>
      </c>
      <c r="AW255" s="2256">
        <f t="shared" si="128"/>
        <v>0</v>
      </c>
      <c r="AX255" s="2256">
        <f t="shared" si="129"/>
        <v>0</v>
      </c>
      <c r="AY255" s="2781">
        <f t="shared" si="130"/>
        <v>0</v>
      </c>
      <c r="AZ255" s="28">
        <f t="shared" si="131"/>
        <v>0</v>
      </c>
      <c r="BA255" s="28">
        <f t="shared" si="132"/>
        <v>0</v>
      </c>
      <c r="BB255" s="28">
        <f t="shared" si="133"/>
        <v>0</v>
      </c>
      <c r="BC255" s="28">
        <f t="shared" si="134"/>
        <v>0</v>
      </c>
      <c r="BD255" s="3439">
        <f t="shared" si="135"/>
        <v>0</v>
      </c>
      <c r="BE255" s="3439">
        <f t="shared" si="136"/>
        <v>0</v>
      </c>
      <c r="BF255" s="3439">
        <f t="shared" si="137"/>
        <v>0</v>
      </c>
      <c r="BG255" s="3439">
        <f t="shared" si="138"/>
        <v>0</v>
      </c>
      <c r="BH255" s="3439">
        <f t="shared" si="139"/>
        <v>0</v>
      </c>
      <c r="BI255" s="3439">
        <f t="shared" si="140"/>
        <v>0</v>
      </c>
      <c r="BJ255" s="3439">
        <f t="shared" si="141"/>
        <v>0</v>
      </c>
      <c r="BK255" s="3439">
        <f t="shared" si="142"/>
        <v>0</v>
      </c>
      <c r="BL255" s="28">
        <f t="shared" si="143"/>
        <v>0</v>
      </c>
      <c r="BM255" s="28">
        <f t="shared" si="144"/>
        <v>0</v>
      </c>
      <c r="BN255" s="28">
        <f t="shared" si="145"/>
        <v>0</v>
      </c>
      <c r="BO255" s="28">
        <f t="shared" si="146"/>
        <v>0</v>
      </c>
      <c r="BP255" s="28">
        <f t="shared" si="147"/>
        <v>0</v>
      </c>
      <c r="BQ255" s="3439">
        <f t="shared" si="148"/>
        <v>0</v>
      </c>
      <c r="BR255" s="3439">
        <f t="shared" si="149"/>
        <v>0</v>
      </c>
      <c r="BS255" s="3439">
        <f t="shared" si="150"/>
        <v>0</v>
      </c>
      <c r="BT255" s="3451">
        <f t="shared" si="151"/>
        <v>0</v>
      </c>
    </row>
    <row r="256" spans="1:72">
      <c r="A256" s="9"/>
      <c r="B256" s="27"/>
      <c r="C256" s="27"/>
      <c r="D256" s="1678"/>
      <c r="E256" s="28">
        <f t="shared" si="123"/>
        <v>0</v>
      </c>
      <c r="F256" s="29"/>
      <c r="G256" s="30">
        <f t="shared" si="124"/>
        <v>0</v>
      </c>
      <c r="H256" s="31">
        <f t="shared" si="125"/>
        <v>0</v>
      </c>
      <c r="I256" s="32"/>
      <c r="J256" s="32"/>
      <c r="K256" s="32"/>
      <c r="L256" s="32"/>
      <c r="M256" s="32"/>
      <c r="N256" s="32"/>
      <c r="O256" s="32"/>
      <c r="P256" s="32"/>
      <c r="Q256" s="32"/>
      <c r="R256" s="32"/>
      <c r="S256" s="32"/>
      <c r="T256" s="32"/>
      <c r="U256" s="32"/>
      <c r="V256" s="32"/>
      <c r="W256" s="32"/>
      <c r="X256" s="32"/>
      <c r="Y256" s="32"/>
      <c r="Z256" s="32"/>
      <c r="AA256" s="32"/>
      <c r="AB256" s="32"/>
      <c r="AC256" s="28">
        <f t="shared" si="126"/>
        <v>0</v>
      </c>
      <c r="AD256" s="33"/>
      <c r="AE256" s="33"/>
      <c r="AF256" s="33"/>
      <c r="AG256" s="33"/>
      <c r="AH256" s="33"/>
      <c r="AI256" s="33"/>
      <c r="AJ256" s="33"/>
      <c r="AK256" s="33"/>
      <c r="AL256" s="33"/>
      <c r="AM256" s="33"/>
      <c r="AN256" s="33"/>
      <c r="AO256" s="33"/>
      <c r="AP256" s="33"/>
      <c r="AQ256" s="33"/>
      <c r="AR256" s="33"/>
      <c r="AS256" s="33"/>
      <c r="AT256" s="34"/>
      <c r="AU256" s="1679"/>
      <c r="AV256" s="2256">
        <f t="shared" si="127"/>
        <v>0</v>
      </c>
      <c r="AW256" s="2256">
        <f t="shared" si="128"/>
        <v>0</v>
      </c>
      <c r="AX256" s="2256">
        <f t="shared" si="129"/>
        <v>0</v>
      </c>
      <c r="AY256" s="2781">
        <f t="shared" si="130"/>
        <v>0</v>
      </c>
      <c r="AZ256" s="28">
        <f t="shared" si="131"/>
        <v>0</v>
      </c>
      <c r="BA256" s="28">
        <f t="shared" si="132"/>
        <v>0</v>
      </c>
      <c r="BB256" s="28">
        <f t="shared" si="133"/>
        <v>0</v>
      </c>
      <c r="BC256" s="28">
        <f t="shared" si="134"/>
        <v>0</v>
      </c>
      <c r="BD256" s="3439">
        <f t="shared" si="135"/>
        <v>0</v>
      </c>
      <c r="BE256" s="3439">
        <f t="shared" si="136"/>
        <v>0</v>
      </c>
      <c r="BF256" s="3439">
        <f t="shared" si="137"/>
        <v>0</v>
      </c>
      <c r="BG256" s="3439">
        <f t="shared" si="138"/>
        <v>0</v>
      </c>
      <c r="BH256" s="3439">
        <f t="shared" si="139"/>
        <v>0</v>
      </c>
      <c r="BI256" s="3439">
        <f t="shared" si="140"/>
        <v>0</v>
      </c>
      <c r="BJ256" s="3439">
        <f t="shared" si="141"/>
        <v>0</v>
      </c>
      <c r="BK256" s="3439">
        <f t="shared" si="142"/>
        <v>0</v>
      </c>
      <c r="BL256" s="28">
        <f t="shared" si="143"/>
        <v>0</v>
      </c>
      <c r="BM256" s="28">
        <f t="shared" si="144"/>
        <v>0</v>
      </c>
      <c r="BN256" s="28">
        <f t="shared" si="145"/>
        <v>0</v>
      </c>
      <c r="BO256" s="28">
        <f t="shared" si="146"/>
        <v>0</v>
      </c>
      <c r="BP256" s="28">
        <f t="shared" si="147"/>
        <v>0</v>
      </c>
      <c r="BQ256" s="3439">
        <f t="shared" si="148"/>
        <v>0</v>
      </c>
      <c r="BR256" s="3439">
        <f t="shared" si="149"/>
        <v>0</v>
      </c>
      <c r="BS256" s="3439">
        <f t="shared" si="150"/>
        <v>0</v>
      </c>
      <c r="BT256" s="3451">
        <f t="shared" si="151"/>
        <v>0</v>
      </c>
    </row>
    <row r="257" spans="1:72">
      <c r="A257" s="9"/>
      <c r="B257" s="27"/>
      <c r="C257" s="27"/>
      <c r="D257" s="1678"/>
      <c r="E257" s="28">
        <f t="shared" si="123"/>
        <v>0</v>
      </c>
      <c r="F257" s="29"/>
      <c r="G257" s="30">
        <f t="shared" si="124"/>
        <v>0</v>
      </c>
      <c r="H257" s="31">
        <f t="shared" si="125"/>
        <v>0</v>
      </c>
      <c r="I257" s="32"/>
      <c r="J257" s="32"/>
      <c r="K257" s="32"/>
      <c r="L257" s="32"/>
      <c r="M257" s="32"/>
      <c r="N257" s="32"/>
      <c r="O257" s="32"/>
      <c r="P257" s="32"/>
      <c r="Q257" s="32"/>
      <c r="R257" s="32"/>
      <c r="S257" s="32"/>
      <c r="T257" s="32"/>
      <c r="U257" s="32"/>
      <c r="V257" s="32"/>
      <c r="W257" s="32"/>
      <c r="X257" s="32"/>
      <c r="Y257" s="32"/>
      <c r="Z257" s="32"/>
      <c r="AA257" s="32"/>
      <c r="AB257" s="32"/>
      <c r="AC257" s="28">
        <f t="shared" si="126"/>
        <v>0</v>
      </c>
      <c r="AD257" s="33"/>
      <c r="AE257" s="33"/>
      <c r="AF257" s="33"/>
      <c r="AG257" s="33"/>
      <c r="AH257" s="33"/>
      <c r="AI257" s="33"/>
      <c r="AJ257" s="33"/>
      <c r="AK257" s="33"/>
      <c r="AL257" s="33"/>
      <c r="AM257" s="33"/>
      <c r="AN257" s="33"/>
      <c r="AO257" s="33"/>
      <c r="AP257" s="33"/>
      <c r="AQ257" s="33"/>
      <c r="AR257" s="33"/>
      <c r="AS257" s="33"/>
      <c r="AT257" s="34"/>
      <c r="AU257" s="1679"/>
      <c r="AV257" s="2256">
        <f t="shared" si="127"/>
        <v>0</v>
      </c>
      <c r="AW257" s="2256">
        <f t="shared" si="128"/>
        <v>0</v>
      </c>
      <c r="AX257" s="2256">
        <f t="shared" si="129"/>
        <v>0</v>
      </c>
      <c r="AY257" s="2781">
        <f t="shared" si="130"/>
        <v>0</v>
      </c>
      <c r="AZ257" s="28">
        <f t="shared" si="131"/>
        <v>0</v>
      </c>
      <c r="BA257" s="28">
        <f t="shared" si="132"/>
        <v>0</v>
      </c>
      <c r="BB257" s="28">
        <f t="shared" si="133"/>
        <v>0</v>
      </c>
      <c r="BC257" s="28">
        <f t="shared" si="134"/>
        <v>0</v>
      </c>
      <c r="BD257" s="3439">
        <f t="shared" si="135"/>
        <v>0</v>
      </c>
      <c r="BE257" s="3439">
        <f t="shared" si="136"/>
        <v>0</v>
      </c>
      <c r="BF257" s="3439">
        <f t="shared" si="137"/>
        <v>0</v>
      </c>
      <c r="BG257" s="3439">
        <f t="shared" si="138"/>
        <v>0</v>
      </c>
      <c r="BH257" s="3439">
        <f t="shared" si="139"/>
        <v>0</v>
      </c>
      <c r="BI257" s="3439">
        <f t="shared" si="140"/>
        <v>0</v>
      </c>
      <c r="BJ257" s="3439">
        <f t="shared" si="141"/>
        <v>0</v>
      </c>
      <c r="BK257" s="3439">
        <f t="shared" si="142"/>
        <v>0</v>
      </c>
      <c r="BL257" s="28">
        <f t="shared" si="143"/>
        <v>0</v>
      </c>
      <c r="BM257" s="28">
        <f t="shared" si="144"/>
        <v>0</v>
      </c>
      <c r="BN257" s="28">
        <f t="shared" si="145"/>
        <v>0</v>
      </c>
      <c r="BO257" s="28">
        <f t="shared" si="146"/>
        <v>0</v>
      </c>
      <c r="BP257" s="28">
        <f t="shared" si="147"/>
        <v>0</v>
      </c>
      <c r="BQ257" s="3439">
        <f t="shared" si="148"/>
        <v>0</v>
      </c>
      <c r="BR257" s="3439">
        <f t="shared" si="149"/>
        <v>0</v>
      </c>
      <c r="BS257" s="3439">
        <f t="shared" si="150"/>
        <v>0</v>
      </c>
      <c r="BT257" s="3451">
        <f t="shared" si="151"/>
        <v>0</v>
      </c>
    </row>
    <row r="258" spans="1:72">
      <c r="A258" s="9"/>
      <c r="B258" s="27"/>
      <c r="C258" s="27"/>
      <c r="D258" s="1678"/>
      <c r="E258" s="28">
        <f t="shared" si="123"/>
        <v>0</v>
      </c>
      <c r="F258" s="29"/>
      <c r="G258" s="30">
        <f t="shared" si="124"/>
        <v>0</v>
      </c>
      <c r="H258" s="31">
        <f t="shared" si="125"/>
        <v>0</v>
      </c>
      <c r="I258" s="32"/>
      <c r="J258" s="32"/>
      <c r="K258" s="32"/>
      <c r="L258" s="32"/>
      <c r="M258" s="32"/>
      <c r="N258" s="32"/>
      <c r="O258" s="32"/>
      <c r="P258" s="32"/>
      <c r="Q258" s="32"/>
      <c r="R258" s="32"/>
      <c r="S258" s="32"/>
      <c r="T258" s="32"/>
      <c r="U258" s="32"/>
      <c r="V258" s="32"/>
      <c r="W258" s="32"/>
      <c r="X258" s="32"/>
      <c r="Y258" s="32"/>
      <c r="Z258" s="32"/>
      <c r="AA258" s="32"/>
      <c r="AB258" s="32"/>
      <c r="AC258" s="28">
        <f t="shared" si="126"/>
        <v>0</v>
      </c>
      <c r="AD258" s="33"/>
      <c r="AE258" s="33"/>
      <c r="AF258" s="33"/>
      <c r="AG258" s="33"/>
      <c r="AH258" s="33"/>
      <c r="AI258" s="33"/>
      <c r="AJ258" s="33"/>
      <c r="AK258" s="33"/>
      <c r="AL258" s="33"/>
      <c r="AM258" s="33"/>
      <c r="AN258" s="33"/>
      <c r="AO258" s="33"/>
      <c r="AP258" s="33"/>
      <c r="AQ258" s="33"/>
      <c r="AR258" s="33"/>
      <c r="AS258" s="33"/>
      <c r="AT258" s="34"/>
      <c r="AU258" s="1679"/>
      <c r="AV258" s="2256">
        <f t="shared" si="127"/>
        <v>0</v>
      </c>
      <c r="AW258" s="2256">
        <f t="shared" si="128"/>
        <v>0</v>
      </c>
      <c r="AX258" s="2256">
        <f t="shared" si="129"/>
        <v>0</v>
      </c>
      <c r="AY258" s="2781">
        <f t="shared" si="130"/>
        <v>0</v>
      </c>
      <c r="AZ258" s="28">
        <f t="shared" si="131"/>
        <v>0</v>
      </c>
      <c r="BA258" s="28">
        <f t="shared" si="132"/>
        <v>0</v>
      </c>
      <c r="BB258" s="28">
        <f t="shared" si="133"/>
        <v>0</v>
      </c>
      <c r="BC258" s="28">
        <f t="shared" si="134"/>
        <v>0</v>
      </c>
      <c r="BD258" s="3439">
        <f t="shared" si="135"/>
        <v>0</v>
      </c>
      <c r="BE258" s="3439">
        <f t="shared" si="136"/>
        <v>0</v>
      </c>
      <c r="BF258" s="3439">
        <f t="shared" si="137"/>
        <v>0</v>
      </c>
      <c r="BG258" s="3439">
        <f t="shared" si="138"/>
        <v>0</v>
      </c>
      <c r="BH258" s="3439">
        <f t="shared" si="139"/>
        <v>0</v>
      </c>
      <c r="BI258" s="3439">
        <f t="shared" si="140"/>
        <v>0</v>
      </c>
      <c r="BJ258" s="3439">
        <f t="shared" si="141"/>
        <v>0</v>
      </c>
      <c r="BK258" s="3439">
        <f t="shared" si="142"/>
        <v>0</v>
      </c>
      <c r="BL258" s="28">
        <f t="shared" si="143"/>
        <v>0</v>
      </c>
      <c r="BM258" s="28">
        <f t="shared" si="144"/>
        <v>0</v>
      </c>
      <c r="BN258" s="28">
        <f t="shared" si="145"/>
        <v>0</v>
      </c>
      <c r="BO258" s="28">
        <f t="shared" si="146"/>
        <v>0</v>
      </c>
      <c r="BP258" s="28">
        <f t="shared" si="147"/>
        <v>0</v>
      </c>
      <c r="BQ258" s="3439">
        <f t="shared" si="148"/>
        <v>0</v>
      </c>
      <c r="BR258" s="3439">
        <f t="shared" si="149"/>
        <v>0</v>
      </c>
      <c r="BS258" s="3439">
        <f t="shared" si="150"/>
        <v>0</v>
      </c>
      <c r="BT258" s="3451">
        <f t="shared" si="151"/>
        <v>0</v>
      </c>
    </row>
    <row r="259" spans="1:72">
      <c r="A259" s="9"/>
      <c r="B259" s="27"/>
      <c r="C259" s="27"/>
      <c r="D259" s="1678"/>
      <c r="E259" s="28">
        <f t="shared" si="123"/>
        <v>0</v>
      </c>
      <c r="F259" s="29"/>
      <c r="G259" s="30">
        <f t="shared" si="124"/>
        <v>0</v>
      </c>
      <c r="H259" s="31">
        <f t="shared" si="125"/>
        <v>0</v>
      </c>
      <c r="I259" s="32"/>
      <c r="J259" s="32"/>
      <c r="K259" s="32"/>
      <c r="L259" s="32"/>
      <c r="M259" s="32"/>
      <c r="N259" s="32"/>
      <c r="O259" s="32"/>
      <c r="P259" s="32"/>
      <c r="Q259" s="32"/>
      <c r="R259" s="32"/>
      <c r="S259" s="32"/>
      <c r="T259" s="32"/>
      <c r="U259" s="32"/>
      <c r="V259" s="32"/>
      <c r="W259" s="32"/>
      <c r="X259" s="32"/>
      <c r="Y259" s="32"/>
      <c r="Z259" s="32"/>
      <c r="AA259" s="32"/>
      <c r="AB259" s="32"/>
      <c r="AC259" s="28">
        <f t="shared" si="126"/>
        <v>0</v>
      </c>
      <c r="AD259" s="33"/>
      <c r="AE259" s="33"/>
      <c r="AF259" s="33"/>
      <c r="AG259" s="33"/>
      <c r="AH259" s="33"/>
      <c r="AI259" s="33"/>
      <c r="AJ259" s="33"/>
      <c r="AK259" s="33"/>
      <c r="AL259" s="33"/>
      <c r="AM259" s="33"/>
      <c r="AN259" s="33"/>
      <c r="AO259" s="33"/>
      <c r="AP259" s="33"/>
      <c r="AQ259" s="33"/>
      <c r="AR259" s="33"/>
      <c r="AS259" s="33"/>
      <c r="AT259" s="34"/>
      <c r="AU259" s="1679"/>
      <c r="AV259" s="2256">
        <f t="shared" si="127"/>
        <v>0</v>
      </c>
      <c r="AW259" s="2256">
        <f t="shared" si="128"/>
        <v>0</v>
      </c>
      <c r="AX259" s="2256">
        <f t="shared" si="129"/>
        <v>0</v>
      </c>
      <c r="AY259" s="2781">
        <f t="shared" si="130"/>
        <v>0</v>
      </c>
      <c r="AZ259" s="28">
        <f t="shared" si="131"/>
        <v>0</v>
      </c>
      <c r="BA259" s="28">
        <f t="shared" si="132"/>
        <v>0</v>
      </c>
      <c r="BB259" s="28">
        <f t="shared" si="133"/>
        <v>0</v>
      </c>
      <c r="BC259" s="28">
        <f t="shared" si="134"/>
        <v>0</v>
      </c>
      <c r="BD259" s="3439">
        <f t="shared" si="135"/>
        <v>0</v>
      </c>
      <c r="BE259" s="3439">
        <f t="shared" si="136"/>
        <v>0</v>
      </c>
      <c r="BF259" s="3439">
        <f t="shared" si="137"/>
        <v>0</v>
      </c>
      <c r="BG259" s="3439">
        <f t="shared" si="138"/>
        <v>0</v>
      </c>
      <c r="BH259" s="3439">
        <f t="shared" si="139"/>
        <v>0</v>
      </c>
      <c r="BI259" s="3439">
        <f t="shared" si="140"/>
        <v>0</v>
      </c>
      <c r="BJ259" s="3439">
        <f t="shared" si="141"/>
        <v>0</v>
      </c>
      <c r="BK259" s="3439">
        <f t="shared" si="142"/>
        <v>0</v>
      </c>
      <c r="BL259" s="28">
        <f t="shared" si="143"/>
        <v>0</v>
      </c>
      <c r="BM259" s="28">
        <f t="shared" si="144"/>
        <v>0</v>
      </c>
      <c r="BN259" s="28">
        <f t="shared" si="145"/>
        <v>0</v>
      </c>
      <c r="BO259" s="28">
        <f t="shared" si="146"/>
        <v>0</v>
      </c>
      <c r="BP259" s="28">
        <f t="shared" si="147"/>
        <v>0</v>
      </c>
      <c r="BQ259" s="3439">
        <f t="shared" si="148"/>
        <v>0</v>
      </c>
      <c r="BR259" s="3439">
        <f t="shared" si="149"/>
        <v>0</v>
      </c>
      <c r="BS259" s="3439">
        <f t="shared" si="150"/>
        <v>0</v>
      </c>
      <c r="BT259" s="3451">
        <f t="shared" si="151"/>
        <v>0</v>
      </c>
    </row>
    <row r="260" spans="1:72">
      <c r="A260" s="9"/>
      <c r="B260" s="27"/>
      <c r="C260" s="27"/>
      <c r="D260" s="1678"/>
      <c r="E260" s="28">
        <f t="shared" si="123"/>
        <v>0</v>
      </c>
      <c r="F260" s="29"/>
      <c r="G260" s="30">
        <f t="shared" si="124"/>
        <v>0</v>
      </c>
      <c r="H260" s="31">
        <f t="shared" si="125"/>
        <v>0</v>
      </c>
      <c r="I260" s="32"/>
      <c r="J260" s="32"/>
      <c r="K260" s="32"/>
      <c r="L260" s="32"/>
      <c r="M260" s="32"/>
      <c r="N260" s="32"/>
      <c r="O260" s="32"/>
      <c r="P260" s="32"/>
      <c r="Q260" s="32"/>
      <c r="R260" s="32"/>
      <c r="S260" s="32"/>
      <c r="T260" s="32"/>
      <c r="U260" s="32"/>
      <c r="V260" s="32"/>
      <c r="W260" s="32"/>
      <c r="X260" s="32"/>
      <c r="Y260" s="32"/>
      <c r="Z260" s="32"/>
      <c r="AA260" s="32"/>
      <c r="AB260" s="32"/>
      <c r="AC260" s="28">
        <f t="shared" si="126"/>
        <v>0</v>
      </c>
      <c r="AD260" s="33"/>
      <c r="AE260" s="33"/>
      <c r="AF260" s="33"/>
      <c r="AG260" s="33"/>
      <c r="AH260" s="33"/>
      <c r="AI260" s="33"/>
      <c r="AJ260" s="33"/>
      <c r="AK260" s="33"/>
      <c r="AL260" s="33"/>
      <c r="AM260" s="33"/>
      <c r="AN260" s="33"/>
      <c r="AO260" s="33"/>
      <c r="AP260" s="33"/>
      <c r="AQ260" s="33"/>
      <c r="AR260" s="33"/>
      <c r="AS260" s="33"/>
      <c r="AT260" s="34"/>
      <c r="AU260" s="1679"/>
      <c r="AV260" s="2256">
        <f t="shared" si="127"/>
        <v>0</v>
      </c>
      <c r="AW260" s="2256">
        <f t="shared" si="128"/>
        <v>0</v>
      </c>
      <c r="AX260" s="2256">
        <f t="shared" si="129"/>
        <v>0</v>
      </c>
      <c r="AY260" s="2781">
        <f t="shared" si="130"/>
        <v>0</v>
      </c>
      <c r="AZ260" s="28">
        <f t="shared" si="131"/>
        <v>0</v>
      </c>
      <c r="BA260" s="28">
        <f t="shared" si="132"/>
        <v>0</v>
      </c>
      <c r="BB260" s="28">
        <f t="shared" si="133"/>
        <v>0</v>
      </c>
      <c r="BC260" s="28">
        <f t="shared" si="134"/>
        <v>0</v>
      </c>
      <c r="BD260" s="3439">
        <f t="shared" si="135"/>
        <v>0</v>
      </c>
      <c r="BE260" s="3439">
        <f t="shared" si="136"/>
        <v>0</v>
      </c>
      <c r="BF260" s="3439">
        <f t="shared" si="137"/>
        <v>0</v>
      </c>
      <c r="BG260" s="3439">
        <f t="shared" si="138"/>
        <v>0</v>
      </c>
      <c r="BH260" s="3439">
        <f t="shared" si="139"/>
        <v>0</v>
      </c>
      <c r="BI260" s="3439">
        <f t="shared" si="140"/>
        <v>0</v>
      </c>
      <c r="BJ260" s="3439">
        <f t="shared" si="141"/>
        <v>0</v>
      </c>
      <c r="BK260" s="3439">
        <f t="shared" si="142"/>
        <v>0</v>
      </c>
      <c r="BL260" s="28">
        <f t="shared" si="143"/>
        <v>0</v>
      </c>
      <c r="BM260" s="28">
        <f t="shared" si="144"/>
        <v>0</v>
      </c>
      <c r="BN260" s="28">
        <f t="shared" si="145"/>
        <v>0</v>
      </c>
      <c r="BO260" s="28">
        <f t="shared" si="146"/>
        <v>0</v>
      </c>
      <c r="BP260" s="28">
        <f t="shared" si="147"/>
        <v>0</v>
      </c>
      <c r="BQ260" s="3439">
        <f t="shared" si="148"/>
        <v>0</v>
      </c>
      <c r="BR260" s="3439">
        <f t="shared" si="149"/>
        <v>0</v>
      </c>
      <c r="BS260" s="3439">
        <f t="shared" si="150"/>
        <v>0</v>
      </c>
      <c r="BT260" s="3451">
        <f t="shared" si="151"/>
        <v>0</v>
      </c>
    </row>
    <row r="261" spans="1:72">
      <c r="A261" s="9"/>
      <c r="B261" s="27"/>
      <c r="C261" s="27"/>
      <c r="D261" s="1678"/>
      <c r="E261" s="28">
        <f t="shared" si="123"/>
        <v>0</v>
      </c>
      <c r="F261" s="29"/>
      <c r="G261" s="30">
        <f t="shared" si="124"/>
        <v>0</v>
      </c>
      <c r="H261" s="31">
        <f t="shared" si="125"/>
        <v>0</v>
      </c>
      <c r="I261" s="32"/>
      <c r="J261" s="32"/>
      <c r="K261" s="32"/>
      <c r="L261" s="32"/>
      <c r="M261" s="32"/>
      <c r="N261" s="32"/>
      <c r="O261" s="32"/>
      <c r="P261" s="32"/>
      <c r="Q261" s="32"/>
      <c r="R261" s="32"/>
      <c r="S261" s="32"/>
      <c r="T261" s="32"/>
      <c r="U261" s="32"/>
      <c r="V261" s="32"/>
      <c r="W261" s="32"/>
      <c r="X261" s="32"/>
      <c r="Y261" s="32"/>
      <c r="Z261" s="32"/>
      <c r="AA261" s="32"/>
      <c r="AB261" s="32"/>
      <c r="AC261" s="28">
        <f t="shared" si="126"/>
        <v>0</v>
      </c>
      <c r="AD261" s="33"/>
      <c r="AE261" s="33"/>
      <c r="AF261" s="33"/>
      <c r="AG261" s="33"/>
      <c r="AH261" s="33"/>
      <c r="AI261" s="33"/>
      <c r="AJ261" s="33"/>
      <c r="AK261" s="33"/>
      <c r="AL261" s="33"/>
      <c r="AM261" s="33"/>
      <c r="AN261" s="33"/>
      <c r="AO261" s="33"/>
      <c r="AP261" s="33"/>
      <c r="AQ261" s="33"/>
      <c r="AR261" s="33"/>
      <c r="AS261" s="33"/>
      <c r="AT261" s="34"/>
      <c r="AU261" s="1679"/>
      <c r="AV261" s="2256">
        <f t="shared" si="127"/>
        <v>0</v>
      </c>
      <c r="AW261" s="2256">
        <f t="shared" si="128"/>
        <v>0</v>
      </c>
      <c r="AX261" s="2256">
        <f t="shared" si="129"/>
        <v>0</v>
      </c>
      <c r="AY261" s="2781">
        <f t="shared" si="130"/>
        <v>0</v>
      </c>
      <c r="AZ261" s="28">
        <f t="shared" si="131"/>
        <v>0</v>
      </c>
      <c r="BA261" s="28">
        <f t="shared" si="132"/>
        <v>0</v>
      </c>
      <c r="BB261" s="28">
        <f t="shared" si="133"/>
        <v>0</v>
      </c>
      <c r="BC261" s="28">
        <f t="shared" si="134"/>
        <v>0</v>
      </c>
      <c r="BD261" s="3439">
        <f t="shared" si="135"/>
        <v>0</v>
      </c>
      <c r="BE261" s="3439">
        <f t="shared" si="136"/>
        <v>0</v>
      </c>
      <c r="BF261" s="3439">
        <f t="shared" si="137"/>
        <v>0</v>
      </c>
      <c r="BG261" s="3439">
        <f t="shared" si="138"/>
        <v>0</v>
      </c>
      <c r="BH261" s="3439">
        <f t="shared" si="139"/>
        <v>0</v>
      </c>
      <c r="BI261" s="3439">
        <f t="shared" si="140"/>
        <v>0</v>
      </c>
      <c r="BJ261" s="3439">
        <f t="shared" si="141"/>
        <v>0</v>
      </c>
      <c r="BK261" s="3439">
        <f t="shared" si="142"/>
        <v>0</v>
      </c>
      <c r="BL261" s="28">
        <f t="shared" si="143"/>
        <v>0</v>
      </c>
      <c r="BM261" s="28">
        <f t="shared" si="144"/>
        <v>0</v>
      </c>
      <c r="BN261" s="28">
        <f t="shared" si="145"/>
        <v>0</v>
      </c>
      <c r="BO261" s="28">
        <f t="shared" si="146"/>
        <v>0</v>
      </c>
      <c r="BP261" s="28">
        <f t="shared" si="147"/>
        <v>0</v>
      </c>
      <c r="BQ261" s="3439">
        <f t="shared" si="148"/>
        <v>0</v>
      </c>
      <c r="BR261" s="3439">
        <f t="shared" si="149"/>
        <v>0</v>
      </c>
      <c r="BS261" s="3439">
        <f t="shared" si="150"/>
        <v>0</v>
      </c>
      <c r="BT261" s="3451">
        <f t="shared" si="151"/>
        <v>0</v>
      </c>
    </row>
    <row r="262" spans="1:72">
      <c r="A262" s="9"/>
      <c r="B262" s="27"/>
      <c r="C262" s="27"/>
      <c r="D262" s="1678"/>
      <c r="E262" s="28">
        <f t="shared" si="123"/>
        <v>0</v>
      </c>
      <c r="F262" s="29"/>
      <c r="G262" s="30">
        <f t="shared" si="124"/>
        <v>0</v>
      </c>
      <c r="H262" s="31">
        <f t="shared" si="125"/>
        <v>0</v>
      </c>
      <c r="I262" s="32"/>
      <c r="J262" s="32"/>
      <c r="K262" s="32"/>
      <c r="L262" s="32"/>
      <c r="M262" s="32"/>
      <c r="N262" s="32"/>
      <c r="O262" s="32"/>
      <c r="P262" s="32"/>
      <c r="Q262" s="32"/>
      <c r="R262" s="32"/>
      <c r="S262" s="32"/>
      <c r="T262" s="32"/>
      <c r="U262" s="32"/>
      <c r="V262" s="32"/>
      <c r="W262" s="32"/>
      <c r="X262" s="32"/>
      <c r="Y262" s="32"/>
      <c r="Z262" s="32"/>
      <c r="AA262" s="32"/>
      <c r="AB262" s="32"/>
      <c r="AC262" s="28">
        <f t="shared" si="126"/>
        <v>0</v>
      </c>
      <c r="AD262" s="33"/>
      <c r="AE262" s="33"/>
      <c r="AF262" s="33"/>
      <c r="AG262" s="33"/>
      <c r="AH262" s="33"/>
      <c r="AI262" s="33"/>
      <c r="AJ262" s="33"/>
      <c r="AK262" s="33"/>
      <c r="AL262" s="33"/>
      <c r="AM262" s="33"/>
      <c r="AN262" s="33"/>
      <c r="AO262" s="33"/>
      <c r="AP262" s="33"/>
      <c r="AQ262" s="33"/>
      <c r="AR262" s="33"/>
      <c r="AS262" s="33"/>
      <c r="AT262" s="34"/>
      <c r="AU262" s="1679"/>
      <c r="AV262" s="2256">
        <f t="shared" si="127"/>
        <v>0</v>
      </c>
      <c r="AW262" s="2256">
        <f t="shared" si="128"/>
        <v>0</v>
      </c>
      <c r="AX262" s="2256">
        <f t="shared" si="129"/>
        <v>0</v>
      </c>
      <c r="AY262" s="2781">
        <f t="shared" si="130"/>
        <v>0</v>
      </c>
      <c r="AZ262" s="28">
        <f t="shared" si="131"/>
        <v>0</v>
      </c>
      <c r="BA262" s="28">
        <f t="shared" si="132"/>
        <v>0</v>
      </c>
      <c r="BB262" s="28">
        <f t="shared" si="133"/>
        <v>0</v>
      </c>
      <c r="BC262" s="28">
        <f t="shared" si="134"/>
        <v>0</v>
      </c>
      <c r="BD262" s="3439">
        <f t="shared" si="135"/>
        <v>0</v>
      </c>
      <c r="BE262" s="3439">
        <f t="shared" si="136"/>
        <v>0</v>
      </c>
      <c r="BF262" s="3439">
        <f t="shared" si="137"/>
        <v>0</v>
      </c>
      <c r="BG262" s="3439">
        <f t="shared" si="138"/>
        <v>0</v>
      </c>
      <c r="BH262" s="3439">
        <f t="shared" si="139"/>
        <v>0</v>
      </c>
      <c r="BI262" s="3439">
        <f t="shared" si="140"/>
        <v>0</v>
      </c>
      <c r="BJ262" s="3439">
        <f t="shared" si="141"/>
        <v>0</v>
      </c>
      <c r="BK262" s="3439">
        <f t="shared" si="142"/>
        <v>0</v>
      </c>
      <c r="BL262" s="28">
        <f t="shared" si="143"/>
        <v>0</v>
      </c>
      <c r="BM262" s="28">
        <f t="shared" si="144"/>
        <v>0</v>
      </c>
      <c r="BN262" s="28">
        <f t="shared" si="145"/>
        <v>0</v>
      </c>
      <c r="BO262" s="28">
        <f t="shared" si="146"/>
        <v>0</v>
      </c>
      <c r="BP262" s="28">
        <f t="shared" si="147"/>
        <v>0</v>
      </c>
      <c r="BQ262" s="3439">
        <f t="shared" si="148"/>
        <v>0</v>
      </c>
      <c r="BR262" s="3439">
        <f t="shared" si="149"/>
        <v>0</v>
      </c>
      <c r="BS262" s="3439">
        <f t="shared" si="150"/>
        <v>0</v>
      </c>
      <c r="BT262" s="3451">
        <f t="shared" si="151"/>
        <v>0</v>
      </c>
    </row>
    <row r="263" spans="1:72">
      <c r="A263" s="9"/>
      <c r="B263" s="27"/>
      <c r="C263" s="27"/>
      <c r="D263" s="1678"/>
      <c r="E263" s="28">
        <f t="shared" si="123"/>
        <v>0</v>
      </c>
      <c r="F263" s="29"/>
      <c r="G263" s="30">
        <f t="shared" si="124"/>
        <v>0</v>
      </c>
      <c r="H263" s="31">
        <f t="shared" si="125"/>
        <v>0</v>
      </c>
      <c r="I263" s="32"/>
      <c r="J263" s="32"/>
      <c r="K263" s="32"/>
      <c r="L263" s="32"/>
      <c r="M263" s="32"/>
      <c r="N263" s="32"/>
      <c r="O263" s="32"/>
      <c r="P263" s="32"/>
      <c r="Q263" s="32"/>
      <c r="R263" s="32"/>
      <c r="S263" s="32"/>
      <c r="T263" s="32"/>
      <c r="U263" s="32"/>
      <c r="V263" s="32"/>
      <c r="W263" s="32"/>
      <c r="X263" s="32"/>
      <c r="Y263" s="32"/>
      <c r="Z263" s="32"/>
      <c r="AA263" s="32"/>
      <c r="AB263" s="32"/>
      <c r="AC263" s="28">
        <f t="shared" si="126"/>
        <v>0</v>
      </c>
      <c r="AD263" s="33"/>
      <c r="AE263" s="33"/>
      <c r="AF263" s="33"/>
      <c r="AG263" s="33"/>
      <c r="AH263" s="33"/>
      <c r="AI263" s="33"/>
      <c r="AJ263" s="33"/>
      <c r="AK263" s="33"/>
      <c r="AL263" s="33"/>
      <c r="AM263" s="33"/>
      <c r="AN263" s="33"/>
      <c r="AO263" s="33"/>
      <c r="AP263" s="33"/>
      <c r="AQ263" s="33"/>
      <c r="AR263" s="33"/>
      <c r="AS263" s="33"/>
      <c r="AT263" s="34"/>
      <c r="AU263" s="1679"/>
      <c r="AV263" s="2256">
        <f t="shared" si="127"/>
        <v>0</v>
      </c>
      <c r="AW263" s="2256">
        <f t="shared" si="128"/>
        <v>0</v>
      </c>
      <c r="AX263" s="2256">
        <f t="shared" si="129"/>
        <v>0</v>
      </c>
      <c r="AY263" s="2781">
        <f t="shared" si="130"/>
        <v>0</v>
      </c>
      <c r="AZ263" s="28">
        <f t="shared" si="131"/>
        <v>0</v>
      </c>
      <c r="BA263" s="28">
        <f t="shared" si="132"/>
        <v>0</v>
      </c>
      <c r="BB263" s="28">
        <f t="shared" si="133"/>
        <v>0</v>
      </c>
      <c r="BC263" s="28">
        <f t="shared" si="134"/>
        <v>0</v>
      </c>
      <c r="BD263" s="3439">
        <f t="shared" si="135"/>
        <v>0</v>
      </c>
      <c r="BE263" s="3439">
        <f t="shared" si="136"/>
        <v>0</v>
      </c>
      <c r="BF263" s="3439">
        <f t="shared" si="137"/>
        <v>0</v>
      </c>
      <c r="BG263" s="3439">
        <f t="shared" si="138"/>
        <v>0</v>
      </c>
      <c r="BH263" s="3439">
        <f t="shared" si="139"/>
        <v>0</v>
      </c>
      <c r="BI263" s="3439">
        <f t="shared" si="140"/>
        <v>0</v>
      </c>
      <c r="BJ263" s="3439">
        <f t="shared" si="141"/>
        <v>0</v>
      </c>
      <c r="BK263" s="3439">
        <f t="shared" si="142"/>
        <v>0</v>
      </c>
      <c r="BL263" s="28">
        <f t="shared" si="143"/>
        <v>0</v>
      </c>
      <c r="BM263" s="28">
        <f t="shared" si="144"/>
        <v>0</v>
      </c>
      <c r="BN263" s="28">
        <f t="shared" si="145"/>
        <v>0</v>
      </c>
      <c r="BO263" s="28">
        <f t="shared" si="146"/>
        <v>0</v>
      </c>
      <c r="BP263" s="28">
        <f t="shared" si="147"/>
        <v>0</v>
      </c>
      <c r="BQ263" s="3439">
        <f t="shared" si="148"/>
        <v>0</v>
      </c>
      <c r="BR263" s="3439">
        <f t="shared" si="149"/>
        <v>0</v>
      </c>
      <c r="BS263" s="3439">
        <f t="shared" si="150"/>
        <v>0</v>
      </c>
      <c r="BT263" s="3451">
        <f t="shared" si="151"/>
        <v>0</v>
      </c>
    </row>
    <row r="264" spans="1:72">
      <c r="A264" s="9"/>
      <c r="B264" s="27"/>
      <c r="C264" s="27"/>
      <c r="D264" s="1678"/>
      <c r="E264" s="28">
        <f t="shared" si="123"/>
        <v>0</v>
      </c>
      <c r="F264" s="29"/>
      <c r="G264" s="30">
        <f t="shared" si="124"/>
        <v>0</v>
      </c>
      <c r="H264" s="31">
        <f t="shared" si="125"/>
        <v>0</v>
      </c>
      <c r="I264" s="32"/>
      <c r="J264" s="32"/>
      <c r="K264" s="32"/>
      <c r="L264" s="32"/>
      <c r="M264" s="32"/>
      <c r="N264" s="32"/>
      <c r="O264" s="32"/>
      <c r="P264" s="32"/>
      <c r="Q264" s="32"/>
      <c r="R264" s="32"/>
      <c r="S264" s="32"/>
      <c r="T264" s="32"/>
      <c r="U264" s="32"/>
      <c r="V264" s="32"/>
      <c r="W264" s="32"/>
      <c r="X264" s="32"/>
      <c r="Y264" s="32"/>
      <c r="Z264" s="32"/>
      <c r="AA264" s="32"/>
      <c r="AB264" s="32"/>
      <c r="AC264" s="28">
        <f t="shared" si="126"/>
        <v>0</v>
      </c>
      <c r="AD264" s="33"/>
      <c r="AE264" s="33"/>
      <c r="AF264" s="33"/>
      <c r="AG264" s="33"/>
      <c r="AH264" s="33"/>
      <c r="AI264" s="33"/>
      <c r="AJ264" s="33"/>
      <c r="AK264" s="33"/>
      <c r="AL264" s="33"/>
      <c r="AM264" s="33"/>
      <c r="AN264" s="33"/>
      <c r="AO264" s="33"/>
      <c r="AP264" s="33"/>
      <c r="AQ264" s="33"/>
      <c r="AR264" s="33"/>
      <c r="AS264" s="33"/>
      <c r="AT264" s="34"/>
      <c r="AU264" s="1679"/>
      <c r="AV264" s="2256">
        <f t="shared" si="127"/>
        <v>0</v>
      </c>
      <c r="AW264" s="2256">
        <f t="shared" si="128"/>
        <v>0</v>
      </c>
      <c r="AX264" s="2256">
        <f t="shared" si="129"/>
        <v>0</v>
      </c>
      <c r="AY264" s="2781">
        <f t="shared" si="130"/>
        <v>0</v>
      </c>
      <c r="AZ264" s="28">
        <f t="shared" si="131"/>
        <v>0</v>
      </c>
      <c r="BA264" s="28">
        <f t="shared" si="132"/>
        <v>0</v>
      </c>
      <c r="BB264" s="28">
        <f t="shared" si="133"/>
        <v>0</v>
      </c>
      <c r="BC264" s="28">
        <f t="shared" si="134"/>
        <v>0</v>
      </c>
      <c r="BD264" s="3439">
        <f t="shared" si="135"/>
        <v>0</v>
      </c>
      <c r="BE264" s="3439">
        <f t="shared" si="136"/>
        <v>0</v>
      </c>
      <c r="BF264" s="3439">
        <f t="shared" si="137"/>
        <v>0</v>
      </c>
      <c r="BG264" s="3439">
        <f t="shared" si="138"/>
        <v>0</v>
      </c>
      <c r="BH264" s="3439">
        <f t="shared" si="139"/>
        <v>0</v>
      </c>
      <c r="BI264" s="3439">
        <f t="shared" si="140"/>
        <v>0</v>
      </c>
      <c r="BJ264" s="3439">
        <f t="shared" si="141"/>
        <v>0</v>
      </c>
      <c r="BK264" s="3439">
        <f t="shared" si="142"/>
        <v>0</v>
      </c>
      <c r="BL264" s="28">
        <f t="shared" si="143"/>
        <v>0</v>
      </c>
      <c r="BM264" s="28">
        <f t="shared" si="144"/>
        <v>0</v>
      </c>
      <c r="BN264" s="28">
        <f t="shared" si="145"/>
        <v>0</v>
      </c>
      <c r="BO264" s="28">
        <f t="shared" si="146"/>
        <v>0</v>
      </c>
      <c r="BP264" s="28">
        <f t="shared" si="147"/>
        <v>0</v>
      </c>
      <c r="BQ264" s="3439">
        <f t="shared" si="148"/>
        <v>0</v>
      </c>
      <c r="BR264" s="3439">
        <f t="shared" si="149"/>
        <v>0</v>
      </c>
      <c r="BS264" s="3439">
        <f t="shared" si="150"/>
        <v>0</v>
      </c>
      <c r="BT264" s="3451">
        <f t="shared" si="151"/>
        <v>0</v>
      </c>
    </row>
    <row r="265" spans="1:72">
      <c r="A265" s="9"/>
      <c r="B265" s="27"/>
      <c r="C265" s="27"/>
      <c r="D265" s="1678"/>
      <c r="E265" s="28">
        <f t="shared" si="123"/>
        <v>0</v>
      </c>
      <c r="F265" s="29"/>
      <c r="G265" s="30">
        <f t="shared" si="124"/>
        <v>0</v>
      </c>
      <c r="H265" s="31">
        <f t="shared" si="125"/>
        <v>0</v>
      </c>
      <c r="I265" s="32"/>
      <c r="J265" s="32"/>
      <c r="K265" s="32"/>
      <c r="L265" s="32"/>
      <c r="M265" s="32"/>
      <c r="N265" s="32"/>
      <c r="O265" s="32"/>
      <c r="P265" s="32"/>
      <c r="Q265" s="32"/>
      <c r="R265" s="32"/>
      <c r="S265" s="32"/>
      <c r="T265" s="32"/>
      <c r="U265" s="32"/>
      <c r="V265" s="32"/>
      <c r="W265" s="32"/>
      <c r="X265" s="32"/>
      <c r="Y265" s="32"/>
      <c r="Z265" s="32"/>
      <c r="AA265" s="32"/>
      <c r="AB265" s="32"/>
      <c r="AC265" s="28">
        <f t="shared" si="126"/>
        <v>0</v>
      </c>
      <c r="AD265" s="33"/>
      <c r="AE265" s="33"/>
      <c r="AF265" s="33"/>
      <c r="AG265" s="33"/>
      <c r="AH265" s="33"/>
      <c r="AI265" s="33"/>
      <c r="AJ265" s="33"/>
      <c r="AK265" s="33"/>
      <c r="AL265" s="33"/>
      <c r="AM265" s="33"/>
      <c r="AN265" s="33"/>
      <c r="AO265" s="33"/>
      <c r="AP265" s="33"/>
      <c r="AQ265" s="33"/>
      <c r="AR265" s="33"/>
      <c r="AS265" s="33"/>
      <c r="AT265" s="34"/>
      <c r="AU265" s="1679"/>
      <c r="AV265" s="2256">
        <f t="shared" si="127"/>
        <v>0</v>
      </c>
      <c r="AW265" s="2256">
        <f t="shared" si="128"/>
        <v>0</v>
      </c>
      <c r="AX265" s="2256">
        <f t="shared" si="129"/>
        <v>0</v>
      </c>
      <c r="AY265" s="2781">
        <f t="shared" si="130"/>
        <v>0</v>
      </c>
      <c r="AZ265" s="28">
        <f t="shared" si="131"/>
        <v>0</v>
      </c>
      <c r="BA265" s="28">
        <f t="shared" si="132"/>
        <v>0</v>
      </c>
      <c r="BB265" s="28">
        <f t="shared" si="133"/>
        <v>0</v>
      </c>
      <c r="BC265" s="28">
        <f t="shared" si="134"/>
        <v>0</v>
      </c>
      <c r="BD265" s="3439">
        <f t="shared" si="135"/>
        <v>0</v>
      </c>
      <c r="BE265" s="3439">
        <f t="shared" si="136"/>
        <v>0</v>
      </c>
      <c r="BF265" s="3439">
        <f t="shared" si="137"/>
        <v>0</v>
      </c>
      <c r="BG265" s="3439">
        <f t="shared" si="138"/>
        <v>0</v>
      </c>
      <c r="BH265" s="3439">
        <f t="shared" si="139"/>
        <v>0</v>
      </c>
      <c r="BI265" s="3439">
        <f t="shared" si="140"/>
        <v>0</v>
      </c>
      <c r="BJ265" s="3439">
        <f t="shared" si="141"/>
        <v>0</v>
      </c>
      <c r="BK265" s="3439">
        <f t="shared" si="142"/>
        <v>0</v>
      </c>
      <c r="BL265" s="28">
        <f t="shared" si="143"/>
        <v>0</v>
      </c>
      <c r="BM265" s="28">
        <f t="shared" si="144"/>
        <v>0</v>
      </c>
      <c r="BN265" s="28">
        <f t="shared" si="145"/>
        <v>0</v>
      </c>
      <c r="BO265" s="28">
        <f t="shared" si="146"/>
        <v>0</v>
      </c>
      <c r="BP265" s="28">
        <f t="shared" si="147"/>
        <v>0</v>
      </c>
      <c r="BQ265" s="3439">
        <f t="shared" si="148"/>
        <v>0</v>
      </c>
      <c r="BR265" s="3439">
        <f t="shared" si="149"/>
        <v>0</v>
      </c>
      <c r="BS265" s="3439">
        <f t="shared" si="150"/>
        <v>0</v>
      </c>
      <c r="BT265" s="3451">
        <f t="shared" si="151"/>
        <v>0</v>
      </c>
    </row>
    <row r="266" spans="1:72">
      <c r="A266" s="9"/>
      <c r="B266" s="27"/>
      <c r="C266" s="27"/>
      <c r="D266" s="1678"/>
      <c r="E266" s="28">
        <f t="shared" si="123"/>
        <v>0</v>
      </c>
      <c r="F266" s="29"/>
      <c r="G266" s="30">
        <f t="shared" si="124"/>
        <v>0</v>
      </c>
      <c r="H266" s="31">
        <f t="shared" si="125"/>
        <v>0</v>
      </c>
      <c r="I266" s="32"/>
      <c r="J266" s="32"/>
      <c r="K266" s="32"/>
      <c r="L266" s="32"/>
      <c r="M266" s="32"/>
      <c r="N266" s="32"/>
      <c r="O266" s="32"/>
      <c r="P266" s="32"/>
      <c r="Q266" s="32"/>
      <c r="R266" s="32"/>
      <c r="S266" s="32"/>
      <c r="T266" s="32"/>
      <c r="U266" s="32"/>
      <c r="V266" s="32"/>
      <c r="W266" s="32"/>
      <c r="X266" s="32"/>
      <c r="Y266" s="32"/>
      <c r="Z266" s="32"/>
      <c r="AA266" s="32"/>
      <c r="AB266" s="32"/>
      <c r="AC266" s="28">
        <f t="shared" si="126"/>
        <v>0</v>
      </c>
      <c r="AD266" s="33"/>
      <c r="AE266" s="33"/>
      <c r="AF266" s="33"/>
      <c r="AG266" s="33"/>
      <c r="AH266" s="33"/>
      <c r="AI266" s="33"/>
      <c r="AJ266" s="33"/>
      <c r="AK266" s="33"/>
      <c r="AL266" s="33"/>
      <c r="AM266" s="33"/>
      <c r="AN266" s="33"/>
      <c r="AO266" s="33"/>
      <c r="AP266" s="33"/>
      <c r="AQ266" s="33"/>
      <c r="AR266" s="33"/>
      <c r="AS266" s="33"/>
      <c r="AT266" s="34"/>
      <c r="AU266" s="1679"/>
      <c r="AV266" s="2256">
        <f t="shared" si="127"/>
        <v>0</v>
      </c>
      <c r="AW266" s="2256">
        <f t="shared" si="128"/>
        <v>0</v>
      </c>
      <c r="AX266" s="2256">
        <f t="shared" si="129"/>
        <v>0</v>
      </c>
      <c r="AY266" s="2781">
        <f t="shared" si="130"/>
        <v>0</v>
      </c>
      <c r="AZ266" s="28">
        <f t="shared" si="131"/>
        <v>0</v>
      </c>
      <c r="BA266" s="28">
        <f t="shared" si="132"/>
        <v>0</v>
      </c>
      <c r="BB266" s="28">
        <f t="shared" si="133"/>
        <v>0</v>
      </c>
      <c r="BC266" s="28">
        <f t="shared" si="134"/>
        <v>0</v>
      </c>
      <c r="BD266" s="3439">
        <f t="shared" si="135"/>
        <v>0</v>
      </c>
      <c r="BE266" s="3439">
        <f t="shared" si="136"/>
        <v>0</v>
      </c>
      <c r="BF266" s="3439">
        <f t="shared" si="137"/>
        <v>0</v>
      </c>
      <c r="BG266" s="3439">
        <f t="shared" si="138"/>
        <v>0</v>
      </c>
      <c r="BH266" s="3439">
        <f t="shared" si="139"/>
        <v>0</v>
      </c>
      <c r="BI266" s="3439">
        <f t="shared" si="140"/>
        <v>0</v>
      </c>
      <c r="BJ266" s="3439">
        <f t="shared" si="141"/>
        <v>0</v>
      </c>
      <c r="BK266" s="3439">
        <f t="shared" si="142"/>
        <v>0</v>
      </c>
      <c r="BL266" s="28">
        <f t="shared" si="143"/>
        <v>0</v>
      </c>
      <c r="BM266" s="28">
        <f t="shared" si="144"/>
        <v>0</v>
      </c>
      <c r="BN266" s="28">
        <f t="shared" si="145"/>
        <v>0</v>
      </c>
      <c r="BO266" s="28">
        <f t="shared" si="146"/>
        <v>0</v>
      </c>
      <c r="BP266" s="28">
        <f t="shared" si="147"/>
        <v>0</v>
      </c>
      <c r="BQ266" s="3439">
        <f t="shared" si="148"/>
        <v>0</v>
      </c>
      <c r="BR266" s="3439">
        <f t="shared" si="149"/>
        <v>0</v>
      </c>
      <c r="BS266" s="3439">
        <f t="shared" si="150"/>
        <v>0</v>
      </c>
      <c r="BT266" s="3451">
        <f t="shared" si="151"/>
        <v>0</v>
      </c>
    </row>
    <row r="267" spans="1:72">
      <c r="A267" s="9"/>
      <c r="B267" s="27"/>
      <c r="C267" s="27"/>
      <c r="D267" s="1678"/>
      <c r="E267" s="28">
        <f t="shared" si="123"/>
        <v>0</v>
      </c>
      <c r="F267" s="29"/>
      <c r="G267" s="30">
        <f t="shared" si="124"/>
        <v>0</v>
      </c>
      <c r="H267" s="31">
        <f t="shared" si="125"/>
        <v>0</v>
      </c>
      <c r="I267" s="32"/>
      <c r="J267" s="32"/>
      <c r="K267" s="32"/>
      <c r="L267" s="32"/>
      <c r="M267" s="32"/>
      <c r="N267" s="32"/>
      <c r="O267" s="32"/>
      <c r="P267" s="32"/>
      <c r="Q267" s="32"/>
      <c r="R267" s="32"/>
      <c r="S267" s="32"/>
      <c r="T267" s="32"/>
      <c r="U267" s="32"/>
      <c r="V267" s="32"/>
      <c r="W267" s="32"/>
      <c r="X267" s="32"/>
      <c r="Y267" s="32"/>
      <c r="Z267" s="32"/>
      <c r="AA267" s="32"/>
      <c r="AB267" s="32"/>
      <c r="AC267" s="28">
        <f t="shared" si="126"/>
        <v>0</v>
      </c>
      <c r="AD267" s="33"/>
      <c r="AE267" s="33"/>
      <c r="AF267" s="33"/>
      <c r="AG267" s="33"/>
      <c r="AH267" s="33"/>
      <c r="AI267" s="33"/>
      <c r="AJ267" s="33"/>
      <c r="AK267" s="33"/>
      <c r="AL267" s="33"/>
      <c r="AM267" s="33"/>
      <c r="AN267" s="33"/>
      <c r="AO267" s="33"/>
      <c r="AP267" s="33"/>
      <c r="AQ267" s="33"/>
      <c r="AR267" s="33"/>
      <c r="AS267" s="33"/>
      <c r="AT267" s="34"/>
      <c r="AU267" s="1679"/>
      <c r="AV267" s="2256">
        <f t="shared" si="127"/>
        <v>0</v>
      </c>
      <c r="AW267" s="2256">
        <f t="shared" si="128"/>
        <v>0</v>
      </c>
      <c r="AX267" s="2256">
        <f t="shared" si="129"/>
        <v>0</v>
      </c>
      <c r="AY267" s="2781">
        <f t="shared" si="130"/>
        <v>0</v>
      </c>
      <c r="AZ267" s="28">
        <f t="shared" si="131"/>
        <v>0</v>
      </c>
      <c r="BA267" s="28">
        <f t="shared" si="132"/>
        <v>0</v>
      </c>
      <c r="BB267" s="28">
        <f t="shared" si="133"/>
        <v>0</v>
      </c>
      <c r="BC267" s="28">
        <f t="shared" si="134"/>
        <v>0</v>
      </c>
      <c r="BD267" s="3439">
        <f t="shared" si="135"/>
        <v>0</v>
      </c>
      <c r="BE267" s="3439">
        <f t="shared" si="136"/>
        <v>0</v>
      </c>
      <c r="BF267" s="3439">
        <f t="shared" si="137"/>
        <v>0</v>
      </c>
      <c r="BG267" s="3439">
        <f t="shared" si="138"/>
        <v>0</v>
      </c>
      <c r="BH267" s="3439">
        <f t="shared" si="139"/>
        <v>0</v>
      </c>
      <c r="BI267" s="3439">
        <f t="shared" si="140"/>
        <v>0</v>
      </c>
      <c r="BJ267" s="3439">
        <f t="shared" si="141"/>
        <v>0</v>
      </c>
      <c r="BK267" s="3439">
        <f t="shared" si="142"/>
        <v>0</v>
      </c>
      <c r="BL267" s="28">
        <f t="shared" si="143"/>
        <v>0</v>
      </c>
      <c r="BM267" s="28">
        <f t="shared" si="144"/>
        <v>0</v>
      </c>
      <c r="BN267" s="28">
        <f t="shared" si="145"/>
        <v>0</v>
      </c>
      <c r="BO267" s="28">
        <f t="shared" si="146"/>
        <v>0</v>
      </c>
      <c r="BP267" s="28">
        <f t="shared" si="147"/>
        <v>0</v>
      </c>
      <c r="BQ267" s="3439">
        <f t="shared" si="148"/>
        <v>0</v>
      </c>
      <c r="BR267" s="3439">
        <f t="shared" si="149"/>
        <v>0</v>
      </c>
      <c r="BS267" s="3439">
        <f t="shared" si="150"/>
        <v>0</v>
      </c>
      <c r="BT267" s="3451">
        <f t="shared" si="151"/>
        <v>0</v>
      </c>
    </row>
    <row r="268" spans="1:72">
      <c r="A268" s="9"/>
      <c r="B268" s="27"/>
      <c r="C268" s="27"/>
      <c r="D268" s="1678"/>
      <c r="E268" s="28">
        <f t="shared" si="123"/>
        <v>0</v>
      </c>
      <c r="F268" s="29"/>
      <c r="G268" s="30">
        <f t="shared" si="124"/>
        <v>0</v>
      </c>
      <c r="H268" s="31">
        <f t="shared" si="125"/>
        <v>0</v>
      </c>
      <c r="I268" s="32"/>
      <c r="J268" s="32"/>
      <c r="K268" s="32"/>
      <c r="L268" s="32"/>
      <c r="M268" s="32"/>
      <c r="N268" s="32"/>
      <c r="O268" s="32"/>
      <c r="P268" s="32"/>
      <c r="Q268" s="32"/>
      <c r="R268" s="32"/>
      <c r="S268" s="32"/>
      <c r="T268" s="32"/>
      <c r="U268" s="32"/>
      <c r="V268" s="32"/>
      <c r="W268" s="32"/>
      <c r="X268" s="32"/>
      <c r="Y268" s="32"/>
      <c r="Z268" s="32"/>
      <c r="AA268" s="32"/>
      <c r="AB268" s="32"/>
      <c r="AC268" s="28">
        <f t="shared" si="126"/>
        <v>0</v>
      </c>
      <c r="AD268" s="33"/>
      <c r="AE268" s="33"/>
      <c r="AF268" s="33"/>
      <c r="AG268" s="33"/>
      <c r="AH268" s="33"/>
      <c r="AI268" s="33"/>
      <c r="AJ268" s="33"/>
      <c r="AK268" s="33"/>
      <c r="AL268" s="33"/>
      <c r="AM268" s="33"/>
      <c r="AN268" s="33"/>
      <c r="AO268" s="33"/>
      <c r="AP268" s="33"/>
      <c r="AQ268" s="33"/>
      <c r="AR268" s="33"/>
      <c r="AS268" s="33"/>
      <c r="AT268" s="34"/>
      <c r="AU268" s="1679"/>
      <c r="AV268" s="2256">
        <f t="shared" si="127"/>
        <v>0</v>
      </c>
      <c r="AW268" s="2256">
        <f t="shared" si="128"/>
        <v>0</v>
      </c>
      <c r="AX268" s="2256">
        <f t="shared" si="129"/>
        <v>0</v>
      </c>
      <c r="AY268" s="2781">
        <f t="shared" si="130"/>
        <v>0</v>
      </c>
      <c r="AZ268" s="28">
        <f t="shared" si="131"/>
        <v>0</v>
      </c>
      <c r="BA268" s="28">
        <f t="shared" si="132"/>
        <v>0</v>
      </c>
      <c r="BB268" s="28">
        <f t="shared" si="133"/>
        <v>0</v>
      </c>
      <c r="BC268" s="28">
        <f t="shared" si="134"/>
        <v>0</v>
      </c>
      <c r="BD268" s="3439">
        <f t="shared" si="135"/>
        <v>0</v>
      </c>
      <c r="BE268" s="3439">
        <f t="shared" si="136"/>
        <v>0</v>
      </c>
      <c r="BF268" s="3439">
        <f t="shared" si="137"/>
        <v>0</v>
      </c>
      <c r="BG268" s="3439">
        <f t="shared" si="138"/>
        <v>0</v>
      </c>
      <c r="BH268" s="3439">
        <f t="shared" si="139"/>
        <v>0</v>
      </c>
      <c r="BI268" s="3439">
        <f t="shared" si="140"/>
        <v>0</v>
      </c>
      <c r="BJ268" s="3439">
        <f t="shared" si="141"/>
        <v>0</v>
      </c>
      <c r="BK268" s="3439">
        <f t="shared" si="142"/>
        <v>0</v>
      </c>
      <c r="BL268" s="28">
        <f t="shared" si="143"/>
        <v>0</v>
      </c>
      <c r="BM268" s="28">
        <f t="shared" si="144"/>
        <v>0</v>
      </c>
      <c r="BN268" s="28">
        <f t="shared" si="145"/>
        <v>0</v>
      </c>
      <c r="BO268" s="28">
        <f t="shared" si="146"/>
        <v>0</v>
      </c>
      <c r="BP268" s="28">
        <f t="shared" si="147"/>
        <v>0</v>
      </c>
      <c r="BQ268" s="3439">
        <f t="shared" si="148"/>
        <v>0</v>
      </c>
      <c r="BR268" s="3439">
        <f t="shared" si="149"/>
        <v>0</v>
      </c>
      <c r="BS268" s="3439">
        <f t="shared" si="150"/>
        <v>0</v>
      </c>
      <c r="BT268" s="3451">
        <f t="shared" si="151"/>
        <v>0</v>
      </c>
    </row>
    <row r="269" spans="1:72">
      <c r="A269" s="9"/>
      <c r="B269" s="27"/>
      <c r="C269" s="27"/>
      <c r="D269" s="1678"/>
      <c r="E269" s="28">
        <f t="shared" si="123"/>
        <v>0</v>
      </c>
      <c r="F269" s="29"/>
      <c r="G269" s="30">
        <f t="shared" si="124"/>
        <v>0</v>
      </c>
      <c r="H269" s="31">
        <f t="shared" si="125"/>
        <v>0</v>
      </c>
      <c r="I269" s="32"/>
      <c r="J269" s="32"/>
      <c r="K269" s="32"/>
      <c r="L269" s="32"/>
      <c r="M269" s="32"/>
      <c r="N269" s="32"/>
      <c r="O269" s="32"/>
      <c r="P269" s="32"/>
      <c r="Q269" s="32"/>
      <c r="R269" s="32"/>
      <c r="S269" s="32"/>
      <c r="T269" s="32"/>
      <c r="U269" s="32"/>
      <c r="V269" s="32"/>
      <c r="W269" s="32"/>
      <c r="X269" s="32"/>
      <c r="Y269" s="32"/>
      <c r="Z269" s="32"/>
      <c r="AA269" s="32"/>
      <c r="AB269" s="32"/>
      <c r="AC269" s="28">
        <f t="shared" si="126"/>
        <v>0</v>
      </c>
      <c r="AD269" s="33"/>
      <c r="AE269" s="33"/>
      <c r="AF269" s="33"/>
      <c r="AG269" s="33"/>
      <c r="AH269" s="33"/>
      <c r="AI269" s="33"/>
      <c r="AJ269" s="33"/>
      <c r="AK269" s="33"/>
      <c r="AL269" s="33"/>
      <c r="AM269" s="33"/>
      <c r="AN269" s="33"/>
      <c r="AO269" s="33"/>
      <c r="AP269" s="33"/>
      <c r="AQ269" s="33"/>
      <c r="AR269" s="33"/>
      <c r="AS269" s="33"/>
      <c r="AT269" s="34"/>
      <c r="AU269" s="1679"/>
      <c r="AV269" s="2256">
        <f t="shared" si="127"/>
        <v>0</v>
      </c>
      <c r="AW269" s="2256">
        <f t="shared" si="128"/>
        <v>0</v>
      </c>
      <c r="AX269" s="2256">
        <f t="shared" si="129"/>
        <v>0</v>
      </c>
      <c r="AY269" s="2781">
        <f t="shared" si="130"/>
        <v>0</v>
      </c>
      <c r="AZ269" s="28">
        <f t="shared" si="131"/>
        <v>0</v>
      </c>
      <c r="BA269" s="28">
        <f t="shared" si="132"/>
        <v>0</v>
      </c>
      <c r="BB269" s="28">
        <f t="shared" si="133"/>
        <v>0</v>
      </c>
      <c r="BC269" s="28">
        <f t="shared" si="134"/>
        <v>0</v>
      </c>
      <c r="BD269" s="3439">
        <f t="shared" si="135"/>
        <v>0</v>
      </c>
      <c r="BE269" s="3439">
        <f t="shared" si="136"/>
        <v>0</v>
      </c>
      <c r="BF269" s="3439">
        <f t="shared" si="137"/>
        <v>0</v>
      </c>
      <c r="BG269" s="3439">
        <f t="shared" si="138"/>
        <v>0</v>
      </c>
      <c r="BH269" s="3439">
        <f t="shared" si="139"/>
        <v>0</v>
      </c>
      <c r="BI269" s="3439">
        <f t="shared" si="140"/>
        <v>0</v>
      </c>
      <c r="BJ269" s="3439">
        <f t="shared" si="141"/>
        <v>0</v>
      </c>
      <c r="BK269" s="3439">
        <f t="shared" si="142"/>
        <v>0</v>
      </c>
      <c r="BL269" s="28">
        <f t="shared" si="143"/>
        <v>0</v>
      </c>
      <c r="BM269" s="28">
        <f t="shared" si="144"/>
        <v>0</v>
      </c>
      <c r="BN269" s="28">
        <f t="shared" si="145"/>
        <v>0</v>
      </c>
      <c r="BO269" s="28">
        <f t="shared" si="146"/>
        <v>0</v>
      </c>
      <c r="BP269" s="28">
        <f t="shared" si="147"/>
        <v>0</v>
      </c>
      <c r="BQ269" s="3439">
        <f t="shared" si="148"/>
        <v>0</v>
      </c>
      <c r="BR269" s="3439">
        <f t="shared" si="149"/>
        <v>0</v>
      </c>
      <c r="BS269" s="3439">
        <f t="shared" si="150"/>
        <v>0</v>
      </c>
      <c r="BT269" s="3451">
        <f t="shared" si="151"/>
        <v>0</v>
      </c>
    </row>
    <row r="270" spans="1:72">
      <c r="A270" s="9"/>
      <c r="B270" s="27"/>
      <c r="C270" s="27"/>
      <c r="D270" s="1678"/>
      <c r="E270" s="28">
        <f t="shared" si="123"/>
        <v>0</v>
      </c>
      <c r="F270" s="29"/>
      <c r="G270" s="30">
        <f t="shared" si="124"/>
        <v>0</v>
      </c>
      <c r="H270" s="31">
        <f t="shared" si="125"/>
        <v>0</v>
      </c>
      <c r="I270" s="32"/>
      <c r="J270" s="32"/>
      <c r="K270" s="32"/>
      <c r="L270" s="32"/>
      <c r="M270" s="32"/>
      <c r="N270" s="32"/>
      <c r="O270" s="32"/>
      <c r="P270" s="32"/>
      <c r="Q270" s="32"/>
      <c r="R270" s="32"/>
      <c r="S270" s="32"/>
      <c r="T270" s="32"/>
      <c r="U270" s="32"/>
      <c r="V270" s="32"/>
      <c r="W270" s="32"/>
      <c r="X270" s="32"/>
      <c r="Y270" s="32"/>
      <c r="Z270" s="32"/>
      <c r="AA270" s="32"/>
      <c r="AB270" s="32"/>
      <c r="AC270" s="28">
        <f t="shared" si="126"/>
        <v>0</v>
      </c>
      <c r="AD270" s="33"/>
      <c r="AE270" s="33"/>
      <c r="AF270" s="33"/>
      <c r="AG270" s="33"/>
      <c r="AH270" s="33"/>
      <c r="AI270" s="33"/>
      <c r="AJ270" s="33"/>
      <c r="AK270" s="33"/>
      <c r="AL270" s="33"/>
      <c r="AM270" s="33"/>
      <c r="AN270" s="33"/>
      <c r="AO270" s="33"/>
      <c r="AP270" s="33"/>
      <c r="AQ270" s="33"/>
      <c r="AR270" s="33"/>
      <c r="AS270" s="33"/>
      <c r="AT270" s="34"/>
      <c r="AU270" s="1679"/>
      <c r="AV270" s="2256">
        <f t="shared" si="127"/>
        <v>0</v>
      </c>
      <c r="AW270" s="2256">
        <f t="shared" si="128"/>
        <v>0</v>
      </c>
      <c r="AX270" s="2256">
        <f t="shared" si="129"/>
        <v>0</v>
      </c>
      <c r="AY270" s="2781">
        <f t="shared" si="130"/>
        <v>0</v>
      </c>
      <c r="AZ270" s="28">
        <f t="shared" si="131"/>
        <v>0</v>
      </c>
      <c r="BA270" s="28">
        <f t="shared" si="132"/>
        <v>0</v>
      </c>
      <c r="BB270" s="28">
        <f t="shared" si="133"/>
        <v>0</v>
      </c>
      <c r="BC270" s="28">
        <f t="shared" si="134"/>
        <v>0</v>
      </c>
      <c r="BD270" s="3439">
        <f t="shared" si="135"/>
        <v>0</v>
      </c>
      <c r="BE270" s="3439">
        <f t="shared" si="136"/>
        <v>0</v>
      </c>
      <c r="BF270" s="3439">
        <f t="shared" si="137"/>
        <v>0</v>
      </c>
      <c r="BG270" s="3439">
        <f t="shared" si="138"/>
        <v>0</v>
      </c>
      <c r="BH270" s="3439">
        <f t="shared" si="139"/>
        <v>0</v>
      </c>
      <c r="BI270" s="3439">
        <f t="shared" si="140"/>
        <v>0</v>
      </c>
      <c r="BJ270" s="3439">
        <f t="shared" si="141"/>
        <v>0</v>
      </c>
      <c r="BK270" s="3439">
        <f t="shared" si="142"/>
        <v>0</v>
      </c>
      <c r="BL270" s="28">
        <f t="shared" si="143"/>
        <v>0</v>
      </c>
      <c r="BM270" s="28">
        <f t="shared" si="144"/>
        <v>0</v>
      </c>
      <c r="BN270" s="28">
        <f t="shared" si="145"/>
        <v>0</v>
      </c>
      <c r="BO270" s="28">
        <f t="shared" si="146"/>
        <v>0</v>
      </c>
      <c r="BP270" s="28">
        <f t="shared" si="147"/>
        <v>0</v>
      </c>
      <c r="BQ270" s="3439">
        <f t="shared" si="148"/>
        <v>0</v>
      </c>
      <c r="BR270" s="3439">
        <f t="shared" si="149"/>
        <v>0</v>
      </c>
      <c r="BS270" s="3439">
        <f t="shared" si="150"/>
        <v>0</v>
      </c>
      <c r="BT270" s="3451">
        <f t="shared" si="151"/>
        <v>0</v>
      </c>
    </row>
    <row r="271" spans="1:72">
      <c r="A271" s="9"/>
      <c r="B271" s="27"/>
      <c r="C271" s="27"/>
      <c r="D271" s="1678"/>
      <c r="E271" s="28">
        <f t="shared" si="123"/>
        <v>0</v>
      </c>
      <c r="F271" s="29"/>
      <c r="G271" s="30">
        <f t="shared" si="124"/>
        <v>0</v>
      </c>
      <c r="H271" s="31">
        <f t="shared" si="125"/>
        <v>0</v>
      </c>
      <c r="I271" s="32"/>
      <c r="J271" s="32"/>
      <c r="K271" s="32"/>
      <c r="L271" s="32"/>
      <c r="M271" s="32"/>
      <c r="N271" s="32"/>
      <c r="O271" s="32"/>
      <c r="P271" s="32"/>
      <c r="Q271" s="32"/>
      <c r="R271" s="32"/>
      <c r="S271" s="32"/>
      <c r="T271" s="32"/>
      <c r="U271" s="32"/>
      <c r="V271" s="32"/>
      <c r="W271" s="32"/>
      <c r="X271" s="32"/>
      <c r="Y271" s="32"/>
      <c r="Z271" s="32"/>
      <c r="AA271" s="32"/>
      <c r="AB271" s="32"/>
      <c r="AC271" s="28">
        <f t="shared" si="126"/>
        <v>0</v>
      </c>
      <c r="AD271" s="33"/>
      <c r="AE271" s="33"/>
      <c r="AF271" s="33"/>
      <c r="AG271" s="33"/>
      <c r="AH271" s="33"/>
      <c r="AI271" s="33"/>
      <c r="AJ271" s="33"/>
      <c r="AK271" s="33"/>
      <c r="AL271" s="33"/>
      <c r="AM271" s="33"/>
      <c r="AN271" s="33"/>
      <c r="AO271" s="33"/>
      <c r="AP271" s="33"/>
      <c r="AQ271" s="33"/>
      <c r="AR271" s="33"/>
      <c r="AS271" s="33"/>
      <c r="AT271" s="34"/>
      <c r="AU271" s="1679"/>
      <c r="AV271" s="2256">
        <f t="shared" si="127"/>
        <v>0</v>
      </c>
      <c r="AW271" s="2256">
        <f t="shared" si="128"/>
        <v>0</v>
      </c>
      <c r="AX271" s="2256">
        <f t="shared" si="129"/>
        <v>0</v>
      </c>
      <c r="AY271" s="2781">
        <f t="shared" si="130"/>
        <v>0</v>
      </c>
      <c r="AZ271" s="28">
        <f t="shared" si="131"/>
        <v>0</v>
      </c>
      <c r="BA271" s="28">
        <f t="shared" si="132"/>
        <v>0</v>
      </c>
      <c r="BB271" s="28">
        <f t="shared" si="133"/>
        <v>0</v>
      </c>
      <c r="BC271" s="28">
        <f t="shared" si="134"/>
        <v>0</v>
      </c>
      <c r="BD271" s="3439">
        <f t="shared" si="135"/>
        <v>0</v>
      </c>
      <c r="BE271" s="3439">
        <f t="shared" si="136"/>
        <v>0</v>
      </c>
      <c r="BF271" s="3439">
        <f t="shared" si="137"/>
        <v>0</v>
      </c>
      <c r="BG271" s="3439">
        <f t="shared" si="138"/>
        <v>0</v>
      </c>
      <c r="BH271" s="3439">
        <f t="shared" si="139"/>
        <v>0</v>
      </c>
      <c r="BI271" s="3439">
        <f t="shared" si="140"/>
        <v>0</v>
      </c>
      <c r="BJ271" s="3439">
        <f t="shared" si="141"/>
        <v>0</v>
      </c>
      <c r="BK271" s="3439">
        <f t="shared" si="142"/>
        <v>0</v>
      </c>
      <c r="BL271" s="28">
        <f t="shared" si="143"/>
        <v>0</v>
      </c>
      <c r="BM271" s="28">
        <f t="shared" si="144"/>
        <v>0</v>
      </c>
      <c r="BN271" s="28">
        <f t="shared" si="145"/>
        <v>0</v>
      </c>
      <c r="BO271" s="28">
        <f t="shared" si="146"/>
        <v>0</v>
      </c>
      <c r="BP271" s="28">
        <f t="shared" si="147"/>
        <v>0</v>
      </c>
      <c r="BQ271" s="3439">
        <f t="shared" si="148"/>
        <v>0</v>
      </c>
      <c r="BR271" s="3439">
        <f t="shared" si="149"/>
        <v>0</v>
      </c>
      <c r="BS271" s="3439">
        <f t="shared" si="150"/>
        <v>0</v>
      </c>
      <c r="BT271" s="3451">
        <f t="shared" si="151"/>
        <v>0</v>
      </c>
    </row>
    <row r="272" spans="1:72">
      <c r="A272" s="9"/>
      <c r="B272" s="27"/>
      <c r="C272" s="27"/>
      <c r="D272" s="1678"/>
      <c r="E272" s="28">
        <f t="shared" si="123"/>
        <v>0</v>
      </c>
      <c r="F272" s="29"/>
      <c r="G272" s="30">
        <f t="shared" si="124"/>
        <v>0</v>
      </c>
      <c r="H272" s="31">
        <f t="shared" si="125"/>
        <v>0</v>
      </c>
      <c r="I272" s="32"/>
      <c r="J272" s="32"/>
      <c r="K272" s="32"/>
      <c r="L272" s="32"/>
      <c r="M272" s="32"/>
      <c r="N272" s="32"/>
      <c r="O272" s="32"/>
      <c r="P272" s="32"/>
      <c r="Q272" s="32"/>
      <c r="R272" s="32"/>
      <c r="S272" s="32"/>
      <c r="T272" s="32"/>
      <c r="U272" s="32"/>
      <c r="V272" s="32"/>
      <c r="W272" s="32"/>
      <c r="X272" s="32"/>
      <c r="Y272" s="32"/>
      <c r="Z272" s="32"/>
      <c r="AA272" s="32"/>
      <c r="AB272" s="32"/>
      <c r="AC272" s="28">
        <f t="shared" si="126"/>
        <v>0</v>
      </c>
      <c r="AD272" s="33"/>
      <c r="AE272" s="33"/>
      <c r="AF272" s="33"/>
      <c r="AG272" s="33"/>
      <c r="AH272" s="33"/>
      <c r="AI272" s="33"/>
      <c r="AJ272" s="33"/>
      <c r="AK272" s="33"/>
      <c r="AL272" s="33"/>
      <c r="AM272" s="33"/>
      <c r="AN272" s="33"/>
      <c r="AO272" s="33"/>
      <c r="AP272" s="33"/>
      <c r="AQ272" s="33"/>
      <c r="AR272" s="33"/>
      <c r="AS272" s="33"/>
      <c r="AT272" s="34"/>
      <c r="AU272" s="1679"/>
      <c r="AV272" s="2256">
        <f t="shared" si="127"/>
        <v>0</v>
      </c>
      <c r="AW272" s="2256">
        <f t="shared" si="128"/>
        <v>0</v>
      </c>
      <c r="AX272" s="2256">
        <f t="shared" si="129"/>
        <v>0</v>
      </c>
      <c r="AY272" s="2781">
        <f t="shared" si="130"/>
        <v>0</v>
      </c>
      <c r="AZ272" s="28">
        <f t="shared" si="131"/>
        <v>0</v>
      </c>
      <c r="BA272" s="28">
        <f t="shared" si="132"/>
        <v>0</v>
      </c>
      <c r="BB272" s="28">
        <f t="shared" si="133"/>
        <v>0</v>
      </c>
      <c r="BC272" s="28">
        <f t="shared" si="134"/>
        <v>0</v>
      </c>
      <c r="BD272" s="3439">
        <f t="shared" si="135"/>
        <v>0</v>
      </c>
      <c r="BE272" s="3439">
        <f t="shared" si="136"/>
        <v>0</v>
      </c>
      <c r="BF272" s="3439">
        <f t="shared" si="137"/>
        <v>0</v>
      </c>
      <c r="BG272" s="3439">
        <f t="shared" si="138"/>
        <v>0</v>
      </c>
      <c r="BH272" s="3439">
        <f t="shared" si="139"/>
        <v>0</v>
      </c>
      <c r="BI272" s="3439">
        <f t="shared" si="140"/>
        <v>0</v>
      </c>
      <c r="BJ272" s="3439">
        <f t="shared" si="141"/>
        <v>0</v>
      </c>
      <c r="BK272" s="3439">
        <f t="shared" si="142"/>
        <v>0</v>
      </c>
      <c r="BL272" s="28">
        <f t="shared" si="143"/>
        <v>0</v>
      </c>
      <c r="BM272" s="28">
        <f t="shared" si="144"/>
        <v>0</v>
      </c>
      <c r="BN272" s="28">
        <f t="shared" si="145"/>
        <v>0</v>
      </c>
      <c r="BO272" s="28">
        <f t="shared" si="146"/>
        <v>0</v>
      </c>
      <c r="BP272" s="28">
        <f t="shared" si="147"/>
        <v>0</v>
      </c>
      <c r="BQ272" s="3439">
        <f t="shared" si="148"/>
        <v>0</v>
      </c>
      <c r="BR272" s="3439">
        <f t="shared" si="149"/>
        <v>0</v>
      </c>
      <c r="BS272" s="3439">
        <f t="shared" si="150"/>
        <v>0</v>
      </c>
      <c r="BT272" s="3451">
        <f t="shared" si="151"/>
        <v>0</v>
      </c>
    </row>
    <row r="273" spans="1:72">
      <c r="A273" s="9"/>
      <c r="B273" s="27"/>
      <c r="C273" s="27"/>
      <c r="D273" s="1678"/>
      <c r="E273" s="28">
        <f t="shared" si="123"/>
        <v>0</v>
      </c>
      <c r="F273" s="29"/>
      <c r="G273" s="30">
        <f t="shared" si="124"/>
        <v>0</v>
      </c>
      <c r="H273" s="31">
        <f t="shared" si="125"/>
        <v>0</v>
      </c>
      <c r="I273" s="32"/>
      <c r="J273" s="32"/>
      <c r="K273" s="32"/>
      <c r="L273" s="32"/>
      <c r="M273" s="32"/>
      <c r="N273" s="32"/>
      <c r="O273" s="32"/>
      <c r="P273" s="32"/>
      <c r="Q273" s="32"/>
      <c r="R273" s="32"/>
      <c r="S273" s="32"/>
      <c r="T273" s="32"/>
      <c r="U273" s="32"/>
      <c r="V273" s="32"/>
      <c r="W273" s="32"/>
      <c r="X273" s="32"/>
      <c r="Y273" s="32"/>
      <c r="Z273" s="32"/>
      <c r="AA273" s="32"/>
      <c r="AB273" s="32"/>
      <c r="AC273" s="28">
        <f t="shared" si="126"/>
        <v>0</v>
      </c>
      <c r="AD273" s="33"/>
      <c r="AE273" s="33"/>
      <c r="AF273" s="33"/>
      <c r="AG273" s="33"/>
      <c r="AH273" s="33"/>
      <c r="AI273" s="33"/>
      <c r="AJ273" s="33"/>
      <c r="AK273" s="33"/>
      <c r="AL273" s="33"/>
      <c r="AM273" s="33"/>
      <c r="AN273" s="33"/>
      <c r="AO273" s="33"/>
      <c r="AP273" s="33"/>
      <c r="AQ273" s="33"/>
      <c r="AR273" s="33"/>
      <c r="AS273" s="33"/>
      <c r="AT273" s="34"/>
      <c r="AU273" s="1679"/>
      <c r="AV273" s="2256">
        <f t="shared" si="127"/>
        <v>0</v>
      </c>
      <c r="AW273" s="2256">
        <f t="shared" si="128"/>
        <v>0</v>
      </c>
      <c r="AX273" s="2256">
        <f t="shared" si="129"/>
        <v>0</v>
      </c>
      <c r="AY273" s="2781">
        <f t="shared" si="130"/>
        <v>0</v>
      </c>
      <c r="AZ273" s="28">
        <f t="shared" si="131"/>
        <v>0</v>
      </c>
      <c r="BA273" s="28">
        <f t="shared" si="132"/>
        <v>0</v>
      </c>
      <c r="BB273" s="28">
        <f t="shared" si="133"/>
        <v>0</v>
      </c>
      <c r="BC273" s="28">
        <f t="shared" si="134"/>
        <v>0</v>
      </c>
      <c r="BD273" s="3439">
        <f t="shared" si="135"/>
        <v>0</v>
      </c>
      <c r="BE273" s="3439">
        <f t="shared" si="136"/>
        <v>0</v>
      </c>
      <c r="BF273" s="3439">
        <f t="shared" si="137"/>
        <v>0</v>
      </c>
      <c r="BG273" s="3439">
        <f t="shared" si="138"/>
        <v>0</v>
      </c>
      <c r="BH273" s="3439">
        <f t="shared" si="139"/>
        <v>0</v>
      </c>
      <c r="BI273" s="3439">
        <f t="shared" si="140"/>
        <v>0</v>
      </c>
      <c r="BJ273" s="3439">
        <f t="shared" si="141"/>
        <v>0</v>
      </c>
      <c r="BK273" s="3439">
        <f t="shared" si="142"/>
        <v>0</v>
      </c>
      <c r="BL273" s="28">
        <f t="shared" si="143"/>
        <v>0</v>
      </c>
      <c r="BM273" s="28">
        <f t="shared" si="144"/>
        <v>0</v>
      </c>
      <c r="BN273" s="28">
        <f t="shared" si="145"/>
        <v>0</v>
      </c>
      <c r="BO273" s="28">
        <f t="shared" si="146"/>
        <v>0</v>
      </c>
      <c r="BP273" s="28">
        <f t="shared" si="147"/>
        <v>0</v>
      </c>
      <c r="BQ273" s="3439">
        <f t="shared" si="148"/>
        <v>0</v>
      </c>
      <c r="BR273" s="3439">
        <f t="shared" si="149"/>
        <v>0</v>
      </c>
      <c r="BS273" s="3439">
        <f t="shared" si="150"/>
        <v>0</v>
      </c>
      <c r="BT273" s="3451">
        <f t="shared" si="151"/>
        <v>0</v>
      </c>
    </row>
    <row r="274" spans="1:72">
      <c r="A274" s="9"/>
      <c r="B274" s="27"/>
      <c r="C274" s="27"/>
      <c r="D274" s="1678"/>
      <c r="E274" s="28">
        <f t="shared" si="123"/>
        <v>0</v>
      </c>
      <c r="F274" s="29"/>
      <c r="G274" s="30">
        <f t="shared" si="124"/>
        <v>0</v>
      </c>
      <c r="H274" s="31">
        <f t="shared" si="125"/>
        <v>0</v>
      </c>
      <c r="I274" s="32"/>
      <c r="J274" s="32"/>
      <c r="K274" s="32"/>
      <c r="L274" s="32"/>
      <c r="M274" s="32"/>
      <c r="N274" s="32"/>
      <c r="O274" s="32"/>
      <c r="P274" s="32"/>
      <c r="Q274" s="32"/>
      <c r="R274" s="32"/>
      <c r="S274" s="32"/>
      <c r="T274" s="32"/>
      <c r="U274" s="32"/>
      <c r="V274" s="32"/>
      <c r="W274" s="32"/>
      <c r="X274" s="32"/>
      <c r="Y274" s="32"/>
      <c r="Z274" s="32"/>
      <c r="AA274" s="32"/>
      <c r="AB274" s="32"/>
      <c r="AC274" s="28">
        <f t="shared" si="126"/>
        <v>0</v>
      </c>
      <c r="AD274" s="33"/>
      <c r="AE274" s="33"/>
      <c r="AF274" s="33"/>
      <c r="AG274" s="33"/>
      <c r="AH274" s="33"/>
      <c r="AI274" s="33"/>
      <c r="AJ274" s="33"/>
      <c r="AK274" s="33"/>
      <c r="AL274" s="33"/>
      <c r="AM274" s="33"/>
      <c r="AN274" s="33"/>
      <c r="AO274" s="33"/>
      <c r="AP274" s="33"/>
      <c r="AQ274" s="33"/>
      <c r="AR274" s="33"/>
      <c r="AS274" s="33"/>
      <c r="AT274" s="34"/>
      <c r="AU274" s="1679"/>
      <c r="AV274" s="2256">
        <f t="shared" si="127"/>
        <v>0</v>
      </c>
      <c r="AW274" s="2256">
        <f t="shared" si="128"/>
        <v>0</v>
      </c>
      <c r="AX274" s="2256">
        <f t="shared" si="129"/>
        <v>0</v>
      </c>
      <c r="AY274" s="2781">
        <f t="shared" si="130"/>
        <v>0</v>
      </c>
      <c r="AZ274" s="28">
        <f t="shared" si="131"/>
        <v>0</v>
      </c>
      <c r="BA274" s="28">
        <f t="shared" si="132"/>
        <v>0</v>
      </c>
      <c r="BB274" s="28">
        <f t="shared" si="133"/>
        <v>0</v>
      </c>
      <c r="BC274" s="28">
        <f t="shared" si="134"/>
        <v>0</v>
      </c>
      <c r="BD274" s="3439">
        <f t="shared" si="135"/>
        <v>0</v>
      </c>
      <c r="BE274" s="3439">
        <f t="shared" si="136"/>
        <v>0</v>
      </c>
      <c r="BF274" s="3439">
        <f t="shared" si="137"/>
        <v>0</v>
      </c>
      <c r="BG274" s="3439">
        <f t="shared" si="138"/>
        <v>0</v>
      </c>
      <c r="BH274" s="3439">
        <f t="shared" si="139"/>
        <v>0</v>
      </c>
      <c r="BI274" s="3439">
        <f t="shared" si="140"/>
        <v>0</v>
      </c>
      <c r="BJ274" s="3439">
        <f t="shared" si="141"/>
        <v>0</v>
      </c>
      <c r="BK274" s="3439">
        <f t="shared" si="142"/>
        <v>0</v>
      </c>
      <c r="BL274" s="28">
        <f t="shared" si="143"/>
        <v>0</v>
      </c>
      <c r="BM274" s="28">
        <f t="shared" si="144"/>
        <v>0</v>
      </c>
      <c r="BN274" s="28">
        <f t="shared" si="145"/>
        <v>0</v>
      </c>
      <c r="BO274" s="28">
        <f t="shared" si="146"/>
        <v>0</v>
      </c>
      <c r="BP274" s="28">
        <f t="shared" si="147"/>
        <v>0</v>
      </c>
      <c r="BQ274" s="3439">
        <f t="shared" si="148"/>
        <v>0</v>
      </c>
      <c r="BR274" s="3439">
        <f t="shared" si="149"/>
        <v>0</v>
      </c>
      <c r="BS274" s="3439">
        <f t="shared" si="150"/>
        <v>0</v>
      </c>
      <c r="BT274" s="3451">
        <f t="shared" si="151"/>
        <v>0</v>
      </c>
    </row>
    <row r="275" spans="1:72">
      <c r="A275" s="9"/>
      <c r="B275" s="27"/>
      <c r="C275" s="27"/>
      <c r="D275" s="1678"/>
      <c r="E275" s="28">
        <f t="shared" si="123"/>
        <v>0</v>
      </c>
      <c r="F275" s="29"/>
      <c r="G275" s="30">
        <f t="shared" si="124"/>
        <v>0</v>
      </c>
      <c r="H275" s="31">
        <f t="shared" si="125"/>
        <v>0</v>
      </c>
      <c r="I275" s="32"/>
      <c r="J275" s="32"/>
      <c r="K275" s="32"/>
      <c r="L275" s="32"/>
      <c r="M275" s="32"/>
      <c r="N275" s="32"/>
      <c r="O275" s="32"/>
      <c r="P275" s="32"/>
      <c r="Q275" s="32"/>
      <c r="R275" s="32"/>
      <c r="S275" s="32"/>
      <c r="T275" s="32"/>
      <c r="U275" s="32"/>
      <c r="V275" s="32"/>
      <c r="W275" s="32"/>
      <c r="X275" s="32"/>
      <c r="Y275" s="32"/>
      <c r="Z275" s="32"/>
      <c r="AA275" s="32"/>
      <c r="AB275" s="32"/>
      <c r="AC275" s="28">
        <f t="shared" si="126"/>
        <v>0</v>
      </c>
      <c r="AD275" s="33"/>
      <c r="AE275" s="33"/>
      <c r="AF275" s="33"/>
      <c r="AG275" s="33"/>
      <c r="AH275" s="33"/>
      <c r="AI275" s="33"/>
      <c r="AJ275" s="33"/>
      <c r="AK275" s="33"/>
      <c r="AL275" s="33"/>
      <c r="AM275" s="33"/>
      <c r="AN275" s="33"/>
      <c r="AO275" s="33"/>
      <c r="AP275" s="33"/>
      <c r="AQ275" s="33"/>
      <c r="AR275" s="33"/>
      <c r="AS275" s="33"/>
      <c r="AT275" s="34"/>
      <c r="AU275" s="1679"/>
      <c r="AV275" s="2256">
        <f t="shared" si="127"/>
        <v>0</v>
      </c>
      <c r="AW275" s="2256">
        <f t="shared" si="128"/>
        <v>0</v>
      </c>
      <c r="AX275" s="2256">
        <f t="shared" si="129"/>
        <v>0</v>
      </c>
      <c r="AY275" s="2781">
        <f t="shared" si="130"/>
        <v>0</v>
      </c>
      <c r="AZ275" s="28">
        <f t="shared" si="131"/>
        <v>0</v>
      </c>
      <c r="BA275" s="28">
        <f t="shared" si="132"/>
        <v>0</v>
      </c>
      <c r="BB275" s="28">
        <f t="shared" si="133"/>
        <v>0</v>
      </c>
      <c r="BC275" s="28">
        <f t="shared" si="134"/>
        <v>0</v>
      </c>
      <c r="BD275" s="3439">
        <f t="shared" si="135"/>
        <v>0</v>
      </c>
      <c r="BE275" s="3439">
        <f t="shared" si="136"/>
        <v>0</v>
      </c>
      <c r="BF275" s="3439">
        <f t="shared" si="137"/>
        <v>0</v>
      </c>
      <c r="BG275" s="3439">
        <f t="shared" si="138"/>
        <v>0</v>
      </c>
      <c r="BH275" s="3439">
        <f t="shared" si="139"/>
        <v>0</v>
      </c>
      <c r="BI275" s="3439">
        <f t="shared" si="140"/>
        <v>0</v>
      </c>
      <c r="BJ275" s="3439">
        <f t="shared" si="141"/>
        <v>0</v>
      </c>
      <c r="BK275" s="3439">
        <f t="shared" si="142"/>
        <v>0</v>
      </c>
      <c r="BL275" s="28">
        <f t="shared" si="143"/>
        <v>0</v>
      </c>
      <c r="BM275" s="28">
        <f t="shared" si="144"/>
        <v>0</v>
      </c>
      <c r="BN275" s="28">
        <f t="shared" si="145"/>
        <v>0</v>
      </c>
      <c r="BO275" s="28">
        <f t="shared" si="146"/>
        <v>0</v>
      </c>
      <c r="BP275" s="28">
        <f t="shared" si="147"/>
        <v>0</v>
      </c>
      <c r="BQ275" s="3439">
        <f t="shared" si="148"/>
        <v>0</v>
      </c>
      <c r="BR275" s="3439">
        <f t="shared" si="149"/>
        <v>0</v>
      </c>
      <c r="BS275" s="3439">
        <f t="shared" si="150"/>
        <v>0</v>
      </c>
      <c r="BT275" s="3451">
        <f t="shared" si="151"/>
        <v>0</v>
      </c>
    </row>
    <row r="276" spans="1:72">
      <c r="A276" s="9"/>
      <c r="B276" s="27"/>
      <c r="C276" s="27"/>
      <c r="D276" s="1678"/>
      <c r="E276" s="28">
        <f t="shared" si="123"/>
        <v>0</v>
      </c>
      <c r="F276" s="29"/>
      <c r="G276" s="30">
        <f t="shared" si="124"/>
        <v>0</v>
      </c>
      <c r="H276" s="31">
        <f t="shared" si="125"/>
        <v>0</v>
      </c>
      <c r="I276" s="32"/>
      <c r="J276" s="32"/>
      <c r="K276" s="32"/>
      <c r="L276" s="32"/>
      <c r="M276" s="32"/>
      <c r="N276" s="32"/>
      <c r="O276" s="32"/>
      <c r="P276" s="32"/>
      <c r="Q276" s="32"/>
      <c r="R276" s="32"/>
      <c r="S276" s="32"/>
      <c r="T276" s="32"/>
      <c r="U276" s="32"/>
      <c r="V276" s="32"/>
      <c r="W276" s="32"/>
      <c r="X276" s="32"/>
      <c r="Y276" s="32"/>
      <c r="Z276" s="32"/>
      <c r="AA276" s="32"/>
      <c r="AB276" s="32"/>
      <c r="AC276" s="28">
        <f t="shared" si="126"/>
        <v>0</v>
      </c>
      <c r="AD276" s="33"/>
      <c r="AE276" s="33"/>
      <c r="AF276" s="33"/>
      <c r="AG276" s="33"/>
      <c r="AH276" s="33"/>
      <c r="AI276" s="33"/>
      <c r="AJ276" s="33"/>
      <c r="AK276" s="33"/>
      <c r="AL276" s="33"/>
      <c r="AM276" s="33"/>
      <c r="AN276" s="33"/>
      <c r="AO276" s="33"/>
      <c r="AP276" s="33"/>
      <c r="AQ276" s="33"/>
      <c r="AR276" s="33"/>
      <c r="AS276" s="33"/>
      <c r="AT276" s="34"/>
      <c r="AU276" s="1679"/>
      <c r="AV276" s="2256">
        <f t="shared" si="127"/>
        <v>0</v>
      </c>
      <c r="AW276" s="2256">
        <f t="shared" si="128"/>
        <v>0</v>
      </c>
      <c r="AX276" s="2256">
        <f t="shared" si="129"/>
        <v>0</v>
      </c>
      <c r="AY276" s="2781">
        <f t="shared" si="130"/>
        <v>0</v>
      </c>
      <c r="AZ276" s="28">
        <f t="shared" si="131"/>
        <v>0</v>
      </c>
      <c r="BA276" s="28">
        <f t="shared" si="132"/>
        <v>0</v>
      </c>
      <c r="BB276" s="28">
        <f t="shared" si="133"/>
        <v>0</v>
      </c>
      <c r="BC276" s="28">
        <f t="shared" si="134"/>
        <v>0</v>
      </c>
      <c r="BD276" s="3439">
        <f t="shared" si="135"/>
        <v>0</v>
      </c>
      <c r="BE276" s="3439">
        <f t="shared" si="136"/>
        <v>0</v>
      </c>
      <c r="BF276" s="3439">
        <f t="shared" si="137"/>
        <v>0</v>
      </c>
      <c r="BG276" s="3439">
        <f t="shared" si="138"/>
        <v>0</v>
      </c>
      <c r="BH276" s="3439">
        <f t="shared" si="139"/>
        <v>0</v>
      </c>
      <c r="BI276" s="3439">
        <f t="shared" si="140"/>
        <v>0</v>
      </c>
      <c r="BJ276" s="3439">
        <f t="shared" si="141"/>
        <v>0</v>
      </c>
      <c r="BK276" s="3439">
        <f t="shared" si="142"/>
        <v>0</v>
      </c>
      <c r="BL276" s="28">
        <f t="shared" si="143"/>
        <v>0</v>
      </c>
      <c r="BM276" s="28">
        <f t="shared" si="144"/>
        <v>0</v>
      </c>
      <c r="BN276" s="28">
        <f t="shared" si="145"/>
        <v>0</v>
      </c>
      <c r="BO276" s="28">
        <f t="shared" si="146"/>
        <v>0</v>
      </c>
      <c r="BP276" s="28">
        <f t="shared" si="147"/>
        <v>0</v>
      </c>
      <c r="BQ276" s="3439">
        <f t="shared" si="148"/>
        <v>0</v>
      </c>
      <c r="BR276" s="3439">
        <f t="shared" si="149"/>
        <v>0</v>
      </c>
      <c r="BS276" s="3439">
        <f t="shared" si="150"/>
        <v>0</v>
      </c>
      <c r="BT276" s="3451">
        <f t="shared" si="151"/>
        <v>0</v>
      </c>
    </row>
    <row r="277" spans="1:72">
      <c r="A277" s="9"/>
      <c r="B277" s="27"/>
      <c r="C277" s="27"/>
      <c r="D277" s="1678"/>
      <c r="E277" s="28">
        <f t="shared" si="123"/>
        <v>0</v>
      </c>
      <c r="F277" s="29"/>
      <c r="G277" s="30">
        <f t="shared" si="124"/>
        <v>0</v>
      </c>
      <c r="H277" s="31">
        <f t="shared" si="125"/>
        <v>0</v>
      </c>
      <c r="I277" s="32"/>
      <c r="J277" s="32"/>
      <c r="K277" s="32"/>
      <c r="L277" s="32"/>
      <c r="M277" s="32"/>
      <c r="N277" s="32"/>
      <c r="O277" s="32"/>
      <c r="P277" s="32"/>
      <c r="Q277" s="32"/>
      <c r="R277" s="32"/>
      <c r="S277" s="32"/>
      <c r="T277" s="32"/>
      <c r="U277" s="32"/>
      <c r="V277" s="32"/>
      <c r="W277" s="32"/>
      <c r="X277" s="32"/>
      <c r="Y277" s="32"/>
      <c r="Z277" s="32"/>
      <c r="AA277" s="32"/>
      <c r="AB277" s="32"/>
      <c r="AC277" s="28">
        <f t="shared" si="126"/>
        <v>0</v>
      </c>
      <c r="AD277" s="33"/>
      <c r="AE277" s="33"/>
      <c r="AF277" s="33"/>
      <c r="AG277" s="33"/>
      <c r="AH277" s="33"/>
      <c r="AI277" s="33"/>
      <c r="AJ277" s="33"/>
      <c r="AK277" s="33"/>
      <c r="AL277" s="33"/>
      <c r="AM277" s="33"/>
      <c r="AN277" s="33"/>
      <c r="AO277" s="33"/>
      <c r="AP277" s="33"/>
      <c r="AQ277" s="33"/>
      <c r="AR277" s="33"/>
      <c r="AS277" s="33"/>
      <c r="AT277" s="34"/>
      <c r="AU277" s="1679"/>
      <c r="AV277" s="2256">
        <f t="shared" si="127"/>
        <v>0</v>
      </c>
      <c r="AW277" s="2256">
        <f t="shared" si="128"/>
        <v>0</v>
      </c>
      <c r="AX277" s="2256">
        <f t="shared" si="129"/>
        <v>0</v>
      </c>
      <c r="AY277" s="2781">
        <f t="shared" si="130"/>
        <v>0</v>
      </c>
      <c r="AZ277" s="28">
        <f t="shared" si="131"/>
        <v>0</v>
      </c>
      <c r="BA277" s="28">
        <f t="shared" si="132"/>
        <v>0</v>
      </c>
      <c r="BB277" s="28">
        <f t="shared" si="133"/>
        <v>0</v>
      </c>
      <c r="BC277" s="28">
        <f t="shared" si="134"/>
        <v>0</v>
      </c>
      <c r="BD277" s="3439">
        <f t="shared" si="135"/>
        <v>0</v>
      </c>
      <c r="BE277" s="3439">
        <f t="shared" si="136"/>
        <v>0</v>
      </c>
      <c r="BF277" s="3439">
        <f t="shared" si="137"/>
        <v>0</v>
      </c>
      <c r="BG277" s="3439">
        <f t="shared" si="138"/>
        <v>0</v>
      </c>
      <c r="BH277" s="3439">
        <f t="shared" si="139"/>
        <v>0</v>
      </c>
      <c r="BI277" s="3439">
        <f t="shared" si="140"/>
        <v>0</v>
      </c>
      <c r="BJ277" s="3439">
        <f t="shared" si="141"/>
        <v>0</v>
      </c>
      <c r="BK277" s="3439">
        <f t="shared" si="142"/>
        <v>0</v>
      </c>
      <c r="BL277" s="28">
        <f t="shared" si="143"/>
        <v>0</v>
      </c>
      <c r="BM277" s="28">
        <f t="shared" si="144"/>
        <v>0</v>
      </c>
      <c r="BN277" s="28">
        <f t="shared" si="145"/>
        <v>0</v>
      </c>
      <c r="BO277" s="28">
        <f t="shared" si="146"/>
        <v>0</v>
      </c>
      <c r="BP277" s="28">
        <f t="shared" si="147"/>
        <v>0</v>
      </c>
      <c r="BQ277" s="3439">
        <f t="shared" si="148"/>
        <v>0</v>
      </c>
      <c r="BR277" s="3439">
        <f t="shared" si="149"/>
        <v>0</v>
      </c>
      <c r="BS277" s="3439">
        <f t="shared" si="150"/>
        <v>0</v>
      </c>
      <c r="BT277" s="3451">
        <f t="shared" si="151"/>
        <v>0</v>
      </c>
    </row>
    <row r="278" spans="1:72">
      <c r="A278" s="9"/>
      <c r="B278" s="27"/>
      <c r="C278" s="27"/>
      <c r="D278" s="1678"/>
      <c r="E278" s="28">
        <f t="shared" si="123"/>
        <v>0</v>
      </c>
      <c r="F278" s="29"/>
      <c r="G278" s="30">
        <f t="shared" si="124"/>
        <v>0</v>
      </c>
      <c r="H278" s="31">
        <f t="shared" si="125"/>
        <v>0</v>
      </c>
      <c r="I278" s="32"/>
      <c r="J278" s="32"/>
      <c r="K278" s="32"/>
      <c r="L278" s="32"/>
      <c r="M278" s="32"/>
      <c r="N278" s="32"/>
      <c r="O278" s="32"/>
      <c r="P278" s="32"/>
      <c r="Q278" s="32"/>
      <c r="R278" s="32"/>
      <c r="S278" s="32"/>
      <c r="T278" s="32"/>
      <c r="U278" s="32"/>
      <c r="V278" s="32"/>
      <c r="W278" s="32"/>
      <c r="X278" s="32"/>
      <c r="Y278" s="32"/>
      <c r="Z278" s="32"/>
      <c r="AA278" s="32"/>
      <c r="AB278" s="32"/>
      <c r="AC278" s="28">
        <f t="shared" si="126"/>
        <v>0</v>
      </c>
      <c r="AD278" s="33"/>
      <c r="AE278" s="33"/>
      <c r="AF278" s="33"/>
      <c r="AG278" s="33"/>
      <c r="AH278" s="33"/>
      <c r="AI278" s="33"/>
      <c r="AJ278" s="33"/>
      <c r="AK278" s="33"/>
      <c r="AL278" s="33"/>
      <c r="AM278" s="33"/>
      <c r="AN278" s="33"/>
      <c r="AO278" s="33"/>
      <c r="AP278" s="33"/>
      <c r="AQ278" s="33"/>
      <c r="AR278" s="33"/>
      <c r="AS278" s="33"/>
      <c r="AT278" s="34"/>
      <c r="AU278" s="1679"/>
      <c r="AV278" s="2256">
        <f t="shared" si="127"/>
        <v>0</v>
      </c>
      <c r="AW278" s="2256">
        <f t="shared" si="128"/>
        <v>0</v>
      </c>
      <c r="AX278" s="2256">
        <f t="shared" si="129"/>
        <v>0</v>
      </c>
      <c r="AY278" s="2781">
        <f t="shared" si="130"/>
        <v>0</v>
      </c>
      <c r="AZ278" s="28">
        <f t="shared" si="131"/>
        <v>0</v>
      </c>
      <c r="BA278" s="28">
        <f t="shared" si="132"/>
        <v>0</v>
      </c>
      <c r="BB278" s="28">
        <f t="shared" si="133"/>
        <v>0</v>
      </c>
      <c r="BC278" s="28">
        <f t="shared" si="134"/>
        <v>0</v>
      </c>
      <c r="BD278" s="3439">
        <f t="shared" si="135"/>
        <v>0</v>
      </c>
      <c r="BE278" s="3439">
        <f t="shared" si="136"/>
        <v>0</v>
      </c>
      <c r="BF278" s="3439">
        <f t="shared" si="137"/>
        <v>0</v>
      </c>
      <c r="BG278" s="3439">
        <f t="shared" si="138"/>
        <v>0</v>
      </c>
      <c r="BH278" s="3439">
        <f t="shared" si="139"/>
        <v>0</v>
      </c>
      <c r="BI278" s="3439">
        <f t="shared" si="140"/>
        <v>0</v>
      </c>
      <c r="BJ278" s="3439">
        <f t="shared" si="141"/>
        <v>0</v>
      </c>
      <c r="BK278" s="3439">
        <f t="shared" si="142"/>
        <v>0</v>
      </c>
      <c r="BL278" s="28">
        <f t="shared" si="143"/>
        <v>0</v>
      </c>
      <c r="BM278" s="28">
        <f t="shared" si="144"/>
        <v>0</v>
      </c>
      <c r="BN278" s="28">
        <f t="shared" si="145"/>
        <v>0</v>
      </c>
      <c r="BO278" s="28">
        <f t="shared" si="146"/>
        <v>0</v>
      </c>
      <c r="BP278" s="28">
        <f t="shared" si="147"/>
        <v>0</v>
      </c>
      <c r="BQ278" s="3439">
        <f t="shared" si="148"/>
        <v>0</v>
      </c>
      <c r="BR278" s="3439">
        <f t="shared" si="149"/>
        <v>0</v>
      </c>
      <c r="BS278" s="3439">
        <f t="shared" si="150"/>
        <v>0</v>
      </c>
      <c r="BT278" s="3451">
        <f t="shared" si="151"/>
        <v>0</v>
      </c>
    </row>
    <row r="279" spans="1:72">
      <c r="A279" s="9"/>
      <c r="B279" s="27"/>
      <c r="C279" s="27"/>
      <c r="D279" s="1678"/>
      <c r="E279" s="28">
        <f t="shared" si="123"/>
        <v>0</v>
      </c>
      <c r="F279" s="29"/>
      <c r="G279" s="30">
        <f t="shared" si="124"/>
        <v>0</v>
      </c>
      <c r="H279" s="31">
        <f t="shared" si="125"/>
        <v>0</v>
      </c>
      <c r="I279" s="32"/>
      <c r="J279" s="32"/>
      <c r="K279" s="32"/>
      <c r="L279" s="32"/>
      <c r="M279" s="32"/>
      <c r="N279" s="32"/>
      <c r="O279" s="32"/>
      <c r="P279" s="32"/>
      <c r="Q279" s="32"/>
      <c r="R279" s="32"/>
      <c r="S279" s="32"/>
      <c r="T279" s="32"/>
      <c r="U279" s="32"/>
      <c r="V279" s="32"/>
      <c r="W279" s="32"/>
      <c r="X279" s="32"/>
      <c r="Y279" s="32"/>
      <c r="Z279" s="32"/>
      <c r="AA279" s="32"/>
      <c r="AB279" s="32"/>
      <c r="AC279" s="28">
        <f t="shared" si="126"/>
        <v>0</v>
      </c>
      <c r="AD279" s="33"/>
      <c r="AE279" s="33"/>
      <c r="AF279" s="33"/>
      <c r="AG279" s="33"/>
      <c r="AH279" s="33"/>
      <c r="AI279" s="33"/>
      <c r="AJ279" s="33"/>
      <c r="AK279" s="33"/>
      <c r="AL279" s="33"/>
      <c r="AM279" s="33"/>
      <c r="AN279" s="33"/>
      <c r="AO279" s="33"/>
      <c r="AP279" s="33"/>
      <c r="AQ279" s="33"/>
      <c r="AR279" s="33"/>
      <c r="AS279" s="33"/>
      <c r="AT279" s="34"/>
      <c r="AU279" s="1679"/>
      <c r="AV279" s="2256">
        <f t="shared" si="127"/>
        <v>0</v>
      </c>
      <c r="AW279" s="2256">
        <f t="shared" si="128"/>
        <v>0</v>
      </c>
      <c r="AX279" s="2256">
        <f t="shared" si="129"/>
        <v>0</v>
      </c>
      <c r="AY279" s="2781">
        <f t="shared" si="130"/>
        <v>0</v>
      </c>
      <c r="AZ279" s="28">
        <f t="shared" si="131"/>
        <v>0</v>
      </c>
      <c r="BA279" s="28">
        <f t="shared" si="132"/>
        <v>0</v>
      </c>
      <c r="BB279" s="28">
        <f t="shared" si="133"/>
        <v>0</v>
      </c>
      <c r="BC279" s="28">
        <f t="shared" si="134"/>
        <v>0</v>
      </c>
      <c r="BD279" s="3439">
        <f t="shared" si="135"/>
        <v>0</v>
      </c>
      <c r="BE279" s="3439">
        <f t="shared" si="136"/>
        <v>0</v>
      </c>
      <c r="BF279" s="3439">
        <f t="shared" si="137"/>
        <v>0</v>
      </c>
      <c r="BG279" s="3439">
        <f t="shared" si="138"/>
        <v>0</v>
      </c>
      <c r="BH279" s="3439">
        <f t="shared" si="139"/>
        <v>0</v>
      </c>
      <c r="BI279" s="3439">
        <f t="shared" si="140"/>
        <v>0</v>
      </c>
      <c r="BJ279" s="3439">
        <f t="shared" si="141"/>
        <v>0</v>
      </c>
      <c r="BK279" s="3439">
        <f t="shared" si="142"/>
        <v>0</v>
      </c>
      <c r="BL279" s="28">
        <f t="shared" si="143"/>
        <v>0</v>
      </c>
      <c r="BM279" s="28">
        <f t="shared" si="144"/>
        <v>0</v>
      </c>
      <c r="BN279" s="28">
        <f t="shared" si="145"/>
        <v>0</v>
      </c>
      <c r="BO279" s="28">
        <f t="shared" si="146"/>
        <v>0</v>
      </c>
      <c r="BP279" s="28">
        <f t="shared" si="147"/>
        <v>0</v>
      </c>
      <c r="BQ279" s="3439">
        <f t="shared" si="148"/>
        <v>0</v>
      </c>
      <c r="BR279" s="3439">
        <f t="shared" si="149"/>
        <v>0</v>
      </c>
      <c r="BS279" s="3439">
        <f t="shared" si="150"/>
        <v>0</v>
      </c>
      <c r="BT279" s="3451">
        <f t="shared" si="151"/>
        <v>0</v>
      </c>
    </row>
    <row r="280" spans="1:72">
      <c r="A280" s="9"/>
      <c r="B280" s="27"/>
      <c r="C280" s="27"/>
      <c r="D280" s="1678"/>
      <c r="E280" s="28">
        <f t="shared" si="123"/>
        <v>0</v>
      </c>
      <c r="F280" s="29"/>
      <c r="G280" s="30">
        <f t="shared" si="124"/>
        <v>0</v>
      </c>
      <c r="H280" s="31">
        <f t="shared" si="125"/>
        <v>0</v>
      </c>
      <c r="I280" s="32"/>
      <c r="J280" s="32"/>
      <c r="K280" s="32"/>
      <c r="L280" s="32"/>
      <c r="M280" s="32"/>
      <c r="N280" s="32"/>
      <c r="O280" s="32"/>
      <c r="P280" s="32"/>
      <c r="Q280" s="32"/>
      <c r="R280" s="32"/>
      <c r="S280" s="32"/>
      <c r="T280" s="32"/>
      <c r="U280" s="32"/>
      <c r="V280" s="32"/>
      <c r="W280" s="32"/>
      <c r="X280" s="32"/>
      <c r="Y280" s="32"/>
      <c r="Z280" s="32"/>
      <c r="AA280" s="32"/>
      <c r="AB280" s="32"/>
      <c r="AC280" s="28">
        <f t="shared" si="126"/>
        <v>0</v>
      </c>
      <c r="AD280" s="33"/>
      <c r="AE280" s="33"/>
      <c r="AF280" s="33"/>
      <c r="AG280" s="33"/>
      <c r="AH280" s="33"/>
      <c r="AI280" s="33"/>
      <c r="AJ280" s="33"/>
      <c r="AK280" s="33"/>
      <c r="AL280" s="33"/>
      <c r="AM280" s="33"/>
      <c r="AN280" s="33"/>
      <c r="AO280" s="33"/>
      <c r="AP280" s="33"/>
      <c r="AQ280" s="33"/>
      <c r="AR280" s="33"/>
      <c r="AS280" s="33"/>
      <c r="AT280" s="34"/>
      <c r="AU280" s="1679"/>
      <c r="AV280" s="2256">
        <f t="shared" si="127"/>
        <v>0</v>
      </c>
      <c r="AW280" s="2256">
        <f t="shared" si="128"/>
        <v>0</v>
      </c>
      <c r="AX280" s="2256">
        <f t="shared" si="129"/>
        <v>0</v>
      </c>
      <c r="AY280" s="2781">
        <f t="shared" si="130"/>
        <v>0</v>
      </c>
      <c r="AZ280" s="28">
        <f t="shared" si="131"/>
        <v>0</v>
      </c>
      <c r="BA280" s="28">
        <f t="shared" si="132"/>
        <v>0</v>
      </c>
      <c r="BB280" s="28">
        <f t="shared" si="133"/>
        <v>0</v>
      </c>
      <c r="BC280" s="28">
        <f t="shared" si="134"/>
        <v>0</v>
      </c>
      <c r="BD280" s="3439">
        <f t="shared" si="135"/>
        <v>0</v>
      </c>
      <c r="BE280" s="3439">
        <f t="shared" si="136"/>
        <v>0</v>
      </c>
      <c r="BF280" s="3439">
        <f t="shared" si="137"/>
        <v>0</v>
      </c>
      <c r="BG280" s="3439">
        <f t="shared" si="138"/>
        <v>0</v>
      </c>
      <c r="BH280" s="3439">
        <f t="shared" si="139"/>
        <v>0</v>
      </c>
      <c r="BI280" s="3439">
        <f t="shared" si="140"/>
        <v>0</v>
      </c>
      <c r="BJ280" s="3439">
        <f t="shared" si="141"/>
        <v>0</v>
      </c>
      <c r="BK280" s="3439">
        <f t="shared" si="142"/>
        <v>0</v>
      </c>
      <c r="BL280" s="28">
        <f t="shared" si="143"/>
        <v>0</v>
      </c>
      <c r="BM280" s="28">
        <f t="shared" si="144"/>
        <v>0</v>
      </c>
      <c r="BN280" s="28">
        <f t="shared" si="145"/>
        <v>0</v>
      </c>
      <c r="BO280" s="28">
        <f t="shared" si="146"/>
        <v>0</v>
      </c>
      <c r="BP280" s="28">
        <f t="shared" si="147"/>
        <v>0</v>
      </c>
      <c r="BQ280" s="3439">
        <f t="shared" si="148"/>
        <v>0</v>
      </c>
      <c r="BR280" s="3439">
        <f t="shared" si="149"/>
        <v>0</v>
      </c>
      <c r="BS280" s="3439">
        <f t="shared" si="150"/>
        <v>0</v>
      </c>
      <c r="BT280" s="3451">
        <f t="shared" si="151"/>
        <v>0</v>
      </c>
    </row>
    <row r="281" spans="1:72">
      <c r="A281" s="9"/>
      <c r="B281" s="27"/>
      <c r="C281" s="27"/>
      <c r="D281" s="1678"/>
      <c r="E281" s="28">
        <f t="shared" si="123"/>
        <v>0</v>
      </c>
      <c r="F281" s="29"/>
      <c r="G281" s="30">
        <f t="shared" si="124"/>
        <v>0</v>
      </c>
      <c r="H281" s="31">
        <f t="shared" si="125"/>
        <v>0</v>
      </c>
      <c r="I281" s="32"/>
      <c r="J281" s="32"/>
      <c r="K281" s="32"/>
      <c r="L281" s="32"/>
      <c r="M281" s="32"/>
      <c r="N281" s="32"/>
      <c r="O281" s="32"/>
      <c r="P281" s="32"/>
      <c r="Q281" s="32"/>
      <c r="R281" s="32"/>
      <c r="S281" s="32"/>
      <c r="T281" s="32"/>
      <c r="U281" s="32"/>
      <c r="V281" s="32"/>
      <c r="W281" s="32"/>
      <c r="X281" s="32"/>
      <c r="Y281" s="32"/>
      <c r="Z281" s="32"/>
      <c r="AA281" s="32"/>
      <c r="AB281" s="32"/>
      <c r="AC281" s="28">
        <f t="shared" si="126"/>
        <v>0</v>
      </c>
      <c r="AD281" s="33"/>
      <c r="AE281" s="33"/>
      <c r="AF281" s="33"/>
      <c r="AG281" s="33"/>
      <c r="AH281" s="33"/>
      <c r="AI281" s="33"/>
      <c r="AJ281" s="33"/>
      <c r="AK281" s="33"/>
      <c r="AL281" s="33"/>
      <c r="AM281" s="33"/>
      <c r="AN281" s="33"/>
      <c r="AO281" s="33"/>
      <c r="AP281" s="33"/>
      <c r="AQ281" s="33"/>
      <c r="AR281" s="33"/>
      <c r="AS281" s="33"/>
      <c r="AT281" s="34"/>
      <c r="AU281" s="1679"/>
      <c r="AV281" s="2256">
        <f t="shared" si="127"/>
        <v>0</v>
      </c>
      <c r="AW281" s="2256">
        <f t="shared" si="128"/>
        <v>0</v>
      </c>
      <c r="AX281" s="2256">
        <f t="shared" si="129"/>
        <v>0</v>
      </c>
      <c r="AY281" s="2781">
        <f t="shared" si="130"/>
        <v>0</v>
      </c>
      <c r="AZ281" s="28">
        <f t="shared" si="131"/>
        <v>0</v>
      </c>
      <c r="BA281" s="28">
        <f t="shared" si="132"/>
        <v>0</v>
      </c>
      <c r="BB281" s="28">
        <f t="shared" si="133"/>
        <v>0</v>
      </c>
      <c r="BC281" s="28">
        <f t="shared" si="134"/>
        <v>0</v>
      </c>
      <c r="BD281" s="3439">
        <f t="shared" si="135"/>
        <v>0</v>
      </c>
      <c r="BE281" s="3439">
        <f t="shared" si="136"/>
        <v>0</v>
      </c>
      <c r="BF281" s="3439">
        <f t="shared" si="137"/>
        <v>0</v>
      </c>
      <c r="BG281" s="3439">
        <f t="shared" si="138"/>
        <v>0</v>
      </c>
      <c r="BH281" s="3439">
        <f t="shared" si="139"/>
        <v>0</v>
      </c>
      <c r="BI281" s="3439">
        <f t="shared" si="140"/>
        <v>0</v>
      </c>
      <c r="BJ281" s="3439">
        <f t="shared" si="141"/>
        <v>0</v>
      </c>
      <c r="BK281" s="3439">
        <f t="shared" si="142"/>
        <v>0</v>
      </c>
      <c r="BL281" s="28">
        <f t="shared" si="143"/>
        <v>0</v>
      </c>
      <c r="BM281" s="28">
        <f t="shared" si="144"/>
        <v>0</v>
      </c>
      <c r="BN281" s="28">
        <f t="shared" si="145"/>
        <v>0</v>
      </c>
      <c r="BO281" s="28">
        <f t="shared" si="146"/>
        <v>0</v>
      </c>
      <c r="BP281" s="28">
        <f t="shared" si="147"/>
        <v>0</v>
      </c>
      <c r="BQ281" s="3439">
        <f t="shared" si="148"/>
        <v>0</v>
      </c>
      <c r="BR281" s="3439">
        <f t="shared" si="149"/>
        <v>0</v>
      </c>
      <c r="BS281" s="3439">
        <f t="shared" si="150"/>
        <v>0</v>
      </c>
      <c r="BT281" s="3451">
        <f t="shared" si="151"/>
        <v>0</v>
      </c>
    </row>
    <row r="282" spans="1:72">
      <c r="A282" s="9"/>
      <c r="B282" s="27"/>
      <c r="C282" s="27"/>
      <c r="D282" s="1678"/>
      <c r="E282" s="28">
        <f t="shared" si="123"/>
        <v>0</v>
      </c>
      <c r="F282" s="29"/>
      <c r="G282" s="30">
        <f t="shared" si="124"/>
        <v>0</v>
      </c>
      <c r="H282" s="31">
        <f t="shared" si="125"/>
        <v>0</v>
      </c>
      <c r="I282" s="32"/>
      <c r="J282" s="32"/>
      <c r="K282" s="32"/>
      <c r="L282" s="32"/>
      <c r="M282" s="32"/>
      <c r="N282" s="32"/>
      <c r="O282" s="32"/>
      <c r="P282" s="32"/>
      <c r="Q282" s="32"/>
      <c r="R282" s="32"/>
      <c r="S282" s="32"/>
      <c r="T282" s="32"/>
      <c r="U282" s="32"/>
      <c r="V282" s="32"/>
      <c r="W282" s="32"/>
      <c r="X282" s="32"/>
      <c r="Y282" s="32"/>
      <c r="Z282" s="32"/>
      <c r="AA282" s="32"/>
      <c r="AB282" s="32"/>
      <c r="AC282" s="28">
        <f t="shared" si="126"/>
        <v>0</v>
      </c>
      <c r="AD282" s="33"/>
      <c r="AE282" s="33"/>
      <c r="AF282" s="33"/>
      <c r="AG282" s="33"/>
      <c r="AH282" s="33"/>
      <c r="AI282" s="33"/>
      <c r="AJ282" s="33"/>
      <c r="AK282" s="33"/>
      <c r="AL282" s="33"/>
      <c r="AM282" s="33"/>
      <c r="AN282" s="33"/>
      <c r="AO282" s="33"/>
      <c r="AP282" s="33"/>
      <c r="AQ282" s="33"/>
      <c r="AR282" s="33"/>
      <c r="AS282" s="33"/>
      <c r="AT282" s="34"/>
      <c r="AU282" s="1679"/>
      <c r="AV282" s="2256">
        <f t="shared" si="127"/>
        <v>0</v>
      </c>
      <c r="AW282" s="2256">
        <f t="shared" si="128"/>
        <v>0</v>
      </c>
      <c r="AX282" s="2256">
        <f t="shared" si="129"/>
        <v>0</v>
      </c>
      <c r="AY282" s="2781">
        <f t="shared" si="130"/>
        <v>0</v>
      </c>
      <c r="AZ282" s="28">
        <f t="shared" si="131"/>
        <v>0</v>
      </c>
      <c r="BA282" s="28">
        <f t="shared" si="132"/>
        <v>0</v>
      </c>
      <c r="BB282" s="28">
        <f t="shared" si="133"/>
        <v>0</v>
      </c>
      <c r="BC282" s="28">
        <f t="shared" si="134"/>
        <v>0</v>
      </c>
      <c r="BD282" s="3439">
        <f t="shared" si="135"/>
        <v>0</v>
      </c>
      <c r="BE282" s="3439">
        <f t="shared" si="136"/>
        <v>0</v>
      </c>
      <c r="BF282" s="3439">
        <f t="shared" si="137"/>
        <v>0</v>
      </c>
      <c r="BG282" s="3439">
        <f t="shared" si="138"/>
        <v>0</v>
      </c>
      <c r="BH282" s="3439">
        <f t="shared" si="139"/>
        <v>0</v>
      </c>
      <c r="BI282" s="3439">
        <f t="shared" si="140"/>
        <v>0</v>
      </c>
      <c r="BJ282" s="3439">
        <f t="shared" si="141"/>
        <v>0</v>
      </c>
      <c r="BK282" s="3439">
        <f t="shared" si="142"/>
        <v>0</v>
      </c>
      <c r="BL282" s="28">
        <f t="shared" si="143"/>
        <v>0</v>
      </c>
      <c r="BM282" s="28">
        <f t="shared" si="144"/>
        <v>0</v>
      </c>
      <c r="BN282" s="28">
        <f t="shared" si="145"/>
        <v>0</v>
      </c>
      <c r="BO282" s="28">
        <f t="shared" si="146"/>
        <v>0</v>
      </c>
      <c r="BP282" s="28">
        <f t="shared" si="147"/>
        <v>0</v>
      </c>
      <c r="BQ282" s="3439">
        <f t="shared" si="148"/>
        <v>0</v>
      </c>
      <c r="BR282" s="3439">
        <f t="shared" si="149"/>
        <v>0</v>
      </c>
      <c r="BS282" s="3439">
        <f t="shared" si="150"/>
        <v>0</v>
      </c>
      <c r="BT282" s="3451">
        <f t="shared" si="151"/>
        <v>0</v>
      </c>
    </row>
    <row r="283" spans="1:72">
      <c r="A283" s="9"/>
      <c r="B283" s="27"/>
      <c r="C283" s="27"/>
      <c r="D283" s="1678"/>
      <c r="E283" s="28">
        <f t="shared" si="123"/>
        <v>0</v>
      </c>
      <c r="F283" s="29"/>
      <c r="G283" s="30">
        <f t="shared" si="124"/>
        <v>0</v>
      </c>
      <c r="H283" s="31">
        <f t="shared" si="125"/>
        <v>0</v>
      </c>
      <c r="I283" s="32"/>
      <c r="J283" s="32"/>
      <c r="K283" s="32"/>
      <c r="L283" s="32"/>
      <c r="M283" s="32"/>
      <c r="N283" s="32"/>
      <c r="O283" s="32"/>
      <c r="P283" s="32"/>
      <c r="Q283" s="32"/>
      <c r="R283" s="32"/>
      <c r="S283" s="32"/>
      <c r="T283" s="32"/>
      <c r="U283" s="32"/>
      <c r="V283" s="32"/>
      <c r="W283" s="32"/>
      <c r="X283" s="32"/>
      <c r="Y283" s="32"/>
      <c r="Z283" s="32"/>
      <c r="AA283" s="32"/>
      <c r="AB283" s="32"/>
      <c r="AC283" s="28">
        <f t="shared" si="126"/>
        <v>0</v>
      </c>
      <c r="AD283" s="33"/>
      <c r="AE283" s="33"/>
      <c r="AF283" s="33"/>
      <c r="AG283" s="33"/>
      <c r="AH283" s="33"/>
      <c r="AI283" s="33"/>
      <c r="AJ283" s="33"/>
      <c r="AK283" s="33"/>
      <c r="AL283" s="33"/>
      <c r="AM283" s="33"/>
      <c r="AN283" s="33"/>
      <c r="AO283" s="33"/>
      <c r="AP283" s="33"/>
      <c r="AQ283" s="33"/>
      <c r="AR283" s="33"/>
      <c r="AS283" s="33"/>
      <c r="AT283" s="34"/>
      <c r="AU283" s="1679"/>
      <c r="AV283" s="2256">
        <f t="shared" si="127"/>
        <v>0</v>
      </c>
      <c r="AW283" s="2256">
        <f t="shared" si="128"/>
        <v>0</v>
      </c>
      <c r="AX283" s="2256">
        <f t="shared" si="129"/>
        <v>0</v>
      </c>
      <c r="AY283" s="2781">
        <f t="shared" si="130"/>
        <v>0</v>
      </c>
      <c r="AZ283" s="28">
        <f t="shared" si="131"/>
        <v>0</v>
      </c>
      <c r="BA283" s="28">
        <f t="shared" si="132"/>
        <v>0</v>
      </c>
      <c r="BB283" s="28">
        <f t="shared" si="133"/>
        <v>0</v>
      </c>
      <c r="BC283" s="28">
        <f t="shared" si="134"/>
        <v>0</v>
      </c>
      <c r="BD283" s="3439">
        <f t="shared" si="135"/>
        <v>0</v>
      </c>
      <c r="BE283" s="3439">
        <f t="shared" si="136"/>
        <v>0</v>
      </c>
      <c r="BF283" s="3439">
        <f t="shared" si="137"/>
        <v>0</v>
      </c>
      <c r="BG283" s="3439">
        <f t="shared" si="138"/>
        <v>0</v>
      </c>
      <c r="BH283" s="3439">
        <f t="shared" si="139"/>
        <v>0</v>
      </c>
      <c r="BI283" s="3439">
        <f t="shared" si="140"/>
        <v>0</v>
      </c>
      <c r="BJ283" s="3439">
        <f t="shared" si="141"/>
        <v>0</v>
      </c>
      <c r="BK283" s="3439">
        <f t="shared" si="142"/>
        <v>0</v>
      </c>
      <c r="BL283" s="28">
        <f t="shared" si="143"/>
        <v>0</v>
      </c>
      <c r="BM283" s="28">
        <f t="shared" si="144"/>
        <v>0</v>
      </c>
      <c r="BN283" s="28">
        <f t="shared" si="145"/>
        <v>0</v>
      </c>
      <c r="BO283" s="28">
        <f t="shared" si="146"/>
        <v>0</v>
      </c>
      <c r="BP283" s="28">
        <f t="shared" si="147"/>
        <v>0</v>
      </c>
      <c r="BQ283" s="3439">
        <f t="shared" si="148"/>
        <v>0</v>
      </c>
      <c r="BR283" s="3439">
        <f t="shared" si="149"/>
        <v>0</v>
      </c>
      <c r="BS283" s="3439">
        <f t="shared" si="150"/>
        <v>0</v>
      </c>
      <c r="BT283" s="3451">
        <f t="shared" si="151"/>
        <v>0</v>
      </c>
    </row>
    <row r="284" spans="1:72">
      <c r="A284" s="9"/>
      <c r="B284" s="27"/>
      <c r="C284" s="27"/>
      <c r="D284" s="1678"/>
      <c r="E284" s="28">
        <f t="shared" si="123"/>
        <v>0</v>
      </c>
      <c r="F284" s="29"/>
      <c r="G284" s="30">
        <f t="shared" si="124"/>
        <v>0</v>
      </c>
      <c r="H284" s="31">
        <f t="shared" si="125"/>
        <v>0</v>
      </c>
      <c r="I284" s="32"/>
      <c r="J284" s="32"/>
      <c r="K284" s="32"/>
      <c r="L284" s="32"/>
      <c r="M284" s="32"/>
      <c r="N284" s="32"/>
      <c r="O284" s="32"/>
      <c r="P284" s="32"/>
      <c r="Q284" s="32"/>
      <c r="R284" s="32"/>
      <c r="S284" s="32"/>
      <c r="T284" s="32"/>
      <c r="U284" s="32"/>
      <c r="V284" s="32"/>
      <c r="W284" s="32"/>
      <c r="X284" s="32"/>
      <c r="Y284" s="32"/>
      <c r="Z284" s="32"/>
      <c r="AA284" s="32"/>
      <c r="AB284" s="32"/>
      <c r="AC284" s="28">
        <f t="shared" si="126"/>
        <v>0</v>
      </c>
      <c r="AD284" s="33"/>
      <c r="AE284" s="33"/>
      <c r="AF284" s="33"/>
      <c r="AG284" s="33"/>
      <c r="AH284" s="33"/>
      <c r="AI284" s="33"/>
      <c r="AJ284" s="33"/>
      <c r="AK284" s="33"/>
      <c r="AL284" s="33"/>
      <c r="AM284" s="33"/>
      <c r="AN284" s="33"/>
      <c r="AO284" s="33"/>
      <c r="AP284" s="33"/>
      <c r="AQ284" s="33"/>
      <c r="AR284" s="33"/>
      <c r="AS284" s="33"/>
      <c r="AT284" s="34"/>
      <c r="AU284" s="1679"/>
      <c r="AV284" s="2256">
        <f t="shared" si="127"/>
        <v>0</v>
      </c>
      <c r="AW284" s="2256">
        <f t="shared" si="128"/>
        <v>0</v>
      </c>
      <c r="AX284" s="2256">
        <f t="shared" si="129"/>
        <v>0</v>
      </c>
      <c r="AY284" s="2781">
        <f t="shared" si="130"/>
        <v>0</v>
      </c>
      <c r="AZ284" s="28">
        <f t="shared" si="131"/>
        <v>0</v>
      </c>
      <c r="BA284" s="28">
        <f t="shared" si="132"/>
        <v>0</v>
      </c>
      <c r="BB284" s="28">
        <f t="shared" si="133"/>
        <v>0</v>
      </c>
      <c r="BC284" s="28">
        <f t="shared" si="134"/>
        <v>0</v>
      </c>
      <c r="BD284" s="3439">
        <f t="shared" si="135"/>
        <v>0</v>
      </c>
      <c r="BE284" s="3439">
        <f t="shared" si="136"/>
        <v>0</v>
      </c>
      <c r="BF284" s="3439">
        <f t="shared" si="137"/>
        <v>0</v>
      </c>
      <c r="BG284" s="3439">
        <f t="shared" si="138"/>
        <v>0</v>
      </c>
      <c r="BH284" s="3439">
        <f t="shared" si="139"/>
        <v>0</v>
      </c>
      <c r="BI284" s="3439">
        <f t="shared" si="140"/>
        <v>0</v>
      </c>
      <c r="BJ284" s="3439">
        <f t="shared" si="141"/>
        <v>0</v>
      </c>
      <c r="BK284" s="3439">
        <f t="shared" si="142"/>
        <v>0</v>
      </c>
      <c r="BL284" s="28">
        <f t="shared" si="143"/>
        <v>0</v>
      </c>
      <c r="BM284" s="28">
        <f t="shared" si="144"/>
        <v>0</v>
      </c>
      <c r="BN284" s="28">
        <f t="shared" si="145"/>
        <v>0</v>
      </c>
      <c r="BO284" s="28">
        <f t="shared" si="146"/>
        <v>0</v>
      </c>
      <c r="BP284" s="28">
        <f t="shared" si="147"/>
        <v>0</v>
      </c>
      <c r="BQ284" s="3439">
        <f t="shared" si="148"/>
        <v>0</v>
      </c>
      <c r="BR284" s="3439">
        <f t="shared" si="149"/>
        <v>0</v>
      </c>
      <c r="BS284" s="3439">
        <f t="shared" si="150"/>
        <v>0</v>
      </c>
      <c r="BT284" s="3451">
        <f t="shared" si="151"/>
        <v>0</v>
      </c>
    </row>
    <row r="285" spans="1:72">
      <c r="A285" s="9"/>
      <c r="B285" s="27"/>
      <c r="C285" s="27"/>
      <c r="D285" s="1678"/>
      <c r="E285" s="28">
        <f t="shared" si="123"/>
        <v>0</v>
      </c>
      <c r="F285" s="29"/>
      <c r="G285" s="30">
        <f t="shared" si="124"/>
        <v>0</v>
      </c>
      <c r="H285" s="31">
        <f t="shared" si="125"/>
        <v>0</v>
      </c>
      <c r="I285" s="32"/>
      <c r="J285" s="32"/>
      <c r="K285" s="32"/>
      <c r="L285" s="32"/>
      <c r="M285" s="32"/>
      <c r="N285" s="32"/>
      <c r="O285" s="32"/>
      <c r="P285" s="32"/>
      <c r="Q285" s="32"/>
      <c r="R285" s="32"/>
      <c r="S285" s="32"/>
      <c r="T285" s="32"/>
      <c r="U285" s="32"/>
      <c r="V285" s="32"/>
      <c r="W285" s="32"/>
      <c r="X285" s="32"/>
      <c r="Y285" s="32"/>
      <c r="Z285" s="32"/>
      <c r="AA285" s="32"/>
      <c r="AB285" s="32"/>
      <c r="AC285" s="28">
        <f t="shared" si="126"/>
        <v>0</v>
      </c>
      <c r="AD285" s="33"/>
      <c r="AE285" s="33"/>
      <c r="AF285" s="33"/>
      <c r="AG285" s="33"/>
      <c r="AH285" s="33"/>
      <c r="AI285" s="33"/>
      <c r="AJ285" s="33"/>
      <c r="AK285" s="33"/>
      <c r="AL285" s="33"/>
      <c r="AM285" s="33"/>
      <c r="AN285" s="33"/>
      <c r="AO285" s="33"/>
      <c r="AP285" s="33"/>
      <c r="AQ285" s="33"/>
      <c r="AR285" s="33"/>
      <c r="AS285" s="33"/>
      <c r="AT285" s="34"/>
      <c r="AU285" s="1679"/>
      <c r="AV285" s="2256">
        <f t="shared" si="127"/>
        <v>0</v>
      </c>
      <c r="AW285" s="2256">
        <f t="shared" si="128"/>
        <v>0</v>
      </c>
      <c r="AX285" s="2256">
        <f t="shared" si="129"/>
        <v>0</v>
      </c>
      <c r="AY285" s="2781">
        <f t="shared" si="130"/>
        <v>0</v>
      </c>
      <c r="AZ285" s="28">
        <f t="shared" si="131"/>
        <v>0</v>
      </c>
      <c r="BA285" s="28">
        <f t="shared" si="132"/>
        <v>0</v>
      </c>
      <c r="BB285" s="28">
        <f t="shared" si="133"/>
        <v>0</v>
      </c>
      <c r="BC285" s="28">
        <f t="shared" si="134"/>
        <v>0</v>
      </c>
      <c r="BD285" s="3439">
        <f t="shared" si="135"/>
        <v>0</v>
      </c>
      <c r="BE285" s="3439">
        <f t="shared" si="136"/>
        <v>0</v>
      </c>
      <c r="BF285" s="3439">
        <f t="shared" si="137"/>
        <v>0</v>
      </c>
      <c r="BG285" s="3439">
        <f t="shared" si="138"/>
        <v>0</v>
      </c>
      <c r="BH285" s="3439">
        <f t="shared" si="139"/>
        <v>0</v>
      </c>
      <c r="BI285" s="3439">
        <f t="shared" si="140"/>
        <v>0</v>
      </c>
      <c r="BJ285" s="3439">
        <f t="shared" si="141"/>
        <v>0</v>
      </c>
      <c r="BK285" s="3439">
        <f t="shared" si="142"/>
        <v>0</v>
      </c>
      <c r="BL285" s="28">
        <f t="shared" si="143"/>
        <v>0</v>
      </c>
      <c r="BM285" s="28">
        <f t="shared" si="144"/>
        <v>0</v>
      </c>
      <c r="BN285" s="28">
        <f t="shared" si="145"/>
        <v>0</v>
      </c>
      <c r="BO285" s="28">
        <f t="shared" si="146"/>
        <v>0</v>
      </c>
      <c r="BP285" s="28">
        <f t="shared" si="147"/>
        <v>0</v>
      </c>
      <c r="BQ285" s="3439">
        <f t="shared" si="148"/>
        <v>0</v>
      </c>
      <c r="BR285" s="3439">
        <f t="shared" si="149"/>
        <v>0</v>
      </c>
      <c r="BS285" s="3439">
        <f t="shared" si="150"/>
        <v>0</v>
      </c>
      <c r="BT285" s="3451">
        <f t="shared" si="151"/>
        <v>0</v>
      </c>
    </row>
    <row r="286" spans="1:72">
      <c r="A286" s="9"/>
      <c r="B286" s="27"/>
      <c r="C286" s="27"/>
      <c r="D286" s="1678"/>
      <c r="E286" s="28">
        <f t="shared" si="123"/>
        <v>0</v>
      </c>
      <c r="F286" s="29"/>
      <c r="G286" s="30">
        <f t="shared" si="124"/>
        <v>0</v>
      </c>
      <c r="H286" s="31">
        <f t="shared" si="125"/>
        <v>0</v>
      </c>
      <c r="I286" s="32"/>
      <c r="J286" s="32"/>
      <c r="K286" s="32"/>
      <c r="L286" s="32"/>
      <c r="M286" s="32"/>
      <c r="N286" s="32"/>
      <c r="O286" s="32"/>
      <c r="P286" s="32"/>
      <c r="Q286" s="32"/>
      <c r="R286" s="32"/>
      <c r="S286" s="32"/>
      <c r="T286" s="32"/>
      <c r="U286" s="32"/>
      <c r="V286" s="32"/>
      <c r="W286" s="32"/>
      <c r="X286" s="32"/>
      <c r="Y286" s="32"/>
      <c r="Z286" s="32"/>
      <c r="AA286" s="32"/>
      <c r="AB286" s="32"/>
      <c r="AC286" s="28">
        <f t="shared" si="126"/>
        <v>0</v>
      </c>
      <c r="AD286" s="33"/>
      <c r="AE286" s="33"/>
      <c r="AF286" s="33"/>
      <c r="AG286" s="33"/>
      <c r="AH286" s="33"/>
      <c r="AI286" s="33"/>
      <c r="AJ286" s="33"/>
      <c r="AK286" s="33"/>
      <c r="AL286" s="33"/>
      <c r="AM286" s="33"/>
      <c r="AN286" s="33"/>
      <c r="AO286" s="33"/>
      <c r="AP286" s="33"/>
      <c r="AQ286" s="33"/>
      <c r="AR286" s="33"/>
      <c r="AS286" s="33"/>
      <c r="AT286" s="34"/>
      <c r="AU286" s="1679"/>
      <c r="AV286" s="2256">
        <f t="shared" si="127"/>
        <v>0</v>
      </c>
      <c r="AW286" s="2256">
        <f t="shared" si="128"/>
        <v>0</v>
      </c>
      <c r="AX286" s="2256">
        <f t="shared" si="129"/>
        <v>0</v>
      </c>
      <c r="AY286" s="2781">
        <f t="shared" si="130"/>
        <v>0</v>
      </c>
      <c r="AZ286" s="28">
        <f t="shared" si="131"/>
        <v>0</v>
      </c>
      <c r="BA286" s="28">
        <f t="shared" si="132"/>
        <v>0</v>
      </c>
      <c r="BB286" s="28">
        <f t="shared" si="133"/>
        <v>0</v>
      </c>
      <c r="BC286" s="28">
        <f t="shared" si="134"/>
        <v>0</v>
      </c>
      <c r="BD286" s="3439">
        <f t="shared" si="135"/>
        <v>0</v>
      </c>
      <c r="BE286" s="3439">
        <f t="shared" si="136"/>
        <v>0</v>
      </c>
      <c r="BF286" s="3439">
        <f t="shared" si="137"/>
        <v>0</v>
      </c>
      <c r="BG286" s="3439">
        <f t="shared" si="138"/>
        <v>0</v>
      </c>
      <c r="BH286" s="3439">
        <f t="shared" si="139"/>
        <v>0</v>
      </c>
      <c r="BI286" s="3439">
        <f t="shared" si="140"/>
        <v>0</v>
      </c>
      <c r="BJ286" s="3439">
        <f t="shared" si="141"/>
        <v>0</v>
      </c>
      <c r="BK286" s="3439">
        <f t="shared" si="142"/>
        <v>0</v>
      </c>
      <c r="BL286" s="28">
        <f t="shared" si="143"/>
        <v>0</v>
      </c>
      <c r="BM286" s="28">
        <f t="shared" si="144"/>
        <v>0</v>
      </c>
      <c r="BN286" s="28">
        <f t="shared" si="145"/>
        <v>0</v>
      </c>
      <c r="BO286" s="28">
        <f t="shared" si="146"/>
        <v>0</v>
      </c>
      <c r="BP286" s="28">
        <f t="shared" si="147"/>
        <v>0</v>
      </c>
      <c r="BQ286" s="3439">
        <f t="shared" si="148"/>
        <v>0</v>
      </c>
      <c r="BR286" s="3439">
        <f t="shared" si="149"/>
        <v>0</v>
      </c>
      <c r="BS286" s="3439">
        <f t="shared" si="150"/>
        <v>0</v>
      </c>
      <c r="BT286" s="3451">
        <f t="shared" si="151"/>
        <v>0</v>
      </c>
    </row>
    <row r="287" spans="1:72">
      <c r="A287" s="9"/>
      <c r="B287" s="27"/>
      <c r="C287" s="27"/>
      <c r="D287" s="1678"/>
      <c r="E287" s="28">
        <f t="shared" si="123"/>
        <v>0</v>
      </c>
      <c r="F287" s="29"/>
      <c r="G287" s="30">
        <f t="shared" si="124"/>
        <v>0</v>
      </c>
      <c r="H287" s="31">
        <f t="shared" si="125"/>
        <v>0</v>
      </c>
      <c r="I287" s="32"/>
      <c r="J287" s="32"/>
      <c r="K287" s="32"/>
      <c r="L287" s="32"/>
      <c r="M287" s="32"/>
      <c r="N287" s="32"/>
      <c r="O287" s="32"/>
      <c r="P287" s="32"/>
      <c r="Q287" s="32"/>
      <c r="R287" s="32"/>
      <c r="S287" s="32"/>
      <c r="T287" s="32"/>
      <c r="U287" s="32"/>
      <c r="V287" s="32"/>
      <c r="W287" s="32"/>
      <c r="X287" s="32"/>
      <c r="Y287" s="32"/>
      <c r="Z287" s="32"/>
      <c r="AA287" s="32"/>
      <c r="AB287" s="32"/>
      <c r="AC287" s="28">
        <f t="shared" si="126"/>
        <v>0</v>
      </c>
      <c r="AD287" s="33"/>
      <c r="AE287" s="33"/>
      <c r="AF287" s="33"/>
      <c r="AG287" s="33"/>
      <c r="AH287" s="33"/>
      <c r="AI287" s="33"/>
      <c r="AJ287" s="33"/>
      <c r="AK287" s="33"/>
      <c r="AL287" s="33"/>
      <c r="AM287" s="33"/>
      <c r="AN287" s="33"/>
      <c r="AO287" s="33"/>
      <c r="AP287" s="33"/>
      <c r="AQ287" s="33"/>
      <c r="AR287" s="33"/>
      <c r="AS287" s="33"/>
      <c r="AT287" s="34"/>
      <c r="AU287" s="1679"/>
      <c r="AV287" s="2256">
        <f t="shared" si="127"/>
        <v>0</v>
      </c>
      <c r="AW287" s="2256">
        <f t="shared" si="128"/>
        <v>0</v>
      </c>
      <c r="AX287" s="2256">
        <f t="shared" si="129"/>
        <v>0</v>
      </c>
      <c r="AY287" s="2781">
        <f t="shared" si="130"/>
        <v>0</v>
      </c>
      <c r="AZ287" s="28">
        <f t="shared" si="131"/>
        <v>0</v>
      </c>
      <c r="BA287" s="28">
        <f t="shared" si="132"/>
        <v>0</v>
      </c>
      <c r="BB287" s="28">
        <f t="shared" si="133"/>
        <v>0</v>
      </c>
      <c r="BC287" s="28">
        <f t="shared" si="134"/>
        <v>0</v>
      </c>
      <c r="BD287" s="3439">
        <f t="shared" si="135"/>
        <v>0</v>
      </c>
      <c r="BE287" s="3439">
        <f t="shared" si="136"/>
        <v>0</v>
      </c>
      <c r="BF287" s="3439">
        <f t="shared" si="137"/>
        <v>0</v>
      </c>
      <c r="BG287" s="3439">
        <f t="shared" si="138"/>
        <v>0</v>
      </c>
      <c r="BH287" s="3439">
        <f t="shared" si="139"/>
        <v>0</v>
      </c>
      <c r="BI287" s="3439">
        <f t="shared" si="140"/>
        <v>0</v>
      </c>
      <c r="BJ287" s="3439">
        <f t="shared" si="141"/>
        <v>0</v>
      </c>
      <c r="BK287" s="3439">
        <f t="shared" si="142"/>
        <v>0</v>
      </c>
      <c r="BL287" s="28">
        <f t="shared" si="143"/>
        <v>0</v>
      </c>
      <c r="BM287" s="28">
        <f t="shared" si="144"/>
        <v>0</v>
      </c>
      <c r="BN287" s="28">
        <f t="shared" si="145"/>
        <v>0</v>
      </c>
      <c r="BO287" s="28">
        <f t="shared" si="146"/>
        <v>0</v>
      </c>
      <c r="BP287" s="28">
        <f t="shared" si="147"/>
        <v>0</v>
      </c>
      <c r="BQ287" s="3439">
        <f t="shared" si="148"/>
        <v>0</v>
      </c>
      <c r="BR287" s="3439">
        <f t="shared" si="149"/>
        <v>0</v>
      </c>
      <c r="BS287" s="3439">
        <f t="shared" si="150"/>
        <v>0</v>
      </c>
      <c r="BT287" s="3451">
        <f t="shared" si="151"/>
        <v>0</v>
      </c>
    </row>
    <row r="288" spans="1:72">
      <c r="A288" s="9"/>
      <c r="B288" s="27"/>
      <c r="C288" s="27"/>
      <c r="D288" s="1678"/>
      <c r="E288" s="28">
        <f t="shared" si="123"/>
        <v>0</v>
      </c>
      <c r="F288" s="29"/>
      <c r="G288" s="30">
        <f t="shared" si="124"/>
        <v>0</v>
      </c>
      <c r="H288" s="31">
        <f t="shared" si="125"/>
        <v>0</v>
      </c>
      <c r="I288" s="32"/>
      <c r="J288" s="32"/>
      <c r="K288" s="32"/>
      <c r="L288" s="32"/>
      <c r="M288" s="32"/>
      <c r="N288" s="32"/>
      <c r="O288" s="32"/>
      <c r="P288" s="32"/>
      <c r="Q288" s="32"/>
      <c r="R288" s="32"/>
      <c r="S288" s="32"/>
      <c r="T288" s="32"/>
      <c r="U288" s="32"/>
      <c r="V288" s="32"/>
      <c r="W288" s="32"/>
      <c r="X288" s="32"/>
      <c r="Y288" s="32"/>
      <c r="Z288" s="32"/>
      <c r="AA288" s="32"/>
      <c r="AB288" s="32"/>
      <c r="AC288" s="28">
        <f t="shared" si="126"/>
        <v>0</v>
      </c>
      <c r="AD288" s="33"/>
      <c r="AE288" s="33"/>
      <c r="AF288" s="33"/>
      <c r="AG288" s="33"/>
      <c r="AH288" s="33"/>
      <c r="AI288" s="33"/>
      <c r="AJ288" s="33"/>
      <c r="AK288" s="33"/>
      <c r="AL288" s="33"/>
      <c r="AM288" s="33"/>
      <c r="AN288" s="33"/>
      <c r="AO288" s="33"/>
      <c r="AP288" s="33"/>
      <c r="AQ288" s="33"/>
      <c r="AR288" s="33"/>
      <c r="AS288" s="33"/>
      <c r="AT288" s="34"/>
      <c r="AU288" s="1679"/>
      <c r="AV288" s="2256">
        <f t="shared" si="127"/>
        <v>0</v>
      </c>
      <c r="AW288" s="2256">
        <f t="shared" si="128"/>
        <v>0</v>
      </c>
      <c r="AX288" s="2256">
        <f t="shared" si="129"/>
        <v>0</v>
      </c>
      <c r="AY288" s="2781">
        <f t="shared" si="130"/>
        <v>0</v>
      </c>
      <c r="AZ288" s="28">
        <f t="shared" si="131"/>
        <v>0</v>
      </c>
      <c r="BA288" s="28">
        <f t="shared" si="132"/>
        <v>0</v>
      </c>
      <c r="BB288" s="28">
        <f t="shared" si="133"/>
        <v>0</v>
      </c>
      <c r="BC288" s="28">
        <f t="shared" si="134"/>
        <v>0</v>
      </c>
      <c r="BD288" s="3439">
        <f t="shared" si="135"/>
        <v>0</v>
      </c>
      <c r="BE288" s="3439">
        <f t="shared" si="136"/>
        <v>0</v>
      </c>
      <c r="BF288" s="3439">
        <f t="shared" si="137"/>
        <v>0</v>
      </c>
      <c r="BG288" s="3439">
        <f t="shared" si="138"/>
        <v>0</v>
      </c>
      <c r="BH288" s="3439">
        <f t="shared" si="139"/>
        <v>0</v>
      </c>
      <c r="BI288" s="3439">
        <f t="shared" si="140"/>
        <v>0</v>
      </c>
      <c r="BJ288" s="3439">
        <f t="shared" si="141"/>
        <v>0</v>
      </c>
      <c r="BK288" s="3439">
        <f t="shared" si="142"/>
        <v>0</v>
      </c>
      <c r="BL288" s="28">
        <f t="shared" si="143"/>
        <v>0</v>
      </c>
      <c r="BM288" s="28">
        <f t="shared" si="144"/>
        <v>0</v>
      </c>
      <c r="BN288" s="28">
        <f t="shared" si="145"/>
        <v>0</v>
      </c>
      <c r="BO288" s="28">
        <f t="shared" si="146"/>
        <v>0</v>
      </c>
      <c r="BP288" s="28">
        <f t="shared" si="147"/>
        <v>0</v>
      </c>
      <c r="BQ288" s="3439">
        <f t="shared" si="148"/>
        <v>0</v>
      </c>
      <c r="BR288" s="3439">
        <f t="shared" si="149"/>
        <v>0</v>
      </c>
      <c r="BS288" s="3439">
        <f t="shared" si="150"/>
        <v>0</v>
      </c>
      <c r="BT288" s="3451">
        <f t="shared" si="151"/>
        <v>0</v>
      </c>
    </row>
    <row r="289" spans="1:72">
      <c r="A289" s="9"/>
      <c r="B289" s="27"/>
      <c r="C289" s="27"/>
      <c r="D289" s="1678"/>
      <c r="E289" s="28">
        <f t="shared" si="123"/>
        <v>0</v>
      </c>
      <c r="F289" s="29"/>
      <c r="G289" s="30">
        <f t="shared" si="124"/>
        <v>0</v>
      </c>
      <c r="H289" s="31">
        <f t="shared" si="125"/>
        <v>0</v>
      </c>
      <c r="I289" s="32"/>
      <c r="J289" s="32"/>
      <c r="K289" s="32"/>
      <c r="L289" s="32"/>
      <c r="M289" s="32"/>
      <c r="N289" s="32"/>
      <c r="O289" s="32"/>
      <c r="P289" s="32"/>
      <c r="Q289" s="32"/>
      <c r="R289" s="32"/>
      <c r="S289" s="32"/>
      <c r="T289" s="32"/>
      <c r="U289" s="32"/>
      <c r="V289" s="32"/>
      <c r="W289" s="32"/>
      <c r="X289" s="32"/>
      <c r="Y289" s="32"/>
      <c r="Z289" s="32"/>
      <c r="AA289" s="32"/>
      <c r="AB289" s="32"/>
      <c r="AC289" s="28">
        <f t="shared" si="126"/>
        <v>0</v>
      </c>
      <c r="AD289" s="33"/>
      <c r="AE289" s="33"/>
      <c r="AF289" s="33"/>
      <c r="AG289" s="33"/>
      <c r="AH289" s="33"/>
      <c r="AI289" s="33"/>
      <c r="AJ289" s="33"/>
      <c r="AK289" s="33"/>
      <c r="AL289" s="33"/>
      <c r="AM289" s="33"/>
      <c r="AN289" s="33"/>
      <c r="AO289" s="33"/>
      <c r="AP289" s="33"/>
      <c r="AQ289" s="33"/>
      <c r="AR289" s="33"/>
      <c r="AS289" s="33"/>
      <c r="AT289" s="34"/>
      <c r="AU289" s="1679"/>
      <c r="AV289" s="2256">
        <f t="shared" si="127"/>
        <v>0</v>
      </c>
      <c r="AW289" s="2256">
        <f t="shared" si="128"/>
        <v>0</v>
      </c>
      <c r="AX289" s="2256">
        <f t="shared" si="129"/>
        <v>0</v>
      </c>
      <c r="AY289" s="2781">
        <f t="shared" si="130"/>
        <v>0</v>
      </c>
      <c r="AZ289" s="28">
        <f t="shared" si="131"/>
        <v>0</v>
      </c>
      <c r="BA289" s="28">
        <f t="shared" si="132"/>
        <v>0</v>
      </c>
      <c r="BB289" s="28">
        <f t="shared" si="133"/>
        <v>0</v>
      </c>
      <c r="BC289" s="28">
        <f t="shared" si="134"/>
        <v>0</v>
      </c>
      <c r="BD289" s="3439">
        <f t="shared" si="135"/>
        <v>0</v>
      </c>
      <c r="BE289" s="3439">
        <f t="shared" si="136"/>
        <v>0</v>
      </c>
      <c r="BF289" s="3439">
        <f t="shared" si="137"/>
        <v>0</v>
      </c>
      <c r="BG289" s="3439">
        <f t="shared" si="138"/>
        <v>0</v>
      </c>
      <c r="BH289" s="3439">
        <f t="shared" si="139"/>
        <v>0</v>
      </c>
      <c r="BI289" s="3439">
        <f t="shared" si="140"/>
        <v>0</v>
      </c>
      <c r="BJ289" s="3439">
        <f t="shared" si="141"/>
        <v>0</v>
      </c>
      <c r="BK289" s="3439">
        <f t="shared" si="142"/>
        <v>0</v>
      </c>
      <c r="BL289" s="28">
        <f t="shared" si="143"/>
        <v>0</v>
      </c>
      <c r="BM289" s="28">
        <f t="shared" si="144"/>
        <v>0</v>
      </c>
      <c r="BN289" s="28">
        <f t="shared" si="145"/>
        <v>0</v>
      </c>
      <c r="BO289" s="28">
        <f t="shared" si="146"/>
        <v>0</v>
      </c>
      <c r="BP289" s="28">
        <f t="shared" si="147"/>
        <v>0</v>
      </c>
      <c r="BQ289" s="3439">
        <f t="shared" si="148"/>
        <v>0</v>
      </c>
      <c r="BR289" s="3439">
        <f t="shared" si="149"/>
        <v>0</v>
      </c>
      <c r="BS289" s="3439">
        <f t="shared" si="150"/>
        <v>0</v>
      </c>
      <c r="BT289" s="3451">
        <f t="shared" si="151"/>
        <v>0</v>
      </c>
    </row>
    <row r="290" spans="1:72">
      <c r="A290" s="9"/>
      <c r="B290" s="27"/>
      <c r="C290" s="27"/>
      <c r="D290" s="1678"/>
      <c r="E290" s="28">
        <f t="shared" si="123"/>
        <v>0</v>
      </c>
      <c r="F290" s="29"/>
      <c r="G290" s="30">
        <f t="shared" si="124"/>
        <v>0</v>
      </c>
      <c r="H290" s="31">
        <f t="shared" si="125"/>
        <v>0</v>
      </c>
      <c r="I290" s="32"/>
      <c r="J290" s="32"/>
      <c r="K290" s="32"/>
      <c r="L290" s="32"/>
      <c r="M290" s="32"/>
      <c r="N290" s="32"/>
      <c r="O290" s="32"/>
      <c r="P290" s="32"/>
      <c r="Q290" s="32"/>
      <c r="R290" s="32"/>
      <c r="S290" s="32"/>
      <c r="T290" s="32"/>
      <c r="U290" s="32"/>
      <c r="V290" s="32"/>
      <c r="W290" s="32"/>
      <c r="X290" s="32"/>
      <c r="Y290" s="32"/>
      <c r="Z290" s="32"/>
      <c r="AA290" s="32"/>
      <c r="AB290" s="32"/>
      <c r="AC290" s="28">
        <f t="shared" si="126"/>
        <v>0</v>
      </c>
      <c r="AD290" s="33"/>
      <c r="AE290" s="33"/>
      <c r="AF290" s="33"/>
      <c r="AG290" s="33"/>
      <c r="AH290" s="33"/>
      <c r="AI290" s="33"/>
      <c r="AJ290" s="33"/>
      <c r="AK290" s="33"/>
      <c r="AL290" s="33"/>
      <c r="AM290" s="33"/>
      <c r="AN290" s="33"/>
      <c r="AO290" s="33"/>
      <c r="AP290" s="33"/>
      <c r="AQ290" s="33"/>
      <c r="AR290" s="33"/>
      <c r="AS290" s="33"/>
      <c r="AT290" s="34"/>
      <c r="AU290" s="1679"/>
      <c r="AV290" s="2256">
        <f t="shared" si="127"/>
        <v>0</v>
      </c>
      <c r="AW290" s="2256">
        <f t="shared" si="128"/>
        <v>0</v>
      </c>
      <c r="AX290" s="2256">
        <f t="shared" si="129"/>
        <v>0</v>
      </c>
      <c r="AY290" s="2781">
        <f t="shared" si="130"/>
        <v>0</v>
      </c>
      <c r="AZ290" s="28">
        <f t="shared" si="131"/>
        <v>0</v>
      </c>
      <c r="BA290" s="28">
        <f t="shared" si="132"/>
        <v>0</v>
      </c>
      <c r="BB290" s="28">
        <f t="shared" si="133"/>
        <v>0</v>
      </c>
      <c r="BC290" s="28">
        <f t="shared" si="134"/>
        <v>0</v>
      </c>
      <c r="BD290" s="3439">
        <f t="shared" si="135"/>
        <v>0</v>
      </c>
      <c r="BE290" s="3439">
        <f t="shared" si="136"/>
        <v>0</v>
      </c>
      <c r="BF290" s="3439">
        <f t="shared" si="137"/>
        <v>0</v>
      </c>
      <c r="BG290" s="3439">
        <f t="shared" si="138"/>
        <v>0</v>
      </c>
      <c r="BH290" s="3439">
        <f t="shared" si="139"/>
        <v>0</v>
      </c>
      <c r="BI290" s="3439">
        <f t="shared" si="140"/>
        <v>0</v>
      </c>
      <c r="BJ290" s="3439">
        <f t="shared" si="141"/>
        <v>0</v>
      </c>
      <c r="BK290" s="3439">
        <f t="shared" si="142"/>
        <v>0</v>
      </c>
      <c r="BL290" s="28">
        <f t="shared" si="143"/>
        <v>0</v>
      </c>
      <c r="BM290" s="28">
        <f t="shared" si="144"/>
        <v>0</v>
      </c>
      <c r="BN290" s="28">
        <f t="shared" si="145"/>
        <v>0</v>
      </c>
      <c r="BO290" s="28">
        <f t="shared" si="146"/>
        <v>0</v>
      </c>
      <c r="BP290" s="28">
        <f t="shared" si="147"/>
        <v>0</v>
      </c>
      <c r="BQ290" s="3439">
        <f t="shared" si="148"/>
        <v>0</v>
      </c>
      <c r="BR290" s="3439">
        <f t="shared" si="149"/>
        <v>0</v>
      </c>
      <c r="BS290" s="3439">
        <f t="shared" si="150"/>
        <v>0</v>
      </c>
      <c r="BT290" s="3451">
        <f t="shared" si="151"/>
        <v>0</v>
      </c>
    </row>
    <row r="291" spans="1:72">
      <c r="A291" s="9"/>
      <c r="B291" s="27"/>
      <c r="C291" s="27"/>
      <c r="D291" s="1678"/>
      <c r="E291" s="28">
        <f t="shared" si="123"/>
        <v>0</v>
      </c>
      <c r="F291" s="29"/>
      <c r="G291" s="30">
        <f t="shared" si="124"/>
        <v>0</v>
      </c>
      <c r="H291" s="31">
        <f t="shared" si="125"/>
        <v>0</v>
      </c>
      <c r="I291" s="32"/>
      <c r="J291" s="32"/>
      <c r="K291" s="32"/>
      <c r="L291" s="32"/>
      <c r="M291" s="32"/>
      <c r="N291" s="32"/>
      <c r="O291" s="32"/>
      <c r="P291" s="32"/>
      <c r="Q291" s="32"/>
      <c r="R291" s="32"/>
      <c r="S291" s="32"/>
      <c r="T291" s="32"/>
      <c r="U291" s="32"/>
      <c r="V291" s="32"/>
      <c r="W291" s="32"/>
      <c r="X291" s="32"/>
      <c r="Y291" s="32"/>
      <c r="Z291" s="32"/>
      <c r="AA291" s="32"/>
      <c r="AB291" s="32"/>
      <c r="AC291" s="28">
        <f t="shared" si="126"/>
        <v>0</v>
      </c>
      <c r="AD291" s="33"/>
      <c r="AE291" s="33"/>
      <c r="AF291" s="33"/>
      <c r="AG291" s="33"/>
      <c r="AH291" s="33"/>
      <c r="AI291" s="33"/>
      <c r="AJ291" s="33"/>
      <c r="AK291" s="33"/>
      <c r="AL291" s="33"/>
      <c r="AM291" s="33"/>
      <c r="AN291" s="33"/>
      <c r="AO291" s="33"/>
      <c r="AP291" s="33"/>
      <c r="AQ291" s="33"/>
      <c r="AR291" s="33"/>
      <c r="AS291" s="33"/>
      <c r="AT291" s="34"/>
      <c r="AU291" s="1679"/>
      <c r="AV291" s="2256">
        <f t="shared" si="127"/>
        <v>0</v>
      </c>
      <c r="AW291" s="2256">
        <f t="shared" si="128"/>
        <v>0</v>
      </c>
      <c r="AX291" s="2256">
        <f t="shared" si="129"/>
        <v>0</v>
      </c>
      <c r="AY291" s="2781">
        <f t="shared" si="130"/>
        <v>0</v>
      </c>
      <c r="AZ291" s="28">
        <f t="shared" si="131"/>
        <v>0</v>
      </c>
      <c r="BA291" s="28">
        <f t="shared" si="132"/>
        <v>0</v>
      </c>
      <c r="BB291" s="28">
        <f t="shared" si="133"/>
        <v>0</v>
      </c>
      <c r="BC291" s="28">
        <f t="shared" si="134"/>
        <v>0</v>
      </c>
      <c r="BD291" s="3439">
        <f t="shared" si="135"/>
        <v>0</v>
      </c>
      <c r="BE291" s="3439">
        <f t="shared" si="136"/>
        <v>0</v>
      </c>
      <c r="BF291" s="3439">
        <f t="shared" si="137"/>
        <v>0</v>
      </c>
      <c r="BG291" s="3439">
        <f t="shared" si="138"/>
        <v>0</v>
      </c>
      <c r="BH291" s="3439">
        <f t="shared" si="139"/>
        <v>0</v>
      </c>
      <c r="BI291" s="3439">
        <f t="shared" si="140"/>
        <v>0</v>
      </c>
      <c r="BJ291" s="3439">
        <f t="shared" si="141"/>
        <v>0</v>
      </c>
      <c r="BK291" s="3439">
        <f t="shared" si="142"/>
        <v>0</v>
      </c>
      <c r="BL291" s="28">
        <f t="shared" si="143"/>
        <v>0</v>
      </c>
      <c r="BM291" s="28">
        <f t="shared" si="144"/>
        <v>0</v>
      </c>
      <c r="BN291" s="28">
        <f t="shared" si="145"/>
        <v>0</v>
      </c>
      <c r="BO291" s="28">
        <f t="shared" si="146"/>
        <v>0</v>
      </c>
      <c r="BP291" s="28">
        <f t="shared" si="147"/>
        <v>0</v>
      </c>
      <c r="BQ291" s="3439">
        <f t="shared" si="148"/>
        <v>0</v>
      </c>
      <c r="BR291" s="3439">
        <f t="shared" si="149"/>
        <v>0</v>
      </c>
      <c r="BS291" s="3439">
        <f t="shared" si="150"/>
        <v>0</v>
      </c>
      <c r="BT291" s="3451">
        <f t="shared" si="151"/>
        <v>0</v>
      </c>
    </row>
    <row r="292" spans="1:72">
      <c r="A292" s="9"/>
      <c r="B292" s="27"/>
      <c r="C292" s="27"/>
      <c r="D292" s="1678"/>
      <c r="E292" s="28">
        <f t="shared" si="123"/>
        <v>0</v>
      </c>
      <c r="F292" s="29"/>
      <c r="G292" s="30">
        <f t="shared" si="124"/>
        <v>0</v>
      </c>
      <c r="H292" s="31">
        <f t="shared" si="125"/>
        <v>0</v>
      </c>
      <c r="I292" s="32"/>
      <c r="J292" s="32"/>
      <c r="K292" s="32"/>
      <c r="L292" s="32"/>
      <c r="M292" s="32"/>
      <c r="N292" s="32"/>
      <c r="O292" s="32"/>
      <c r="P292" s="32"/>
      <c r="Q292" s="32"/>
      <c r="R292" s="32"/>
      <c r="S292" s="32"/>
      <c r="T292" s="32"/>
      <c r="U292" s="32"/>
      <c r="V292" s="32"/>
      <c r="W292" s="32"/>
      <c r="X292" s="32"/>
      <c r="Y292" s="32"/>
      <c r="Z292" s="32"/>
      <c r="AA292" s="32"/>
      <c r="AB292" s="32"/>
      <c r="AC292" s="28">
        <f t="shared" si="126"/>
        <v>0</v>
      </c>
      <c r="AD292" s="33"/>
      <c r="AE292" s="33"/>
      <c r="AF292" s="33"/>
      <c r="AG292" s="33"/>
      <c r="AH292" s="33"/>
      <c r="AI292" s="33"/>
      <c r="AJ292" s="33"/>
      <c r="AK292" s="33"/>
      <c r="AL292" s="33"/>
      <c r="AM292" s="33"/>
      <c r="AN292" s="33"/>
      <c r="AO292" s="33"/>
      <c r="AP292" s="33"/>
      <c r="AQ292" s="33"/>
      <c r="AR292" s="33"/>
      <c r="AS292" s="33"/>
      <c r="AT292" s="34"/>
      <c r="AU292" s="1679"/>
      <c r="AV292" s="2256">
        <f t="shared" si="127"/>
        <v>0</v>
      </c>
      <c r="AW292" s="2256">
        <f t="shared" si="128"/>
        <v>0</v>
      </c>
      <c r="AX292" s="2256">
        <f t="shared" si="129"/>
        <v>0</v>
      </c>
      <c r="AY292" s="2781">
        <f t="shared" si="130"/>
        <v>0</v>
      </c>
      <c r="AZ292" s="28">
        <f t="shared" si="131"/>
        <v>0</v>
      </c>
      <c r="BA292" s="28">
        <f t="shared" si="132"/>
        <v>0</v>
      </c>
      <c r="BB292" s="28">
        <f t="shared" si="133"/>
        <v>0</v>
      </c>
      <c r="BC292" s="28">
        <f t="shared" si="134"/>
        <v>0</v>
      </c>
      <c r="BD292" s="3439">
        <f t="shared" si="135"/>
        <v>0</v>
      </c>
      <c r="BE292" s="3439">
        <f t="shared" si="136"/>
        <v>0</v>
      </c>
      <c r="BF292" s="3439">
        <f t="shared" si="137"/>
        <v>0</v>
      </c>
      <c r="BG292" s="3439">
        <f t="shared" si="138"/>
        <v>0</v>
      </c>
      <c r="BH292" s="3439">
        <f t="shared" si="139"/>
        <v>0</v>
      </c>
      <c r="BI292" s="3439">
        <f t="shared" si="140"/>
        <v>0</v>
      </c>
      <c r="BJ292" s="3439">
        <f t="shared" si="141"/>
        <v>0</v>
      </c>
      <c r="BK292" s="3439">
        <f t="shared" si="142"/>
        <v>0</v>
      </c>
      <c r="BL292" s="28">
        <f t="shared" si="143"/>
        <v>0</v>
      </c>
      <c r="BM292" s="28">
        <f t="shared" si="144"/>
        <v>0</v>
      </c>
      <c r="BN292" s="28">
        <f t="shared" si="145"/>
        <v>0</v>
      </c>
      <c r="BO292" s="28">
        <f t="shared" si="146"/>
        <v>0</v>
      </c>
      <c r="BP292" s="28">
        <f t="shared" si="147"/>
        <v>0</v>
      </c>
      <c r="BQ292" s="3439">
        <f t="shared" si="148"/>
        <v>0</v>
      </c>
      <c r="BR292" s="3439">
        <f t="shared" si="149"/>
        <v>0</v>
      </c>
      <c r="BS292" s="3439">
        <f t="shared" si="150"/>
        <v>0</v>
      </c>
      <c r="BT292" s="3451">
        <f t="shared" si="151"/>
        <v>0</v>
      </c>
    </row>
    <row r="293" spans="1:72">
      <c r="A293" s="9"/>
      <c r="B293" s="27"/>
      <c r="C293" s="27"/>
      <c r="D293" s="1678"/>
      <c r="E293" s="28">
        <f t="shared" si="123"/>
        <v>0</v>
      </c>
      <c r="F293" s="29"/>
      <c r="G293" s="30">
        <f t="shared" si="124"/>
        <v>0</v>
      </c>
      <c r="H293" s="31">
        <f t="shared" si="125"/>
        <v>0</v>
      </c>
      <c r="I293" s="32"/>
      <c r="J293" s="32"/>
      <c r="K293" s="32"/>
      <c r="L293" s="32"/>
      <c r="M293" s="32"/>
      <c r="N293" s="32"/>
      <c r="O293" s="32"/>
      <c r="P293" s="32"/>
      <c r="Q293" s="32"/>
      <c r="R293" s="32"/>
      <c r="S293" s="32"/>
      <c r="T293" s="32"/>
      <c r="U293" s="32"/>
      <c r="V293" s="32"/>
      <c r="W293" s="32"/>
      <c r="X293" s="32"/>
      <c r="Y293" s="32"/>
      <c r="Z293" s="32"/>
      <c r="AA293" s="32"/>
      <c r="AB293" s="32"/>
      <c r="AC293" s="28">
        <f t="shared" si="126"/>
        <v>0</v>
      </c>
      <c r="AD293" s="33"/>
      <c r="AE293" s="33"/>
      <c r="AF293" s="33"/>
      <c r="AG293" s="33"/>
      <c r="AH293" s="33"/>
      <c r="AI293" s="33"/>
      <c r="AJ293" s="33"/>
      <c r="AK293" s="33"/>
      <c r="AL293" s="33"/>
      <c r="AM293" s="33"/>
      <c r="AN293" s="33"/>
      <c r="AO293" s="33"/>
      <c r="AP293" s="33"/>
      <c r="AQ293" s="33"/>
      <c r="AR293" s="33"/>
      <c r="AS293" s="33"/>
      <c r="AT293" s="34"/>
      <c r="AU293" s="1679"/>
      <c r="AV293" s="2256">
        <f t="shared" si="127"/>
        <v>0</v>
      </c>
      <c r="AW293" s="2256">
        <f t="shared" si="128"/>
        <v>0</v>
      </c>
      <c r="AX293" s="2256">
        <f t="shared" si="129"/>
        <v>0</v>
      </c>
      <c r="AY293" s="2781">
        <f t="shared" si="130"/>
        <v>0</v>
      </c>
      <c r="AZ293" s="28">
        <f t="shared" si="131"/>
        <v>0</v>
      </c>
      <c r="BA293" s="28">
        <f t="shared" si="132"/>
        <v>0</v>
      </c>
      <c r="BB293" s="28">
        <f t="shared" si="133"/>
        <v>0</v>
      </c>
      <c r="BC293" s="28">
        <f t="shared" si="134"/>
        <v>0</v>
      </c>
      <c r="BD293" s="3439">
        <f t="shared" si="135"/>
        <v>0</v>
      </c>
      <c r="BE293" s="3439">
        <f t="shared" si="136"/>
        <v>0</v>
      </c>
      <c r="BF293" s="3439">
        <f t="shared" si="137"/>
        <v>0</v>
      </c>
      <c r="BG293" s="3439">
        <f t="shared" si="138"/>
        <v>0</v>
      </c>
      <c r="BH293" s="3439">
        <f t="shared" si="139"/>
        <v>0</v>
      </c>
      <c r="BI293" s="3439">
        <f t="shared" si="140"/>
        <v>0</v>
      </c>
      <c r="BJ293" s="3439">
        <f t="shared" si="141"/>
        <v>0</v>
      </c>
      <c r="BK293" s="3439">
        <f t="shared" si="142"/>
        <v>0</v>
      </c>
      <c r="BL293" s="28">
        <f t="shared" si="143"/>
        <v>0</v>
      </c>
      <c r="BM293" s="28">
        <f t="shared" si="144"/>
        <v>0</v>
      </c>
      <c r="BN293" s="28">
        <f t="shared" si="145"/>
        <v>0</v>
      </c>
      <c r="BO293" s="28">
        <f t="shared" si="146"/>
        <v>0</v>
      </c>
      <c r="BP293" s="28">
        <f t="shared" si="147"/>
        <v>0</v>
      </c>
      <c r="BQ293" s="3439">
        <f t="shared" si="148"/>
        <v>0</v>
      </c>
      <c r="BR293" s="3439">
        <f t="shared" si="149"/>
        <v>0</v>
      </c>
      <c r="BS293" s="3439">
        <f t="shared" si="150"/>
        <v>0</v>
      </c>
      <c r="BT293" s="3451">
        <f t="shared" si="151"/>
        <v>0</v>
      </c>
    </row>
    <row r="294" spans="1:72">
      <c r="A294" s="9"/>
      <c r="B294" s="27"/>
      <c r="C294" s="27"/>
      <c r="D294" s="1678"/>
      <c r="E294" s="28">
        <f t="shared" si="123"/>
        <v>0</v>
      </c>
      <c r="F294" s="29"/>
      <c r="G294" s="30">
        <f t="shared" si="124"/>
        <v>0</v>
      </c>
      <c r="H294" s="31">
        <f t="shared" si="125"/>
        <v>0</v>
      </c>
      <c r="I294" s="32"/>
      <c r="J294" s="32"/>
      <c r="K294" s="32"/>
      <c r="L294" s="32"/>
      <c r="M294" s="32"/>
      <c r="N294" s="32"/>
      <c r="O294" s="32"/>
      <c r="P294" s="32"/>
      <c r="Q294" s="32"/>
      <c r="R294" s="32"/>
      <c r="S294" s="32"/>
      <c r="T294" s="32"/>
      <c r="U294" s="32"/>
      <c r="V294" s="32"/>
      <c r="W294" s="32"/>
      <c r="X294" s="32"/>
      <c r="Y294" s="32"/>
      <c r="Z294" s="32"/>
      <c r="AA294" s="32"/>
      <c r="AB294" s="32"/>
      <c r="AC294" s="28">
        <f t="shared" si="126"/>
        <v>0</v>
      </c>
      <c r="AD294" s="33"/>
      <c r="AE294" s="33"/>
      <c r="AF294" s="33"/>
      <c r="AG294" s="33"/>
      <c r="AH294" s="33"/>
      <c r="AI294" s="33"/>
      <c r="AJ294" s="33"/>
      <c r="AK294" s="33"/>
      <c r="AL294" s="33"/>
      <c r="AM294" s="33"/>
      <c r="AN294" s="33"/>
      <c r="AO294" s="33"/>
      <c r="AP294" s="33"/>
      <c r="AQ294" s="33"/>
      <c r="AR294" s="33"/>
      <c r="AS294" s="33"/>
      <c r="AT294" s="34"/>
      <c r="AU294" s="1679"/>
      <c r="AV294" s="2256">
        <f t="shared" si="127"/>
        <v>0</v>
      </c>
      <c r="AW294" s="2256">
        <f t="shared" si="128"/>
        <v>0</v>
      </c>
      <c r="AX294" s="2256">
        <f t="shared" si="129"/>
        <v>0</v>
      </c>
      <c r="AY294" s="2781">
        <f t="shared" si="130"/>
        <v>0</v>
      </c>
      <c r="AZ294" s="28">
        <f t="shared" si="131"/>
        <v>0</v>
      </c>
      <c r="BA294" s="28">
        <f t="shared" si="132"/>
        <v>0</v>
      </c>
      <c r="BB294" s="28">
        <f t="shared" si="133"/>
        <v>0</v>
      </c>
      <c r="BC294" s="28">
        <f t="shared" si="134"/>
        <v>0</v>
      </c>
      <c r="BD294" s="3439">
        <f t="shared" si="135"/>
        <v>0</v>
      </c>
      <c r="BE294" s="3439">
        <f t="shared" si="136"/>
        <v>0</v>
      </c>
      <c r="BF294" s="3439">
        <f t="shared" si="137"/>
        <v>0</v>
      </c>
      <c r="BG294" s="3439">
        <f t="shared" si="138"/>
        <v>0</v>
      </c>
      <c r="BH294" s="3439">
        <f t="shared" si="139"/>
        <v>0</v>
      </c>
      <c r="BI294" s="3439">
        <f t="shared" si="140"/>
        <v>0</v>
      </c>
      <c r="BJ294" s="3439">
        <f t="shared" si="141"/>
        <v>0</v>
      </c>
      <c r="BK294" s="3439">
        <f t="shared" si="142"/>
        <v>0</v>
      </c>
      <c r="BL294" s="28">
        <f t="shared" si="143"/>
        <v>0</v>
      </c>
      <c r="BM294" s="28">
        <f t="shared" si="144"/>
        <v>0</v>
      </c>
      <c r="BN294" s="28">
        <f t="shared" si="145"/>
        <v>0</v>
      </c>
      <c r="BO294" s="28">
        <f t="shared" si="146"/>
        <v>0</v>
      </c>
      <c r="BP294" s="28">
        <f t="shared" si="147"/>
        <v>0</v>
      </c>
      <c r="BQ294" s="3439">
        <f t="shared" si="148"/>
        <v>0</v>
      </c>
      <c r="BR294" s="3439">
        <f t="shared" si="149"/>
        <v>0</v>
      </c>
      <c r="BS294" s="3439">
        <f t="shared" si="150"/>
        <v>0</v>
      </c>
      <c r="BT294" s="3451">
        <f t="shared" si="151"/>
        <v>0</v>
      </c>
    </row>
    <row r="295" spans="1:72">
      <c r="A295" s="9"/>
      <c r="B295" s="27"/>
      <c r="C295" s="27"/>
      <c r="D295" s="1678"/>
      <c r="E295" s="28">
        <f t="shared" si="123"/>
        <v>0</v>
      </c>
      <c r="F295" s="29"/>
      <c r="G295" s="30">
        <f t="shared" si="124"/>
        <v>0</v>
      </c>
      <c r="H295" s="31">
        <f t="shared" si="125"/>
        <v>0</v>
      </c>
      <c r="I295" s="32"/>
      <c r="J295" s="32"/>
      <c r="K295" s="32"/>
      <c r="L295" s="32"/>
      <c r="M295" s="32"/>
      <c r="N295" s="32"/>
      <c r="O295" s="32"/>
      <c r="P295" s="32"/>
      <c r="Q295" s="32"/>
      <c r="R295" s="32"/>
      <c r="S295" s="32"/>
      <c r="T295" s="32"/>
      <c r="U295" s="32"/>
      <c r="V295" s="32"/>
      <c r="W295" s="32"/>
      <c r="X295" s="32"/>
      <c r="Y295" s="32"/>
      <c r="Z295" s="32"/>
      <c r="AA295" s="32"/>
      <c r="AB295" s="32"/>
      <c r="AC295" s="28">
        <f t="shared" si="126"/>
        <v>0</v>
      </c>
      <c r="AD295" s="33"/>
      <c r="AE295" s="33"/>
      <c r="AF295" s="33"/>
      <c r="AG295" s="33"/>
      <c r="AH295" s="33"/>
      <c r="AI295" s="33"/>
      <c r="AJ295" s="33"/>
      <c r="AK295" s="33"/>
      <c r="AL295" s="33"/>
      <c r="AM295" s="33"/>
      <c r="AN295" s="33"/>
      <c r="AO295" s="33"/>
      <c r="AP295" s="33"/>
      <c r="AQ295" s="33"/>
      <c r="AR295" s="33"/>
      <c r="AS295" s="33"/>
      <c r="AT295" s="34"/>
      <c r="AU295" s="1679"/>
      <c r="AV295" s="2256">
        <f t="shared" si="127"/>
        <v>0</v>
      </c>
      <c r="AW295" s="2256">
        <f t="shared" si="128"/>
        <v>0</v>
      </c>
      <c r="AX295" s="2256">
        <f t="shared" si="129"/>
        <v>0</v>
      </c>
      <c r="AY295" s="2781">
        <f t="shared" si="130"/>
        <v>0</v>
      </c>
      <c r="AZ295" s="28">
        <f t="shared" si="131"/>
        <v>0</v>
      </c>
      <c r="BA295" s="28">
        <f t="shared" si="132"/>
        <v>0</v>
      </c>
      <c r="BB295" s="28">
        <f t="shared" si="133"/>
        <v>0</v>
      </c>
      <c r="BC295" s="28">
        <f t="shared" si="134"/>
        <v>0</v>
      </c>
      <c r="BD295" s="3439">
        <f t="shared" si="135"/>
        <v>0</v>
      </c>
      <c r="BE295" s="3439">
        <f t="shared" si="136"/>
        <v>0</v>
      </c>
      <c r="BF295" s="3439">
        <f t="shared" si="137"/>
        <v>0</v>
      </c>
      <c r="BG295" s="3439">
        <f t="shared" si="138"/>
        <v>0</v>
      </c>
      <c r="BH295" s="3439">
        <f t="shared" si="139"/>
        <v>0</v>
      </c>
      <c r="BI295" s="3439">
        <f t="shared" si="140"/>
        <v>0</v>
      </c>
      <c r="BJ295" s="3439">
        <f t="shared" si="141"/>
        <v>0</v>
      </c>
      <c r="BK295" s="3439">
        <f t="shared" si="142"/>
        <v>0</v>
      </c>
      <c r="BL295" s="28">
        <f t="shared" si="143"/>
        <v>0</v>
      </c>
      <c r="BM295" s="28">
        <f t="shared" si="144"/>
        <v>0</v>
      </c>
      <c r="BN295" s="28">
        <f t="shared" si="145"/>
        <v>0</v>
      </c>
      <c r="BO295" s="28">
        <f t="shared" si="146"/>
        <v>0</v>
      </c>
      <c r="BP295" s="28">
        <f t="shared" si="147"/>
        <v>0</v>
      </c>
      <c r="BQ295" s="3439">
        <f t="shared" si="148"/>
        <v>0</v>
      </c>
      <c r="BR295" s="3439">
        <f t="shared" si="149"/>
        <v>0</v>
      </c>
      <c r="BS295" s="3439">
        <f t="shared" si="150"/>
        <v>0</v>
      </c>
      <c r="BT295" s="3451">
        <f t="shared" si="151"/>
        <v>0</v>
      </c>
    </row>
    <row r="296" spans="1:72">
      <c r="A296" s="9"/>
      <c r="B296" s="27"/>
      <c r="C296" s="27"/>
      <c r="D296" s="1678"/>
      <c r="E296" s="28">
        <f t="shared" si="123"/>
        <v>0</v>
      </c>
      <c r="F296" s="29"/>
      <c r="G296" s="30">
        <f t="shared" si="124"/>
        <v>0</v>
      </c>
      <c r="H296" s="31">
        <f t="shared" si="125"/>
        <v>0</v>
      </c>
      <c r="I296" s="32"/>
      <c r="J296" s="32"/>
      <c r="K296" s="32"/>
      <c r="L296" s="32"/>
      <c r="M296" s="32"/>
      <c r="N296" s="32"/>
      <c r="O296" s="32"/>
      <c r="P296" s="32"/>
      <c r="Q296" s="32"/>
      <c r="R296" s="32"/>
      <c r="S296" s="32"/>
      <c r="T296" s="32"/>
      <c r="U296" s="32"/>
      <c r="V296" s="32"/>
      <c r="W296" s="32"/>
      <c r="X296" s="32"/>
      <c r="Y296" s="32"/>
      <c r="Z296" s="32"/>
      <c r="AA296" s="32"/>
      <c r="AB296" s="32"/>
      <c r="AC296" s="28">
        <f t="shared" si="126"/>
        <v>0</v>
      </c>
      <c r="AD296" s="33"/>
      <c r="AE296" s="33"/>
      <c r="AF296" s="33"/>
      <c r="AG296" s="33"/>
      <c r="AH296" s="33"/>
      <c r="AI296" s="33"/>
      <c r="AJ296" s="33"/>
      <c r="AK296" s="33"/>
      <c r="AL296" s="33"/>
      <c r="AM296" s="33"/>
      <c r="AN296" s="33"/>
      <c r="AO296" s="33"/>
      <c r="AP296" s="33"/>
      <c r="AQ296" s="33"/>
      <c r="AR296" s="33"/>
      <c r="AS296" s="33"/>
      <c r="AT296" s="34"/>
      <c r="AU296" s="1679"/>
      <c r="AV296" s="2256">
        <f t="shared" si="127"/>
        <v>0</v>
      </c>
      <c r="AW296" s="2256">
        <f t="shared" si="128"/>
        <v>0</v>
      </c>
      <c r="AX296" s="2256">
        <f t="shared" si="129"/>
        <v>0</v>
      </c>
      <c r="AY296" s="2781">
        <f t="shared" si="130"/>
        <v>0</v>
      </c>
      <c r="AZ296" s="28">
        <f t="shared" si="131"/>
        <v>0</v>
      </c>
      <c r="BA296" s="28">
        <f t="shared" si="132"/>
        <v>0</v>
      </c>
      <c r="BB296" s="28">
        <f t="shared" si="133"/>
        <v>0</v>
      </c>
      <c r="BC296" s="28">
        <f t="shared" si="134"/>
        <v>0</v>
      </c>
      <c r="BD296" s="3439">
        <f t="shared" si="135"/>
        <v>0</v>
      </c>
      <c r="BE296" s="3439">
        <f t="shared" si="136"/>
        <v>0</v>
      </c>
      <c r="BF296" s="3439">
        <f t="shared" si="137"/>
        <v>0</v>
      </c>
      <c r="BG296" s="3439">
        <f t="shared" si="138"/>
        <v>0</v>
      </c>
      <c r="BH296" s="3439">
        <f t="shared" si="139"/>
        <v>0</v>
      </c>
      <c r="BI296" s="3439">
        <f t="shared" si="140"/>
        <v>0</v>
      </c>
      <c r="BJ296" s="3439">
        <f t="shared" si="141"/>
        <v>0</v>
      </c>
      <c r="BK296" s="3439">
        <f t="shared" si="142"/>
        <v>0</v>
      </c>
      <c r="BL296" s="28">
        <f t="shared" si="143"/>
        <v>0</v>
      </c>
      <c r="BM296" s="28">
        <f t="shared" si="144"/>
        <v>0</v>
      </c>
      <c r="BN296" s="28">
        <f t="shared" si="145"/>
        <v>0</v>
      </c>
      <c r="BO296" s="28">
        <f t="shared" si="146"/>
        <v>0</v>
      </c>
      <c r="BP296" s="28">
        <f t="shared" si="147"/>
        <v>0</v>
      </c>
      <c r="BQ296" s="3439">
        <f t="shared" si="148"/>
        <v>0</v>
      </c>
      <c r="BR296" s="3439">
        <f t="shared" si="149"/>
        <v>0</v>
      </c>
      <c r="BS296" s="3439">
        <f t="shared" si="150"/>
        <v>0</v>
      </c>
      <c r="BT296" s="3451">
        <f t="shared" si="151"/>
        <v>0</v>
      </c>
    </row>
    <row r="297" spans="1:72">
      <c r="A297" s="9"/>
      <c r="B297" s="27"/>
      <c r="C297" s="27"/>
      <c r="D297" s="1678"/>
      <c r="E297" s="28">
        <f t="shared" si="123"/>
        <v>0</v>
      </c>
      <c r="F297" s="29"/>
      <c r="G297" s="30">
        <f t="shared" si="124"/>
        <v>0</v>
      </c>
      <c r="H297" s="31">
        <f t="shared" si="125"/>
        <v>0</v>
      </c>
      <c r="I297" s="32"/>
      <c r="J297" s="32"/>
      <c r="K297" s="32"/>
      <c r="L297" s="32"/>
      <c r="M297" s="32"/>
      <c r="N297" s="32"/>
      <c r="O297" s="32"/>
      <c r="P297" s="32"/>
      <c r="Q297" s="32"/>
      <c r="R297" s="32"/>
      <c r="S297" s="32"/>
      <c r="T297" s="32"/>
      <c r="U297" s="32"/>
      <c r="V297" s="32"/>
      <c r="W297" s="32"/>
      <c r="X297" s="32"/>
      <c r="Y297" s="32"/>
      <c r="Z297" s="32"/>
      <c r="AA297" s="32"/>
      <c r="AB297" s="32"/>
      <c r="AC297" s="28">
        <f t="shared" si="126"/>
        <v>0</v>
      </c>
      <c r="AD297" s="33"/>
      <c r="AE297" s="33"/>
      <c r="AF297" s="33"/>
      <c r="AG297" s="33"/>
      <c r="AH297" s="33"/>
      <c r="AI297" s="33"/>
      <c r="AJ297" s="33"/>
      <c r="AK297" s="33"/>
      <c r="AL297" s="33"/>
      <c r="AM297" s="33"/>
      <c r="AN297" s="33"/>
      <c r="AO297" s="33"/>
      <c r="AP297" s="33"/>
      <c r="AQ297" s="33"/>
      <c r="AR297" s="33"/>
      <c r="AS297" s="33"/>
      <c r="AT297" s="34"/>
      <c r="AU297" s="1679"/>
      <c r="AV297" s="2256">
        <f t="shared" si="127"/>
        <v>0</v>
      </c>
      <c r="AW297" s="2256">
        <f t="shared" si="128"/>
        <v>0</v>
      </c>
      <c r="AX297" s="2256">
        <f t="shared" si="129"/>
        <v>0</v>
      </c>
      <c r="AY297" s="2781">
        <f t="shared" si="130"/>
        <v>0</v>
      </c>
      <c r="AZ297" s="28">
        <f t="shared" si="131"/>
        <v>0</v>
      </c>
      <c r="BA297" s="28">
        <f t="shared" si="132"/>
        <v>0</v>
      </c>
      <c r="BB297" s="28">
        <f t="shared" si="133"/>
        <v>0</v>
      </c>
      <c r="BC297" s="28">
        <f t="shared" si="134"/>
        <v>0</v>
      </c>
      <c r="BD297" s="3439">
        <f t="shared" si="135"/>
        <v>0</v>
      </c>
      <c r="BE297" s="3439">
        <f t="shared" si="136"/>
        <v>0</v>
      </c>
      <c r="BF297" s="3439">
        <f t="shared" si="137"/>
        <v>0</v>
      </c>
      <c r="BG297" s="3439">
        <f t="shared" si="138"/>
        <v>0</v>
      </c>
      <c r="BH297" s="3439">
        <f t="shared" si="139"/>
        <v>0</v>
      </c>
      <c r="BI297" s="3439">
        <f t="shared" si="140"/>
        <v>0</v>
      </c>
      <c r="BJ297" s="3439">
        <f t="shared" si="141"/>
        <v>0</v>
      </c>
      <c r="BK297" s="3439">
        <f t="shared" si="142"/>
        <v>0</v>
      </c>
      <c r="BL297" s="28">
        <f t="shared" si="143"/>
        <v>0</v>
      </c>
      <c r="BM297" s="28">
        <f t="shared" si="144"/>
        <v>0</v>
      </c>
      <c r="BN297" s="28">
        <f t="shared" si="145"/>
        <v>0</v>
      </c>
      <c r="BO297" s="28">
        <f t="shared" si="146"/>
        <v>0</v>
      </c>
      <c r="BP297" s="28">
        <f t="shared" si="147"/>
        <v>0</v>
      </c>
      <c r="BQ297" s="3439">
        <f t="shared" si="148"/>
        <v>0</v>
      </c>
      <c r="BR297" s="3439">
        <f t="shared" si="149"/>
        <v>0</v>
      </c>
      <c r="BS297" s="3439">
        <f t="shared" si="150"/>
        <v>0</v>
      </c>
      <c r="BT297" s="3451">
        <f t="shared" si="151"/>
        <v>0</v>
      </c>
    </row>
    <row r="298" spans="1:72">
      <c r="A298" s="9"/>
      <c r="B298" s="27"/>
      <c r="C298" s="27"/>
      <c r="D298" s="1678"/>
      <c r="E298" s="28">
        <f t="shared" si="123"/>
        <v>0</v>
      </c>
      <c r="F298" s="29"/>
      <c r="G298" s="30">
        <f t="shared" si="124"/>
        <v>0</v>
      </c>
      <c r="H298" s="31">
        <f t="shared" si="125"/>
        <v>0</v>
      </c>
      <c r="I298" s="32"/>
      <c r="J298" s="32"/>
      <c r="K298" s="32"/>
      <c r="L298" s="32"/>
      <c r="M298" s="32"/>
      <c r="N298" s="32"/>
      <c r="O298" s="32"/>
      <c r="P298" s="32"/>
      <c r="Q298" s="32"/>
      <c r="R298" s="32"/>
      <c r="S298" s="32"/>
      <c r="T298" s="32"/>
      <c r="U298" s="32"/>
      <c r="V298" s="32"/>
      <c r="W298" s="32"/>
      <c r="X298" s="32"/>
      <c r="Y298" s="32"/>
      <c r="Z298" s="32"/>
      <c r="AA298" s="32"/>
      <c r="AB298" s="32"/>
      <c r="AC298" s="28">
        <f t="shared" si="126"/>
        <v>0</v>
      </c>
      <c r="AD298" s="33"/>
      <c r="AE298" s="33"/>
      <c r="AF298" s="33"/>
      <c r="AG298" s="33"/>
      <c r="AH298" s="33"/>
      <c r="AI298" s="33"/>
      <c r="AJ298" s="33"/>
      <c r="AK298" s="33"/>
      <c r="AL298" s="33"/>
      <c r="AM298" s="33"/>
      <c r="AN298" s="33"/>
      <c r="AO298" s="33"/>
      <c r="AP298" s="33"/>
      <c r="AQ298" s="33"/>
      <c r="AR298" s="33"/>
      <c r="AS298" s="33"/>
      <c r="AT298" s="34"/>
      <c r="AU298" s="1679"/>
      <c r="AV298" s="2256">
        <f t="shared" si="127"/>
        <v>0</v>
      </c>
      <c r="AW298" s="2256">
        <f t="shared" si="128"/>
        <v>0</v>
      </c>
      <c r="AX298" s="2256">
        <f t="shared" si="129"/>
        <v>0</v>
      </c>
      <c r="AY298" s="2781">
        <f t="shared" si="130"/>
        <v>0</v>
      </c>
      <c r="AZ298" s="28">
        <f t="shared" si="131"/>
        <v>0</v>
      </c>
      <c r="BA298" s="28">
        <f t="shared" si="132"/>
        <v>0</v>
      </c>
      <c r="BB298" s="28">
        <f t="shared" si="133"/>
        <v>0</v>
      </c>
      <c r="BC298" s="28">
        <f t="shared" si="134"/>
        <v>0</v>
      </c>
      <c r="BD298" s="3439">
        <f t="shared" si="135"/>
        <v>0</v>
      </c>
      <c r="BE298" s="3439">
        <f t="shared" si="136"/>
        <v>0</v>
      </c>
      <c r="BF298" s="3439">
        <f t="shared" si="137"/>
        <v>0</v>
      </c>
      <c r="BG298" s="3439">
        <f t="shared" si="138"/>
        <v>0</v>
      </c>
      <c r="BH298" s="3439">
        <f t="shared" si="139"/>
        <v>0</v>
      </c>
      <c r="BI298" s="3439">
        <f t="shared" si="140"/>
        <v>0</v>
      </c>
      <c r="BJ298" s="3439">
        <f t="shared" si="141"/>
        <v>0</v>
      </c>
      <c r="BK298" s="3439">
        <f t="shared" si="142"/>
        <v>0</v>
      </c>
      <c r="BL298" s="28">
        <f t="shared" si="143"/>
        <v>0</v>
      </c>
      <c r="BM298" s="28">
        <f t="shared" si="144"/>
        <v>0</v>
      </c>
      <c r="BN298" s="28">
        <f t="shared" si="145"/>
        <v>0</v>
      </c>
      <c r="BO298" s="28">
        <f t="shared" si="146"/>
        <v>0</v>
      </c>
      <c r="BP298" s="28">
        <f t="shared" si="147"/>
        <v>0</v>
      </c>
      <c r="BQ298" s="3439">
        <f t="shared" si="148"/>
        <v>0</v>
      </c>
      <c r="BR298" s="3439">
        <f t="shared" si="149"/>
        <v>0</v>
      </c>
      <c r="BS298" s="3439">
        <f t="shared" si="150"/>
        <v>0</v>
      </c>
      <c r="BT298" s="3451">
        <f t="shared" si="151"/>
        <v>0</v>
      </c>
    </row>
    <row r="299" spans="1:72">
      <c r="A299" s="9"/>
      <c r="B299" s="27"/>
      <c r="C299" s="27"/>
      <c r="D299" s="1678"/>
      <c r="E299" s="28">
        <f t="shared" si="123"/>
        <v>0</v>
      </c>
      <c r="F299" s="29"/>
      <c r="G299" s="30">
        <f t="shared" si="124"/>
        <v>0</v>
      </c>
      <c r="H299" s="31">
        <f t="shared" si="125"/>
        <v>0</v>
      </c>
      <c r="I299" s="32"/>
      <c r="J299" s="32"/>
      <c r="K299" s="32"/>
      <c r="L299" s="32"/>
      <c r="M299" s="32"/>
      <c r="N299" s="32"/>
      <c r="O299" s="32"/>
      <c r="P299" s="32"/>
      <c r="Q299" s="32"/>
      <c r="R299" s="32"/>
      <c r="S299" s="32"/>
      <c r="T299" s="32"/>
      <c r="U299" s="32"/>
      <c r="V299" s="32"/>
      <c r="W299" s="32"/>
      <c r="X299" s="32"/>
      <c r="Y299" s="32"/>
      <c r="Z299" s="32"/>
      <c r="AA299" s="32"/>
      <c r="AB299" s="32"/>
      <c r="AC299" s="28">
        <f t="shared" si="126"/>
        <v>0</v>
      </c>
      <c r="AD299" s="33"/>
      <c r="AE299" s="33"/>
      <c r="AF299" s="33"/>
      <c r="AG299" s="33"/>
      <c r="AH299" s="33"/>
      <c r="AI299" s="33"/>
      <c r="AJ299" s="33"/>
      <c r="AK299" s="33"/>
      <c r="AL299" s="33"/>
      <c r="AM299" s="33"/>
      <c r="AN299" s="33"/>
      <c r="AO299" s="33"/>
      <c r="AP299" s="33"/>
      <c r="AQ299" s="33"/>
      <c r="AR299" s="33"/>
      <c r="AS299" s="33"/>
      <c r="AT299" s="34"/>
      <c r="AU299" s="1679"/>
      <c r="AV299" s="2256">
        <f t="shared" si="127"/>
        <v>0</v>
      </c>
      <c r="AW299" s="2256">
        <f t="shared" si="128"/>
        <v>0</v>
      </c>
      <c r="AX299" s="2256">
        <f t="shared" si="129"/>
        <v>0</v>
      </c>
      <c r="AY299" s="2781">
        <f t="shared" si="130"/>
        <v>0</v>
      </c>
      <c r="AZ299" s="28">
        <f t="shared" si="131"/>
        <v>0</v>
      </c>
      <c r="BA299" s="28">
        <f t="shared" si="132"/>
        <v>0</v>
      </c>
      <c r="BB299" s="28">
        <f t="shared" si="133"/>
        <v>0</v>
      </c>
      <c r="BC299" s="28">
        <f t="shared" si="134"/>
        <v>0</v>
      </c>
      <c r="BD299" s="3439">
        <f t="shared" si="135"/>
        <v>0</v>
      </c>
      <c r="BE299" s="3439">
        <f t="shared" si="136"/>
        <v>0</v>
      </c>
      <c r="BF299" s="3439">
        <f t="shared" si="137"/>
        <v>0</v>
      </c>
      <c r="BG299" s="3439">
        <f t="shared" si="138"/>
        <v>0</v>
      </c>
      <c r="BH299" s="3439">
        <f t="shared" si="139"/>
        <v>0</v>
      </c>
      <c r="BI299" s="3439">
        <f t="shared" si="140"/>
        <v>0</v>
      </c>
      <c r="BJ299" s="3439">
        <f t="shared" si="141"/>
        <v>0</v>
      </c>
      <c r="BK299" s="3439">
        <f t="shared" si="142"/>
        <v>0</v>
      </c>
      <c r="BL299" s="28">
        <f t="shared" si="143"/>
        <v>0</v>
      </c>
      <c r="BM299" s="28">
        <f t="shared" si="144"/>
        <v>0</v>
      </c>
      <c r="BN299" s="28">
        <f t="shared" si="145"/>
        <v>0</v>
      </c>
      <c r="BO299" s="28">
        <f t="shared" si="146"/>
        <v>0</v>
      </c>
      <c r="BP299" s="28">
        <f t="shared" si="147"/>
        <v>0</v>
      </c>
      <c r="BQ299" s="3439">
        <f t="shared" si="148"/>
        <v>0</v>
      </c>
      <c r="BR299" s="3439">
        <f t="shared" si="149"/>
        <v>0</v>
      </c>
      <c r="BS299" s="3439">
        <f t="shared" si="150"/>
        <v>0</v>
      </c>
      <c r="BT299" s="3451">
        <f t="shared" si="151"/>
        <v>0</v>
      </c>
    </row>
    <row r="300" spans="1:72">
      <c r="A300" s="9"/>
      <c r="B300" s="9"/>
      <c r="C300" s="9"/>
      <c r="D300" s="1678"/>
      <c r="E300" s="28">
        <f t="shared" si="123"/>
        <v>0</v>
      </c>
      <c r="F300" s="37"/>
      <c r="G300" s="30">
        <f t="shared" ref="G300:G331" si="152">H300+AC300+AT300</f>
        <v>0</v>
      </c>
      <c r="H300" s="31">
        <f t="shared" ref="H300:H331" si="153">SUMIF(I$12:AB$12,"总值",I300:AB300)</f>
        <v>0</v>
      </c>
      <c r="I300" s="10"/>
      <c r="J300" s="10"/>
      <c r="K300" s="32"/>
      <c r="L300" s="32"/>
      <c r="M300" s="32"/>
      <c r="N300" s="32"/>
      <c r="O300" s="32"/>
      <c r="P300" s="32"/>
      <c r="Q300" s="32"/>
      <c r="R300" s="32"/>
      <c r="S300" s="32"/>
      <c r="T300" s="32"/>
      <c r="U300" s="32"/>
      <c r="V300" s="32"/>
      <c r="W300" s="32"/>
      <c r="X300" s="32"/>
      <c r="Y300" s="32"/>
      <c r="Z300" s="32"/>
      <c r="AA300" s="32"/>
      <c r="AB300" s="32"/>
      <c r="AC300" s="28">
        <f t="shared" ref="AC300:AC331" si="154">SUMIF(AD$12:AS$12,"总值",AD300:AS300)</f>
        <v>0</v>
      </c>
      <c r="AD300" s="33"/>
      <c r="AE300" s="33"/>
      <c r="AF300" s="33"/>
      <c r="AG300" s="33"/>
      <c r="AH300" s="33"/>
      <c r="AI300" s="33"/>
      <c r="AJ300" s="33"/>
      <c r="AK300" s="33"/>
      <c r="AL300" s="33"/>
      <c r="AM300" s="33"/>
      <c r="AN300" s="33"/>
      <c r="AO300" s="33"/>
      <c r="AP300" s="33"/>
      <c r="AQ300" s="33"/>
      <c r="AR300" s="33"/>
      <c r="AS300" s="33"/>
      <c r="AT300" s="33"/>
      <c r="AU300" s="1626"/>
      <c r="AV300" s="2256">
        <f t="shared" si="127"/>
        <v>0</v>
      </c>
      <c r="AW300" s="2256">
        <f t="shared" si="128"/>
        <v>0</v>
      </c>
      <c r="AX300" s="2256">
        <f t="shared" si="129"/>
        <v>0</v>
      </c>
      <c r="AY300" s="2781">
        <f t="shared" ref="AY300:AY331" si="155">ROUND($AY$6*AZ300/$AZ$5,2)</f>
        <v>0</v>
      </c>
      <c r="AZ300" s="28">
        <f t="shared" ref="AZ300:AZ331" si="156">BA300+BL300</f>
        <v>0</v>
      </c>
      <c r="BA300" s="28">
        <f t="shared" ref="BA300:BA331" si="157">SUM(BB300:BK300)</f>
        <v>0</v>
      </c>
      <c r="BB300" s="28">
        <f t="shared" ref="BB300:BB331" si="158">IF($D300="是",I300-J300,0)</f>
        <v>0</v>
      </c>
      <c r="BC300" s="28">
        <f t="shared" ref="BC300:BC331" si="159">IF($D300="是",K300-L300,0)</f>
        <v>0</v>
      </c>
      <c r="BD300" s="3439">
        <f t="shared" ref="BD300:BD331" si="160">IF($D300="是",M300-N300,0)</f>
        <v>0</v>
      </c>
      <c r="BE300" s="3439">
        <f t="shared" ref="BE300:BE331" si="161">IF($D300="是",O300-P300,0)</f>
        <v>0</v>
      </c>
      <c r="BF300" s="3439">
        <f t="shared" ref="BF300:BF331" si="162">IF($D300="是",Q300-R300,0)</f>
        <v>0</v>
      </c>
      <c r="BG300" s="3439">
        <f t="shared" ref="BG300:BG331" si="163">IF($D300="是",S300-T300,0)</f>
        <v>0</v>
      </c>
      <c r="BH300" s="3439">
        <f t="shared" ref="BH300:BH331" si="164">IF($D300="是",U300-V300,0)</f>
        <v>0</v>
      </c>
      <c r="BI300" s="3439">
        <f t="shared" ref="BI300:BI331" si="165">IF($D300="是",W300-X300,0)</f>
        <v>0</v>
      </c>
      <c r="BJ300" s="3439">
        <f t="shared" ref="BJ300:BJ331" si="166">IF($D300="是",Y300-Z300,0)</f>
        <v>0</v>
      </c>
      <c r="BK300" s="3439">
        <f t="shared" ref="BK300:BK331" si="167">IF($D300="是",AA300-AB300,0)</f>
        <v>0</v>
      </c>
      <c r="BL300" s="28">
        <f t="shared" ref="BL300:BL331" si="168">SUM(BM300:BT300)</f>
        <v>0</v>
      </c>
      <c r="BM300" s="28">
        <f t="shared" ref="BM300:BM331" si="169">IF($D300="是",AD300-AE300,0)</f>
        <v>0</v>
      </c>
      <c r="BN300" s="28">
        <f t="shared" ref="BN300:BN331" si="170">IF($D300="是",AF300-AG300,0)</f>
        <v>0</v>
      </c>
      <c r="BO300" s="28">
        <f t="shared" ref="BO300:BO331" si="171">IF($D300="是",AH300-AI300,0)</f>
        <v>0</v>
      </c>
      <c r="BP300" s="28">
        <f t="shared" ref="BP300:BP331" si="172">IF($D300="是",AJ300-AK300,0)</f>
        <v>0</v>
      </c>
      <c r="BQ300" s="3439">
        <f t="shared" ref="BQ300:BQ331" si="173">IF($D300="是",AL300-AM300,0)</f>
        <v>0</v>
      </c>
      <c r="BR300" s="3439">
        <f t="shared" ref="BR300:BR331" si="174">IF($D300="是",AN300-AO300,0)</f>
        <v>0</v>
      </c>
      <c r="BS300" s="3439">
        <f t="shared" ref="BS300:BS331" si="175">IF($D300="是",AP300-AQ300,0)</f>
        <v>0</v>
      </c>
      <c r="BT300" s="3451">
        <f t="shared" ref="BT300:BT331" si="176">IF($D300="是",AR300-AS300,0)</f>
        <v>0</v>
      </c>
    </row>
    <row r="301" spans="1:72">
      <c r="A301" s="9"/>
      <c r="B301" s="9"/>
      <c r="C301" s="9"/>
      <c r="D301" s="1678"/>
      <c r="E301" s="28">
        <f t="shared" si="123"/>
        <v>0</v>
      </c>
      <c r="F301" s="37"/>
      <c r="G301" s="30">
        <f t="shared" si="152"/>
        <v>0</v>
      </c>
      <c r="H301" s="31">
        <f t="shared" si="153"/>
        <v>0</v>
      </c>
      <c r="I301" s="32"/>
      <c r="J301" s="32"/>
      <c r="K301" s="32"/>
      <c r="L301" s="32"/>
      <c r="M301" s="32"/>
      <c r="N301" s="32"/>
      <c r="O301" s="32"/>
      <c r="P301" s="32"/>
      <c r="Q301" s="32"/>
      <c r="R301" s="32"/>
      <c r="S301" s="32"/>
      <c r="T301" s="32"/>
      <c r="U301" s="32"/>
      <c r="V301" s="32"/>
      <c r="W301" s="32"/>
      <c r="X301" s="32"/>
      <c r="Y301" s="32"/>
      <c r="Z301" s="32"/>
      <c r="AA301" s="32"/>
      <c r="AB301" s="32"/>
      <c r="AC301" s="28">
        <f t="shared" si="154"/>
        <v>0</v>
      </c>
      <c r="AD301" s="33"/>
      <c r="AE301" s="33"/>
      <c r="AF301" s="33"/>
      <c r="AG301" s="33"/>
      <c r="AH301" s="33"/>
      <c r="AI301" s="33"/>
      <c r="AJ301" s="33"/>
      <c r="AK301" s="33"/>
      <c r="AL301" s="33"/>
      <c r="AM301" s="33"/>
      <c r="AN301" s="33"/>
      <c r="AO301" s="33"/>
      <c r="AP301" s="33"/>
      <c r="AQ301" s="33"/>
      <c r="AR301" s="33"/>
      <c r="AS301" s="33"/>
      <c r="AT301" s="33"/>
      <c r="AU301" s="1626"/>
      <c r="AV301" s="2256">
        <f t="shared" si="127"/>
        <v>0</v>
      </c>
      <c r="AW301" s="2256">
        <f t="shared" si="128"/>
        <v>0</v>
      </c>
      <c r="AX301" s="2256">
        <f t="shared" si="129"/>
        <v>0</v>
      </c>
      <c r="AY301" s="2781">
        <f t="shared" si="155"/>
        <v>0</v>
      </c>
      <c r="AZ301" s="28">
        <f t="shared" si="156"/>
        <v>0</v>
      </c>
      <c r="BA301" s="28">
        <f t="shared" si="157"/>
        <v>0</v>
      </c>
      <c r="BB301" s="28">
        <f t="shared" si="158"/>
        <v>0</v>
      </c>
      <c r="BC301" s="28">
        <f t="shared" si="159"/>
        <v>0</v>
      </c>
      <c r="BD301" s="3439">
        <f t="shared" si="160"/>
        <v>0</v>
      </c>
      <c r="BE301" s="3439">
        <f t="shared" si="161"/>
        <v>0</v>
      </c>
      <c r="BF301" s="3439">
        <f t="shared" si="162"/>
        <v>0</v>
      </c>
      <c r="BG301" s="3439">
        <f t="shared" si="163"/>
        <v>0</v>
      </c>
      <c r="BH301" s="3439">
        <f t="shared" si="164"/>
        <v>0</v>
      </c>
      <c r="BI301" s="3439">
        <f t="shared" si="165"/>
        <v>0</v>
      </c>
      <c r="BJ301" s="3439">
        <f t="shared" si="166"/>
        <v>0</v>
      </c>
      <c r="BK301" s="3439">
        <f t="shared" si="167"/>
        <v>0</v>
      </c>
      <c r="BL301" s="28">
        <f t="shared" si="168"/>
        <v>0</v>
      </c>
      <c r="BM301" s="28">
        <f t="shared" si="169"/>
        <v>0</v>
      </c>
      <c r="BN301" s="28">
        <f t="shared" si="170"/>
        <v>0</v>
      </c>
      <c r="BO301" s="28">
        <f t="shared" si="171"/>
        <v>0</v>
      </c>
      <c r="BP301" s="28">
        <f t="shared" si="172"/>
        <v>0</v>
      </c>
      <c r="BQ301" s="3439">
        <f t="shared" si="173"/>
        <v>0</v>
      </c>
      <c r="BR301" s="3439">
        <f t="shared" si="174"/>
        <v>0</v>
      </c>
      <c r="BS301" s="3439">
        <f t="shared" si="175"/>
        <v>0</v>
      </c>
      <c r="BT301" s="3451">
        <f t="shared" si="176"/>
        <v>0</v>
      </c>
    </row>
    <row r="302" spans="1:72">
      <c r="A302" s="9"/>
      <c r="B302" s="9"/>
      <c r="C302" s="9"/>
      <c r="D302" s="1678"/>
      <c r="E302" s="28">
        <f t="shared" si="123"/>
        <v>0</v>
      </c>
      <c r="F302" s="37"/>
      <c r="G302" s="30">
        <f t="shared" si="152"/>
        <v>0</v>
      </c>
      <c r="H302" s="31">
        <f t="shared" si="153"/>
        <v>0</v>
      </c>
      <c r="I302" s="32"/>
      <c r="J302" s="32"/>
      <c r="K302" s="32"/>
      <c r="L302" s="32"/>
      <c r="M302" s="32"/>
      <c r="N302" s="32"/>
      <c r="O302" s="32"/>
      <c r="P302" s="32"/>
      <c r="Q302" s="32"/>
      <c r="R302" s="32"/>
      <c r="S302" s="32"/>
      <c r="T302" s="32"/>
      <c r="U302" s="32"/>
      <c r="V302" s="32"/>
      <c r="W302" s="32"/>
      <c r="X302" s="32"/>
      <c r="Y302" s="32"/>
      <c r="Z302" s="32"/>
      <c r="AA302" s="32"/>
      <c r="AB302" s="32"/>
      <c r="AC302" s="28">
        <f t="shared" si="154"/>
        <v>0</v>
      </c>
      <c r="AD302" s="33"/>
      <c r="AE302" s="33"/>
      <c r="AF302" s="33"/>
      <c r="AG302" s="33"/>
      <c r="AH302" s="33"/>
      <c r="AI302" s="33"/>
      <c r="AJ302" s="33"/>
      <c r="AK302" s="33"/>
      <c r="AL302" s="33"/>
      <c r="AM302" s="33"/>
      <c r="AN302" s="33"/>
      <c r="AO302" s="33"/>
      <c r="AP302" s="33"/>
      <c r="AQ302" s="33"/>
      <c r="AR302" s="33"/>
      <c r="AS302" s="33"/>
      <c r="AT302" s="33"/>
      <c r="AU302" s="1626"/>
      <c r="AV302" s="2256">
        <f t="shared" si="127"/>
        <v>0</v>
      </c>
      <c r="AW302" s="2256">
        <f t="shared" si="128"/>
        <v>0</v>
      </c>
      <c r="AX302" s="2256">
        <f t="shared" si="129"/>
        <v>0</v>
      </c>
      <c r="AY302" s="2781">
        <f t="shared" si="155"/>
        <v>0</v>
      </c>
      <c r="AZ302" s="28">
        <f t="shared" si="156"/>
        <v>0</v>
      </c>
      <c r="BA302" s="28">
        <f t="shared" si="157"/>
        <v>0</v>
      </c>
      <c r="BB302" s="28">
        <f t="shared" si="158"/>
        <v>0</v>
      </c>
      <c r="BC302" s="28">
        <f t="shared" si="159"/>
        <v>0</v>
      </c>
      <c r="BD302" s="3439">
        <f t="shared" si="160"/>
        <v>0</v>
      </c>
      <c r="BE302" s="3439">
        <f t="shared" si="161"/>
        <v>0</v>
      </c>
      <c r="BF302" s="3439">
        <f t="shared" si="162"/>
        <v>0</v>
      </c>
      <c r="BG302" s="3439">
        <f t="shared" si="163"/>
        <v>0</v>
      </c>
      <c r="BH302" s="3439">
        <f t="shared" si="164"/>
        <v>0</v>
      </c>
      <c r="BI302" s="3439">
        <f t="shared" si="165"/>
        <v>0</v>
      </c>
      <c r="BJ302" s="3439">
        <f t="shared" si="166"/>
        <v>0</v>
      </c>
      <c r="BK302" s="3439">
        <f t="shared" si="167"/>
        <v>0</v>
      </c>
      <c r="BL302" s="28">
        <f t="shared" si="168"/>
        <v>0</v>
      </c>
      <c r="BM302" s="28">
        <f t="shared" si="169"/>
        <v>0</v>
      </c>
      <c r="BN302" s="28">
        <f t="shared" si="170"/>
        <v>0</v>
      </c>
      <c r="BO302" s="28">
        <f t="shared" si="171"/>
        <v>0</v>
      </c>
      <c r="BP302" s="28">
        <f t="shared" si="172"/>
        <v>0</v>
      </c>
      <c r="BQ302" s="3439">
        <f t="shared" si="173"/>
        <v>0</v>
      </c>
      <c r="BR302" s="3439">
        <f t="shared" si="174"/>
        <v>0</v>
      </c>
      <c r="BS302" s="3439">
        <f t="shared" si="175"/>
        <v>0</v>
      </c>
      <c r="BT302" s="3451">
        <f t="shared" si="176"/>
        <v>0</v>
      </c>
    </row>
    <row r="303" spans="1:72">
      <c r="A303" s="9"/>
      <c r="B303" s="27"/>
      <c r="C303" s="27"/>
      <c r="D303" s="1678"/>
      <c r="E303" s="28">
        <f t="shared" ref="E303:E334" si="177">IF($C$3="是",ROUND($A$3*G303/$B$3,2),ROUND($A$3*(G303-AT303)/$B$3,2))</f>
        <v>0</v>
      </c>
      <c r="F303" s="29"/>
      <c r="G303" s="30">
        <f t="shared" si="152"/>
        <v>0</v>
      </c>
      <c r="H303" s="31">
        <f t="shared" si="153"/>
        <v>0</v>
      </c>
      <c r="I303" s="32"/>
      <c r="J303" s="32"/>
      <c r="K303" s="32"/>
      <c r="L303" s="32"/>
      <c r="M303" s="32"/>
      <c r="N303" s="32"/>
      <c r="O303" s="32"/>
      <c r="P303" s="32"/>
      <c r="Q303" s="32"/>
      <c r="R303" s="32"/>
      <c r="S303" s="32"/>
      <c r="T303" s="32"/>
      <c r="U303" s="32"/>
      <c r="V303" s="32"/>
      <c r="W303" s="32"/>
      <c r="X303" s="32"/>
      <c r="Y303" s="32"/>
      <c r="Z303" s="32"/>
      <c r="AA303" s="32"/>
      <c r="AB303" s="32"/>
      <c r="AC303" s="28">
        <f t="shared" si="154"/>
        <v>0</v>
      </c>
      <c r="AD303" s="33"/>
      <c r="AE303" s="33"/>
      <c r="AF303" s="33"/>
      <c r="AG303" s="33"/>
      <c r="AH303" s="33"/>
      <c r="AI303" s="33"/>
      <c r="AJ303" s="33"/>
      <c r="AK303" s="33"/>
      <c r="AL303" s="33"/>
      <c r="AM303" s="33"/>
      <c r="AN303" s="33"/>
      <c r="AO303" s="33"/>
      <c r="AP303" s="33"/>
      <c r="AQ303" s="33"/>
      <c r="AR303" s="33"/>
      <c r="AS303" s="33"/>
      <c r="AT303" s="34"/>
      <c r="AU303" s="1679"/>
      <c r="AV303" s="2256">
        <f t="shared" ref="AV303:AV334" si="178">A303</f>
        <v>0</v>
      </c>
      <c r="AW303" s="2256">
        <f t="shared" ref="AW303:AW334" si="179">B303</f>
        <v>0</v>
      </c>
      <c r="AX303" s="2256">
        <f t="shared" ref="AX303:AX334" si="180">C303</f>
        <v>0</v>
      </c>
      <c r="AY303" s="2781">
        <f t="shared" si="155"/>
        <v>0</v>
      </c>
      <c r="AZ303" s="28">
        <f t="shared" si="156"/>
        <v>0</v>
      </c>
      <c r="BA303" s="28">
        <f t="shared" si="157"/>
        <v>0</v>
      </c>
      <c r="BB303" s="28">
        <f t="shared" si="158"/>
        <v>0</v>
      </c>
      <c r="BC303" s="28">
        <f t="shared" si="159"/>
        <v>0</v>
      </c>
      <c r="BD303" s="3439">
        <f t="shared" si="160"/>
        <v>0</v>
      </c>
      <c r="BE303" s="3439">
        <f t="shared" si="161"/>
        <v>0</v>
      </c>
      <c r="BF303" s="3439">
        <f t="shared" si="162"/>
        <v>0</v>
      </c>
      <c r="BG303" s="3439">
        <f t="shared" si="163"/>
        <v>0</v>
      </c>
      <c r="BH303" s="3439">
        <f t="shared" si="164"/>
        <v>0</v>
      </c>
      <c r="BI303" s="3439">
        <f t="shared" si="165"/>
        <v>0</v>
      </c>
      <c r="BJ303" s="3439">
        <f t="shared" si="166"/>
        <v>0</v>
      </c>
      <c r="BK303" s="3439">
        <f t="shared" si="167"/>
        <v>0</v>
      </c>
      <c r="BL303" s="28">
        <f t="shared" si="168"/>
        <v>0</v>
      </c>
      <c r="BM303" s="28">
        <f t="shared" si="169"/>
        <v>0</v>
      </c>
      <c r="BN303" s="28">
        <f t="shared" si="170"/>
        <v>0</v>
      </c>
      <c r="BO303" s="28">
        <f t="shared" si="171"/>
        <v>0</v>
      </c>
      <c r="BP303" s="28">
        <f t="shared" si="172"/>
        <v>0</v>
      </c>
      <c r="BQ303" s="3439">
        <f t="shared" si="173"/>
        <v>0</v>
      </c>
      <c r="BR303" s="3439">
        <f t="shared" si="174"/>
        <v>0</v>
      </c>
      <c r="BS303" s="3439">
        <f t="shared" si="175"/>
        <v>0</v>
      </c>
      <c r="BT303" s="3451">
        <f t="shared" si="176"/>
        <v>0</v>
      </c>
    </row>
    <row r="304" spans="1:72">
      <c r="A304" s="9"/>
      <c r="B304" s="27"/>
      <c r="C304" s="27"/>
      <c r="D304" s="1678"/>
      <c r="E304" s="28">
        <f t="shared" si="177"/>
        <v>0</v>
      </c>
      <c r="F304" s="29"/>
      <c r="G304" s="30">
        <f t="shared" si="152"/>
        <v>0</v>
      </c>
      <c r="H304" s="31">
        <f t="shared" si="153"/>
        <v>0</v>
      </c>
      <c r="I304" s="32"/>
      <c r="J304" s="32"/>
      <c r="K304" s="32"/>
      <c r="L304" s="32"/>
      <c r="M304" s="32"/>
      <c r="N304" s="32"/>
      <c r="O304" s="32"/>
      <c r="P304" s="32"/>
      <c r="Q304" s="32"/>
      <c r="R304" s="32"/>
      <c r="S304" s="32"/>
      <c r="T304" s="32"/>
      <c r="U304" s="32"/>
      <c r="V304" s="32"/>
      <c r="W304" s="32"/>
      <c r="X304" s="32"/>
      <c r="Y304" s="32"/>
      <c r="Z304" s="32"/>
      <c r="AA304" s="32"/>
      <c r="AB304" s="32"/>
      <c r="AC304" s="28">
        <f t="shared" si="154"/>
        <v>0</v>
      </c>
      <c r="AD304" s="33"/>
      <c r="AE304" s="33"/>
      <c r="AF304" s="33"/>
      <c r="AG304" s="33"/>
      <c r="AH304" s="33"/>
      <c r="AI304" s="33"/>
      <c r="AJ304" s="33"/>
      <c r="AK304" s="33"/>
      <c r="AL304" s="33"/>
      <c r="AM304" s="33"/>
      <c r="AN304" s="33"/>
      <c r="AO304" s="33"/>
      <c r="AP304" s="33"/>
      <c r="AQ304" s="33"/>
      <c r="AR304" s="33"/>
      <c r="AS304" s="33"/>
      <c r="AT304" s="34"/>
      <c r="AU304" s="1679"/>
      <c r="AV304" s="2256">
        <f t="shared" si="178"/>
        <v>0</v>
      </c>
      <c r="AW304" s="2256">
        <f t="shared" si="179"/>
        <v>0</v>
      </c>
      <c r="AX304" s="2256">
        <f t="shared" si="180"/>
        <v>0</v>
      </c>
      <c r="AY304" s="2781">
        <f t="shared" si="155"/>
        <v>0</v>
      </c>
      <c r="AZ304" s="28">
        <f t="shared" si="156"/>
        <v>0</v>
      </c>
      <c r="BA304" s="28">
        <f t="shared" si="157"/>
        <v>0</v>
      </c>
      <c r="BB304" s="28">
        <f t="shared" si="158"/>
        <v>0</v>
      </c>
      <c r="BC304" s="28">
        <f t="shared" si="159"/>
        <v>0</v>
      </c>
      <c r="BD304" s="3439">
        <f t="shared" si="160"/>
        <v>0</v>
      </c>
      <c r="BE304" s="3439">
        <f t="shared" si="161"/>
        <v>0</v>
      </c>
      <c r="BF304" s="3439">
        <f t="shared" si="162"/>
        <v>0</v>
      </c>
      <c r="BG304" s="3439">
        <f t="shared" si="163"/>
        <v>0</v>
      </c>
      <c r="BH304" s="3439">
        <f t="shared" si="164"/>
        <v>0</v>
      </c>
      <c r="BI304" s="3439">
        <f t="shared" si="165"/>
        <v>0</v>
      </c>
      <c r="BJ304" s="3439">
        <f t="shared" si="166"/>
        <v>0</v>
      </c>
      <c r="BK304" s="3439">
        <f t="shared" si="167"/>
        <v>0</v>
      </c>
      <c r="BL304" s="28">
        <f t="shared" si="168"/>
        <v>0</v>
      </c>
      <c r="BM304" s="28">
        <f t="shared" si="169"/>
        <v>0</v>
      </c>
      <c r="BN304" s="28">
        <f t="shared" si="170"/>
        <v>0</v>
      </c>
      <c r="BO304" s="28">
        <f t="shared" si="171"/>
        <v>0</v>
      </c>
      <c r="BP304" s="28">
        <f t="shared" si="172"/>
        <v>0</v>
      </c>
      <c r="BQ304" s="3439">
        <f t="shared" si="173"/>
        <v>0</v>
      </c>
      <c r="BR304" s="3439">
        <f t="shared" si="174"/>
        <v>0</v>
      </c>
      <c r="BS304" s="3439">
        <f t="shared" si="175"/>
        <v>0</v>
      </c>
      <c r="BT304" s="3451">
        <f t="shared" si="176"/>
        <v>0</v>
      </c>
    </row>
    <row r="305" spans="1:72">
      <c r="A305" s="9"/>
      <c r="B305" s="27"/>
      <c r="C305" s="27"/>
      <c r="D305" s="1678"/>
      <c r="E305" s="28">
        <f t="shared" si="177"/>
        <v>0</v>
      </c>
      <c r="F305" s="29"/>
      <c r="G305" s="30">
        <f t="shared" si="152"/>
        <v>0</v>
      </c>
      <c r="H305" s="31">
        <f t="shared" si="153"/>
        <v>0</v>
      </c>
      <c r="I305" s="32"/>
      <c r="J305" s="32"/>
      <c r="K305" s="32"/>
      <c r="L305" s="32"/>
      <c r="M305" s="32"/>
      <c r="N305" s="32"/>
      <c r="O305" s="32"/>
      <c r="P305" s="32"/>
      <c r="Q305" s="32"/>
      <c r="R305" s="32"/>
      <c r="S305" s="32"/>
      <c r="T305" s="32"/>
      <c r="U305" s="32"/>
      <c r="V305" s="32"/>
      <c r="W305" s="32"/>
      <c r="X305" s="32"/>
      <c r="Y305" s="32"/>
      <c r="Z305" s="32"/>
      <c r="AA305" s="32"/>
      <c r="AB305" s="32"/>
      <c r="AC305" s="28">
        <f t="shared" si="154"/>
        <v>0</v>
      </c>
      <c r="AD305" s="33"/>
      <c r="AE305" s="33"/>
      <c r="AF305" s="33"/>
      <c r="AG305" s="33"/>
      <c r="AH305" s="33"/>
      <c r="AI305" s="33"/>
      <c r="AJ305" s="33"/>
      <c r="AK305" s="33"/>
      <c r="AL305" s="33"/>
      <c r="AM305" s="33"/>
      <c r="AN305" s="33"/>
      <c r="AO305" s="33"/>
      <c r="AP305" s="33"/>
      <c r="AQ305" s="33"/>
      <c r="AR305" s="33"/>
      <c r="AS305" s="33"/>
      <c r="AT305" s="34"/>
      <c r="AU305" s="1679"/>
      <c r="AV305" s="2256">
        <f t="shared" si="178"/>
        <v>0</v>
      </c>
      <c r="AW305" s="2256">
        <f t="shared" si="179"/>
        <v>0</v>
      </c>
      <c r="AX305" s="2256">
        <f t="shared" si="180"/>
        <v>0</v>
      </c>
      <c r="AY305" s="2781">
        <f t="shared" si="155"/>
        <v>0</v>
      </c>
      <c r="AZ305" s="28">
        <f t="shared" si="156"/>
        <v>0</v>
      </c>
      <c r="BA305" s="28">
        <f t="shared" si="157"/>
        <v>0</v>
      </c>
      <c r="BB305" s="28">
        <f t="shared" si="158"/>
        <v>0</v>
      </c>
      <c r="BC305" s="28">
        <f t="shared" si="159"/>
        <v>0</v>
      </c>
      <c r="BD305" s="3439">
        <f t="shared" si="160"/>
        <v>0</v>
      </c>
      <c r="BE305" s="3439">
        <f t="shared" si="161"/>
        <v>0</v>
      </c>
      <c r="BF305" s="3439">
        <f t="shared" si="162"/>
        <v>0</v>
      </c>
      <c r="BG305" s="3439">
        <f t="shared" si="163"/>
        <v>0</v>
      </c>
      <c r="BH305" s="3439">
        <f t="shared" si="164"/>
        <v>0</v>
      </c>
      <c r="BI305" s="3439">
        <f t="shared" si="165"/>
        <v>0</v>
      </c>
      <c r="BJ305" s="3439">
        <f t="shared" si="166"/>
        <v>0</v>
      </c>
      <c r="BK305" s="3439">
        <f t="shared" si="167"/>
        <v>0</v>
      </c>
      <c r="BL305" s="28">
        <f t="shared" si="168"/>
        <v>0</v>
      </c>
      <c r="BM305" s="28">
        <f t="shared" si="169"/>
        <v>0</v>
      </c>
      <c r="BN305" s="28">
        <f t="shared" si="170"/>
        <v>0</v>
      </c>
      <c r="BO305" s="28">
        <f t="shared" si="171"/>
        <v>0</v>
      </c>
      <c r="BP305" s="28">
        <f t="shared" si="172"/>
        <v>0</v>
      </c>
      <c r="BQ305" s="3439">
        <f t="shared" si="173"/>
        <v>0</v>
      </c>
      <c r="BR305" s="3439">
        <f t="shared" si="174"/>
        <v>0</v>
      </c>
      <c r="BS305" s="3439">
        <f t="shared" si="175"/>
        <v>0</v>
      </c>
      <c r="BT305" s="3451">
        <f t="shared" si="176"/>
        <v>0</v>
      </c>
    </row>
    <row r="306" spans="1:72">
      <c r="A306" s="9"/>
      <c r="B306" s="27"/>
      <c r="C306" s="27"/>
      <c r="D306" s="1678"/>
      <c r="E306" s="28">
        <f t="shared" si="177"/>
        <v>0</v>
      </c>
      <c r="F306" s="29"/>
      <c r="G306" s="30">
        <f t="shared" si="152"/>
        <v>0</v>
      </c>
      <c r="H306" s="31">
        <f t="shared" si="153"/>
        <v>0</v>
      </c>
      <c r="I306" s="32"/>
      <c r="J306" s="32"/>
      <c r="K306" s="32"/>
      <c r="L306" s="32"/>
      <c r="M306" s="32"/>
      <c r="N306" s="32"/>
      <c r="O306" s="32"/>
      <c r="P306" s="32"/>
      <c r="Q306" s="32"/>
      <c r="R306" s="32"/>
      <c r="S306" s="32"/>
      <c r="T306" s="32"/>
      <c r="U306" s="32"/>
      <c r="V306" s="32"/>
      <c r="W306" s="32"/>
      <c r="X306" s="32"/>
      <c r="Y306" s="32"/>
      <c r="Z306" s="32"/>
      <c r="AA306" s="32"/>
      <c r="AB306" s="32"/>
      <c r="AC306" s="28">
        <f t="shared" si="154"/>
        <v>0</v>
      </c>
      <c r="AD306" s="33"/>
      <c r="AE306" s="33"/>
      <c r="AF306" s="33"/>
      <c r="AG306" s="33"/>
      <c r="AH306" s="33"/>
      <c r="AI306" s="33"/>
      <c r="AJ306" s="33"/>
      <c r="AK306" s="33"/>
      <c r="AL306" s="33"/>
      <c r="AM306" s="33"/>
      <c r="AN306" s="33"/>
      <c r="AO306" s="33"/>
      <c r="AP306" s="33"/>
      <c r="AQ306" s="33"/>
      <c r="AR306" s="33"/>
      <c r="AS306" s="33"/>
      <c r="AT306" s="34"/>
      <c r="AU306" s="1679"/>
      <c r="AV306" s="2256">
        <f t="shared" si="178"/>
        <v>0</v>
      </c>
      <c r="AW306" s="2256">
        <f t="shared" si="179"/>
        <v>0</v>
      </c>
      <c r="AX306" s="2256">
        <f t="shared" si="180"/>
        <v>0</v>
      </c>
      <c r="AY306" s="2781">
        <f t="shared" si="155"/>
        <v>0</v>
      </c>
      <c r="AZ306" s="28">
        <f t="shared" si="156"/>
        <v>0</v>
      </c>
      <c r="BA306" s="28">
        <f t="shared" si="157"/>
        <v>0</v>
      </c>
      <c r="BB306" s="28">
        <f t="shared" si="158"/>
        <v>0</v>
      </c>
      <c r="BC306" s="28">
        <f t="shared" si="159"/>
        <v>0</v>
      </c>
      <c r="BD306" s="3439">
        <f t="shared" si="160"/>
        <v>0</v>
      </c>
      <c r="BE306" s="3439">
        <f t="shared" si="161"/>
        <v>0</v>
      </c>
      <c r="BF306" s="3439">
        <f t="shared" si="162"/>
        <v>0</v>
      </c>
      <c r="BG306" s="3439">
        <f t="shared" si="163"/>
        <v>0</v>
      </c>
      <c r="BH306" s="3439">
        <f t="shared" si="164"/>
        <v>0</v>
      </c>
      <c r="BI306" s="3439">
        <f t="shared" si="165"/>
        <v>0</v>
      </c>
      <c r="BJ306" s="3439">
        <f t="shared" si="166"/>
        <v>0</v>
      </c>
      <c r="BK306" s="3439">
        <f t="shared" si="167"/>
        <v>0</v>
      </c>
      <c r="BL306" s="28">
        <f t="shared" si="168"/>
        <v>0</v>
      </c>
      <c r="BM306" s="28">
        <f t="shared" si="169"/>
        <v>0</v>
      </c>
      <c r="BN306" s="28">
        <f t="shared" si="170"/>
        <v>0</v>
      </c>
      <c r="BO306" s="28">
        <f t="shared" si="171"/>
        <v>0</v>
      </c>
      <c r="BP306" s="28">
        <f t="shared" si="172"/>
        <v>0</v>
      </c>
      <c r="BQ306" s="3439">
        <f t="shared" si="173"/>
        <v>0</v>
      </c>
      <c r="BR306" s="3439">
        <f t="shared" si="174"/>
        <v>0</v>
      </c>
      <c r="BS306" s="3439">
        <f t="shared" si="175"/>
        <v>0</v>
      </c>
      <c r="BT306" s="3451">
        <f t="shared" si="176"/>
        <v>0</v>
      </c>
    </row>
    <row r="307" spans="1:72">
      <c r="A307" s="9"/>
      <c r="B307" s="27"/>
      <c r="C307" s="27"/>
      <c r="D307" s="1678"/>
      <c r="E307" s="28">
        <f t="shared" si="177"/>
        <v>0</v>
      </c>
      <c r="F307" s="29"/>
      <c r="G307" s="30">
        <f t="shared" si="152"/>
        <v>0</v>
      </c>
      <c r="H307" s="31">
        <f t="shared" si="153"/>
        <v>0</v>
      </c>
      <c r="I307" s="32"/>
      <c r="J307" s="32"/>
      <c r="K307" s="32"/>
      <c r="L307" s="32"/>
      <c r="M307" s="32"/>
      <c r="N307" s="32"/>
      <c r="O307" s="32"/>
      <c r="P307" s="32"/>
      <c r="Q307" s="32"/>
      <c r="R307" s="32"/>
      <c r="S307" s="32"/>
      <c r="T307" s="32"/>
      <c r="U307" s="32"/>
      <c r="V307" s="32"/>
      <c r="W307" s="32"/>
      <c r="X307" s="32"/>
      <c r="Y307" s="32"/>
      <c r="Z307" s="32"/>
      <c r="AA307" s="32"/>
      <c r="AB307" s="32"/>
      <c r="AC307" s="28">
        <f t="shared" si="154"/>
        <v>0</v>
      </c>
      <c r="AD307" s="33"/>
      <c r="AE307" s="33"/>
      <c r="AF307" s="33"/>
      <c r="AG307" s="33"/>
      <c r="AH307" s="33"/>
      <c r="AI307" s="33"/>
      <c r="AJ307" s="33"/>
      <c r="AK307" s="33"/>
      <c r="AL307" s="33"/>
      <c r="AM307" s="33"/>
      <c r="AN307" s="33"/>
      <c r="AO307" s="33"/>
      <c r="AP307" s="33"/>
      <c r="AQ307" s="33"/>
      <c r="AR307" s="33"/>
      <c r="AS307" s="33"/>
      <c r="AT307" s="34"/>
      <c r="AU307" s="1679"/>
      <c r="AV307" s="2256">
        <f t="shared" si="178"/>
        <v>0</v>
      </c>
      <c r="AW307" s="2256">
        <f t="shared" si="179"/>
        <v>0</v>
      </c>
      <c r="AX307" s="2256">
        <f t="shared" si="180"/>
        <v>0</v>
      </c>
      <c r="AY307" s="2781">
        <f t="shared" si="155"/>
        <v>0</v>
      </c>
      <c r="AZ307" s="28">
        <f t="shared" si="156"/>
        <v>0</v>
      </c>
      <c r="BA307" s="28">
        <f t="shared" si="157"/>
        <v>0</v>
      </c>
      <c r="BB307" s="28">
        <f t="shared" si="158"/>
        <v>0</v>
      </c>
      <c r="BC307" s="28">
        <f t="shared" si="159"/>
        <v>0</v>
      </c>
      <c r="BD307" s="3439">
        <f t="shared" si="160"/>
        <v>0</v>
      </c>
      <c r="BE307" s="3439">
        <f t="shared" si="161"/>
        <v>0</v>
      </c>
      <c r="BF307" s="3439">
        <f t="shared" si="162"/>
        <v>0</v>
      </c>
      <c r="BG307" s="3439">
        <f t="shared" si="163"/>
        <v>0</v>
      </c>
      <c r="BH307" s="3439">
        <f t="shared" si="164"/>
        <v>0</v>
      </c>
      <c r="BI307" s="3439">
        <f t="shared" si="165"/>
        <v>0</v>
      </c>
      <c r="BJ307" s="3439">
        <f t="shared" si="166"/>
        <v>0</v>
      </c>
      <c r="BK307" s="3439">
        <f t="shared" si="167"/>
        <v>0</v>
      </c>
      <c r="BL307" s="28">
        <f t="shared" si="168"/>
        <v>0</v>
      </c>
      <c r="BM307" s="28">
        <f t="shared" si="169"/>
        <v>0</v>
      </c>
      <c r="BN307" s="28">
        <f t="shared" si="170"/>
        <v>0</v>
      </c>
      <c r="BO307" s="28">
        <f t="shared" si="171"/>
        <v>0</v>
      </c>
      <c r="BP307" s="28">
        <f t="shared" si="172"/>
        <v>0</v>
      </c>
      <c r="BQ307" s="3439">
        <f t="shared" si="173"/>
        <v>0</v>
      </c>
      <c r="BR307" s="3439">
        <f t="shared" si="174"/>
        <v>0</v>
      </c>
      <c r="BS307" s="3439">
        <f t="shared" si="175"/>
        <v>0</v>
      </c>
      <c r="BT307" s="3451">
        <f t="shared" si="176"/>
        <v>0</v>
      </c>
    </row>
    <row r="308" spans="1:72">
      <c r="A308" s="9"/>
      <c r="B308" s="27"/>
      <c r="C308" s="27"/>
      <c r="D308" s="1678"/>
      <c r="E308" s="28">
        <f t="shared" si="177"/>
        <v>0</v>
      </c>
      <c r="F308" s="29"/>
      <c r="G308" s="30">
        <f t="shared" si="152"/>
        <v>0</v>
      </c>
      <c r="H308" s="31">
        <f t="shared" si="153"/>
        <v>0</v>
      </c>
      <c r="I308" s="32"/>
      <c r="J308" s="32"/>
      <c r="K308" s="32"/>
      <c r="L308" s="32"/>
      <c r="M308" s="32"/>
      <c r="N308" s="32"/>
      <c r="O308" s="32"/>
      <c r="P308" s="32"/>
      <c r="Q308" s="32"/>
      <c r="R308" s="32"/>
      <c r="S308" s="32"/>
      <c r="T308" s="32"/>
      <c r="U308" s="32"/>
      <c r="V308" s="32"/>
      <c r="W308" s="32"/>
      <c r="X308" s="32"/>
      <c r="Y308" s="32"/>
      <c r="Z308" s="32"/>
      <c r="AA308" s="32"/>
      <c r="AB308" s="32"/>
      <c r="AC308" s="28">
        <f t="shared" si="154"/>
        <v>0</v>
      </c>
      <c r="AD308" s="33"/>
      <c r="AE308" s="33"/>
      <c r="AF308" s="33"/>
      <c r="AG308" s="33"/>
      <c r="AH308" s="33"/>
      <c r="AI308" s="33"/>
      <c r="AJ308" s="33"/>
      <c r="AK308" s="33"/>
      <c r="AL308" s="33"/>
      <c r="AM308" s="33"/>
      <c r="AN308" s="33"/>
      <c r="AO308" s="33"/>
      <c r="AP308" s="33"/>
      <c r="AQ308" s="33"/>
      <c r="AR308" s="33"/>
      <c r="AS308" s="33"/>
      <c r="AT308" s="34"/>
      <c r="AU308" s="1679"/>
      <c r="AV308" s="2256">
        <f t="shared" si="178"/>
        <v>0</v>
      </c>
      <c r="AW308" s="2256">
        <f t="shared" si="179"/>
        <v>0</v>
      </c>
      <c r="AX308" s="2256">
        <f t="shared" si="180"/>
        <v>0</v>
      </c>
      <c r="AY308" s="2781">
        <f t="shared" si="155"/>
        <v>0</v>
      </c>
      <c r="AZ308" s="28">
        <f t="shared" si="156"/>
        <v>0</v>
      </c>
      <c r="BA308" s="28">
        <f t="shared" si="157"/>
        <v>0</v>
      </c>
      <c r="BB308" s="28">
        <f t="shared" si="158"/>
        <v>0</v>
      </c>
      <c r="BC308" s="28">
        <f t="shared" si="159"/>
        <v>0</v>
      </c>
      <c r="BD308" s="3439">
        <f t="shared" si="160"/>
        <v>0</v>
      </c>
      <c r="BE308" s="3439">
        <f t="shared" si="161"/>
        <v>0</v>
      </c>
      <c r="BF308" s="3439">
        <f t="shared" si="162"/>
        <v>0</v>
      </c>
      <c r="BG308" s="3439">
        <f t="shared" si="163"/>
        <v>0</v>
      </c>
      <c r="BH308" s="3439">
        <f t="shared" si="164"/>
        <v>0</v>
      </c>
      <c r="BI308" s="3439">
        <f t="shared" si="165"/>
        <v>0</v>
      </c>
      <c r="BJ308" s="3439">
        <f t="shared" si="166"/>
        <v>0</v>
      </c>
      <c r="BK308" s="3439">
        <f t="shared" si="167"/>
        <v>0</v>
      </c>
      <c r="BL308" s="28">
        <f t="shared" si="168"/>
        <v>0</v>
      </c>
      <c r="BM308" s="28">
        <f t="shared" si="169"/>
        <v>0</v>
      </c>
      <c r="BN308" s="28">
        <f t="shared" si="170"/>
        <v>0</v>
      </c>
      <c r="BO308" s="28">
        <f t="shared" si="171"/>
        <v>0</v>
      </c>
      <c r="BP308" s="28">
        <f t="shared" si="172"/>
        <v>0</v>
      </c>
      <c r="BQ308" s="3439">
        <f t="shared" si="173"/>
        <v>0</v>
      </c>
      <c r="BR308" s="3439">
        <f t="shared" si="174"/>
        <v>0</v>
      </c>
      <c r="BS308" s="3439">
        <f t="shared" si="175"/>
        <v>0</v>
      </c>
      <c r="BT308" s="3451">
        <f t="shared" si="176"/>
        <v>0</v>
      </c>
    </row>
    <row r="309" spans="1:72">
      <c r="A309" s="9"/>
      <c r="B309" s="27"/>
      <c r="C309" s="27"/>
      <c r="D309" s="1678"/>
      <c r="E309" s="28">
        <f t="shared" si="177"/>
        <v>0</v>
      </c>
      <c r="F309" s="29"/>
      <c r="G309" s="30">
        <f t="shared" si="152"/>
        <v>0</v>
      </c>
      <c r="H309" s="31">
        <f t="shared" si="153"/>
        <v>0</v>
      </c>
      <c r="I309" s="32"/>
      <c r="J309" s="32"/>
      <c r="K309" s="32"/>
      <c r="L309" s="32"/>
      <c r="M309" s="32"/>
      <c r="N309" s="32"/>
      <c r="O309" s="32"/>
      <c r="P309" s="32"/>
      <c r="Q309" s="32"/>
      <c r="R309" s="32"/>
      <c r="S309" s="32"/>
      <c r="T309" s="32"/>
      <c r="U309" s="32"/>
      <c r="V309" s="32"/>
      <c r="W309" s="32"/>
      <c r="X309" s="32"/>
      <c r="Y309" s="32"/>
      <c r="Z309" s="32"/>
      <c r="AA309" s="32"/>
      <c r="AB309" s="32"/>
      <c r="AC309" s="28">
        <f t="shared" si="154"/>
        <v>0</v>
      </c>
      <c r="AD309" s="33"/>
      <c r="AE309" s="33"/>
      <c r="AF309" s="33"/>
      <c r="AG309" s="33"/>
      <c r="AH309" s="33"/>
      <c r="AI309" s="33"/>
      <c r="AJ309" s="33"/>
      <c r="AK309" s="33"/>
      <c r="AL309" s="33"/>
      <c r="AM309" s="33"/>
      <c r="AN309" s="33"/>
      <c r="AO309" s="33"/>
      <c r="AP309" s="33"/>
      <c r="AQ309" s="33"/>
      <c r="AR309" s="33"/>
      <c r="AS309" s="33"/>
      <c r="AT309" s="34"/>
      <c r="AU309" s="1679"/>
      <c r="AV309" s="2256">
        <f t="shared" si="178"/>
        <v>0</v>
      </c>
      <c r="AW309" s="2256">
        <f t="shared" si="179"/>
        <v>0</v>
      </c>
      <c r="AX309" s="2256">
        <f t="shared" si="180"/>
        <v>0</v>
      </c>
      <c r="AY309" s="2781">
        <f t="shared" si="155"/>
        <v>0</v>
      </c>
      <c r="AZ309" s="28">
        <f t="shared" si="156"/>
        <v>0</v>
      </c>
      <c r="BA309" s="28">
        <f t="shared" si="157"/>
        <v>0</v>
      </c>
      <c r="BB309" s="28">
        <f t="shared" si="158"/>
        <v>0</v>
      </c>
      <c r="BC309" s="28">
        <f t="shared" si="159"/>
        <v>0</v>
      </c>
      <c r="BD309" s="3439">
        <f t="shared" si="160"/>
        <v>0</v>
      </c>
      <c r="BE309" s="3439">
        <f t="shared" si="161"/>
        <v>0</v>
      </c>
      <c r="BF309" s="3439">
        <f t="shared" si="162"/>
        <v>0</v>
      </c>
      <c r="BG309" s="3439">
        <f t="shared" si="163"/>
        <v>0</v>
      </c>
      <c r="BH309" s="3439">
        <f t="shared" si="164"/>
        <v>0</v>
      </c>
      <c r="BI309" s="3439">
        <f t="shared" si="165"/>
        <v>0</v>
      </c>
      <c r="BJ309" s="3439">
        <f t="shared" si="166"/>
        <v>0</v>
      </c>
      <c r="BK309" s="3439">
        <f t="shared" si="167"/>
        <v>0</v>
      </c>
      <c r="BL309" s="28">
        <f t="shared" si="168"/>
        <v>0</v>
      </c>
      <c r="BM309" s="28">
        <f t="shared" si="169"/>
        <v>0</v>
      </c>
      <c r="BN309" s="28">
        <f t="shared" si="170"/>
        <v>0</v>
      </c>
      <c r="BO309" s="28">
        <f t="shared" si="171"/>
        <v>0</v>
      </c>
      <c r="BP309" s="28">
        <f t="shared" si="172"/>
        <v>0</v>
      </c>
      <c r="BQ309" s="3439">
        <f t="shared" si="173"/>
        <v>0</v>
      </c>
      <c r="BR309" s="3439">
        <f t="shared" si="174"/>
        <v>0</v>
      </c>
      <c r="BS309" s="3439">
        <f t="shared" si="175"/>
        <v>0</v>
      </c>
      <c r="BT309" s="3451">
        <f t="shared" si="176"/>
        <v>0</v>
      </c>
    </row>
    <row r="310" spans="1:72">
      <c r="A310" s="9"/>
      <c r="B310" s="27"/>
      <c r="C310" s="27"/>
      <c r="D310" s="1678"/>
      <c r="E310" s="28">
        <f t="shared" si="177"/>
        <v>0</v>
      </c>
      <c r="F310" s="29"/>
      <c r="G310" s="30">
        <f t="shared" si="152"/>
        <v>0</v>
      </c>
      <c r="H310" s="31">
        <f t="shared" si="153"/>
        <v>0</v>
      </c>
      <c r="I310" s="32"/>
      <c r="J310" s="32"/>
      <c r="K310" s="32"/>
      <c r="L310" s="32"/>
      <c r="M310" s="32"/>
      <c r="N310" s="32"/>
      <c r="O310" s="32"/>
      <c r="P310" s="32"/>
      <c r="Q310" s="32"/>
      <c r="R310" s="32"/>
      <c r="S310" s="32"/>
      <c r="T310" s="32"/>
      <c r="U310" s="32"/>
      <c r="V310" s="32"/>
      <c r="W310" s="32"/>
      <c r="X310" s="32"/>
      <c r="Y310" s="32"/>
      <c r="Z310" s="32"/>
      <c r="AA310" s="32"/>
      <c r="AB310" s="32"/>
      <c r="AC310" s="28">
        <f t="shared" si="154"/>
        <v>0</v>
      </c>
      <c r="AD310" s="33"/>
      <c r="AE310" s="33"/>
      <c r="AF310" s="33"/>
      <c r="AG310" s="33"/>
      <c r="AH310" s="33"/>
      <c r="AI310" s="33"/>
      <c r="AJ310" s="33"/>
      <c r="AK310" s="33"/>
      <c r="AL310" s="33"/>
      <c r="AM310" s="33"/>
      <c r="AN310" s="33"/>
      <c r="AO310" s="33"/>
      <c r="AP310" s="33"/>
      <c r="AQ310" s="33"/>
      <c r="AR310" s="33"/>
      <c r="AS310" s="33"/>
      <c r="AT310" s="34"/>
      <c r="AU310" s="1679"/>
      <c r="AV310" s="2256">
        <f t="shared" si="178"/>
        <v>0</v>
      </c>
      <c r="AW310" s="2256">
        <f t="shared" si="179"/>
        <v>0</v>
      </c>
      <c r="AX310" s="2256">
        <f t="shared" si="180"/>
        <v>0</v>
      </c>
      <c r="AY310" s="2781">
        <f t="shared" si="155"/>
        <v>0</v>
      </c>
      <c r="AZ310" s="28">
        <f t="shared" si="156"/>
        <v>0</v>
      </c>
      <c r="BA310" s="28">
        <f t="shared" si="157"/>
        <v>0</v>
      </c>
      <c r="BB310" s="28">
        <f t="shared" si="158"/>
        <v>0</v>
      </c>
      <c r="BC310" s="28">
        <f t="shared" si="159"/>
        <v>0</v>
      </c>
      <c r="BD310" s="3439">
        <f t="shared" si="160"/>
        <v>0</v>
      </c>
      <c r="BE310" s="3439">
        <f t="shared" si="161"/>
        <v>0</v>
      </c>
      <c r="BF310" s="3439">
        <f t="shared" si="162"/>
        <v>0</v>
      </c>
      <c r="BG310" s="3439">
        <f t="shared" si="163"/>
        <v>0</v>
      </c>
      <c r="BH310" s="3439">
        <f t="shared" si="164"/>
        <v>0</v>
      </c>
      <c r="BI310" s="3439">
        <f t="shared" si="165"/>
        <v>0</v>
      </c>
      <c r="BJ310" s="3439">
        <f t="shared" si="166"/>
        <v>0</v>
      </c>
      <c r="BK310" s="3439">
        <f t="shared" si="167"/>
        <v>0</v>
      </c>
      <c r="BL310" s="28">
        <f t="shared" si="168"/>
        <v>0</v>
      </c>
      <c r="BM310" s="28">
        <f t="shared" si="169"/>
        <v>0</v>
      </c>
      <c r="BN310" s="28">
        <f t="shared" si="170"/>
        <v>0</v>
      </c>
      <c r="BO310" s="28">
        <f t="shared" si="171"/>
        <v>0</v>
      </c>
      <c r="BP310" s="28">
        <f t="shared" si="172"/>
        <v>0</v>
      </c>
      <c r="BQ310" s="3439">
        <f t="shared" si="173"/>
        <v>0</v>
      </c>
      <c r="BR310" s="3439">
        <f t="shared" si="174"/>
        <v>0</v>
      </c>
      <c r="BS310" s="3439">
        <f t="shared" si="175"/>
        <v>0</v>
      </c>
      <c r="BT310" s="3451">
        <f t="shared" si="176"/>
        <v>0</v>
      </c>
    </row>
    <row r="311" spans="1:72">
      <c r="A311" s="9"/>
      <c r="B311" s="27"/>
      <c r="C311" s="27"/>
      <c r="D311" s="1678"/>
      <c r="E311" s="28">
        <f t="shared" si="177"/>
        <v>0</v>
      </c>
      <c r="F311" s="29"/>
      <c r="G311" s="30">
        <f t="shared" si="152"/>
        <v>0</v>
      </c>
      <c r="H311" s="31">
        <f t="shared" si="153"/>
        <v>0</v>
      </c>
      <c r="I311" s="32"/>
      <c r="J311" s="32"/>
      <c r="K311" s="32"/>
      <c r="L311" s="32"/>
      <c r="M311" s="32"/>
      <c r="N311" s="32"/>
      <c r="O311" s="32"/>
      <c r="P311" s="32"/>
      <c r="Q311" s="32"/>
      <c r="R311" s="32"/>
      <c r="S311" s="32"/>
      <c r="T311" s="32"/>
      <c r="U311" s="32"/>
      <c r="V311" s="32"/>
      <c r="W311" s="32"/>
      <c r="X311" s="32"/>
      <c r="Y311" s="32"/>
      <c r="Z311" s="32"/>
      <c r="AA311" s="32"/>
      <c r="AB311" s="32"/>
      <c r="AC311" s="28">
        <f t="shared" si="154"/>
        <v>0</v>
      </c>
      <c r="AD311" s="33"/>
      <c r="AE311" s="33"/>
      <c r="AF311" s="33"/>
      <c r="AG311" s="33"/>
      <c r="AH311" s="33"/>
      <c r="AI311" s="33"/>
      <c r="AJ311" s="33"/>
      <c r="AK311" s="33"/>
      <c r="AL311" s="33"/>
      <c r="AM311" s="33"/>
      <c r="AN311" s="33"/>
      <c r="AO311" s="33"/>
      <c r="AP311" s="33"/>
      <c r="AQ311" s="33"/>
      <c r="AR311" s="33"/>
      <c r="AS311" s="33"/>
      <c r="AT311" s="34"/>
      <c r="AU311" s="1679"/>
      <c r="AV311" s="2256">
        <f t="shared" si="178"/>
        <v>0</v>
      </c>
      <c r="AW311" s="2256">
        <f t="shared" si="179"/>
        <v>0</v>
      </c>
      <c r="AX311" s="2256">
        <f t="shared" si="180"/>
        <v>0</v>
      </c>
      <c r="AY311" s="2781">
        <f t="shared" si="155"/>
        <v>0</v>
      </c>
      <c r="AZ311" s="28">
        <f t="shared" si="156"/>
        <v>0</v>
      </c>
      <c r="BA311" s="28">
        <f t="shared" si="157"/>
        <v>0</v>
      </c>
      <c r="BB311" s="28">
        <f t="shared" si="158"/>
        <v>0</v>
      </c>
      <c r="BC311" s="28">
        <f t="shared" si="159"/>
        <v>0</v>
      </c>
      <c r="BD311" s="3439">
        <f t="shared" si="160"/>
        <v>0</v>
      </c>
      <c r="BE311" s="3439">
        <f t="shared" si="161"/>
        <v>0</v>
      </c>
      <c r="BF311" s="3439">
        <f t="shared" si="162"/>
        <v>0</v>
      </c>
      <c r="BG311" s="3439">
        <f t="shared" si="163"/>
        <v>0</v>
      </c>
      <c r="BH311" s="3439">
        <f t="shared" si="164"/>
        <v>0</v>
      </c>
      <c r="BI311" s="3439">
        <f t="shared" si="165"/>
        <v>0</v>
      </c>
      <c r="BJ311" s="3439">
        <f t="shared" si="166"/>
        <v>0</v>
      </c>
      <c r="BK311" s="3439">
        <f t="shared" si="167"/>
        <v>0</v>
      </c>
      <c r="BL311" s="28">
        <f t="shared" si="168"/>
        <v>0</v>
      </c>
      <c r="BM311" s="28">
        <f t="shared" si="169"/>
        <v>0</v>
      </c>
      <c r="BN311" s="28">
        <f t="shared" si="170"/>
        <v>0</v>
      </c>
      <c r="BO311" s="28">
        <f t="shared" si="171"/>
        <v>0</v>
      </c>
      <c r="BP311" s="28">
        <f t="shared" si="172"/>
        <v>0</v>
      </c>
      <c r="BQ311" s="3439">
        <f t="shared" si="173"/>
        <v>0</v>
      </c>
      <c r="BR311" s="3439">
        <f t="shared" si="174"/>
        <v>0</v>
      </c>
      <c r="BS311" s="3439">
        <f t="shared" si="175"/>
        <v>0</v>
      </c>
      <c r="BT311" s="3451">
        <f t="shared" si="176"/>
        <v>0</v>
      </c>
    </row>
    <row r="312" spans="1:72">
      <c r="A312" s="9"/>
      <c r="B312" s="27"/>
      <c r="C312" s="27"/>
      <c r="D312" s="1678"/>
      <c r="E312" s="28">
        <f t="shared" si="177"/>
        <v>0</v>
      </c>
      <c r="F312" s="29"/>
      <c r="G312" s="30">
        <f t="shared" si="152"/>
        <v>0</v>
      </c>
      <c r="H312" s="31">
        <f t="shared" si="153"/>
        <v>0</v>
      </c>
      <c r="I312" s="32"/>
      <c r="J312" s="32"/>
      <c r="K312" s="32"/>
      <c r="L312" s="32"/>
      <c r="M312" s="32"/>
      <c r="N312" s="32"/>
      <c r="O312" s="32"/>
      <c r="P312" s="32"/>
      <c r="Q312" s="32"/>
      <c r="R312" s="32"/>
      <c r="S312" s="32"/>
      <c r="T312" s="32"/>
      <c r="U312" s="32"/>
      <c r="V312" s="32"/>
      <c r="W312" s="32"/>
      <c r="X312" s="32"/>
      <c r="Y312" s="32"/>
      <c r="Z312" s="32"/>
      <c r="AA312" s="32"/>
      <c r="AB312" s="32"/>
      <c r="AC312" s="28">
        <f t="shared" si="154"/>
        <v>0</v>
      </c>
      <c r="AD312" s="33"/>
      <c r="AE312" s="33"/>
      <c r="AF312" s="33"/>
      <c r="AG312" s="33"/>
      <c r="AH312" s="33"/>
      <c r="AI312" s="33"/>
      <c r="AJ312" s="33"/>
      <c r="AK312" s="33"/>
      <c r="AL312" s="33"/>
      <c r="AM312" s="33"/>
      <c r="AN312" s="33"/>
      <c r="AO312" s="33"/>
      <c r="AP312" s="33"/>
      <c r="AQ312" s="33"/>
      <c r="AR312" s="33"/>
      <c r="AS312" s="33"/>
      <c r="AT312" s="34"/>
      <c r="AU312" s="1679"/>
      <c r="AV312" s="2256">
        <f t="shared" si="178"/>
        <v>0</v>
      </c>
      <c r="AW312" s="2256">
        <f t="shared" si="179"/>
        <v>0</v>
      </c>
      <c r="AX312" s="2256">
        <f t="shared" si="180"/>
        <v>0</v>
      </c>
      <c r="AY312" s="2781">
        <f t="shared" si="155"/>
        <v>0</v>
      </c>
      <c r="AZ312" s="28">
        <f t="shared" si="156"/>
        <v>0</v>
      </c>
      <c r="BA312" s="28">
        <f t="shared" si="157"/>
        <v>0</v>
      </c>
      <c r="BB312" s="28">
        <f t="shared" si="158"/>
        <v>0</v>
      </c>
      <c r="BC312" s="28">
        <f t="shared" si="159"/>
        <v>0</v>
      </c>
      <c r="BD312" s="3439">
        <f t="shared" si="160"/>
        <v>0</v>
      </c>
      <c r="BE312" s="3439">
        <f t="shared" si="161"/>
        <v>0</v>
      </c>
      <c r="BF312" s="3439">
        <f t="shared" si="162"/>
        <v>0</v>
      </c>
      <c r="BG312" s="3439">
        <f t="shared" si="163"/>
        <v>0</v>
      </c>
      <c r="BH312" s="3439">
        <f t="shared" si="164"/>
        <v>0</v>
      </c>
      <c r="BI312" s="3439">
        <f t="shared" si="165"/>
        <v>0</v>
      </c>
      <c r="BJ312" s="3439">
        <f t="shared" si="166"/>
        <v>0</v>
      </c>
      <c r="BK312" s="3439">
        <f t="shared" si="167"/>
        <v>0</v>
      </c>
      <c r="BL312" s="28">
        <f t="shared" si="168"/>
        <v>0</v>
      </c>
      <c r="BM312" s="28">
        <f t="shared" si="169"/>
        <v>0</v>
      </c>
      <c r="BN312" s="28">
        <f t="shared" si="170"/>
        <v>0</v>
      </c>
      <c r="BO312" s="28">
        <f t="shared" si="171"/>
        <v>0</v>
      </c>
      <c r="BP312" s="28">
        <f t="shared" si="172"/>
        <v>0</v>
      </c>
      <c r="BQ312" s="3439">
        <f t="shared" si="173"/>
        <v>0</v>
      </c>
      <c r="BR312" s="3439">
        <f t="shared" si="174"/>
        <v>0</v>
      </c>
      <c r="BS312" s="3439">
        <f t="shared" si="175"/>
        <v>0</v>
      </c>
      <c r="BT312" s="3451">
        <f t="shared" si="176"/>
        <v>0</v>
      </c>
    </row>
    <row r="313" spans="1:72">
      <c r="A313" s="9"/>
      <c r="B313" s="27"/>
      <c r="C313" s="27"/>
      <c r="D313" s="1678"/>
      <c r="E313" s="28">
        <f t="shared" si="177"/>
        <v>0</v>
      </c>
      <c r="F313" s="29"/>
      <c r="G313" s="30">
        <f t="shared" si="152"/>
        <v>0</v>
      </c>
      <c r="H313" s="31">
        <f t="shared" si="153"/>
        <v>0</v>
      </c>
      <c r="I313" s="32"/>
      <c r="J313" s="32"/>
      <c r="K313" s="32"/>
      <c r="L313" s="32"/>
      <c r="M313" s="32"/>
      <c r="N313" s="32"/>
      <c r="O313" s="32"/>
      <c r="P313" s="32"/>
      <c r="Q313" s="32"/>
      <c r="R313" s="32"/>
      <c r="S313" s="32"/>
      <c r="T313" s="32"/>
      <c r="U313" s="32"/>
      <c r="V313" s="32"/>
      <c r="W313" s="32"/>
      <c r="X313" s="32"/>
      <c r="Y313" s="32"/>
      <c r="Z313" s="32"/>
      <c r="AA313" s="32"/>
      <c r="AB313" s="32"/>
      <c r="AC313" s="28">
        <f t="shared" si="154"/>
        <v>0</v>
      </c>
      <c r="AD313" s="33"/>
      <c r="AE313" s="33"/>
      <c r="AF313" s="33"/>
      <c r="AG313" s="33"/>
      <c r="AH313" s="33"/>
      <c r="AI313" s="33"/>
      <c r="AJ313" s="33"/>
      <c r="AK313" s="33"/>
      <c r="AL313" s="33"/>
      <c r="AM313" s="33"/>
      <c r="AN313" s="33"/>
      <c r="AO313" s="33"/>
      <c r="AP313" s="33"/>
      <c r="AQ313" s="33"/>
      <c r="AR313" s="33"/>
      <c r="AS313" s="33"/>
      <c r="AT313" s="34"/>
      <c r="AU313" s="1679"/>
      <c r="AV313" s="2256">
        <f t="shared" si="178"/>
        <v>0</v>
      </c>
      <c r="AW313" s="2256">
        <f t="shared" si="179"/>
        <v>0</v>
      </c>
      <c r="AX313" s="2256">
        <f t="shared" si="180"/>
        <v>0</v>
      </c>
      <c r="AY313" s="2781">
        <f t="shared" si="155"/>
        <v>0</v>
      </c>
      <c r="AZ313" s="28">
        <f t="shared" si="156"/>
        <v>0</v>
      </c>
      <c r="BA313" s="28">
        <f t="shared" si="157"/>
        <v>0</v>
      </c>
      <c r="BB313" s="28">
        <f t="shared" si="158"/>
        <v>0</v>
      </c>
      <c r="BC313" s="28">
        <f t="shared" si="159"/>
        <v>0</v>
      </c>
      <c r="BD313" s="3439">
        <f t="shared" si="160"/>
        <v>0</v>
      </c>
      <c r="BE313" s="3439">
        <f t="shared" si="161"/>
        <v>0</v>
      </c>
      <c r="BF313" s="3439">
        <f t="shared" si="162"/>
        <v>0</v>
      </c>
      <c r="BG313" s="3439">
        <f t="shared" si="163"/>
        <v>0</v>
      </c>
      <c r="BH313" s="3439">
        <f t="shared" si="164"/>
        <v>0</v>
      </c>
      <c r="BI313" s="3439">
        <f t="shared" si="165"/>
        <v>0</v>
      </c>
      <c r="BJ313" s="3439">
        <f t="shared" si="166"/>
        <v>0</v>
      </c>
      <c r="BK313" s="3439">
        <f t="shared" si="167"/>
        <v>0</v>
      </c>
      <c r="BL313" s="28">
        <f t="shared" si="168"/>
        <v>0</v>
      </c>
      <c r="BM313" s="28">
        <f t="shared" si="169"/>
        <v>0</v>
      </c>
      <c r="BN313" s="28">
        <f t="shared" si="170"/>
        <v>0</v>
      </c>
      <c r="BO313" s="28">
        <f t="shared" si="171"/>
        <v>0</v>
      </c>
      <c r="BP313" s="28">
        <f t="shared" si="172"/>
        <v>0</v>
      </c>
      <c r="BQ313" s="3439">
        <f t="shared" si="173"/>
        <v>0</v>
      </c>
      <c r="BR313" s="3439">
        <f t="shared" si="174"/>
        <v>0</v>
      </c>
      <c r="BS313" s="3439">
        <f t="shared" si="175"/>
        <v>0</v>
      </c>
      <c r="BT313" s="3451">
        <f t="shared" si="176"/>
        <v>0</v>
      </c>
    </row>
    <row r="314" spans="1:72">
      <c r="A314" s="9"/>
      <c r="B314" s="27"/>
      <c r="C314" s="27"/>
      <c r="D314" s="1678"/>
      <c r="E314" s="28">
        <f t="shared" si="177"/>
        <v>0</v>
      </c>
      <c r="F314" s="29"/>
      <c r="G314" s="30">
        <f t="shared" si="152"/>
        <v>0</v>
      </c>
      <c r="H314" s="31">
        <f t="shared" si="153"/>
        <v>0</v>
      </c>
      <c r="I314" s="32"/>
      <c r="J314" s="32"/>
      <c r="K314" s="32"/>
      <c r="L314" s="32"/>
      <c r="M314" s="32"/>
      <c r="N314" s="32"/>
      <c r="O314" s="32"/>
      <c r="P314" s="32"/>
      <c r="Q314" s="32"/>
      <c r="R314" s="32"/>
      <c r="S314" s="32"/>
      <c r="T314" s="32"/>
      <c r="U314" s="32"/>
      <c r="V314" s="32"/>
      <c r="W314" s="32"/>
      <c r="X314" s="32"/>
      <c r="Y314" s="32"/>
      <c r="Z314" s="32"/>
      <c r="AA314" s="32"/>
      <c r="AB314" s="32"/>
      <c r="AC314" s="28">
        <f t="shared" si="154"/>
        <v>0</v>
      </c>
      <c r="AD314" s="33"/>
      <c r="AE314" s="33"/>
      <c r="AF314" s="33"/>
      <c r="AG314" s="33"/>
      <c r="AH314" s="33"/>
      <c r="AI314" s="33"/>
      <c r="AJ314" s="33"/>
      <c r="AK314" s="33"/>
      <c r="AL314" s="33"/>
      <c r="AM314" s="33"/>
      <c r="AN314" s="33"/>
      <c r="AO314" s="33"/>
      <c r="AP314" s="33"/>
      <c r="AQ314" s="33"/>
      <c r="AR314" s="33"/>
      <c r="AS314" s="33"/>
      <c r="AT314" s="34"/>
      <c r="AU314" s="1679"/>
      <c r="AV314" s="2256">
        <f t="shared" si="178"/>
        <v>0</v>
      </c>
      <c r="AW314" s="2256">
        <f t="shared" si="179"/>
        <v>0</v>
      </c>
      <c r="AX314" s="2256">
        <f t="shared" si="180"/>
        <v>0</v>
      </c>
      <c r="AY314" s="2781">
        <f t="shared" si="155"/>
        <v>0</v>
      </c>
      <c r="AZ314" s="28">
        <f t="shared" si="156"/>
        <v>0</v>
      </c>
      <c r="BA314" s="28">
        <f t="shared" si="157"/>
        <v>0</v>
      </c>
      <c r="BB314" s="28">
        <f t="shared" si="158"/>
        <v>0</v>
      </c>
      <c r="BC314" s="28">
        <f t="shared" si="159"/>
        <v>0</v>
      </c>
      <c r="BD314" s="3439">
        <f t="shared" si="160"/>
        <v>0</v>
      </c>
      <c r="BE314" s="3439">
        <f t="shared" si="161"/>
        <v>0</v>
      </c>
      <c r="BF314" s="3439">
        <f t="shared" si="162"/>
        <v>0</v>
      </c>
      <c r="BG314" s="3439">
        <f t="shared" si="163"/>
        <v>0</v>
      </c>
      <c r="BH314" s="3439">
        <f t="shared" si="164"/>
        <v>0</v>
      </c>
      <c r="BI314" s="3439">
        <f t="shared" si="165"/>
        <v>0</v>
      </c>
      <c r="BJ314" s="3439">
        <f t="shared" si="166"/>
        <v>0</v>
      </c>
      <c r="BK314" s="3439">
        <f t="shared" si="167"/>
        <v>0</v>
      </c>
      <c r="BL314" s="28">
        <f t="shared" si="168"/>
        <v>0</v>
      </c>
      <c r="BM314" s="28">
        <f t="shared" si="169"/>
        <v>0</v>
      </c>
      <c r="BN314" s="28">
        <f t="shared" si="170"/>
        <v>0</v>
      </c>
      <c r="BO314" s="28">
        <f t="shared" si="171"/>
        <v>0</v>
      </c>
      <c r="BP314" s="28">
        <f t="shared" si="172"/>
        <v>0</v>
      </c>
      <c r="BQ314" s="3439">
        <f t="shared" si="173"/>
        <v>0</v>
      </c>
      <c r="BR314" s="3439">
        <f t="shared" si="174"/>
        <v>0</v>
      </c>
      <c r="BS314" s="3439">
        <f t="shared" si="175"/>
        <v>0</v>
      </c>
      <c r="BT314" s="3451">
        <f t="shared" si="176"/>
        <v>0</v>
      </c>
    </row>
    <row r="315" spans="1:72">
      <c r="A315" s="9"/>
      <c r="B315" s="27"/>
      <c r="C315" s="27"/>
      <c r="D315" s="1678"/>
      <c r="E315" s="28">
        <f t="shared" si="177"/>
        <v>0</v>
      </c>
      <c r="F315" s="29"/>
      <c r="G315" s="30">
        <f t="shared" si="152"/>
        <v>0</v>
      </c>
      <c r="H315" s="31">
        <f t="shared" si="153"/>
        <v>0</v>
      </c>
      <c r="I315" s="32"/>
      <c r="J315" s="32"/>
      <c r="K315" s="32"/>
      <c r="L315" s="32"/>
      <c r="M315" s="32"/>
      <c r="N315" s="32"/>
      <c r="O315" s="32"/>
      <c r="P315" s="32"/>
      <c r="Q315" s="32"/>
      <c r="R315" s="32"/>
      <c r="S315" s="32"/>
      <c r="T315" s="32"/>
      <c r="U315" s="32"/>
      <c r="V315" s="32"/>
      <c r="W315" s="32"/>
      <c r="X315" s="32"/>
      <c r="Y315" s="32"/>
      <c r="Z315" s="32"/>
      <c r="AA315" s="32"/>
      <c r="AB315" s="32"/>
      <c r="AC315" s="28">
        <f t="shared" si="154"/>
        <v>0</v>
      </c>
      <c r="AD315" s="33"/>
      <c r="AE315" s="33"/>
      <c r="AF315" s="33"/>
      <c r="AG315" s="33"/>
      <c r="AH315" s="33"/>
      <c r="AI315" s="33"/>
      <c r="AJ315" s="33"/>
      <c r="AK315" s="33"/>
      <c r="AL315" s="33"/>
      <c r="AM315" s="33"/>
      <c r="AN315" s="33"/>
      <c r="AO315" s="33"/>
      <c r="AP315" s="33"/>
      <c r="AQ315" s="33"/>
      <c r="AR315" s="33"/>
      <c r="AS315" s="33"/>
      <c r="AT315" s="34"/>
      <c r="AU315" s="1679"/>
      <c r="AV315" s="2256">
        <f t="shared" si="178"/>
        <v>0</v>
      </c>
      <c r="AW315" s="2256">
        <f t="shared" si="179"/>
        <v>0</v>
      </c>
      <c r="AX315" s="2256">
        <f t="shared" si="180"/>
        <v>0</v>
      </c>
      <c r="AY315" s="2781">
        <f t="shared" si="155"/>
        <v>0</v>
      </c>
      <c r="AZ315" s="28">
        <f t="shared" si="156"/>
        <v>0</v>
      </c>
      <c r="BA315" s="28">
        <f t="shared" si="157"/>
        <v>0</v>
      </c>
      <c r="BB315" s="28">
        <f t="shared" si="158"/>
        <v>0</v>
      </c>
      <c r="BC315" s="28">
        <f t="shared" si="159"/>
        <v>0</v>
      </c>
      <c r="BD315" s="3439">
        <f t="shared" si="160"/>
        <v>0</v>
      </c>
      <c r="BE315" s="3439">
        <f t="shared" si="161"/>
        <v>0</v>
      </c>
      <c r="BF315" s="3439">
        <f t="shared" si="162"/>
        <v>0</v>
      </c>
      <c r="BG315" s="3439">
        <f t="shared" si="163"/>
        <v>0</v>
      </c>
      <c r="BH315" s="3439">
        <f t="shared" si="164"/>
        <v>0</v>
      </c>
      <c r="BI315" s="3439">
        <f t="shared" si="165"/>
        <v>0</v>
      </c>
      <c r="BJ315" s="3439">
        <f t="shared" si="166"/>
        <v>0</v>
      </c>
      <c r="BK315" s="3439">
        <f t="shared" si="167"/>
        <v>0</v>
      </c>
      <c r="BL315" s="28">
        <f t="shared" si="168"/>
        <v>0</v>
      </c>
      <c r="BM315" s="28">
        <f t="shared" si="169"/>
        <v>0</v>
      </c>
      <c r="BN315" s="28">
        <f t="shared" si="170"/>
        <v>0</v>
      </c>
      <c r="BO315" s="28">
        <f t="shared" si="171"/>
        <v>0</v>
      </c>
      <c r="BP315" s="28">
        <f t="shared" si="172"/>
        <v>0</v>
      </c>
      <c r="BQ315" s="3439">
        <f t="shared" si="173"/>
        <v>0</v>
      </c>
      <c r="BR315" s="3439">
        <f t="shared" si="174"/>
        <v>0</v>
      </c>
      <c r="BS315" s="3439">
        <f t="shared" si="175"/>
        <v>0</v>
      </c>
      <c r="BT315" s="3451">
        <f t="shared" si="176"/>
        <v>0</v>
      </c>
    </row>
    <row r="316" spans="1:72">
      <c r="A316" s="9"/>
      <c r="B316" s="27"/>
      <c r="C316" s="27"/>
      <c r="D316" s="1678"/>
      <c r="E316" s="28">
        <f t="shared" si="177"/>
        <v>0</v>
      </c>
      <c r="F316" s="29"/>
      <c r="G316" s="30">
        <f t="shared" si="152"/>
        <v>0</v>
      </c>
      <c r="H316" s="31">
        <f t="shared" si="153"/>
        <v>0</v>
      </c>
      <c r="I316" s="32"/>
      <c r="J316" s="32"/>
      <c r="K316" s="32"/>
      <c r="L316" s="32"/>
      <c r="M316" s="32"/>
      <c r="N316" s="32"/>
      <c r="O316" s="32"/>
      <c r="P316" s="32"/>
      <c r="Q316" s="32"/>
      <c r="R316" s="32"/>
      <c r="S316" s="32"/>
      <c r="T316" s="32"/>
      <c r="U316" s="32"/>
      <c r="V316" s="32"/>
      <c r="W316" s="32"/>
      <c r="X316" s="32"/>
      <c r="Y316" s="32"/>
      <c r="Z316" s="32"/>
      <c r="AA316" s="32"/>
      <c r="AB316" s="32"/>
      <c r="AC316" s="28">
        <f t="shared" si="154"/>
        <v>0</v>
      </c>
      <c r="AD316" s="33"/>
      <c r="AE316" s="33"/>
      <c r="AF316" s="33"/>
      <c r="AG316" s="33"/>
      <c r="AH316" s="33"/>
      <c r="AI316" s="33"/>
      <c r="AJ316" s="33"/>
      <c r="AK316" s="33"/>
      <c r="AL316" s="33"/>
      <c r="AM316" s="33"/>
      <c r="AN316" s="33"/>
      <c r="AO316" s="33"/>
      <c r="AP316" s="33"/>
      <c r="AQ316" s="33"/>
      <c r="AR316" s="33"/>
      <c r="AS316" s="33"/>
      <c r="AT316" s="34"/>
      <c r="AU316" s="1679"/>
      <c r="AV316" s="2256">
        <f t="shared" si="178"/>
        <v>0</v>
      </c>
      <c r="AW316" s="2256">
        <f t="shared" si="179"/>
        <v>0</v>
      </c>
      <c r="AX316" s="2256">
        <f t="shared" si="180"/>
        <v>0</v>
      </c>
      <c r="AY316" s="2781">
        <f t="shared" si="155"/>
        <v>0</v>
      </c>
      <c r="AZ316" s="28">
        <f t="shared" si="156"/>
        <v>0</v>
      </c>
      <c r="BA316" s="28">
        <f t="shared" si="157"/>
        <v>0</v>
      </c>
      <c r="BB316" s="28">
        <f t="shared" si="158"/>
        <v>0</v>
      </c>
      <c r="BC316" s="28">
        <f t="shared" si="159"/>
        <v>0</v>
      </c>
      <c r="BD316" s="3439">
        <f t="shared" si="160"/>
        <v>0</v>
      </c>
      <c r="BE316" s="3439">
        <f t="shared" si="161"/>
        <v>0</v>
      </c>
      <c r="BF316" s="3439">
        <f t="shared" si="162"/>
        <v>0</v>
      </c>
      <c r="BG316" s="3439">
        <f t="shared" si="163"/>
        <v>0</v>
      </c>
      <c r="BH316" s="3439">
        <f t="shared" si="164"/>
        <v>0</v>
      </c>
      <c r="BI316" s="3439">
        <f t="shared" si="165"/>
        <v>0</v>
      </c>
      <c r="BJ316" s="3439">
        <f t="shared" si="166"/>
        <v>0</v>
      </c>
      <c r="BK316" s="3439">
        <f t="shared" si="167"/>
        <v>0</v>
      </c>
      <c r="BL316" s="28">
        <f t="shared" si="168"/>
        <v>0</v>
      </c>
      <c r="BM316" s="28">
        <f t="shared" si="169"/>
        <v>0</v>
      </c>
      <c r="BN316" s="28">
        <f t="shared" si="170"/>
        <v>0</v>
      </c>
      <c r="BO316" s="28">
        <f t="shared" si="171"/>
        <v>0</v>
      </c>
      <c r="BP316" s="28">
        <f t="shared" si="172"/>
        <v>0</v>
      </c>
      <c r="BQ316" s="3439">
        <f t="shared" si="173"/>
        <v>0</v>
      </c>
      <c r="BR316" s="3439">
        <f t="shared" si="174"/>
        <v>0</v>
      </c>
      <c r="BS316" s="3439">
        <f t="shared" si="175"/>
        <v>0</v>
      </c>
      <c r="BT316" s="3451">
        <f t="shared" si="176"/>
        <v>0</v>
      </c>
    </row>
    <row r="317" spans="1:72">
      <c r="A317" s="9"/>
      <c r="B317" s="27"/>
      <c r="C317" s="27"/>
      <c r="D317" s="1678"/>
      <c r="E317" s="28">
        <f t="shared" si="177"/>
        <v>0</v>
      </c>
      <c r="F317" s="29"/>
      <c r="G317" s="30">
        <f t="shared" si="152"/>
        <v>0</v>
      </c>
      <c r="H317" s="31">
        <f t="shared" si="153"/>
        <v>0</v>
      </c>
      <c r="I317" s="32"/>
      <c r="J317" s="32"/>
      <c r="K317" s="32"/>
      <c r="L317" s="32"/>
      <c r="M317" s="32"/>
      <c r="N317" s="32"/>
      <c r="O317" s="32"/>
      <c r="P317" s="32"/>
      <c r="Q317" s="32"/>
      <c r="R317" s="32"/>
      <c r="S317" s="32"/>
      <c r="T317" s="32"/>
      <c r="U317" s="32"/>
      <c r="V317" s="32"/>
      <c r="W317" s="32"/>
      <c r="X317" s="32"/>
      <c r="Y317" s="32"/>
      <c r="Z317" s="32"/>
      <c r="AA317" s="32"/>
      <c r="AB317" s="32"/>
      <c r="AC317" s="28">
        <f t="shared" si="154"/>
        <v>0</v>
      </c>
      <c r="AD317" s="33"/>
      <c r="AE317" s="33"/>
      <c r="AF317" s="33"/>
      <c r="AG317" s="33"/>
      <c r="AH317" s="33"/>
      <c r="AI317" s="33"/>
      <c r="AJ317" s="33"/>
      <c r="AK317" s="33"/>
      <c r="AL317" s="33"/>
      <c r="AM317" s="33"/>
      <c r="AN317" s="33"/>
      <c r="AO317" s="33"/>
      <c r="AP317" s="33"/>
      <c r="AQ317" s="33"/>
      <c r="AR317" s="33"/>
      <c r="AS317" s="33"/>
      <c r="AT317" s="34"/>
      <c r="AU317" s="1679"/>
      <c r="AV317" s="2256">
        <f t="shared" si="178"/>
        <v>0</v>
      </c>
      <c r="AW317" s="2256">
        <f t="shared" si="179"/>
        <v>0</v>
      </c>
      <c r="AX317" s="2256">
        <f t="shared" si="180"/>
        <v>0</v>
      </c>
      <c r="AY317" s="2781">
        <f t="shared" si="155"/>
        <v>0</v>
      </c>
      <c r="AZ317" s="28">
        <f t="shared" si="156"/>
        <v>0</v>
      </c>
      <c r="BA317" s="28">
        <f t="shared" si="157"/>
        <v>0</v>
      </c>
      <c r="BB317" s="28">
        <f t="shared" si="158"/>
        <v>0</v>
      </c>
      <c r="BC317" s="28">
        <f t="shared" si="159"/>
        <v>0</v>
      </c>
      <c r="BD317" s="3439">
        <f t="shared" si="160"/>
        <v>0</v>
      </c>
      <c r="BE317" s="3439">
        <f t="shared" si="161"/>
        <v>0</v>
      </c>
      <c r="BF317" s="3439">
        <f t="shared" si="162"/>
        <v>0</v>
      </c>
      <c r="BG317" s="3439">
        <f t="shared" si="163"/>
        <v>0</v>
      </c>
      <c r="BH317" s="3439">
        <f t="shared" si="164"/>
        <v>0</v>
      </c>
      <c r="BI317" s="3439">
        <f t="shared" si="165"/>
        <v>0</v>
      </c>
      <c r="BJ317" s="3439">
        <f t="shared" si="166"/>
        <v>0</v>
      </c>
      <c r="BK317" s="3439">
        <f t="shared" si="167"/>
        <v>0</v>
      </c>
      <c r="BL317" s="28">
        <f t="shared" si="168"/>
        <v>0</v>
      </c>
      <c r="BM317" s="28">
        <f t="shared" si="169"/>
        <v>0</v>
      </c>
      <c r="BN317" s="28">
        <f t="shared" si="170"/>
        <v>0</v>
      </c>
      <c r="BO317" s="28">
        <f t="shared" si="171"/>
        <v>0</v>
      </c>
      <c r="BP317" s="28">
        <f t="shared" si="172"/>
        <v>0</v>
      </c>
      <c r="BQ317" s="3439">
        <f t="shared" si="173"/>
        <v>0</v>
      </c>
      <c r="BR317" s="3439">
        <f t="shared" si="174"/>
        <v>0</v>
      </c>
      <c r="BS317" s="3439">
        <f t="shared" si="175"/>
        <v>0</v>
      </c>
      <c r="BT317" s="3451">
        <f t="shared" si="176"/>
        <v>0</v>
      </c>
    </row>
    <row r="318" spans="1:72">
      <c r="A318" s="9"/>
      <c r="B318" s="27"/>
      <c r="C318" s="27"/>
      <c r="D318" s="1678"/>
      <c r="E318" s="28">
        <f t="shared" si="177"/>
        <v>0</v>
      </c>
      <c r="F318" s="29"/>
      <c r="G318" s="30">
        <f t="shared" si="152"/>
        <v>0</v>
      </c>
      <c r="H318" s="31">
        <f t="shared" si="153"/>
        <v>0</v>
      </c>
      <c r="I318" s="32"/>
      <c r="J318" s="32"/>
      <c r="K318" s="32"/>
      <c r="L318" s="32"/>
      <c r="M318" s="32"/>
      <c r="N318" s="32"/>
      <c r="O318" s="32"/>
      <c r="P318" s="32"/>
      <c r="Q318" s="32"/>
      <c r="R318" s="32"/>
      <c r="S318" s="32"/>
      <c r="T318" s="32"/>
      <c r="U318" s="32"/>
      <c r="V318" s="32"/>
      <c r="W318" s="32"/>
      <c r="X318" s="32"/>
      <c r="Y318" s="32"/>
      <c r="Z318" s="32"/>
      <c r="AA318" s="32"/>
      <c r="AB318" s="32"/>
      <c r="AC318" s="28">
        <f t="shared" si="154"/>
        <v>0</v>
      </c>
      <c r="AD318" s="33"/>
      <c r="AE318" s="33"/>
      <c r="AF318" s="33"/>
      <c r="AG318" s="33"/>
      <c r="AH318" s="33"/>
      <c r="AI318" s="33"/>
      <c r="AJ318" s="33"/>
      <c r="AK318" s="33"/>
      <c r="AL318" s="33"/>
      <c r="AM318" s="33"/>
      <c r="AN318" s="33"/>
      <c r="AO318" s="33"/>
      <c r="AP318" s="33"/>
      <c r="AQ318" s="33"/>
      <c r="AR318" s="33"/>
      <c r="AS318" s="33"/>
      <c r="AT318" s="34"/>
      <c r="AU318" s="1679"/>
      <c r="AV318" s="2256">
        <f t="shared" si="178"/>
        <v>0</v>
      </c>
      <c r="AW318" s="2256">
        <f t="shared" si="179"/>
        <v>0</v>
      </c>
      <c r="AX318" s="2256">
        <f t="shared" si="180"/>
        <v>0</v>
      </c>
      <c r="AY318" s="2781">
        <f t="shared" si="155"/>
        <v>0</v>
      </c>
      <c r="AZ318" s="28">
        <f t="shared" si="156"/>
        <v>0</v>
      </c>
      <c r="BA318" s="28">
        <f t="shared" si="157"/>
        <v>0</v>
      </c>
      <c r="BB318" s="28">
        <f t="shared" si="158"/>
        <v>0</v>
      </c>
      <c r="BC318" s="28">
        <f t="shared" si="159"/>
        <v>0</v>
      </c>
      <c r="BD318" s="3439">
        <f t="shared" si="160"/>
        <v>0</v>
      </c>
      <c r="BE318" s="3439">
        <f t="shared" si="161"/>
        <v>0</v>
      </c>
      <c r="BF318" s="3439">
        <f t="shared" si="162"/>
        <v>0</v>
      </c>
      <c r="BG318" s="3439">
        <f t="shared" si="163"/>
        <v>0</v>
      </c>
      <c r="BH318" s="3439">
        <f t="shared" si="164"/>
        <v>0</v>
      </c>
      <c r="BI318" s="3439">
        <f t="shared" si="165"/>
        <v>0</v>
      </c>
      <c r="BJ318" s="3439">
        <f t="shared" si="166"/>
        <v>0</v>
      </c>
      <c r="BK318" s="3439">
        <f t="shared" si="167"/>
        <v>0</v>
      </c>
      <c r="BL318" s="28">
        <f t="shared" si="168"/>
        <v>0</v>
      </c>
      <c r="BM318" s="28">
        <f t="shared" si="169"/>
        <v>0</v>
      </c>
      <c r="BN318" s="28">
        <f t="shared" si="170"/>
        <v>0</v>
      </c>
      <c r="BO318" s="28">
        <f t="shared" si="171"/>
        <v>0</v>
      </c>
      <c r="BP318" s="28">
        <f t="shared" si="172"/>
        <v>0</v>
      </c>
      <c r="BQ318" s="3439">
        <f t="shared" si="173"/>
        <v>0</v>
      </c>
      <c r="BR318" s="3439">
        <f t="shared" si="174"/>
        <v>0</v>
      </c>
      <c r="BS318" s="3439">
        <f t="shared" si="175"/>
        <v>0</v>
      </c>
      <c r="BT318" s="3451">
        <f t="shared" si="176"/>
        <v>0</v>
      </c>
    </row>
    <row r="319" spans="1:72">
      <c r="A319" s="9"/>
      <c r="B319" s="27"/>
      <c r="C319" s="27"/>
      <c r="D319" s="1678"/>
      <c r="E319" s="28">
        <f t="shared" si="177"/>
        <v>0</v>
      </c>
      <c r="F319" s="29"/>
      <c r="G319" s="30">
        <f t="shared" si="152"/>
        <v>0</v>
      </c>
      <c r="H319" s="31">
        <f t="shared" si="153"/>
        <v>0</v>
      </c>
      <c r="I319" s="32"/>
      <c r="J319" s="32"/>
      <c r="K319" s="32"/>
      <c r="L319" s="32"/>
      <c r="M319" s="32"/>
      <c r="N319" s="32"/>
      <c r="O319" s="32"/>
      <c r="P319" s="32"/>
      <c r="Q319" s="32"/>
      <c r="R319" s="32"/>
      <c r="S319" s="32"/>
      <c r="T319" s="32"/>
      <c r="U319" s="32"/>
      <c r="V319" s="32"/>
      <c r="W319" s="32"/>
      <c r="X319" s="32"/>
      <c r="Y319" s="32"/>
      <c r="Z319" s="32"/>
      <c r="AA319" s="32"/>
      <c r="AB319" s="32"/>
      <c r="AC319" s="28">
        <f t="shared" si="154"/>
        <v>0</v>
      </c>
      <c r="AD319" s="33"/>
      <c r="AE319" s="33"/>
      <c r="AF319" s="33"/>
      <c r="AG319" s="33"/>
      <c r="AH319" s="33"/>
      <c r="AI319" s="33"/>
      <c r="AJ319" s="33"/>
      <c r="AK319" s="33"/>
      <c r="AL319" s="33"/>
      <c r="AM319" s="33"/>
      <c r="AN319" s="33"/>
      <c r="AO319" s="33"/>
      <c r="AP319" s="33"/>
      <c r="AQ319" s="33"/>
      <c r="AR319" s="33"/>
      <c r="AS319" s="33"/>
      <c r="AT319" s="34"/>
      <c r="AU319" s="1679"/>
      <c r="AV319" s="2256">
        <f t="shared" si="178"/>
        <v>0</v>
      </c>
      <c r="AW319" s="2256">
        <f t="shared" si="179"/>
        <v>0</v>
      </c>
      <c r="AX319" s="2256">
        <f t="shared" si="180"/>
        <v>0</v>
      </c>
      <c r="AY319" s="2781">
        <f t="shared" si="155"/>
        <v>0</v>
      </c>
      <c r="AZ319" s="28">
        <f t="shared" si="156"/>
        <v>0</v>
      </c>
      <c r="BA319" s="28">
        <f t="shared" si="157"/>
        <v>0</v>
      </c>
      <c r="BB319" s="28">
        <f t="shared" si="158"/>
        <v>0</v>
      </c>
      <c r="BC319" s="28">
        <f t="shared" si="159"/>
        <v>0</v>
      </c>
      <c r="BD319" s="3439">
        <f t="shared" si="160"/>
        <v>0</v>
      </c>
      <c r="BE319" s="3439">
        <f t="shared" si="161"/>
        <v>0</v>
      </c>
      <c r="BF319" s="3439">
        <f t="shared" si="162"/>
        <v>0</v>
      </c>
      <c r="BG319" s="3439">
        <f t="shared" si="163"/>
        <v>0</v>
      </c>
      <c r="BH319" s="3439">
        <f t="shared" si="164"/>
        <v>0</v>
      </c>
      <c r="BI319" s="3439">
        <f t="shared" si="165"/>
        <v>0</v>
      </c>
      <c r="BJ319" s="3439">
        <f t="shared" si="166"/>
        <v>0</v>
      </c>
      <c r="BK319" s="3439">
        <f t="shared" si="167"/>
        <v>0</v>
      </c>
      <c r="BL319" s="28">
        <f t="shared" si="168"/>
        <v>0</v>
      </c>
      <c r="BM319" s="28">
        <f t="shared" si="169"/>
        <v>0</v>
      </c>
      <c r="BN319" s="28">
        <f t="shared" si="170"/>
        <v>0</v>
      </c>
      <c r="BO319" s="28">
        <f t="shared" si="171"/>
        <v>0</v>
      </c>
      <c r="BP319" s="28">
        <f t="shared" si="172"/>
        <v>0</v>
      </c>
      <c r="BQ319" s="3439">
        <f t="shared" si="173"/>
        <v>0</v>
      </c>
      <c r="BR319" s="3439">
        <f t="shared" si="174"/>
        <v>0</v>
      </c>
      <c r="BS319" s="3439">
        <f t="shared" si="175"/>
        <v>0</v>
      </c>
      <c r="BT319" s="3451">
        <f t="shared" si="176"/>
        <v>0</v>
      </c>
    </row>
    <row r="320" spans="1:72">
      <c r="A320" s="9"/>
      <c r="B320" s="27"/>
      <c r="C320" s="27"/>
      <c r="D320" s="1678"/>
      <c r="E320" s="28">
        <f t="shared" si="177"/>
        <v>0</v>
      </c>
      <c r="F320" s="29"/>
      <c r="G320" s="30">
        <f t="shared" si="152"/>
        <v>0</v>
      </c>
      <c r="H320" s="31">
        <f t="shared" si="153"/>
        <v>0</v>
      </c>
      <c r="I320" s="32"/>
      <c r="J320" s="32"/>
      <c r="K320" s="32"/>
      <c r="L320" s="32"/>
      <c r="M320" s="32"/>
      <c r="N320" s="32"/>
      <c r="O320" s="32"/>
      <c r="P320" s="32"/>
      <c r="Q320" s="32"/>
      <c r="R320" s="32"/>
      <c r="S320" s="32"/>
      <c r="T320" s="32"/>
      <c r="U320" s="32"/>
      <c r="V320" s="32"/>
      <c r="W320" s="32"/>
      <c r="X320" s="32"/>
      <c r="Y320" s="32"/>
      <c r="Z320" s="32"/>
      <c r="AA320" s="32"/>
      <c r="AB320" s="32"/>
      <c r="AC320" s="28">
        <f t="shared" si="154"/>
        <v>0</v>
      </c>
      <c r="AD320" s="33"/>
      <c r="AE320" s="33"/>
      <c r="AF320" s="33"/>
      <c r="AG320" s="33"/>
      <c r="AH320" s="33"/>
      <c r="AI320" s="33"/>
      <c r="AJ320" s="33"/>
      <c r="AK320" s="33"/>
      <c r="AL320" s="33"/>
      <c r="AM320" s="33"/>
      <c r="AN320" s="33"/>
      <c r="AO320" s="33"/>
      <c r="AP320" s="33"/>
      <c r="AQ320" s="33"/>
      <c r="AR320" s="33"/>
      <c r="AS320" s="33"/>
      <c r="AT320" s="34"/>
      <c r="AU320" s="1679"/>
      <c r="AV320" s="2256">
        <f t="shared" si="178"/>
        <v>0</v>
      </c>
      <c r="AW320" s="2256">
        <f t="shared" si="179"/>
        <v>0</v>
      </c>
      <c r="AX320" s="2256">
        <f t="shared" si="180"/>
        <v>0</v>
      </c>
      <c r="AY320" s="2781">
        <f t="shared" si="155"/>
        <v>0</v>
      </c>
      <c r="AZ320" s="28">
        <f t="shared" si="156"/>
        <v>0</v>
      </c>
      <c r="BA320" s="28">
        <f t="shared" si="157"/>
        <v>0</v>
      </c>
      <c r="BB320" s="28">
        <f t="shared" si="158"/>
        <v>0</v>
      </c>
      <c r="BC320" s="28">
        <f t="shared" si="159"/>
        <v>0</v>
      </c>
      <c r="BD320" s="3439">
        <f t="shared" si="160"/>
        <v>0</v>
      </c>
      <c r="BE320" s="3439">
        <f t="shared" si="161"/>
        <v>0</v>
      </c>
      <c r="BF320" s="3439">
        <f t="shared" si="162"/>
        <v>0</v>
      </c>
      <c r="BG320" s="3439">
        <f t="shared" si="163"/>
        <v>0</v>
      </c>
      <c r="BH320" s="3439">
        <f t="shared" si="164"/>
        <v>0</v>
      </c>
      <c r="BI320" s="3439">
        <f t="shared" si="165"/>
        <v>0</v>
      </c>
      <c r="BJ320" s="3439">
        <f t="shared" si="166"/>
        <v>0</v>
      </c>
      <c r="BK320" s="3439">
        <f t="shared" si="167"/>
        <v>0</v>
      </c>
      <c r="BL320" s="28">
        <f t="shared" si="168"/>
        <v>0</v>
      </c>
      <c r="BM320" s="28">
        <f t="shared" si="169"/>
        <v>0</v>
      </c>
      <c r="BN320" s="28">
        <f t="shared" si="170"/>
        <v>0</v>
      </c>
      <c r="BO320" s="28">
        <f t="shared" si="171"/>
        <v>0</v>
      </c>
      <c r="BP320" s="28">
        <f t="shared" si="172"/>
        <v>0</v>
      </c>
      <c r="BQ320" s="3439">
        <f t="shared" si="173"/>
        <v>0</v>
      </c>
      <c r="BR320" s="3439">
        <f t="shared" si="174"/>
        <v>0</v>
      </c>
      <c r="BS320" s="3439">
        <f t="shared" si="175"/>
        <v>0</v>
      </c>
      <c r="BT320" s="3451">
        <f t="shared" si="176"/>
        <v>0</v>
      </c>
    </row>
    <row r="321" spans="1:72">
      <c r="A321" s="9"/>
      <c r="B321" s="27"/>
      <c r="C321" s="27"/>
      <c r="D321" s="1678"/>
      <c r="E321" s="28">
        <f t="shared" si="177"/>
        <v>0</v>
      </c>
      <c r="F321" s="29"/>
      <c r="G321" s="30">
        <f t="shared" si="152"/>
        <v>0</v>
      </c>
      <c r="H321" s="31">
        <f t="shared" si="153"/>
        <v>0</v>
      </c>
      <c r="I321" s="32"/>
      <c r="J321" s="32"/>
      <c r="K321" s="32"/>
      <c r="L321" s="32"/>
      <c r="M321" s="32"/>
      <c r="N321" s="32"/>
      <c r="O321" s="32"/>
      <c r="P321" s="32"/>
      <c r="Q321" s="32"/>
      <c r="R321" s="32"/>
      <c r="S321" s="32"/>
      <c r="T321" s="32"/>
      <c r="U321" s="32"/>
      <c r="V321" s="32"/>
      <c r="W321" s="32"/>
      <c r="X321" s="32"/>
      <c r="Y321" s="32"/>
      <c r="Z321" s="32"/>
      <c r="AA321" s="32"/>
      <c r="AB321" s="32"/>
      <c r="AC321" s="28">
        <f t="shared" si="154"/>
        <v>0</v>
      </c>
      <c r="AD321" s="33"/>
      <c r="AE321" s="33"/>
      <c r="AF321" s="33"/>
      <c r="AG321" s="33"/>
      <c r="AH321" s="33"/>
      <c r="AI321" s="33"/>
      <c r="AJ321" s="33"/>
      <c r="AK321" s="33"/>
      <c r="AL321" s="33"/>
      <c r="AM321" s="33"/>
      <c r="AN321" s="33"/>
      <c r="AO321" s="33"/>
      <c r="AP321" s="33"/>
      <c r="AQ321" s="33"/>
      <c r="AR321" s="33"/>
      <c r="AS321" s="33"/>
      <c r="AT321" s="34"/>
      <c r="AU321" s="1679"/>
      <c r="AV321" s="2256">
        <f t="shared" si="178"/>
        <v>0</v>
      </c>
      <c r="AW321" s="2256">
        <f t="shared" si="179"/>
        <v>0</v>
      </c>
      <c r="AX321" s="2256">
        <f t="shared" si="180"/>
        <v>0</v>
      </c>
      <c r="AY321" s="2781">
        <f t="shared" si="155"/>
        <v>0</v>
      </c>
      <c r="AZ321" s="28">
        <f t="shared" si="156"/>
        <v>0</v>
      </c>
      <c r="BA321" s="28">
        <f t="shared" si="157"/>
        <v>0</v>
      </c>
      <c r="BB321" s="28">
        <f t="shared" si="158"/>
        <v>0</v>
      </c>
      <c r="BC321" s="28">
        <f t="shared" si="159"/>
        <v>0</v>
      </c>
      <c r="BD321" s="3439">
        <f t="shared" si="160"/>
        <v>0</v>
      </c>
      <c r="BE321" s="3439">
        <f t="shared" si="161"/>
        <v>0</v>
      </c>
      <c r="BF321" s="3439">
        <f t="shared" si="162"/>
        <v>0</v>
      </c>
      <c r="BG321" s="3439">
        <f t="shared" si="163"/>
        <v>0</v>
      </c>
      <c r="BH321" s="3439">
        <f t="shared" si="164"/>
        <v>0</v>
      </c>
      <c r="BI321" s="3439">
        <f t="shared" si="165"/>
        <v>0</v>
      </c>
      <c r="BJ321" s="3439">
        <f t="shared" si="166"/>
        <v>0</v>
      </c>
      <c r="BK321" s="3439">
        <f t="shared" si="167"/>
        <v>0</v>
      </c>
      <c r="BL321" s="28">
        <f t="shared" si="168"/>
        <v>0</v>
      </c>
      <c r="BM321" s="28">
        <f t="shared" si="169"/>
        <v>0</v>
      </c>
      <c r="BN321" s="28">
        <f t="shared" si="170"/>
        <v>0</v>
      </c>
      <c r="BO321" s="28">
        <f t="shared" si="171"/>
        <v>0</v>
      </c>
      <c r="BP321" s="28">
        <f t="shared" si="172"/>
        <v>0</v>
      </c>
      <c r="BQ321" s="3439">
        <f t="shared" si="173"/>
        <v>0</v>
      </c>
      <c r="BR321" s="3439">
        <f t="shared" si="174"/>
        <v>0</v>
      </c>
      <c r="BS321" s="3439">
        <f t="shared" si="175"/>
        <v>0</v>
      </c>
      <c r="BT321" s="3451">
        <f t="shared" si="176"/>
        <v>0</v>
      </c>
    </row>
    <row r="322" spans="1:72">
      <c r="A322" s="9"/>
      <c r="B322" s="27"/>
      <c r="C322" s="27"/>
      <c r="D322" s="1678"/>
      <c r="E322" s="28">
        <f t="shared" si="177"/>
        <v>0</v>
      </c>
      <c r="F322" s="29"/>
      <c r="G322" s="30">
        <f t="shared" si="152"/>
        <v>0</v>
      </c>
      <c r="H322" s="31">
        <f t="shared" si="153"/>
        <v>0</v>
      </c>
      <c r="I322" s="32"/>
      <c r="J322" s="32"/>
      <c r="K322" s="32"/>
      <c r="L322" s="32"/>
      <c r="M322" s="32"/>
      <c r="N322" s="32"/>
      <c r="O322" s="32"/>
      <c r="P322" s="32"/>
      <c r="Q322" s="32"/>
      <c r="R322" s="32"/>
      <c r="S322" s="32"/>
      <c r="T322" s="32"/>
      <c r="U322" s="32"/>
      <c r="V322" s="32"/>
      <c r="W322" s="32"/>
      <c r="X322" s="32"/>
      <c r="Y322" s="32"/>
      <c r="Z322" s="32"/>
      <c r="AA322" s="32"/>
      <c r="AB322" s="32"/>
      <c r="AC322" s="28">
        <f t="shared" si="154"/>
        <v>0</v>
      </c>
      <c r="AD322" s="33"/>
      <c r="AE322" s="33"/>
      <c r="AF322" s="33"/>
      <c r="AG322" s="33"/>
      <c r="AH322" s="33"/>
      <c r="AI322" s="33"/>
      <c r="AJ322" s="33"/>
      <c r="AK322" s="33"/>
      <c r="AL322" s="33"/>
      <c r="AM322" s="33"/>
      <c r="AN322" s="33"/>
      <c r="AO322" s="33"/>
      <c r="AP322" s="33"/>
      <c r="AQ322" s="33"/>
      <c r="AR322" s="33"/>
      <c r="AS322" s="33"/>
      <c r="AT322" s="34"/>
      <c r="AU322" s="1679"/>
      <c r="AV322" s="2256">
        <f t="shared" si="178"/>
        <v>0</v>
      </c>
      <c r="AW322" s="2256">
        <f t="shared" si="179"/>
        <v>0</v>
      </c>
      <c r="AX322" s="2256">
        <f t="shared" si="180"/>
        <v>0</v>
      </c>
      <c r="AY322" s="2781">
        <f t="shared" si="155"/>
        <v>0</v>
      </c>
      <c r="AZ322" s="28">
        <f t="shared" si="156"/>
        <v>0</v>
      </c>
      <c r="BA322" s="28">
        <f t="shared" si="157"/>
        <v>0</v>
      </c>
      <c r="BB322" s="28">
        <f t="shared" si="158"/>
        <v>0</v>
      </c>
      <c r="BC322" s="28">
        <f t="shared" si="159"/>
        <v>0</v>
      </c>
      <c r="BD322" s="3439">
        <f t="shared" si="160"/>
        <v>0</v>
      </c>
      <c r="BE322" s="3439">
        <f t="shared" si="161"/>
        <v>0</v>
      </c>
      <c r="BF322" s="3439">
        <f t="shared" si="162"/>
        <v>0</v>
      </c>
      <c r="BG322" s="3439">
        <f t="shared" si="163"/>
        <v>0</v>
      </c>
      <c r="BH322" s="3439">
        <f t="shared" si="164"/>
        <v>0</v>
      </c>
      <c r="BI322" s="3439">
        <f t="shared" si="165"/>
        <v>0</v>
      </c>
      <c r="BJ322" s="3439">
        <f t="shared" si="166"/>
        <v>0</v>
      </c>
      <c r="BK322" s="3439">
        <f t="shared" si="167"/>
        <v>0</v>
      </c>
      <c r="BL322" s="28">
        <f t="shared" si="168"/>
        <v>0</v>
      </c>
      <c r="BM322" s="28">
        <f t="shared" si="169"/>
        <v>0</v>
      </c>
      <c r="BN322" s="28">
        <f t="shared" si="170"/>
        <v>0</v>
      </c>
      <c r="BO322" s="28">
        <f t="shared" si="171"/>
        <v>0</v>
      </c>
      <c r="BP322" s="28">
        <f t="shared" si="172"/>
        <v>0</v>
      </c>
      <c r="BQ322" s="3439">
        <f t="shared" si="173"/>
        <v>0</v>
      </c>
      <c r="BR322" s="3439">
        <f t="shared" si="174"/>
        <v>0</v>
      </c>
      <c r="BS322" s="3439">
        <f t="shared" si="175"/>
        <v>0</v>
      </c>
      <c r="BT322" s="3451">
        <f t="shared" si="176"/>
        <v>0</v>
      </c>
    </row>
    <row r="323" spans="1:72">
      <c r="A323" s="9"/>
      <c r="B323" s="27"/>
      <c r="C323" s="27"/>
      <c r="D323" s="1678"/>
      <c r="E323" s="28">
        <f t="shared" si="177"/>
        <v>0</v>
      </c>
      <c r="F323" s="29"/>
      <c r="G323" s="30">
        <f t="shared" si="152"/>
        <v>0</v>
      </c>
      <c r="H323" s="31">
        <f t="shared" si="153"/>
        <v>0</v>
      </c>
      <c r="I323" s="32"/>
      <c r="J323" s="32"/>
      <c r="K323" s="32"/>
      <c r="L323" s="32"/>
      <c r="M323" s="32"/>
      <c r="N323" s="32"/>
      <c r="O323" s="32"/>
      <c r="P323" s="32"/>
      <c r="Q323" s="32"/>
      <c r="R323" s="32"/>
      <c r="S323" s="32"/>
      <c r="T323" s="32"/>
      <c r="U323" s="32"/>
      <c r="V323" s="32"/>
      <c r="W323" s="32"/>
      <c r="X323" s="32"/>
      <c r="Y323" s="32"/>
      <c r="Z323" s="32"/>
      <c r="AA323" s="32"/>
      <c r="AB323" s="32"/>
      <c r="AC323" s="28">
        <f t="shared" si="154"/>
        <v>0</v>
      </c>
      <c r="AD323" s="33"/>
      <c r="AE323" s="33"/>
      <c r="AF323" s="33"/>
      <c r="AG323" s="33"/>
      <c r="AH323" s="33"/>
      <c r="AI323" s="33"/>
      <c r="AJ323" s="33"/>
      <c r="AK323" s="33"/>
      <c r="AL323" s="33"/>
      <c r="AM323" s="33"/>
      <c r="AN323" s="33"/>
      <c r="AO323" s="33"/>
      <c r="AP323" s="33"/>
      <c r="AQ323" s="33"/>
      <c r="AR323" s="33"/>
      <c r="AS323" s="33"/>
      <c r="AT323" s="34"/>
      <c r="AU323" s="1679"/>
      <c r="AV323" s="2256">
        <f t="shared" si="178"/>
        <v>0</v>
      </c>
      <c r="AW323" s="2256">
        <f t="shared" si="179"/>
        <v>0</v>
      </c>
      <c r="AX323" s="2256">
        <f t="shared" si="180"/>
        <v>0</v>
      </c>
      <c r="AY323" s="2781">
        <f t="shared" si="155"/>
        <v>0</v>
      </c>
      <c r="AZ323" s="28">
        <f t="shared" si="156"/>
        <v>0</v>
      </c>
      <c r="BA323" s="28">
        <f t="shared" si="157"/>
        <v>0</v>
      </c>
      <c r="BB323" s="28">
        <f t="shared" si="158"/>
        <v>0</v>
      </c>
      <c r="BC323" s="28">
        <f t="shared" si="159"/>
        <v>0</v>
      </c>
      <c r="BD323" s="3439">
        <f t="shared" si="160"/>
        <v>0</v>
      </c>
      <c r="BE323" s="3439">
        <f t="shared" si="161"/>
        <v>0</v>
      </c>
      <c r="BF323" s="3439">
        <f t="shared" si="162"/>
        <v>0</v>
      </c>
      <c r="BG323" s="3439">
        <f t="shared" si="163"/>
        <v>0</v>
      </c>
      <c r="BH323" s="3439">
        <f t="shared" si="164"/>
        <v>0</v>
      </c>
      <c r="BI323" s="3439">
        <f t="shared" si="165"/>
        <v>0</v>
      </c>
      <c r="BJ323" s="3439">
        <f t="shared" si="166"/>
        <v>0</v>
      </c>
      <c r="BK323" s="3439">
        <f t="shared" si="167"/>
        <v>0</v>
      </c>
      <c r="BL323" s="28">
        <f t="shared" si="168"/>
        <v>0</v>
      </c>
      <c r="BM323" s="28">
        <f t="shared" si="169"/>
        <v>0</v>
      </c>
      <c r="BN323" s="28">
        <f t="shared" si="170"/>
        <v>0</v>
      </c>
      <c r="BO323" s="28">
        <f t="shared" si="171"/>
        <v>0</v>
      </c>
      <c r="BP323" s="28">
        <f t="shared" si="172"/>
        <v>0</v>
      </c>
      <c r="BQ323" s="3439">
        <f t="shared" si="173"/>
        <v>0</v>
      </c>
      <c r="BR323" s="3439">
        <f t="shared" si="174"/>
        <v>0</v>
      </c>
      <c r="BS323" s="3439">
        <f t="shared" si="175"/>
        <v>0</v>
      </c>
      <c r="BT323" s="3451">
        <f t="shared" si="176"/>
        <v>0</v>
      </c>
    </row>
    <row r="324" spans="1:72">
      <c r="A324" s="9"/>
      <c r="B324" s="27"/>
      <c r="C324" s="27"/>
      <c r="D324" s="1678"/>
      <c r="E324" s="28">
        <f t="shared" si="177"/>
        <v>0</v>
      </c>
      <c r="F324" s="29"/>
      <c r="G324" s="30">
        <f t="shared" si="152"/>
        <v>0</v>
      </c>
      <c r="H324" s="31">
        <f t="shared" si="153"/>
        <v>0</v>
      </c>
      <c r="I324" s="32"/>
      <c r="J324" s="32"/>
      <c r="K324" s="32"/>
      <c r="L324" s="32"/>
      <c r="M324" s="32"/>
      <c r="N324" s="32"/>
      <c r="O324" s="32"/>
      <c r="P324" s="32"/>
      <c r="Q324" s="32"/>
      <c r="R324" s="32"/>
      <c r="S324" s="32"/>
      <c r="T324" s="32"/>
      <c r="U324" s="32"/>
      <c r="V324" s="32"/>
      <c r="W324" s="32"/>
      <c r="X324" s="32"/>
      <c r="Y324" s="32"/>
      <c r="Z324" s="32"/>
      <c r="AA324" s="32"/>
      <c r="AB324" s="32"/>
      <c r="AC324" s="28">
        <f t="shared" si="154"/>
        <v>0</v>
      </c>
      <c r="AD324" s="33"/>
      <c r="AE324" s="33"/>
      <c r="AF324" s="33"/>
      <c r="AG324" s="33"/>
      <c r="AH324" s="33"/>
      <c r="AI324" s="33"/>
      <c r="AJ324" s="33"/>
      <c r="AK324" s="33"/>
      <c r="AL324" s="33"/>
      <c r="AM324" s="33"/>
      <c r="AN324" s="33"/>
      <c r="AO324" s="33"/>
      <c r="AP324" s="33"/>
      <c r="AQ324" s="33"/>
      <c r="AR324" s="33"/>
      <c r="AS324" s="33"/>
      <c r="AT324" s="34"/>
      <c r="AU324" s="1679"/>
      <c r="AV324" s="2256">
        <f t="shared" si="178"/>
        <v>0</v>
      </c>
      <c r="AW324" s="2256">
        <f t="shared" si="179"/>
        <v>0</v>
      </c>
      <c r="AX324" s="2256">
        <f t="shared" si="180"/>
        <v>0</v>
      </c>
      <c r="AY324" s="2781">
        <f t="shared" si="155"/>
        <v>0</v>
      </c>
      <c r="AZ324" s="28">
        <f t="shared" si="156"/>
        <v>0</v>
      </c>
      <c r="BA324" s="28">
        <f t="shared" si="157"/>
        <v>0</v>
      </c>
      <c r="BB324" s="28">
        <f t="shared" si="158"/>
        <v>0</v>
      </c>
      <c r="BC324" s="28">
        <f t="shared" si="159"/>
        <v>0</v>
      </c>
      <c r="BD324" s="3439">
        <f t="shared" si="160"/>
        <v>0</v>
      </c>
      <c r="BE324" s="3439">
        <f t="shared" si="161"/>
        <v>0</v>
      </c>
      <c r="BF324" s="3439">
        <f t="shared" si="162"/>
        <v>0</v>
      </c>
      <c r="BG324" s="3439">
        <f t="shared" si="163"/>
        <v>0</v>
      </c>
      <c r="BH324" s="3439">
        <f t="shared" si="164"/>
        <v>0</v>
      </c>
      <c r="BI324" s="3439">
        <f t="shared" si="165"/>
        <v>0</v>
      </c>
      <c r="BJ324" s="3439">
        <f t="shared" si="166"/>
        <v>0</v>
      </c>
      <c r="BK324" s="3439">
        <f t="shared" si="167"/>
        <v>0</v>
      </c>
      <c r="BL324" s="28">
        <f t="shared" si="168"/>
        <v>0</v>
      </c>
      <c r="BM324" s="28">
        <f t="shared" si="169"/>
        <v>0</v>
      </c>
      <c r="BN324" s="28">
        <f t="shared" si="170"/>
        <v>0</v>
      </c>
      <c r="BO324" s="28">
        <f t="shared" si="171"/>
        <v>0</v>
      </c>
      <c r="BP324" s="28">
        <f t="shared" si="172"/>
        <v>0</v>
      </c>
      <c r="BQ324" s="3439">
        <f t="shared" si="173"/>
        <v>0</v>
      </c>
      <c r="BR324" s="3439">
        <f t="shared" si="174"/>
        <v>0</v>
      </c>
      <c r="BS324" s="3439">
        <f t="shared" si="175"/>
        <v>0</v>
      </c>
      <c r="BT324" s="3451">
        <f t="shared" si="176"/>
        <v>0</v>
      </c>
    </row>
    <row r="325" spans="1:72">
      <c r="A325" s="9"/>
      <c r="B325" s="27"/>
      <c r="C325" s="27"/>
      <c r="D325" s="1678"/>
      <c r="E325" s="28">
        <f t="shared" si="177"/>
        <v>0</v>
      </c>
      <c r="F325" s="29"/>
      <c r="G325" s="30">
        <f t="shared" si="152"/>
        <v>0</v>
      </c>
      <c r="H325" s="31">
        <f t="shared" si="153"/>
        <v>0</v>
      </c>
      <c r="I325" s="32"/>
      <c r="J325" s="32"/>
      <c r="K325" s="32"/>
      <c r="L325" s="32"/>
      <c r="M325" s="32"/>
      <c r="N325" s="32"/>
      <c r="O325" s="32"/>
      <c r="P325" s="32"/>
      <c r="Q325" s="32"/>
      <c r="R325" s="32"/>
      <c r="S325" s="32"/>
      <c r="T325" s="32"/>
      <c r="U325" s="32"/>
      <c r="V325" s="32"/>
      <c r="W325" s="32"/>
      <c r="X325" s="32"/>
      <c r="Y325" s="32"/>
      <c r="Z325" s="32"/>
      <c r="AA325" s="32"/>
      <c r="AB325" s="32"/>
      <c r="AC325" s="28">
        <f t="shared" si="154"/>
        <v>0</v>
      </c>
      <c r="AD325" s="33"/>
      <c r="AE325" s="33"/>
      <c r="AF325" s="33"/>
      <c r="AG325" s="33"/>
      <c r="AH325" s="33"/>
      <c r="AI325" s="33"/>
      <c r="AJ325" s="33"/>
      <c r="AK325" s="33"/>
      <c r="AL325" s="33"/>
      <c r="AM325" s="33"/>
      <c r="AN325" s="33"/>
      <c r="AO325" s="33"/>
      <c r="AP325" s="33"/>
      <c r="AQ325" s="33"/>
      <c r="AR325" s="33"/>
      <c r="AS325" s="33"/>
      <c r="AT325" s="34"/>
      <c r="AU325" s="1679"/>
      <c r="AV325" s="2256">
        <f t="shared" si="178"/>
        <v>0</v>
      </c>
      <c r="AW325" s="2256">
        <f t="shared" si="179"/>
        <v>0</v>
      </c>
      <c r="AX325" s="2256">
        <f t="shared" si="180"/>
        <v>0</v>
      </c>
      <c r="AY325" s="2781">
        <f t="shared" si="155"/>
        <v>0</v>
      </c>
      <c r="AZ325" s="28">
        <f t="shared" si="156"/>
        <v>0</v>
      </c>
      <c r="BA325" s="28">
        <f t="shared" si="157"/>
        <v>0</v>
      </c>
      <c r="BB325" s="28">
        <f t="shared" si="158"/>
        <v>0</v>
      </c>
      <c r="BC325" s="28">
        <f t="shared" si="159"/>
        <v>0</v>
      </c>
      <c r="BD325" s="3439">
        <f t="shared" si="160"/>
        <v>0</v>
      </c>
      <c r="BE325" s="3439">
        <f t="shared" si="161"/>
        <v>0</v>
      </c>
      <c r="BF325" s="3439">
        <f t="shared" si="162"/>
        <v>0</v>
      </c>
      <c r="BG325" s="3439">
        <f t="shared" si="163"/>
        <v>0</v>
      </c>
      <c r="BH325" s="3439">
        <f t="shared" si="164"/>
        <v>0</v>
      </c>
      <c r="BI325" s="3439">
        <f t="shared" si="165"/>
        <v>0</v>
      </c>
      <c r="BJ325" s="3439">
        <f t="shared" si="166"/>
        <v>0</v>
      </c>
      <c r="BK325" s="3439">
        <f t="shared" si="167"/>
        <v>0</v>
      </c>
      <c r="BL325" s="28">
        <f t="shared" si="168"/>
        <v>0</v>
      </c>
      <c r="BM325" s="28">
        <f t="shared" si="169"/>
        <v>0</v>
      </c>
      <c r="BN325" s="28">
        <f t="shared" si="170"/>
        <v>0</v>
      </c>
      <c r="BO325" s="28">
        <f t="shared" si="171"/>
        <v>0</v>
      </c>
      <c r="BP325" s="28">
        <f t="shared" si="172"/>
        <v>0</v>
      </c>
      <c r="BQ325" s="3439">
        <f t="shared" si="173"/>
        <v>0</v>
      </c>
      <c r="BR325" s="3439">
        <f t="shared" si="174"/>
        <v>0</v>
      </c>
      <c r="BS325" s="3439">
        <f t="shared" si="175"/>
        <v>0</v>
      </c>
      <c r="BT325" s="3451">
        <f t="shared" si="176"/>
        <v>0</v>
      </c>
    </row>
    <row r="326" spans="1:72">
      <c r="A326" s="9"/>
      <c r="B326" s="27"/>
      <c r="C326" s="27"/>
      <c r="D326" s="1678"/>
      <c r="E326" s="28">
        <f t="shared" si="177"/>
        <v>0</v>
      </c>
      <c r="F326" s="29"/>
      <c r="G326" s="30">
        <f t="shared" si="152"/>
        <v>0</v>
      </c>
      <c r="H326" s="31">
        <f t="shared" si="153"/>
        <v>0</v>
      </c>
      <c r="I326" s="32"/>
      <c r="J326" s="32"/>
      <c r="K326" s="32"/>
      <c r="L326" s="32"/>
      <c r="M326" s="32"/>
      <c r="N326" s="32"/>
      <c r="O326" s="32"/>
      <c r="P326" s="32"/>
      <c r="Q326" s="32"/>
      <c r="R326" s="32"/>
      <c r="S326" s="32"/>
      <c r="T326" s="32"/>
      <c r="U326" s="32"/>
      <c r="V326" s="32"/>
      <c r="W326" s="32"/>
      <c r="X326" s="32"/>
      <c r="Y326" s="32"/>
      <c r="Z326" s="32"/>
      <c r="AA326" s="32"/>
      <c r="AB326" s="32"/>
      <c r="AC326" s="28">
        <f t="shared" si="154"/>
        <v>0</v>
      </c>
      <c r="AD326" s="33"/>
      <c r="AE326" s="33"/>
      <c r="AF326" s="33"/>
      <c r="AG326" s="33"/>
      <c r="AH326" s="33"/>
      <c r="AI326" s="33"/>
      <c r="AJ326" s="33"/>
      <c r="AK326" s="33"/>
      <c r="AL326" s="33"/>
      <c r="AM326" s="33"/>
      <c r="AN326" s="33"/>
      <c r="AO326" s="33"/>
      <c r="AP326" s="33"/>
      <c r="AQ326" s="33"/>
      <c r="AR326" s="33"/>
      <c r="AS326" s="33"/>
      <c r="AT326" s="34"/>
      <c r="AU326" s="1679"/>
      <c r="AV326" s="2256">
        <f t="shared" si="178"/>
        <v>0</v>
      </c>
      <c r="AW326" s="2256">
        <f t="shared" si="179"/>
        <v>0</v>
      </c>
      <c r="AX326" s="2256">
        <f t="shared" si="180"/>
        <v>0</v>
      </c>
      <c r="AY326" s="2781">
        <f t="shared" si="155"/>
        <v>0</v>
      </c>
      <c r="AZ326" s="28">
        <f t="shared" si="156"/>
        <v>0</v>
      </c>
      <c r="BA326" s="28">
        <f t="shared" si="157"/>
        <v>0</v>
      </c>
      <c r="BB326" s="28">
        <f t="shared" si="158"/>
        <v>0</v>
      </c>
      <c r="BC326" s="28">
        <f t="shared" si="159"/>
        <v>0</v>
      </c>
      <c r="BD326" s="3439">
        <f t="shared" si="160"/>
        <v>0</v>
      </c>
      <c r="BE326" s="3439">
        <f t="shared" si="161"/>
        <v>0</v>
      </c>
      <c r="BF326" s="3439">
        <f t="shared" si="162"/>
        <v>0</v>
      </c>
      <c r="BG326" s="3439">
        <f t="shared" si="163"/>
        <v>0</v>
      </c>
      <c r="BH326" s="3439">
        <f t="shared" si="164"/>
        <v>0</v>
      </c>
      <c r="BI326" s="3439">
        <f t="shared" si="165"/>
        <v>0</v>
      </c>
      <c r="BJ326" s="3439">
        <f t="shared" si="166"/>
        <v>0</v>
      </c>
      <c r="BK326" s="3439">
        <f t="shared" si="167"/>
        <v>0</v>
      </c>
      <c r="BL326" s="28">
        <f t="shared" si="168"/>
        <v>0</v>
      </c>
      <c r="BM326" s="28">
        <f t="shared" si="169"/>
        <v>0</v>
      </c>
      <c r="BN326" s="28">
        <f t="shared" si="170"/>
        <v>0</v>
      </c>
      <c r="BO326" s="28">
        <f t="shared" si="171"/>
        <v>0</v>
      </c>
      <c r="BP326" s="28">
        <f t="shared" si="172"/>
        <v>0</v>
      </c>
      <c r="BQ326" s="3439">
        <f t="shared" si="173"/>
        <v>0</v>
      </c>
      <c r="BR326" s="3439">
        <f t="shared" si="174"/>
        <v>0</v>
      </c>
      <c r="BS326" s="3439">
        <f t="shared" si="175"/>
        <v>0</v>
      </c>
      <c r="BT326" s="3451">
        <f t="shared" si="176"/>
        <v>0</v>
      </c>
    </row>
    <row r="327" spans="1:72">
      <c r="A327" s="9"/>
      <c r="B327" s="27"/>
      <c r="C327" s="27"/>
      <c r="D327" s="1678"/>
      <c r="E327" s="28">
        <f t="shared" si="177"/>
        <v>0</v>
      </c>
      <c r="F327" s="29"/>
      <c r="G327" s="30">
        <f t="shared" si="152"/>
        <v>0</v>
      </c>
      <c r="H327" s="31">
        <f t="shared" si="153"/>
        <v>0</v>
      </c>
      <c r="I327" s="32"/>
      <c r="J327" s="32"/>
      <c r="K327" s="32"/>
      <c r="L327" s="32"/>
      <c r="M327" s="32"/>
      <c r="N327" s="32"/>
      <c r="O327" s="32"/>
      <c r="P327" s="32"/>
      <c r="Q327" s="32"/>
      <c r="R327" s="32"/>
      <c r="S327" s="32"/>
      <c r="T327" s="32"/>
      <c r="U327" s="32"/>
      <c r="V327" s="32"/>
      <c r="W327" s="32"/>
      <c r="X327" s="32"/>
      <c r="Y327" s="32"/>
      <c r="Z327" s="32"/>
      <c r="AA327" s="32"/>
      <c r="AB327" s="32"/>
      <c r="AC327" s="28">
        <f t="shared" si="154"/>
        <v>0</v>
      </c>
      <c r="AD327" s="33"/>
      <c r="AE327" s="33"/>
      <c r="AF327" s="33"/>
      <c r="AG327" s="33"/>
      <c r="AH327" s="33"/>
      <c r="AI327" s="33"/>
      <c r="AJ327" s="33"/>
      <c r="AK327" s="33"/>
      <c r="AL327" s="33"/>
      <c r="AM327" s="33"/>
      <c r="AN327" s="33"/>
      <c r="AO327" s="33"/>
      <c r="AP327" s="33"/>
      <c r="AQ327" s="33"/>
      <c r="AR327" s="33"/>
      <c r="AS327" s="33"/>
      <c r="AT327" s="34"/>
      <c r="AU327" s="1679"/>
      <c r="AV327" s="2256">
        <f t="shared" si="178"/>
        <v>0</v>
      </c>
      <c r="AW327" s="2256">
        <f t="shared" si="179"/>
        <v>0</v>
      </c>
      <c r="AX327" s="2256">
        <f t="shared" si="180"/>
        <v>0</v>
      </c>
      <c r="AY327" s="2781">
        <f t="shared" si="155"/>
        <v>0</v>
      </c>
      <c r="AZ327" s="28">
        <f t="shared" si="156"/>
        <v>0</v>
      </c>
      <c r="BA327" s="28">
        <f t="shared" si="157"/>
        <v>0</v>
      </c>
      <c r="BB327" s="28">
        <f t="shared" si="158"/>
        <v>0</v>
      </c>
      <c r="BC327" s="28">
        <f t="shared" si="159"/>
        <v>0</v>
      </c>
      <c r="BD327" s="3439">
        <f t="shared" si="160"/>
        <v>0</v>
      </c>
      <c r="BE327" s="3439">
        <f t="shared" si="161"/>
        <v>0</v>
      </c>
      <c r="BF327" s="3439">
        <f t="shared" si="162"/>
        <v>0</v>
      </c>
      <c r="BG327" s="3439">
        <f t="shared" si="163"/>
        <v>0</v>
      </c>
      <c r="BH327" s="3439">
        <f t="shared" si="164"/>
        <v>0</v>
      </c>
      <c r="BI327" s="3439">
        <f t="shared" si="165"/>
        <v>0</v>
      </c>
      <c r="BJ327" s="3439">
        <f t="shared" si="166"/>
        <v>0</v>
      </c>
      <c r="BK327" s="3439">
        <f t="shared" si="167"/>
        <v>0</v>
      </c>
      <c r="BL327" s="28">
        <f t="shared" si="168"/>
        <v>0</v>
      </c>
      <c r="BM327" s="28">
        <f t="shared" si="169"/>
        <v>0</v>
      </c>
      <c r="BN327" s="28">
        <f t="shared" si="170"/>
        <v>0</v>
      </c>
      <c r="BO327" s="28">
        <f t="shared" si="171"/>
        <v>0</v>
      </c>
      <c r="BP327" s="28">
        <f t="shared" si="172"/>
        <v>0</v>
      </c>
      <c r="BQ327" s="3439">
        <f t="shared" si="173"/>
        <v>0</v>
      </c>
      <c r="BR327" s="3439">
        <f t="shared" si="174"/>
        <v>0</v>
      </c>
      <c r="BS327" s="3439">
        <f t="shared" si="175"/>
        <v>0</v>
      </c>
      <c r="BT327" s="3451">
        <f t="shared" si="176"/>
        <v>0</v>
      </c>
    </row>
    <row r="328" spans="1:72">
      <c r="A328" s="9"/>
      <c r="B328" s="27"/>
      <c r="C328" s="27"/>
      <c r="D328" s="1678"/>
      <c r="E328" s="28">
        <f t="shared" si="177"/>
        <v>0</v>
      </c>
      <c r="F328" s="29"/>
      <c r="G328" s="30">
        <f t="shared" si="152"/>
        <v>0</v>
      </c>
      <c r="H328" s="31">
        <f t="shared" si="153"/>
        <v>0</v>
      </c>
      <c r="I328" s="32"/>
      <c r="J328" s="32"/>
      <c r="K328" s="32"/>
      <c r="L328" s="32"/>
      <c r="M328" s="32"/>
      <c r="N328" s="32"/>
      <c r="O328" s="32"/>
      <c r="P328" s="32"/>
      <c r="Q328" s="32"/>
      <c r="R328" s="32"/>
      <c r="S328" s="32"/>
      <c r="T328" s="32"/>
      <c r="U328" s="32"/>
      <c r="V328" s="32"/>
      <c r="W328" s="32"/>
      <c r="X328" s="32"/>
      <c r="Y328" s="32"/>
      <c r="Z328" s="32"/>
      <c r="AA328" s="32"/>
      <c r="AB328" s="32"/>
      <c r="AC328" s="28">
        <f t="shared" si="154"/>
        <v>0</v>
      </c>
      <c r="AD328" s="33"/>
      <c r="AE328" s="33"/>
      <c r="AF328" s="33"/>
      <c r="AG328" s="33"/>
      <c r="AH328" s="33"/>
      <c r="AI328" s="33"/>
      <c r="AJ328" s="33"/>
      <c r="AK328" s="33"/>
      <c r="AL328" s="33"/>
      <c r="AM328" s="33"/>
      <c r="AN328" s="33"/>
      <c r="AO328" s="33"/>
      <c r="AP328" s="33"/>
      <c r="AQ328" s="33"/>
      <c r="AR328" s="33"/>
      <c r="AS328" s="33"/>
      <c r="AT328" s="34"/>
      <c r="AU328" s="1679"/>
      <c r="AV328" s="2256">
        <f t="shared" si="178"/>
        <v>0</v>
      </c>
      <c r="AW328" s="2256">
        <f t="shared" si="179"/>
        <v>0</v>
      </c>
      <c r="AX328" s="2256">
        <f t="shared" si="180"/>
        <v>0</v>
      </c>
      <c r="AY328" s="2781">
        <f t="shared" si="155"/>
        <v>0</v>
      </c>
      <c r="AZ328" s="28">
        <f t="shared" si="156"/>
        <v>0</v>
      </c>
      <c r="BA328" s="28">
        <f t="shared" si="157"/>
        <v>0</v>
      </c>
      <c r="BB328" s="28">
        <f t="shared" si="158"/>
        <v>0</v>
      </c>
      <c r="BC328" s="28">
        <f t="shared" si="159"/>
        <v>0</v>
      </c>
      <c r="BD328" s="3439">
        <f t="shared" si="160"/>
        <v>0</v>
      </c>
      <c r="BE328" s="3439">
        <f t="shared" si="161"/>
        <v>0</v>
      </c>
      <c r="BF328" s="3439">
        <f t="shared" si="162"/>
        <v>0</v>
      </c>
      <c r="BG328" s="3439">
        <f t="shared" si="163"/>
        <v>0</v>
      </c>
      <c r="BH328" s="3439">
        <f t="shared" si="164"/>
        <v>0</v>
      </c>
      <c r="BI328" s="3439">
        <f t="shared" si="165"/>
        <v>0</v>
      </c>
      <c r="BJ328" s="3439">
        <f t="shared" si="166"/>
        <v>0</v>
      </c>
      <c r="BK328" s="3439">
        <f t="shared" si="167"/>
        <v>0</v>
      </c>
      <c r="BL328" s="28">
        <f t="shared" si="168"/>
        <v>0</v>
      </c>
      <c r="BM328" s="28">
        <f t="shared" si="169"/>
        <v>0</v>
      </c>
      <c r="BN328" s="28">
        <f t="shared" si="170"/>
        <v>0</v>
      </c>
      <c r="BO328" s="28">
        <f t="shared" si="171"/>
        <v>0</v>
      </c>
      <c r="BP328" s="28">
        <f t="shared" si="172"/>
        <v>0</v>
      </c>
      <c r="BQ328" s="3439">
        <f t="shared" si="173"/>
        <v>0</v>
      </c>
      <c r="BR328" s="3439">
        <f t="shared" si="174"/>
        <v>0</v>
      </c>
      <c r="BS328" s="3439">
        <f t="shared" si="175"/>
        <v>0</v>
      </c>
      <c r="BT328" s="3451">
        <f t="shared" si="176"/>
        <v>0</v>
      </c>
    </row>
    <row r="329" spans="1:72">
      <c r="A329" s="9"/>
      <c r="B329" s="27"/>
      <c r="C329" s="27"/>
      <c r="D329" s="1678"/>
      <c r="E329" s="28">
        <f t="shared" si="177"/>
        <v>0</v>
      </c>
      <c r="F329" s="29"/>
      <c r="G329" s="30">
        <f t="shared" si="152"/>
        <v>0</v>
      </c>
      <c r="H329" s="31">
        <f t="shared" si="153"/>
        <v>0</v>
      </c>
      <c r="I329" s="32"/>
      <c r="J329" s="32"/>
      <c r="K329" s="32"/>
      <c r="L329" s="32"/>
      <c r="M329" s="32"/>
      <c r="N329" s="32"/>
      <c r="O329" s="32"/>
      <c r="P329" s="32"/>
      <c r="Q329" s="32"/>
      <c r="R329" s="32"/>
      <c r="S329" s="32"/>
      <c r="T329" s="32"/>
      <c r="U329" s="32"/>
      <c r="V329" s="32"/>
      <c r="W329" s="32"/>
      <c r="X329" s="32"/>
      <c r="Y329" s="32"/>
      <c r="Z329" s="32"/>
      <c r="AA329" s="32"/>
      <c r="AB329" s="32"/>
      <c r="AC329" s="28">
        <f t="shared" si="154"/>
        <v>0</v>
      </c>
      <c r="AD329" s="33"/>
      <c r="AE329" s="33"/>
      <c r="AF329" s="33"/>
      <c r="AG329" s="33"/>
      <c r="AH329" s="33"/>
      <c r="AI329" s="33"/>
      <c r="AJ329" s="33"/>
      <c r="AK329" s="33"/>
      <c r="AL329" s="33"/>
      <c r="AM329" s="33"/>
      <c r="AN329" s="33"/>
      <c r="AO329" s="33"/>
      <c r="AP329" s="33"/>
      <c r="AQ329" s="33"/>
      <c r="AR329" s="33"/>
      <c r="AS329" s="33"/>
      <c r="AT329" s="34"/>
      <c r="AU329" s="1679"/>
      <c r="AV329" s="2256">
        <f t="shared" si="178"/>
        <v>0</v>
      </c>
      <c r="AW329" s="2256">
        <f t="shared" si="179"/>
        <v>0</v>
      </c>
      <c r="AX329" s="2256">
        <f t="shared" si="180"/>
        <v>0</v>
      </c>
      <c r="AY329" s="2781">
        <f t="shared" si="155"/>
        <v>0</v>
      </c>
      <c r="AZ329" s="28">
        <f t="shared" si="156"/>
        <v>0</v>
      </c>
      <c r="BA329" s="28">
        <f t="shared" si="157"/>
        <v>0</v>
      </c>
      <c r="BB329" s="28">
        <f t="shared" si="158"/>
        <v>0</v>
      </c>
      <c r="BC329" s="28">
        <f t="shared" si="159"/>
        <v>0</v>
      </c>
      <c r="BD329" s="3439">
        <f t="shared" si="160"/>
        <v>0</v>
      </c>
      <c r="BE329" s="3439">
        <f t="shared" si="161"/>
        <v>0</v>
      </c>
      <c r="BF329" s="3439">
        <f t="shared" si="162"/>
        <v>0</v>
      </c>
      <c r="BG329" s="3439">
        <f t="shared" si="163"/>
        <v>0</v>
      </c>
      <c r="BH329" s="3439">
        <f t="shared" si="164"/>
        <v>0</v>
      </c>
      <c r="BI329" s="3439">
        <f t="shared" si="165"/>
        <v>0</v>
      </c>
      <c r="BJ329" s="3439">
        <f t="shared" si="166"/>
        <v>0</v>
      </c>
      <c r="BK329" s="3439">
        <f t="shared" si="167"/>
        <v>0</v>
      </c>
      <c r="BL329" s="28">
        <f t="shared" si="168"/>
        <v>0</v>
      </c>
      <c r="BM329" s="28">
        <f t="shared" si="169"/>
        <v>0</v>
      </c>
      <c r="BN329" s="28">
        <f t="shared" si="170"/>
        <v>0</v>
      </c>
      <c r="BO329" s="28">
        <f t="shared" si="171"/>
        <v>0</v>
      </c>
      <c r="BP329" s="28">
        <f t="shared" si="172"/>
        <v>0</v>
      </c>
      <c r="BQ329" s="3439">
        <f t="shared" si="173"/>
        <v>0</v>
      </c>
      <c r="BR329" s="3439">
        <f t="shared" si="174"/>
        <v>0</v>
      </c>
      <c r="BS329" s="3439">
        <f t="shared" si="175"/>
        <v>0</v>
      </c>
      <c r="BT329" s="3451">
        <f t="shared" si="176"/>
        <v>0</v>
      </c>
    </row>
    <row r="330" spans="1:72">
      <c r="A330" s="9"/>
      <c r="B330" s="27"/>
      <c r="C330" s="27"/>
      <c r="D330" s="1678"/>
      <c r="E330" s="28">
        <f t="shared" si="177"/>
        <v>0</v>
      </c>
      <c r="F330" s="29"/>
      <c r="G330" s="30">
        <f t="shared" si="152"/>
        <v>0</v>
      </c>
      <c r="H330" s="31">
        <f t="shared" si="153"/>
        <v>0</v>
      </c>
      <c r="I330" s="32"/>
      <c r="J330" s="32"/>
      <c r="K330" s="32"/>
      <c r="L330" s="32"/>
      <c r="M330" s="32"/>
      <c r="N330" s="32"/>
      <c r="O330" s="32"/>
      <c r="P330" s="32"/>
      <c r="Q330" s="32"/>
      <c r="R330" s="32"/>
      <c r="S330" s="32"/>
      <c r="T330" s="32"/>
      <c r="U330" s="32"/>
      <c r="V330" s="32"/>
      <c r="W330" s="32"/>
      <c r="X330" s="32"/>
      <c r="Y330" s="32"/>
      <c r="Z330" s="32"/>
      <c r="AA330" s="32"/>
      <c r="AB330" s="32"/>
      <c r="AC330" s="28">
        <f t="shared" si="154"/>
        <v>0</v>
      </c>
      <c r="AD330" s="33"/>
      <c r="AE330" s="33"/>
      <c r="AF330" s="33"/>
      <c r="AG330" s="33"/>
      <c r="AH330" s="33"/>
      <c r="AI330" s="33"/>
      <c r="AJ330" s="33"/>
      <c r="AK330" s="33"/>
      <c r="AL330" s="33"/>
      <c r="AM330" s="33"/>
      <c r="AN330" s="33"/>
      <c r="AO330" s="33"/>
      <c r="AP330" s="33"/>
      <c r="AQ330" s="33"/>
      <c r="AR330" s="33"/>
      <c r="AS330" s="33"/>
      <c r="AT330" s="34"/>
      <c r="AU330" s="1679"/>
      <c r="AV330" s="2256">
        <f t="shared" si="178"/>
        <v>0</v>
      </c>
      <c r="AW330" s="2256">
        <f t="shared" si="179"/>
        <v>0</v>
      </c>
      <c r="AX330" s="2256">
        <f t="shared" si="180"/>
        <v>0</v>
      </c>
      <c r="AY330" s="2781">
        <f t="shared" si="155"/>
        <v>0</v>
      </c>
      <c r="AZ330" s="28">
        <f t="shared" si="156"/>
        <v>0</v>
      </c>
      <c r="BA330" s="28">
        <f t="shared" si="157"/>
        <v>0</v>
      </c>
      <c r="BB330" s="28">
        <f t="shared" si="158"/>
        <v>0</v>
      </c>
      <c r="BC330" s="28">
        <f t="shared" si="159"/>
        <v>0</v>
      </c>
      <c r="BD330" s="3439">
        <f t="shared" si="160"/>
        <v>0</v>
      </c>
      <c r="BE330" s="3439">
        <f t="shared" si="161"/>
        <v>0</v>
      </c>
      <c r="BF330" s="3439">
        <f t="shared" si="162"/>
        <v>0</v>
      </c>
      <c r="BG330" s="3439">
        <f t="shared" si="163"/>
        <v>0</v>
      </c>
      <c r="BH330" s="3439">
        <f t="shared" si="164"/>
        <v>0</v>
      </c>
      <c r="BI330" s="3439">
        <f t="shared" si="165"/>
        <v>0</v>
      </c>
      <c r="BJ330" s="3439">
        <f t="shared" si="166"/>
        <v>0</v>
      </c>
      <c r="BK330" s="3439">
        <f t="shared" si="167"/>
        <v>0</v>
      </c>
      <c r="BL330" s="28">
        <f t="shared" si="168"/>
        <v>0</v>
      </c>
      <c r="BM330" s="28">
        <f t="shared" si="169"/>
        <v>0</v>
      </c>
      <c r="BN330" s="28">
        <f t="shared" si="170"/>
        <v>0</v>
      </c>
      <c r="BO330" s="28">
        <f t="shared" si="171"/>
        <v>0</v>
      </c>
      <c r="BP330" s="28">
        <f t="shared" si="172"/>
        <v>0</v>
      </c>
      <c r="BQ330" s="3439">
        <f t="shared" si="173"/>
        <v>0</v>
      </c>
      <c r="BR330" s="3439">
        <f t="shared" si="174"/>
        <v>0</v>
      </c>
      <c r="BS330" s="3439">
        <f t="shared" si="175"/>
        <v>0</v>
      </c>
      <c r="BT330" s="3451">
        <f t="shared" si="176"/>
        <v>0</v>
      </c>
    </row>
    <row r="331" spans="1:72">
      <c r="A331" s="9"/>
      <c r="B331" s="27"/>
      <c r="C331" s="27"/>
      <c r="D331" s="1678"/>
      <c r="E331" s="28">
        <f t="shared" si="177"/>
        <v>0</v>
      </c>
      <c r="F331" s="29"/>
      <c r="G331" s="30">
        <f t="shared" si="152"/>
        <v>0</v>
      </c>
      <c r="H331" s="31">
        <f t="shared" si="153"/>
        <v>0</v>
      </c>
      <c r="I331" s="32"/>
      <c r="J331" s="32"/>
      <c r="K331" s="32"/>
      <c r="L331" s="32"/>
      <c r="M331" s="32"/>
      <c r="N331" s="32"/>
      <c r="O331" s="32"/>
      <c r="P331" s="32"/>
      <c r="Q331" s="32"/>
      <c r="R331" s="32"/>
      <c r="S331" s="32"/>
      <c r="T331" s="32"/>
      <c r="U331" s="32"/>
      <c r="V331" s="32"/>
      <c r="W331" s="32"/>
      <c r="X331" s="32"/>
      <c r="Y331" s="32"/>
      <c r="Z331" s="32"/>
      <c r="AA331" s="32"/>
      <c r="AB331" s="32"/>
      <c r="AC331" s="28">
        <f t="shared" si="154"/>
        <v>0</v>
      </c>
      <c r="AD331" s="33"/>
      <c r="AE331" s="33"/>
      <c r="AF331" s="33"/>
      <c r="AG331" s="33"/>
      <c r="AH331" s="33"/>
      <c r="AI331" s="33"/>
      <c r="AJ331" s="33"/>
      <c r="AK331" s="33"/>
      <c r="AL331" s="33"/>
      <c r="AM331" s="33"/>
      <c r="AN331" s="33"/>
      <c r="AO331" s="33"/>
      <c r="AP331" s="33"/>
      <c r="AQ331" s="33"/>
      <c r="AR331" s="33"/>
      <c r="AS331" s="33"/>
      <c r="AT331" s="34"/>
      <c r="AU331" s="1679"/>
      <c r="AV331" s="2256">
        <f t="shared" si="178"/>
        <v>0</v>
      </c>
      <c r="AW331" s="2256">
        <f t="shared" si="179"/>
        <v>0</v>
      </c>
      <c r="AX331" s="2256">
        <f t="shared" si="180"/>
        <v>0</v>
      </c>
      <c r="AY331" s="2781">
        <f t="shared" si="155"/>
        <v>0</v>
      </c>
      <c r="AZ331" s="28">
        <f t="shared" si="156"/>
        <v>0</v>
      </c>
      <c r="BA331" s="28">
        <f t="shared" si="157"/>
        <v>0</v>
      </c>
      <c r="BB331" s="28">
        <f t="shared" si="158"/>
        <v>0</v>
      </c>
      <c r="BC331" s="28">
        <f t="shared" si="159"/>
        <v>0</v>
      </c>
      <c r="BD331" s="3439">
        <f t="shared" si="160"/>
        <v>0</v>
      </c>
      <c r="BE331" s="3439">
        <f t="shared" si="161"/>
        <v>0</v>
      </c>
      <c r="BF331" s="3439">
        <f t="shared" si="162"/>
        <v>0</v>
      </c>
      <c r="BG331" s="3439">
        <f t="shared" si="163"/>
        <v>0</v>
      </c>
      <c r="BH331" s="3439">
        <f t="shared" si="164"/>
        <v>0</v>
      </c>
      <c r="BI331" s="3439">
        <f t="shared" si="165"/>
        <v>0</v>
      </c>
      <c r="BJ331" s="3439">
        <f t="shared" si="166"/>
        <v>0</v>
      </c>
      <c r="BK331" s="3439">
        <f t="shared" si="167"/>
        <v>0</v>
      </c>
      <c r="BL331" s="28">
        <f t="shared" si="168"/>
        <v>0</v>
      </c>
      <c r="BM331" s="28">
        <f t="shared" si="169"/>
        <v>0</v>
      </c>
      <c r="BN331" s="28">
        <f t="shared" si="170"/>
        <v>0</v>
      </c>
      <c r="BO331" s="28">
        <f t="shared" si="171"/>
        <v>0</v>
      </c>
      <c r="BP331" s="28">
        <f t="shared" si="172"/>
        <v>0</v>
      </c>
      <c r="BQ331" s="3439">
        <f t="shared" si="173"/>
        <v>0</v>
      </c>
      <c r="BR331" s="3439">
        <f t="shared" si="174"/>
        <v>0</v>
      </c>
      <c r="BS331" s="3439">
        <f t="shared" si="175"/>
        <v>0</v>
      </c>
      <c r="BT331" s="3451">
        <f t="shared" si="176"/>
        <v>0</v>
      </c>
    </row>
    <row r="332" spans="1:72">
      <c r="A332" s="9"/>
      <c r="B332" s="27"/>
      <c r="C332" s="27"/>
      <c r="D332" s="1678"/>
      <c r="E332" s="28">
        <f t="shared" si="177"/>
        <v>0</v>
      </c>
      <c r="F332" s="29"/>
      <c r="G332" s="30">
        <f t="shared" ref="G332:G363" si="181">H332+AC332+AT332</f>
        <v>0</v>
      </c>
      <c r="H332" s="31">
        <f t="shared" ref="H332:H363" si="182">SUMIF(I$12:AB$12,"总值",I332:AB332)</f>
        <v>0</v>
      </c>
      <c r="I332" s="32"/>
      <c r="J332" s="32"/>
      <c r="K332" s="32"/>
      <c r="L332" s="32"/>
      <c r="M332" s="32"/>
      <c r="N332" s="32"/>
      <c r="O332" s="32"/>
      <c r="P332" s="32"/>
      <c r="Q332" s="32"/>
      <c r="R332" s="32"/>
      <c r="S332" s="32"/>
      <c r="T332" s="32"/>
      <c r="U332" s="32"/>
      <c r="V332" s="32"/>
      <c r="W332" s="32"/>
      <c r="X332" s="32"/>
      <c r="Y332" s="32"/>
      <c r="Z332" s="32"/>
      <c r="AA332" s="32"/>
      <c r="AB332" s="32"/>
      <c r="AC332" s="28">
        <f t="shared" ref="AC332:AC363" si="183">SUMIF(AD$12:AS$12,"总值",AD332:AS332)</f>
        <v>0</v>
      </c>
      <c r="AD332" s="33"/>
      <c r="AE332" s="33"/>
      <c r="AF332" s="33"/>
      <c r="AG332" s="33"/>
      <c r="AH332" s="33"/>
      <c r="AI332" s="33"/>
      <c r="AJ332" s="33"/>
      <c r="AK332" s="33"/>
      <c r="AL332" s="33"/>
      <c r="AM332" s="33"/>
      <c r="AN332" s="33"/>
      <c r="AO332" s="33"/>
      <c r="AP332" s="33"/>
      <c r="AQ332" s="33"/>
      <c r="AR332" s="33"/>
      <c r="AS332" s="33"/>
      <c r="AT332" s="34"/>
      <c r="AU332" s="1679"/>
      <c r="AV332" s="2256">
        <f t="shared" si="178"/>
        <v>0</v>
      </c>
      <c r="AW332" s="2256">
        <f t="shared" si="179"/>
        <v>0</v>
      </c>
      <c r="AX332" s="2256">
        <f t="shared" si="180"/>
        <v>0</v>
      </c>
      <c r="AY332" s="2781">
        <f t="shared" ref="AY332:AY363" si="184">ROUND($AY$6*AZ332/$AZ$5,2)</f>
        <v>0</v>
      </c>
      <c r="AZ332" s="28">
        <f t="shared" ref="AZ332:AZ363" si="185">BA332+BL332</f>
        <v>0</v>
      </c>
      <c r="BA332" s="28">
        <f t="shared" ref="BA332:BA363" si="186">SUM(BB332:BK332)</f>
        <v>0</v>
      </c>
      <c r="BB332" s="28">
        <f t="shared" ref="BB332:BB363" si="187">IF($D332="是",I332-J332,0)</f>
        <v>0</v>
      </c>
      <c r="BC332" s="28">
        <f t="shared" ref="BC332:BC363" si="188">IF($D332="是",K332-L332,0)</f>
        <v>0</v>
      </c>
      <c r="BD332" s="3439">
        <f t="shared" ref="BD332:BD363" si="189">IF($D332="是",M332-N332,0)</f>
        <v>0</v>
      </c>
      <c r="BE332" s="3439">
        <f t="shared" ref="BE332:BE363" si="190">IF($D332="是",O332-P332,0)</f>
        <v>0</v>
      </c>
      <c r="BF332" s="3439">
        <f t="shared" ref="BF332:BF363" si="191">IF($D332="是",Q332-R332,0)</f>
        <v>0</v>
      </c>
      <c r="BG332" s="3439">
        <f t="shared" ref="BG332:BG363" si="192">IF($D332="是",S332-T332,0)</f>
        <v>0</v>
      </c>
      <c r="BH332" s="3439">
        <f t="shared" ref="BH332:BH363" si="193">IF($D332="是",U332-V332,0)</f>
        <v>0</v>
      </c>
      <c r="BI332" s="3439">
        <f t="shared" ref="BI332:BI363" si="194">IF($D332="是",W332-X332,0)</f>
        <v>0</v>
      </c>
      <c r="BJ332" s="3439">
        <f t="shared" ref="BJ332:BJ363" si="195">IF($D332="是",Y332-Z332,0)</f>
        <v>0</v>
      </c>
      <c r="BK332" s="3439">
        <f t="shared" ref="BK332:BK363" si="196">IF($D332="是",AA332-AB332,0)</f>
        <v>0</v>
      </c>
      <c r="BL332" s="28">
        <f t="shared" ref="BL332:BL363" si="197">SUM(BM332:BT332)</f>
        <v>0</v>
      </c>
      <c r="BM332" s="28">
        <f t="shared" ref="BM332:BM363" si="198">IF($D332="是",AD332-AE332,0)</f>
        <v>0</v>
      </c>
      <c r="BN332" s="28">
        <f t="shared" ref="BN332:BN363" si="199">IF($D332="是",AF332-AG332,0)</f>
        <v>0</v>
      </c>
      <c r="BO332" s="28">
        <f t="shared" ref="BO332:BO363" si="200">IF($D332="是",AH332-AI332,0)</f>
        <v>0</v>
      </c>
      <c r="BP332" s="28">
        <f t="shared" ref="BP332:BP363" si="201">IF($D332="是",AJ332-AK332,0)</f>
        <v>0</v>
      </c>
      <c r="BQ332" s="3439">
        <f t="shared" ref="BQ332:BQ363" si="202">IF($D332="是",AL332-AM332,0)</f>
        <v>0</v>
      </c>
      <c r="BR332" s="3439">
        <f t="shared" ref="BR332:BR363" si="203">IF($D332="是",AN332-AO332,0)</f>
        <v>0</v>
      </c>
      <c r="BS332" s="3439">
        <f t="shared" ref="BS332:BS363" si="204">IF($D332="是",AP332-AQ332,0)</f>
        <v>0</v>
      </c>
      <c r="BT332" s="3451">
        <f t="shared" ref="BT332:BT363" si="205">IF($D332="是",AR332-AS332,0)</f>
        <v>0</v>
      </c>
    </row>
    <row r="333" spans="1:72">
      <c r="A333" s="9"/>
      <c r="B333" s="27"/>
      <c r="C333" s="27"/>
      <c r="D333" s="1678"/>
      <c r="E333" s="28">
        <f t="shared" si="177"/>
        <v>0</v>
      </c>
      <c r="F333" s="29"/>
      <c r="G333" s="30">
        <f t="shared" si="181"/>
        <v>0</v>
      </c>
      <c r="H333" s="31">
        <f t="shared" si="182"/>
        <v>0</v>
      </c>
      <c r="I333" s="32"/>
      <c r="J333" s="32"/>
      <c r="K333" s="32"/>
      <c r="L333" s="32"/>
      <c r="M333" s="32"/>
      <c r="N333" s="32"/>
      <c r="O333" s="32"/>
      <c r="P333" s="32"/>
      <c r="Q333" s="32"/>
      <c r="R333" s="32"/>
      <c r="S333" s="32"/>
      <c r="T333" s="32"/>
      <c r="U333" s="32"/>
      <c r="V333" s="32"/>
      <c r="W333" s="32"/>
      <c r="X333" s="32"/>
      <c r="Y333" s="32"/>
      <c r="Z333" s="32"/>
      <c r="AA333" s="32"/>
      <c r="AB333" s="32"/>
      <c r="AC333" s="28">
        <f t="shared" si="183"/>
        <v>0</v>
      </c>
      <c r="AD333" s="33"/>
      <c r="AE333" s="33"/>
      <c r="AF333" s="33"/>
      <c r="AG333" s="33"/>
      <c r="AH333" s="33"/>
      <c r="AI333" s="33"/>
      <c r="AJ333" s="33"/>
      <c r="AK333" s="33"/>
      <c r="AL333" s="33"/>
      <c r="AM333" s="33"/>
      <c r="AN333" s="33"/>
      <c r="AO333" s="33"/>
      <c r="AP333" s="33"/>
      <c r="AQ333" s="33"/>
      <c r="AR333" s="33"/>
      <c r="AS333" s="33"/>
      <c r="AT333" s="34"/>
      <c r="AU333" s="1679"/>
      <c r="AV333" s="2256">
        <f t="shared" si="178"/>
        <v>0</v>
      </c>
      <c r="AW333" s="2256">
        <f t="shared" si="179"/>
        <v>0</v>
      </c>
      <c r="AX333" s="2256">
        <f t="shared" si="180"/>
        <v>0</v>
      </c>
      <c r="AY333" s="2781">
        <f t="shared" si="184"/>
        <v>0</v>
      </c>
      <c r="AZ333" s="28">
        <f t="shared" si="185"/>
        <v>0</v>
      </c>
      <c r="BA333" s="28">
        <f t="shared" si="186"/>
        <v>0</v>
      </c>
      <c r="BB333" s="28">
        <f t="shared" si="187"/>
        <v>0</v>
      </c>
      <c r="BC333" s="28">
        <f t="shared" si="188"/>
        <v>0</v>
      </c>
      <c r="BD333" s="3439">
        <f t="shared" si="189"/>
        <v>0</v>
      </c>
      <c r="BE333" s="3439">
        <f t="shared" si="190"/>
        <v>0</v>
      </c>
      <c r="BF333" s="3439">
        <f t="shared" si="191"/>
        <v>0</v>
      </c>
      <c r="BG333" s="3439">
        <f t="shared" si="192"/>
        <v>0</v>
      </c>
      <c r="BH333" s="3439">
        <f t="shared" si="193"/>
        <v>0</v>
      </c>
      <c r="BI333" s="3439">
        <f t="shared" si="194"/>
        <v>0</v>
      </c>
      <c r="BJ333" s="3439">
        <f t="shared" si="195"/>
        <v>0</v>
      </c>
      <c r="BK333" s="3439">
        <f t="shared" si="196"/>
        <v>0</v>
      </c>
      <c r="BL333" s="28">
        <f t="shared" si="197"/>
        <v>0</v>
      </c>
      <c r="BM333" s="28">
        <f t="shared" si="198"/>
        <v>0</v>
      </c>
      <c r="BN333" s="28">
        <f t="shared" si="199"/>
        <v>0</v>
      </c>
      <c r="BO333" s="28">
        <f t="shared" si="200"/>
        <v>0</v>
      </c>
      <c r="BP333" s="28">
        <f t="shared" si="201"/>
        <v>0</v>
      </c>
      <c r="BQ333" s="3439">
        <f t="shared" si="202"/>
        <v>0</v>
      </c>
      <c r="BR333" s="3439">
        <f t="shared" si="203"/>
        <v>0</v>
      </c>
      <c r="BS333" s="3439">
        <f t="shared" si="204"/>
        <v>0</v>
      </c>
      <c r="BT333" s="3451">
        <f t="shared" si="205"/>
        <v>0</v>
      </c>
    </row>
    <row r="334" spans="1:72">
      <c r="A334" s="9"/>
      <c r="B334" s="27"/>
      <c r="C334" s="27"/>
      <c r="D334" s="1678"/>
      <c r="E334" s="28">
        <f t="shared" si="177"/>
        <v>0</v>
      </c>
      <c r="F334" s="29"/>
      <c r="G334" s="30">
        <f t="shared" si="181"/>
        <v>0</v>
      </c>
      <c r="H334" s="31">
        <f t="shared" si="182"/>
        <v>0</v>
      </c>
      <c r="I334" s="32"/>
      <c r="J334" s="32"/>
      <c r="K334" s="32"/>
      <c r="L334" s="32"/>
      <c r="M334" s="32"/>
      <c r="N334" s="32"/>
      <c r="O334" s="32"/>
      <c r="P334" s="32"/>
      <c r="Q334" s="32"/>
      <c r="R334" s="32"/>
      <c r="S334" s="32"/>
      <c r="T334" s="32"/>
      <c r="U334" s="32"/>
      <c r="V334" s="32"/>
      <c r="W334" s="32"/>
      <c r="X334" s="32"/>
      <c r="Y334" s="32"/>
      <c r="Z334" s="32"/>
      <c r="AA334" s="32"/>
      <c r="AB334" s="32"/>
      <c r="AC334" s="28">
        <f t="shared" si="183"/>
        <v>0</v>
      </c>
      <c r="AD334" s="33"/>
      <c r="AE334" s="33"/>
      <c r="AF334" s="33"/>
      <c r="AG334" s="33"/>
      <c r="AH334" s="33"/>
      <c r="AI334" s="33"/>
      <c r="AJ334" s="33"/>
      <c r="AK334" s="33"/>
      <c r="AL334" s="33"/>
      <c r="AM334" s="33"/>
      <c r="AN334" s="33"/>
      <c r="AO334" s="33"/>
      <c r="AP334" s="33"/>
      <c r="AQ334" s="33"/>
      <c r="AR334" s="33"/>
      <c r="AS334" s="33"/>
      <c r="AT334" s="34"/>
      <c r="AU334" s="1679"/>
      <c r="AV334" s="2256">
        <f t="shared" si="178"/>
        <v>0</v>
      </c>
      <c r="AW334" s="2256">
        <f t="shared" si="179"/>
        <v>0</v>
      </c>
      <c r="AX334" s="2256">
        <f t="shared" si="180"/>
        <v>0</v>
      </c>
      <c r="AY334" s="2781">
        <f t="shared" si="184"/>
        <v>0</v>
      </c>
      <c r="AZ334" s="28">
        <f t="shared" si="185"/>
        <v>0</v>
      </c>
      <c r="BA334" s="28">
        <f t="shared" si="186"/>
        <v>0</v>
      </c>
      <c r="BB334" s="28">
        <f t="shared" si="187"/>
        <v>0</v>
      </c>
      <c r="BC334" s="28">
        <f t="shared" si="188"/>
        <v>0</v>
      </c>
      <c r="BD334" s="3439">
        <f t="shared" si="189"/>
        <v>0</v>
      </c>
      <c r="BE334" s="3439">
        <f t="shared" si="190"/>
        <v>0</v>
      </c>
      <c r="BF334" s="3439">
        <f t="shared" si="191"/>
        <v>0</v>
      </c>
      <c r="BG334" s="3439">
        <f t="shared" si="192"/>
        <v>0</v>
      </c>
      <c r="BH334" s="3439">
        <f t="shared" si="193"/>
        <v>0</v>
      </c>
      <c r="BI334" s="3439">
        <f t="shared" si="194"/>
        <v>0</v>
      </c>
      <c r="BJ334" s="3439">
        <f t="shared" si="195"/>
        <v>0</v>
      </c>
      <c r="BK334" s="3439">
        <f t="shared" si="196"/>
        <v>0</v>
      </c>
      <c r="BL334" s="28">
        <f t="shared" si="197"/>
        <v>0</v>
      </c>
      <c r="BM334" s="28">
        <f t="shared" si="198"/>
        <v>0</v>
      </c>
      <c r="BN334" s="28">
        <f t="shared" si="199"/>
        <v>0</v>
      </c>
      <c r="BO334" s="28">
        <f t="shared" si="200"/>
        <v>0</v>
      </c>
      <c r="BP334" s="28">
        <f t="shared" si="201"/>
        <v>0</v>
      </c>
      <c r="BQ334" s="3439">
        <f t="shared" si="202"/>
        <v>0</v>
      </c>
      <c r="BR334" s="3439">
        <f t="shared" si="203"/>
        <v>0</v>
      </c>
      <c r="BS334" s="3439">
        <f t="shared" si="204"/>
        <v>0</v>
      </c>
      <c r="BT334" s="3451">
        <f t="shared" si="205"/>
        <v>0</v>
      </c>
    </row>
    <row r="335" spans="1:72">
      <c r="A335" s="9"/>
      <c r="B335" s="27"/>
      <c r="C335" s="27"/>
      <c r="D335" s="1678"/>
      <c r="E335" s="28">
        <f t="shared" ref="E335:E366" si="206">IF($C$3="是",ROUND($A$3*G335/$B$3,2),ROUND($A$3*(G335-AT335)/$B$3,2))</f>
        <v>0</v>
      </c>
      <c r="F335" s="29"/>
      <c r="G335" s="30">
        <f t="shared" si="181"/>
        <v>0</v>
      </c>
      <c r="H335" s="31">
        <f t="shared" si="182"/>
        <v>0</v>
      </c>
      <c r="I335" s="32"/>
      <c r="J335" s="32"/>
      <c r="K335" s="32"/>
      <c r="L335" s="32"/>
      <c r="M335" s="32"/>
      <c r="N335" s="32"/>
      <c r="O335" s="32"/>
      <c r="P335" s="32"/>
      <c r="Q335" s="32"/>
      <c r="R335" s="32"/>
      <c r="S335" s="32"/>
      <c r="T335" s="32"/>
      <c r="U335" s="32"/>
      <c r="V335" s="32"/>
      <c r="W335" s="32"/>
      <c r="X335" s="32"/>
      <c r="Y335" s="32"/>
      <c r="Z335" s="32"/>
      <c r="AA335" s="32"/>
      <c r="AB335" s="32"/>
      <c r="AC335" s="28">
        <f t="shared" si="183"/>
        <v>0</v>
      </c>
      <c r="AD335" s="33"/>
      <c r="AE335" s="33"/>
      <c r="AF335" s="33"/>
      <c r="AG335" s="33"/>
      <c r="AH335" s="33"/>
      <c r="AI335" s="33"/>
      <c r="AJ335" s="33"/>
      <c r="AK335" s="33"/>
      <c r="AL335" s="33"/>
      <c r="AM335" s="33"/>
      <c r="AN335" s="33"/>
      <c r="AO335" s="33"/>
      <c r="AP335" s="33"/>
      <c r="AQ335" s="33"/>
      <c r="AR335" s="33"/>
      <c r="AS335" s="33"/>
      <c r="AT335" s="34"/>
      <c r="AU335" s="1679"/>
      <c r="AV335" s="2256">
        <f t="shared" ref="AV335:AV366" si="207">A335</f>
        <v>0</v>
      </c>
      <c r="AW335" s="2256">
        <f t="shared" ref="AW335:AW366" si="208">B335</f>
        <v>0</v>
      </c>
      <c r="AX335" s="2256">
        <f t="shared" ref="AX335:AX366" si="209">C335</f>
        <v>0</v>
      </c>
      <c r="AY335" s="2781">
        <f t="shared" si="184"/>
        <v>0</v>
      </c>
      <c r="AZ335" s="28">
        <f t="shared" si="185"/>
        <v>0</v>
      </c>
      <c r="BA335" s="28">
        <f t="shared" si="186"/>
        <v>0</v>
      </c>
      <c r="BB335" s="28">
        <f t="shared" si="187"/>
        <v>0</v>
      </c>
      <c r="BC335" s="28">
        <f t="shared" si="188"/>
        <v>0</v>
      </c>
      <c r="BD335" s="3439">
        <f t="shared" si="189"/>
        <v>0</v>
      </c>
      <c r="BE335" s="3439">
        <f t="shared" si="190"/>
        <v>0</v>
      </c>
      <c r="BF335" s="3439">
        <f t="shared" si="191"/>
        <v>0</v>
      </c>
      <c r="BG335" s="3439">
        <f t="shared" si="192"/>
        <v>0</v>
      </c>
      <c r="BH335" s="3439">
        <f t="shared" si="193"/>
        <v>0</v>
      </c>
      <c r="BI335" s="3439">
        <f t="shared" si="194"/>
        <v>0</v>
      </c>
      <c r="BJ335" s="3439">
        <f t="shared" si="195"/>
        <v>0</v>
      </c>
      <c r="BK335" s="3439">
        <f t="shared" si="196"/>
        <v>0</v>
      </c>
      <c r="BL335" s="28">
        <f t="shared" si="197"/>
        <v>0</v>
      </c>
      <c r="BM335" s="28">
        <f t="shared" si="198"/>
        <v>0</v>
      </c>
      <c r="BN335" s="28">
        <f t="shared" si="199"/>
        <v>0</v>
      </c>
      <c r="BO335" s="28">
        <f t="shared" si="200"/>
        <v>0</v>
      </c>
      <c r="BP335" s="28">
        <f t="shared" si="201"/>
        <v>0</v>
      </c>
      <c r="BQ335" s="3439">
        <f t="shared" si="202"/>
        <v>0</v>
      </c>
      <c r="BR335" s="3439">
        <f t="shared" si="203"/>
        <v>0</v>
      </c>
      <c r="BS335" s="3439">
        <f t="shared" si="204"/>
        <v>0</v>
      </c>
      <c r="BT335" s="3451">
        <f t="shared" si="205"/>
        <v>0</v>
      </c>
    </row>
    <row r="336" spans="1:72">
      <c r="A336" s="9"/>
      <c r="B336" s="27"/>
      <c r="C336" s="27"/>
      <c r="D336" s="1678"/>
      <c r="E336" s="28">
        <f t="shared" si="206"/>
        <v>0</v>
      </c>
      <c r="F336" s="29"/>
      <c r="G336" s="30">
        <f t="shared" si="181"/>
        <v>0</v>
      </c>
      <c r="H336" s="31">
        <f t="shared" si="182"/>
        <v>0</v>
      </c>
      <c r="I336" s="32"/>
      <c r="J336" s="32"/>
      <c r="K336" s="32"/>
      <c r="L336" s="32"/>
      <c r="M336" s="32"/>
      <c r="N336" s="32"/>
      <c r="O336" s="32"/>
      <c r="P336" s="32"/>
      <c r="Q336" s="32"/>
      <c r="R336" s="32"/>
      <c r="S336" s="32"/>
      <c r="T336" s="32"/>
      <c r="U336" s="32"/>
      <c r="V336" s="32"/>
      <c r="W336" s="32"/>
      <c r="X336" s="32"/>
      <c r="Y336" s="32"/>
      <c r="Z336" s="32"/>
      <c r="AA336" s="32"/>
      <c r="AB336" s="32"/>
      <c r="AC336" s="28">
        <f t="shared" si="183"/>
        <v>0</v>
      </c>
      <c r="AD336" s="33"/>
      <c r="AE336" s="33"/>
      <c r="AF336" s="33"/>
      <c r="AG336" s="33"/>
      <c r="AH336" s="33"/>
      <c r="AI336" s="33"/>
      <c r="AJ336" s="33"/>
      <c r="AK336" s="33"/>
      <c r="AL336" s="33"/>
      <c r="AM336" s="33"/>
      <c r="AN336" s="33"/>
      <c r="AO336" s="33"/>
      <c r="AP336" s="33"/>
      <c r="AQ336" s="33"/>
      <c r="AR336" s="33"/>
      <c r="AS336" s="33"/>
      <c r="AT336" s="34"/>
      <c r="AU336" s="1679"/>
      <c r="AV336" s="2256">
        <f t="shared" si="207"/>
        <v>0</v>
      </c>
      <c r="AW336" s="2256">
        <f t="shared" si="208"/>
        <v>0</v>
      </c>
      <c r="AX336" s="2256">
        <f t="shared" si="209"/>
        <v>0</v>
      </c>
      <c r="AY336" s="2781">
        <f t="shared" si="184"/>
        <v>0</v>
      </c>
      <c r="AZ336" s="28">
        <f t="shared" si="185"/>
        <v>0</v>
      </c>
      <c r="BA336" s="28">
        <f t="shared" si="186"/>
        <v>0</v>
      </c>
      <c r="BB336" s="28">
        <f t="shared" si="187"/>
        <v>0</v>
      </c>
      <c r="BC336" s="28">
        <f t="shared" si="188"/>
        <v>0</v>
      </c>
      <c r="BD336" s="3439">
        <f t="shared" si="189"/>
        <v>0</v>
      </c>
      <c r="BE336" s="3439">
        <f t="shared" si="190"/>
        <v>0</v>
      </c>
      <c r="BF336" s="3439">
        <f t="shared" si="191"/>
        <v>0</v>
      </c>
      <c r="BG336" s="3439">
        <f t="shared" si="192"/>
        <v>0</v>
      </c>
      <c r="BH336" s="3439">
        <f t="shared" si="193"/>
        <v>0</v>
      </c>
      <c r="BI336" s="3439">
        <f t="shared" si="194"/>
        <v>0</v>
      </c>
      <c r="BJ336" s="3439">
        <f t="shared" si="195"/>
        <v>0</v>
      </c>
      <c r="BK336" s="3439">
        <f t="shared" si="196"/>
        <v>0</v>
      </c>
      <c r="BL336" s="28">
        <f t="shared" si="197"/>
        <v>0</v>
      </c>
      <c r="BM336" s="28">
        <f t="shared" si="198"/>
        <v>0</v>
      </c>
      <c r="BN336" s="28">
        <f t="shared" si="199"/>
        <v>0</v>
      </c>
      <c r="BO336" s="28">
        <f t="shared" si="200"/>
        <v>0</v>
      </c>
      <c r="BP336" s="28">
        <f t="shared" si="201"/>
        <v>0</v>
      </c>
      <c r="BQ336" s="3439">
        <f t="shared" si="202"/>
        <v>0</v>
      </c>
      <c r="BR336" s="3439">
        <f t="shared" si="203"/>
        <v>0</v>
      </c>
      <c r="BS336" s="3439">
        <f t="shared" si="204"/>
        <v>0</v>
      </c>
      <c r="BT336" s="3451">
        <f t="shared" si="205"/>
        <v>0</v>
      </c>
    </row>
    <row r="337" spans="1:72">
      <c r="A337" s="9"/>
      <c r="B337" s="27"/>
      <c r="C337" s="27"/>
      <c r="D337" s="1678"/>
      <c r="E337" s="28">
        <f t="shared" si="206"/>
        <v>0</v>
      </c>
      <c r="F337" s="29"/>
      <c r="G337" s="30">
        <f t="shared" si="181"/>
        <v>0</v>
      </c>
      <c r="H337" s="31">
        <f t="shared" si="182"/>
        <v>0</v>
      </c>
      <c r="I337" s="32"/>
      <c r="J337" s="32"/>
      <c r="K337" s="32"/>
      <c r="L337" s="32"/>
      <c r="M337" s="32"/>
      <c r="N337" s="32"/>
      <c r="O337" s="32"/>
      <c r="P337" s="32"/>
      <c r="Q337" s="32"/>
      <c r="R337" s="32"/>
      <c r="S337" s="32"/>
      <c r="T337" s="32"/>
      <c r="U337" s="32"/>
      <c r="V337" s="32"/>
      <c r="W337" s="32"/>
      <c r="X337" s="32"/>
      <c r="Y337" s="32"/>
      <c r="Z337" s="32"/>
      <c r="AA337" s="32"/>
      <c r="AB337" s="32"/>
      <c r="AC337" s="28">
        <f t="shared" si="183"/>
        <v>0</v>
      </c>
      <c r="AD337" s="33"/>
      <c r="AE337" s="33"/>
      <c r="AF337" s="33"/>
      <c r="AG337" s="33"/>
      <c r="AH337" s="33"/>
      <c r="AI337" s="33"/>
      <c r="AJ337" s="33"/>
      <c r="AK337" s="33"/>
      <c r="AL337" s="33"/>
      <c r="AM337" s="33"/>
      <c r="AN337" s="33"/>
      <c r="AO337" s="33"/>
      <c r="AP337" s="33"/>
      <c r="AQ337" s="33"/>
      <c r="AR337" s="33"/>
      <c r="AS337" s="33"/>
      <c r="AT337" s="34"/>
      <c r="AU337" s="1679"/>
      <c r="AV337" s="2256">
        <f t="shared" si="207"/>
        <v>0</v>
      </c>
      <c r="AW337" s="2256">
        <f t="shared" si="208"/>
        <v>0</v>
      </c>
      <c r="AX337" s="2256">
        <f t="shared" si="209"/>
        <v>0</v>
      </c>
      <c r="AY337" s="2781">
        <f t="shared" si="184"/>
        <v>0</v>
      </c>
      <c r="AZ337" s="28">
        <f t="shared" si="185"/>
        <v>0</v>
      </c>
      <c r="BA337" s="28">
        <f t="shared" si="186"/>
        <v>0</v>
      </c>
      <c r="BB337" s="28">
        <f t="shared" si="187"/>
        <v>0</v>
      </c>
      <c r="BC337" s="28">
        <f t="shared" si="188"/>
        <v>0</v>
      </c>
      <c r="BD337" s="3439">
        <f t="shared" si="189"/>
        <v>0</v>
      </c>
      <c r="BE337" s="3439">
        <f t="shared" si="190"/>
        <v>0</v>
      </c>
      <c r="BF337" s="3439">
        <f t="shared" si="191"/>
        <v>0</v>
      </c>
      <c r="BG337" s="3439">
        <f t="shared" si="192"/>
        <v>0</v>
      </c>
      <c r="BH337" s="3439">
        <f t="shared" si="193"/>
        <v>0</v>
      </c>
      <c r="BI337" s="3439">
        <f t="shared" si="194"/>
        <v>0</v>
      </c>
      <c r="BJ337" s="3439">
        <f t="shared" si="195"/>
        <v>0</v>
      </c>
      <c r="BK337" s="3439">
        <f t="shared" si="196"/>
        <v>0</v>
      </c>
      <c r="BL337" s="28">
        <f t="shared" si="197"/>
        <v>0</v>
      </c>
      <c r="BM337" s="28">
        <f t="shared" si="198"/>
        <v>0</v>
      </c>
      <c r="BN337" s="28">
        <f t="shared" si="199"/>
        <v>0</v>
      </c>
      <c r="BO337" s="28">
        <f t="shared" si="200"/>
        <v>0</v>
      </c>
      <c r="BP337" s="28">
        <f t="shared" si="201"/>
        <v>0</v>
      </c>
      <c r="BQ337" s="3439">
        <f t="shared" si="202"/>
        <v>0</v>
      </c>
      <c r="BR337" s="3439">
        <f t="shared" si="203"/>
        <v>0</v>
      </c>
      <c r="BS337" s="3439">
        <f t="shared" si="204"/>
        <v>0</v>
      </c>
      <c r="BT337" s="3451">
        <f t="shared" si="205"/>
        <v>0</v>
      </c>
    </row>
    <row r="338" spans="1:72">
      <c r="A338" s="9"/>
      <c r="B338" s="27"/>
      <c r="C338" s="27"/>
      <c r="D338" s="1678"/>
      <c r="E338" s="28">
        <f t="shared" si="206"/>
        <v>0</v>
      </c>
      <c r="F338" s="29"/>
      <c r="G338" s="30">
        <f t="shared" si="181"/>
        <v>0</v>
      </c>
      <c r="H338" s="31">
        <f t="shared" si="182"/>
        <v>0</v>
      </c>
      <c r="I338" s="32"/>
      <c r="J338" s="32"/>
      <c r="K338" s="32"/>
      <c r="L338" s="32"/>
      <c r="M338" s="32"/>
      <c r="N338" s="32"/>
      <c r="O338" s="32"/>
      <c r="P338" s="32"/>
      <c r="Q338" s="32"/>
      <c r="R338" s="32"/>
      <c r="S338" s="32"/>
      <c r="T338" s="32"/>
      <c r="U338" s="32"/>
      <c r="V338" s="32"/>
      <c r="W338" s="32"/>
      <c r="X338" s="32"/>
      <c r="Y338" s="32"/>
      <c r="Z338" s="32"/>
      <c r="AA338" s="32"/>
      <c r="AB338" s="32"/>
      <c r="AC338" s="28">
        <f t="shared" si="183"/>
        <v>0</v>
      </c>
      <c r="AD338" s="33"/>
      <c r="AE338" s="33"/>
      <c r="AF338" s="33"/>
      <c r="AG338" s="33"/>
      <c r="AH338" s="33"/>
      <c r="AI338" s="33"/>
      <c r="AJ338" s="33"/>
      <c r="AK338" s="33"/>
      <c r="AL338" s="33"/>
      <c r="AM338" s="33"/>
      <c r="AN338" s="33"/>
      <c r="AO338" s="33"/>
      <c r="AP338" s="33"/>
      <c r="AQ338" s="33"/>
      <c r="AR338" s="33"/>
      <c r="AS338" s="33"/>
      <c r="AT338" s="34"/>
      <c r="AU338" s="1679"/>
      <c r="AV338" s="2256">
        <f t="shared" si="207"/>
        <v>0</v>
      </c>
      <c r="AW338" s="2256">
        <f t="shared" si="208"/>
        <v>0</v>
      </c>
      <c r="AX338" s="2256">
        <f t="shared" si="209"/>
        <v>0</v>
      </c>
      <c r="AY338" s="2781">
        <f t="shared" si="184"/>
        <v>0</v>
      </c>
      <c r="AZ338" s="28">
        <f t="shared" si="185"/>
        <v>0</v>
      </c>
      <c r="BA338" s="28">
        <f t="shared" si="186"/>
        <v>0</v>
      </c>
      <c r="BB338" s="28">
        <f t="shared" si="187"/>
        <v>0</v>
      </c>
      <c r="BC338" s="28">
        <f t="shared" si="188"/>
        <v>0</v>
      </c>
      <c r="BD338" s="3439">
        <f t="shared" si="189"/>
        <v>0</v>
      </c>
      <c r="BE338" s="3439">
        <f t="shared" si="190"/>
        <v>0</v>
      </c>
      <c r="BF338" s="3439">
        <f t="shared" si="191"/>
        <v>0</v>
      </c>
      <c r="BG338" s="3439">
        <f t="shared" si="192"/>
        <v>0</v>
      </c>
      <c r="BH338" s="3439">
        <f t="shared" si="193"/>
        <v>0</v>
      </c>
      <c r="BI338" s="3439">
        <f t="shared" si="194"/>
        <v>0</v>
      </c>
      <c r="BJ338" s="3439">
        <f t="shared" si="195"/>
        <v>0</v>
      </c>
      <c r="BK338" s="3439">
        <f t="shared" si="196"/>
        <v>0</v>
      </c>
      <c r="BL338" s="28">
        <f t="shared" si="197"/>
        <v>0</v>
      </c>
      <c r="BM338" s="28">
        <f t="shared" si="198"/>
        <v>0</v>
      </c>
      <c r="BN338" s="28">
        <f t="shared" si="199"/>
        <v>0</v>
      </c>
      <c r="BO338" s="28">
        <f t="shared" si="200"/>
        <v>0</v>
      </c>
      <c r="BP338" s="28">
        <f t="shared" si="201"/>
        <v>0</v>
      </c>
      <c r="BQ338" s="3439">
        <f t="shared" si="202"/>
        <v>0</v>
      </c>
      <c r="BR338" s="3439">
        <f t="shared" si="203"/>
        <v>0</v>
      </c>
      <c r="BS338" s="3439">
        <f t="shared" si="204"/>
        <v>0</v>
      </c>
      <c r="BT338" s="3451">
        <f t="shared" si="205"/>
        <v>0</v>
      </c>
    </row>
    <row r="339" spans="1:72">
      <c r="A339" s="9"/>
      <c r="B339" s="27"/>
      <c r="C339" s="27"/>
      <c r="D339" s="1678"/>
      <c r="E339" s="28">
        <f t="shared" si="206"/>
        <v>0</v>
      </c>
      <c r="F339" s="29"/>
      <c r="G339" s="30">
        <f t="shared" si="181"/>
        <v>0</v>
      </c>
      <c r="H339" s="31">
        <f t="shared" si="182"/>
        <v>0</v>
      </c>
      <c r="I339" s="32"/>
      <c r="J339" s="32"/>
      <c r="K339" s="32"/>
      <c r="L339" s="32"/>
      <c r="M339" s="32"/>
      <c r="N339" s="32"/>
      <c r="O339" s="32"/>
      <c r="P339" s="32"/>
      <c r="Q339" s="32"/>
      <c r="R339" s="32"/>
      <c r="S339" s="32"/>
      <c r="T339" s="32"/>
      <c r="U339" s="32"/>
      <c r="V339" s="32"/>
      <c r="W339" s="32"/>
      <c r="X339" s="32"/>
      <c r="Y339" s="32"/>
      <c r="Z339" s="32"/>
      <c r="AA339" s="32"/>
      <c r="AB339" s="32"/>
      <c r="AC339" s="28">
        <f t="shared" si="183"/>
        <v>0</v>
      </c>
      <c r="AD339" s="33"/>
      <c r="AE339" s="33"/>
      <c r="AF339" s="33"/>
      <c r="AG339" s="33"/>
      <c r="AH339" s="33"/>
      <c r="AI339" s="33"/>
      <c r="AJ339" s="33"/>
      <c r="AK339" s="33"/>
      <c r="AL339" s="33"/>
      <c r="AM339" s="33"/>
      <c r="AN339" s="33"/>
      <c r="AO339" s="33"/>
      <c r="AP339" s="33"/>
      <c r="AQ339" s="33"/>
      <c r="AR339" s="33"/>
      <c r="AS339" s="33"/>
      <c r="AT339" s="34"/>
      <c r="AU339" s="1679"/>
      <c r="AV339" s="2256">
        <f t="shared" si="207"/>
        <v>0</v>
      </c>
      <c r="AW339" s="2256">
        <f t="shared" si="208"/>
        <v>0</v>
      </c>
      <c r="AX339" s="2256">
        <f t="shared" si="209"/>
        <v>0</v>
      </c>
      <c r="AY339" s="2781">
        <f t="shared" si="184"/>
        <v>0</v>
      </c>
      <c r="AZ339" s="28">
        <f t="shared" si="185"/>
        <v>0</v>
      </c>
      <c r="BA339" s="28">
        <f t="shared" si="186"/>
        <v>0</v>
      </c>
      <c r="BB339" s="28">
        <f t="shared" si="187"/>
        <v>0</v>
      </c>
      <c r="BC339" s="28">
        <f t="shared" si="188"/>
        <v>0</v>
      </c>
      <c r="BD339" s="3439">
        <f t="shared" si="189"/>
        <v>0</v>
      </c>
      <c r="BE339" s="3439">
        <f t="shared" si="190"/>
        <v>0</v>
      </c>
      <c r="BF339" s="3439">
        <f t="shared" si="191"/>
        <v>0</v>
      </c>
      <c r="BG339" s="3439">
        <f t="shared" si="192"/>
        <v>0</v>
      </c>
      <c r="BH339" s="3439">
        <f t="shared" si="193"/>
        <v>0</v>
      </c>
      <c r="BI339" s="3439">
        <f t="shared" si="194"/>
        <v>0</v>
      </c>
      <c r="BJ339" s="3439">
        <f t="shared" si="195"/>
        <v>0</v>
      </c>
      <c r="BK339" s="3439">
        <f t="shared" si="196"/>
        <v>0</v>
      </c>
      <c r="BL339" s="28">
        <f t="shared" si="197"/>
        <v>0</v>
      </c>
      <c r="BM339" s="28">
        <f t="shared" si="198"/>
        <v>0</v>
      </c>
      <c r="BN339" s="28">
        <f t="shared" si="199"/>
        <v>0</v>
      </c>
      <c r="BO339" s="28">
        <f t="shared" si="200"/>
        <v>0</v>
      </c>
      <c r="BP339" s="28">
        <f t="shared" si="201"/>
        <v>0</v>
      </c>
      <c r="BQ339" s="3439">
        <f t="shared" si="202"/>
        <v>0</v>
      </c>
      <c r="BR339" s="3439">
        <f t="shared" si="203"/>
        <v>0</v>
      </c>
      <c r="BS339" s="3439">
        <f t="shared" si="204"/>
        <v>0</v>
      </c>
      <c r="BT339" s="3451">
        <f t="shared" si="205"/>
        <v>0</v>
      </c>
    </row>
    <row r="340" spans="1:72">
      <c r="A340" s="9"/>
      <c r="B340" s="27"/>
      <c r="C340" s="27"/>
      <c r="D340" s="1678"/>
      <c r="E340" s="28">
        <f t="shared" si="206"/>
        <v>0</v>
      </c>
      <c r="F340" s="29"/>
      <c r="G340" s="30">
        <f t="shared" si="181"/>
        <v>0</v>
      </c>
      <c r="H340" s="31">
        <f t="shared" si="182"/>
        <v>0</v>
      </c>
      <c r="I340" s="32"/>
      <c r="J340" s="32"/>
      <c r="K340" s="32"/>
      <c r="L340" s="32"/>
      <c r="M340" s="32"/>
      <c r="N340" s="32"/>
      <c r="O340" s="32"/>
      <c r="P340" s="32"/>
      <c r="Q340" s="32"/>
      <c r="R340" s="32"/>
      <c r="S340" s="32"/>
      <c r="T340" s="32"/>
      <c r="U340" s="32"/>
      <c r="V340" s="32"/>
      <c r="W340" s="32"/>
      <c r="X340" s="32"/>
      <c r="Y340" s="32"/>
      <c r="Z340" s="32"/>
      <c r="AA340" s="32"/>
      <c r="AB340" s="32"/>
      <c r="AC340" s="28">
        <f t="shared" si="183"/>
        <v>0</v>
      </c>
      <c r="AD340" s="33"/>
      <c r="AE340" s="33"/>
      <c r="AF340" s="33"/>
      <c r="AG340" s="33"/>
      <c r="AH340" s="33"/>
      <c r="AI340" s="33"/>
      <c r="AJ340" s="33"/>
      <c r="AK340" s="33"/>
      <c r="AL340" s="33"/>
      <c r="AM340" s="33"/>
      <c r="AN340" s="33"/>
      <c r="AO340" s="33"/>
      <c r="AP340" s="33"/>
      <c r="AQ340" s="33"/>
      <c r="AR340" s="33"/>
      <c r="AS340" s="33"/>
      <c r="AT340" s="34"/>
      <c r="AU340" s="1679"/>
      <c r="AV340" s="2256">
        <f t="shared" si="207"/>
        <v>0</v>
      </c>
      <c r="AW340" s="2256">
        <f t="shared" si="208"/>
        <v>0</v>
      </c>
      <c r="AX340" s="2256">
        <f t="shared" si="209"/>
        <v>0</v>
      </c>
      <c r="AY340" s="2781">
        <f t="shared" si="184"/>
        <v>0</v>
      </c>
      <c r="AZ340" s="28">
        <f t="shared" si="185"/>
        <v>0</v>
      </c>
      <c r="BA340" s="28">
        <f t="shared" si="186"/>
        <v>0</v>
      </c>
      <c r="BB340" s="28">
        <f t="shared" si="187"/>
        <v>0</v>
      </c>
      <c r="BC340" s="28">
        <f t="shared" si="188"/>
        <v>0</v>
      </c>
      <c r="BD340" s="3439">
        <f t="shared" si="189"/>
        <v>0</v>
      </c>
      <c r="BE340" s="3439">
        <f t="shared" si="190"/>
        <v>0</v>
      </c>
      <c r="BF340" s="3439">
        <f t="shared" si="191"/>
        <v>0</v>
      </c>
      <c r="BG340" s="3439">
        <f t="shared" si="192"/>
        <v>0</v>
      </c>
      <c r="BH340" s="3439">
        <f t="shared" si="193"/>
        <v>0</v>
      </c>
      <c r="BI340" s="3439">
        <f t="shared" si="194"/>
        <v>0</v>
      </c>
      <c r="BJ340" s="3439">
        <f t="shared" si="195"/>
        <v>0</v>
      </c>
      <c r="BK340" s="3439">
        <f t="shared" si="196"/>
        <v>0</v>
      </c>
      <c r="BL340" s="28">
        <f t="shared" si="197"/>
        <v>0</v>
      </c>
      <c r="BM340" s="28">
        <f t="shared" si="198"/>
        <v>0</v>
      </c>
      <c r="BN340" s="28">
        <f t="shared" si="199"/>
        <v>0</v>
      </c>
      <c r="BO340" s="28">
        <f t="shared" si="200"/>
        <v>0</v>
      </c>
      <c r="BP340" s="28">
        <f t="shared" si="201"/>
        <v>0</v>
      </c>
      <c r="BQ340" s="3439">
        <f t="shared" si="202"/>
        <v>0</v>
      </c>
      <c r="BR340" s="3439">
        <f t="shared" si="203"/>
        <v>0</v>
      </c>
      <c r="BS340" s="3439">
        <f t="shared" si="204"/>
        <v>0</v>
      </c>
      <c r="BT340" s="3451">
        <f t="shared" si="205"/>
        <v>0</v>
      </c>
    </row>
    <row r="341" spans="1:72">
      <c r="A341" s="9"/>
      <c r="B341" s="27"/>
      <c r="C341" s="27"/>
      <c r="D341" s="1678"/>
      <c r="E341" s="28">
        <f t="shared" si="206"/>
        <v>0</v>
      </c>
      <c r="F341" s="29"/>
      <c r="G341" s="30">
        <f t="shared" si="181"/>
        <v>0</v>
      </c>
      <c r="H341" s="31">
        <f t="shared" si="182"/>
        <v>0</v>
      </c>
      <c r="I341" s="32"/>
      <c r="J341" s="32"/>
      <c r="K341" s="32"/>
      <c r="L341" s="32"/>
      <c r="M341" s="32"/>
      <c r="N341" s="32"/>
      <c r="O341" s="32"/>
      <c r="P341" s="32"/>
      <c r="Q341" s="32"/>
      <c r="R341" s="32"/>
      <c r="S341" s="32"/>
      <c r="T341" s="32"/>
      <c r="U341" s="32"/>
      <c r="V341" s="32"/>
      <c r="W341" s="32"/>
      <c r="X341" s="32"/>
      <c r="Y341" s="32"/>
      <c r="Z341" s="32"/>
      <c r="AA341" s="32"/>
      <c r="AB341" s="32"/>
      <c r="AC341" s="28">
        <f t="shared" si="183"/>
        <v>0</v>
      </c>
      <c r="AD341" s="33"/>
      <c r="AE341" s="33"/>
      <c r="AF341" s="33"/>
      <c r="AG341" s="33"/>
      <c r="AH341" s="33"/>
      <c r="AI341" s="33"/>
      <c r="AJ341" s="33"/>
      <c r="AK341" s="33"/>
      <c r="AL341" s="33"/>
      <c r="AM341" s="33"/>
      <c r="AN341" s="33"/>
      <c r="AO341" s="33"/>
      <c r="AP341" s="33"/>
      <c r="AQ341" s="33"/>
      <c r="AR341" s="33"/>
      <c r="AS341" s="33"/>
      <c r="AT341" s="34"/>
      <c r="AU341" s="1679"/>
      <c r="AV341" s="2256">
        <f t="shared" si="207"/>
        <v>0</v>
      </c>
      <c r="AW341" s="2256">
        <f t="shared" si="208"/>
        <v>0</v>
      </c>
      <c r="AX341" s="2256">
        <f t="shared" si="209"/>
        <v>0</v>
      </c>
      <c r="AY341" s="2781">
        <f t="shared" si="184"/>
        <v>0</v>
      </c>
      <c r="AZ341" s="28">
        <f t="shared" si="185"/>
        <v>0</v>
      </c>
      <c r="BA341" s="28">
        <f t="shared" si="186"/>
        <v>0</v>
      </c>
      <c r="BB341" s="28">
        <f t="shared" si="187"/>
        <v>0</v>
      </c>
      <c r="BC341" s="28">
        <f t="shared" si="188"/>
        <v>0</v>
      </c>
      <c r="BD341" s="3439">
        <f t="shared" si="189"/>
        <v>0</v>
      </c>
      <c r="BE341" s="3439">
        <f t="shared" si="190"/>
        <v>0</v>
      </c>
      <c r="BF341" s="3439">
        <f t="shared" si="191"/>
        <v>0</v>
      </c>
      <c r="BG341" s="3439">
        <f t="shared" si="192"/>
        <v>0</v>
      </c>
      <c r="BH341" s="3439">
        <f t="shared" si="193"/>
        <v>0</v>
      </c>
      <c r="BI341" s="3439">
        <f t="shared" si="194"/>
        <v>0</v>
      </c>
      <c r="BJ341" s="3439">
        <f t="shared" si="195"/>
        <v>0</v>
      </c>
      <c r="BK341" s="3439">
        <f t="shared" si="196"/>
        <v>0</v>
      </c>
      <c r="BL341" s="28">
        <f t="shared" si="197"/>
        <v>0</v>
      </c>
      <c r="BM341" s="28">
        <f t="shared" si="198"/>
        <v>0</v>
      </c>
      <c r="BN341" s="28">
        <f t="shared" si="199"/>
        <v>0</v>
      </c>
      <c r="BO341" s="28">
        <f t="shared" si="200"/>
        <v>0</v>
      </c>
      <c r="BP341" s="28">
        <f t="shared" si="201"/>
        <v>0</v>
      </c>
      <c r="BQ341" s="3439">
        <f t="shared" si="202"/>
        <v>0</v>
      </c>
      <c r="BR341" s="3439">
        <f t="shared" si="203"/>
        <v>0</v>
      </c>
      <c r="BS341" s="3439">
        <f t="shared" si="204"/>
        <v>0</v>
      </c>
      <c r="BT341" s="3451">
        <f t="shared" si="205"/>
        <v>0</v>
      </c>
    </row>
    <row r="342" spans="1:72">
      <c r="A342" s="9"/>
      <c r="B342" s="27"/>
      <c r="C342" s="27"/>
      <c r="D342" s="1678"/>
      <c r="E342" s="28">
        <f t="shared" si="206"/>
        <v>0</v>
      </c>
      <c r="F342" s="29"/>
      <c r="G342" s="30">
        <f t="shared" si="181"/>
        <v>0</v>
      </c>
      <c r="H342" s="31">
        <f t="shared" si="182"/>
        <v>0</v>
      </c>
      <c r="I342" s="32"/>
      <c r="J342" s="32"/>
      <c r="K342" s="32"/>
      <c r="L342" s="32"/>
      <c r="M342" s="32"/>
      <c r="N342" s="32"/>
      <c r="O342" s="32"/>
      <c r="P342" s="32"/>
      <c r="Q342" s="32"/>
      <c r="R342" s="32"/>
      <c r="S342" s="32"/>
      <c r="T342" s="32"/>
      <c r="U342" s="32"/>
      <c r="V342" s="32"/>
      <c r="W342" s="32"/>
      <c r="X342" s="32"/>
      <c r="Y342" s="32"/>
      <c r="Z342" s="32"/>
      <c r="AA342" s="32"/>
      <c r="AB342" s="32"/>
      <c r="AC342" s="28">
        <f t="shared" si="183"/>
        <v>0</v>
      </c>
      <c r="AD342" s="33"/>
      <c r="AE342" s="33"/>
      <c r="AF342" s="33"/>
      <c r="AG342" s="33"/>
      <c r="AH342" s="33"/>
      <c r="AI342" s="33"/>
      <c r="AJ342" s="33"/>
      <c r="AK342" s="33"/>
      <c r="AL342" s="33"/>
      <c r="AM342" s="33"/>
      <c r="AN342" s="33"/>
      <c r="AO342" s="33"/>
      <c r="AP342" s="33"/>
      <c r="AQ342" s="33"/>
      <c r="AR342" s="33"/>
      <c r="AS342" s="33"/>
      <c r="AT342" s="34"/>
      <c r="AU342" s="1679"/>
      <c r="AV342" s="2256">
        <f t="shared" si="207"/>
        <v>0</v>
      </c>
      <c r="AW342" s="2256">
        <f t="shared" si="208"/>
        <v>0</v>
      </c>
      <c r="AX342" s="2256">
        <f t="shared" si="209"/>
        <v>0</v>
      </c>
      <c r="AY342" s="2781">
        <f t="shared" si="184"/>
        <v>0</v>
      </c>
      <c r="AZ342" s="28">
        <f t="shared" si="185"/>
        <v>0</v>
      </c>
      <c r="BA342" s="28">
        <f t="shared" si="186"/>
        <v>0</v>
      </c>
      <c r="BB342" s="28">
        <f t="shared" si="187"/>
        <v>0</v>
      </c>
      <c r="BC342" s="28">
        <f t="shared" si="188"/>
        <v>0</v>
      </c>
      <c r="BD342" s="3439">
        <f t="shared" si="189"/>
        <v>0</v>
      </c>
      <c r="BE342" s="3439">
        <f t="shared" si="190"/>
        <v>0</v>
      </c>
      <c r="BF342" s="3439">
        <f t="shared" si="191"/>
        <v>0</v>
      </c>
      <c r="BG342" s="3439">
        <f t="shared" si="192"/>
        <v>0</v>
      </c>
      <c r="BH342" s="3439">
        <f t="shared" si="193"/>
        <v>0</v>
      </c>
      <c r="BI342" s="3439">
        <f t="shared" si="194"/>
        <v>0</v>
      </c>
      <c r="BJ342" s="3439">
        <f t="shared" si="195"/>
        <v>0</v>
      </c>
      <c r="BK342" s="3439">
        <f t="shared" si="196"/>
        <v>0</v>
      </c>
      <c r="BL342" s="28">
        <f t="shared" si="197"/>
        <v>0</v>
      </c>
      <c r="BM342" s="28">
        <f t="shared" si="198"/>
        <v>0</v>
      </c>
      <c r="BN342" s="28">
        <f t="shared" si="199"/>
        <v>0</v>
      </c>
      <c r="BO342" s="28">
        <f t="shared" si="200"/>
        <v>0</v>
      </c>
      <c r="BP342" s="28">
        <f t="shared" si="201"/>
        <v>0</v>
      </c>
      <c r="BQ342" s="3439">
        <f t="shared" si="202"/>
        <v>0</v>
      </c>
      <c r="BR342" s="3439">
        <f t="shared" si="203"/>
        <v>0</v>
      </c>
      <c r="BS342" s="3439">
        <f t="shared" si="204"/>
        <v>0</v>
      </c>
      <c r="BT342" s="3451">
        <f t="shared" si="205"/>
        <v>0</v>
      </c>
    </row>
    <row r="343" spans="1:72">
      <c r="A343" s="9"/>
      <c r="B343" s="27"/>
      <c r="C343" s="27"/>
      <c r="D343" s="1678"/>
      <c r="E343" s="28">
        <f t="shared" si="206"/>
        <v>0</v>
      </c>
      <c r="F343" s="29"/>
      <c r="G343" s="30">
        <f t="shared" si="181"/>
        <v>0</v>
      </c>
      <c r="H343" s="31">
        <f t="shared" si="182"/>
        <v>0</v>
      </c>
      <c r="I343" s="32"/>
      <c r="J343" s="32"/>
      <c r="K343" s="32"/>
      <c r="L343" s="32"/>
      <c r="M343" s="32"/>
      <c r="N343" s="32"/>
      <c r="O343" s="32"/>
      <c r="P343" s="32"/>
      <c r="Q343" s="32"/>
      <c r="R343" s="32"/>
      <c r="S343" s="32"/>
      <c r="T343" s="32"/>
      <c r="U343" s="32"/>
      <c r="V343" s="32"/>
      <c r="W343" s="32"/>
      <c r="X343" s="32"/>
      <c r="Y343" s="32"/>
      <c r="Z343" s="32"/>
      <c r="AA343" s="32"/>
      <c r="AB343" s="32"/>
      <c r="AC343" s="28">
        <f t="shared" si="183"/>
        <v>0</v>
      </c>
      <c r="AD343" s="33"/>
      <c r="AE343" s="33"/>
      <c r="AF343" s="33"/>
      <c r="AG343" s="33"/>
      <c r="AH343" s="33"/>
      <c r="AI343" s="33"/>
      <c r="AJ343" s="33"/>
      <c r="AK343" s="33"/>
      <c r="AL343" s="33"/>
      <c r="AM343" s="33"/>
      <c r="AN343" s="33"/>
      <c r="AO343" s="33"/>
      <c r="AP343" s="33"/>
      <c r="AQ343" s="33"/>
      <c r="AR343" s="33"/>
      <c r="AS343" s="33"/>
      <c r="AT343" s="34"/>
      <c r="AU343" s="1679"/>
      <c r="AV343" s="2256">
        <f t="shared" si="207"/>
        <v>0</v>
      </c>
      <c r="AW343" s="2256">
        <f t="shared" si="208"/>
        <v>0</v>
      </c>
      <c r="AX343" s="2256">
        <f t="shared" si="209"/>
        <v>0</v>
      </c>
      <c r="AY343" s="2781">
        <f t="shared" si="184"/>
        <v>0</v>
      </c>
      <c r="AZ343" s="28">
        <f t="shared" si="185"/>
        <v>0</v>
      </c>
      <c r="BA343" s="28">
        <f t="shared" si="186"/>
        <v>0</v>
      </c>
      <c r="BB343" s="28">
        <f t="shared" si="187"/>
        <v>0</v>
      </c>
      <c r="BC343" s="28">
        <f t="shared" si="188"/>
        <v>0</v>
      </c>
      <c r="BD343" s="3439">
        <f t="shared" si="189"/>
        <v>0</v>
      </c>
      <c r="BE343" s="3439">
        <f t="shared" si="190"/>
        <v>0</v>
      </c>
      <c r="BF343" s="3439">
        <f t="shared" si="191"/>
        <v>0</v>
      </c>
      <c r="BG343" s="3439">
        <f t="shared" si="192"/>
        <v>0</v>
      </c>
      <c r="BH343" s="3439">
        <f t="shared" si="193"/>
        <v>0</v>
      </c>
      <c r="BI343" s="3439">
        <f t="shared" si="194"/>
        <v>0</v>
      </c>
      <c r="BJ343" s="3439">
        <f t="shared" si="195"/>
        <v>0</v>
      </c>
      <c r="BK343" s="3439">
        <f t="shared" si="196"/>
        <v>0</v>
      </c>
      <c r="BL343" s="28">
        <f t="shared" si="197"/>
        <v>0</v>
      </c>
      <c r="BM343" s="28">
        <f t="shared" si="198"/>
        <v>0</v>
      </c>
      <c r="BN343" s="28">
        <f t="shared" si="199"/>
        <v>0</v>
      </c>
      <c r="BO343" s="28">
        <f t="shared" si="200"/>
        <v>0</v>
      </c>
      <c r="BP343" s="28">
        <f t="shared" si="201"/>
        <v>0</v>
      </c>
      <c r="BQ343" s="3439">
        <f t="shared" si="202"/>
        <v>0</v>
      </c>
      <c r="BR343" s="3439">
        <f t="shared" si="203"/>
        <v>0</v>
      </c>
      <c r="BS343" s="3439">
        <f t="shared" si="204"/>
        <v>0</v>
      </c>
      <c r="BT343" s="3451">
        <f t="shared" si="205"/>
        <v>0</v>
      </c>
    </row>
    <row r="344" spans="1:72">
      <c r="A344" s="9"/>
      <c r="B344" s="27"/>
      <c r="C344" s="27"/>
      <c r="D344" s="1678"/>
      <c r="E344" s="28">
        <f t="shared" si="206"/>
        <v>0</v>
      </c>
      <c r="F344" s="29"/>
      <c r="G344" s="30">
        <f t="shared" si="181"/>
        <v>0</v>
      </c>
      <c r="H344" s="31">
        <f t="shared" si="182"/>
        <v>0</v>
      </c>
      <c r="I344" s="32"/>
      <c r="J344" s="32"/>
      <c r="K344" s="32"/>
      <c r="L344" s="32"/>
      <c r="M344" s="32"/>
      <c r="N344" s="32"/>
      <c r="O344" s="32"/>
      <c r="P344" s="32"/>
      <c r="Q344" s="32"/>
      <c r="R344" s="32"/>
      <c r="S344" s="32"/>
      <c r="T344" s="32"/>
      <c r="U344" s="32"/>
      <c r="V344" s="32"/>
      <c r="W344" s="32"/>
      <c r="X344" s="32"/>
      <c r="Y344" s="32"/>
      <c r="Z344" s="32"/>
      <c r="AA344" s="32"/>
      <c r="AB344" s="32"/>
      <c r="AC344" s="28">
        <f t="shared" si="183"/>
        <v>0</v>
      </c>
      <c r="AD344" s="33"/>
      <c r="AE344" s="33"/>
      <c r="AF344" s="33"/>
      <c r="AG344" s="33"/>
      <c r="AH344" s="33"/>
      <c r="AI344" s="33"/>
      <c r="AJ344" s="33"/>
      <c r="AK344" s="33"/>
      <c r="AL344" s="33"/>
      <c r="AM344" s="33"/>
      <c r="AN344" s="33"/>
      <c r="AO344" s="33"/>
      <c r="AP344" s="33"/>
      <c r="AQ344" s="33"/>
      <c r="AR344" s="33"/>
      <c r="AS344" s="33"/>
      <c r="AT344" s="34"/>
      <c r="AU344" s="1679"/>
      <c r="AV344" s="2256">
        <f t="shared" si="207"/>
        <v>0</v>
      </c>
      <c r="AW344" s="2256">
        <f t="shared" si="208"/>
        <v>0</v>
      </c>
      <c r="AX344" s="2256">
        <f t="shared" si="209"/>
        <v>0</v>
      </c>
      <c r="AY344" s="2781">
        <f t="shared" si="184"/>
        <v>0</v>
      </c>
      <c r="AZ344" s="28">
        <f t="shared" si="185"/>
        <v>0</v>
      </c>
      <c r="BA344" s="28">
        <f t="shared" si="186"/>
        <v>0</v>
      </c>
      <c r="BB344" s="28">
        <f t="shared" si="187"/>
        <v>0</v>
      </c>
      <c r="BC344" s="28">
        <f t="shared" si="188"/>
        <v>0</v>
      </c>
      <c r="BD344" s="3439">
        <f t="shared" si="189"/>
        <v>0</v>
      </c>
      <c r="BE344" s="3439">
        <f t="shared" si="190"/>
        <v>0</v>
      </c>
      <c r="BF344" s="3439">
        <f t="shared" si="191"/>
        <v>0</v>
      </c>
      <c r="BG344" s="3439">
        <f t="shared" si="192"/>
        <v>0</v>
      </c>
      <c r="BH344" s="3439">
        <f t="shared" si="193"/>
        <v>0</v>
      </c>
      <c r="BI344" s="3439">
        <f t="shared" si="194"/>
        <v>0</v>
      </c>
      <c r="BJ344" s="3439">
        <f t="shared" si="195"/>
        <v>0</v>
      </c>
      <c r="BK344" s="3439">
        <f t="shared" si="196"/>
        <v>0</v>
      </c>
      <c r="BL344" s="28">
        <f t="shared" si="197"/>
        <v>0</v>
      </c>
      <c r="BM344" s="28">
        <f t="shared" si="198"/>
        <v>0</v>
      </c>
      <c r="BN344" s="28">
        <f t="shared" si="199"/>
        <v>0</v>
      </c>
      <c r="BO344" s="28">
        <f t="shared" si="200"/>
        <v>0</v>
      </c>
      <c r="BP344" s="28">
        <f t="shared" si="201"/>
        <v>0</v>
      </c>
      <c r="BQ344" s="3439">
        <f t="shared" si="202"/>
        <v>0</v>
      </c>
      <c r="BR344" s="3439">
        <f t="shared" si="203"/>
        <v>0</v>
      </c>
      <c r="BS344" s="3439">
        <f t="shared" si="204"/>
        <v>0</v>
      </c>
      <c r="BT344" s="3451">
        <f t="shared" si="205"/>
        <v>0</v>
      </c>
    </row>
    <row r="345" spans="1:72">
      <c r="A345" s="9"/>
      <c r="B345" s="27"/>
      <c r="C345" s="27"/>
      <c r="D345" s="1678"/>
      <c r="E345" s="28">
        <f t="shared" si="206"/>
        <v>0</v>
      </c>
      <c r="F345" s="29"/>
      <c r="G345" s="30">
        <f t="shared" si="181"/>
        <v>0</v>
      </c>
      <c r="H345" s="31">
        <f t="shared" si="182"/>
        <v>0</v>
      </c>
      <c r="I345" s="32"/>
      <c r="J345" s="32"/>
      <c r="K345" s="32"/>
      <c r="L345" s="32"/>
      <c r="M345" s="32"/>
      <c r="N345" s="32"/>
      <c r="O345" s="32"/>
      <c r="P345" s="32"/>
      <c r="Q345" s="32"/>
      <c r="R345" s="32"/>
      <c r="S345" s="32"/>
      <c r="T345" s="32"/>
      <c r="U345" s="32"/>
      <c r="V345" s="32"/>
      <c r="W345" s="32"/>
      <c r="X345" s="32"/>
      <c r="Y345" s="32"/>
      <c r="Z345" s="32"/>
      <c r="AA345" s="32"/>
      <c r="AB345" s="32"/>
      <c r="AC345" s="28">
        <f t="shared" si="183"/>
        <v>0</v>
      </c>
      <c r="AD345" s="33"/>
      <c r="AE345" s="33"/>
      <c r="AF345" s="33"/>
      <c r="AG345" s="33"/>
      <c r="AH345" s="33"/>
      <c r="AI345" s="33"/>
      <c r="AJ345" s="33"/>
      <c r="AK345" s="33"/>
      <c r="AL345" s="33"/>
      <c r="AM345" s="33"/>
      <c r="AN345" s="33"/>
      <c r="AO345" s="33"/>
      <c r="AP345" s="33"/>
      <c r="AQ345" s="33"/>
      <c r="AR345" s="33"/>
      <c r="AS345" s="33"/>
      <c r="AT345" s="34"/>
      <c r="AU345" s="1679"/>
      <c r="AV345" s="2256">
        <f t="shared" si="207"/>
        <v>0</v>
      </c>
      <c r="AW345" s="2256">
        <f t="shared" si="208"/>
        <v>0</v>
      </c>
      <c r="AX345" s="2256">
        <f t="shared" si="209"/>
        <v>0</v>
      </c>
      <c r="AY345" s="2781">
        <f t="shared" si="184"/>
        <v>0</v>
      </c>
      <c r="AZ345" s="28">
        <f t="shared" si="185"/>
        <v>0</v>
      </c>
      <c r="BA345" s="28">
        <f t="shared" si="186"/>
        <v>0</v>
      </c>
      <c r="BB345" s="28">
        <f t="shared" si="187"/>
        <v>0</v>
      </c>
      <c r="BC345" s="28">
        <f t="shared" si="188"/>
        <v>0</v>
      </c>
      <c r="BD345" s="3439">
        <f t="shared" si="189"/>
        <v>0</v>
      </c>
      <c r="BE345" s="3439">
        <f t="shared" si="190"/>
        <v>0</v>
      </c>
      <c r="BF345" s="3439">
        <f t="shared" si="191"/>
        <v>0</v>
      </c>
      <c r="BG345" s="3439">
        <f t="shared" si="192"/>
        <v>0</v>
      </c>
      <c r="BH345" s="3439">
        <f t="shared" si="193"/>
        <v>0</v>
      </c>
      <c r="BI345" s="3439">
        <f t="shared" si="194"/>
        <v>0</v>
      </c>
      <c r="BJ345" s="3439">
        <f t="shared" si="195"/>
        <v>0</v>
      </c>
      <c r="BK345" s="3439">
        <f t="shared" si="196"/>
        <v>0</v>
      </c>
      <c r="BL345" s="28">
        <f t="shared" si="197"/>
        <v>0</v>
      </c>
      <c r="BM345" s="28">
        <f t="shared" si="198"/>
        <v>0</v>
      </c>
      <c r="BN345" s="28">
        <f t="shared" si="199"/>
        <v>0</v>
      </c>
      <c r="BO345" s="28">
        <f t="shared" si="200"/>
        <v>0</v>
      </c>
      <c r="BP345" s="28">
        <f t="shared" si="201"/>
        <v>0</v>
      </c>
      <c r="BQ345" s="3439">
        <f t="shared" si="202"/>
        <v>0</v>
      </c>
      <c r="BR345" s="3439">
        <f t="shared" si="203"/>
        <v>0</v>
      </c>
      <c r="BS345" s="3439">
        <f t="shared" si="204"/>
        <v>0</v>
      </c>
      <c r="BT345" s="3451">
        <f t="shared" si="205"/>
        <v>0</v>
      </c>
    </row>
    <row r="346" spans="1:72">
      <c r="A346" s="9"/>
      <c r="B346" s="27"/>
      <c r="C346" s="27"/>
      <c r="D346" s="1678"/>
      <c r="E346" s="28">
        <f t="shared" si="206"/>
        <v>0</v>
      </c>
      <c r="F346" s="29"/>
      <c r="G346" s="30">
        <f t="shared" si="181"/>
        <v>0</v>
      </c>
      <c r="H346" s="31">
        <f t="shared" si="182"/>
        <v>0</v>
      </c>
      <c r="I346" s="32"/>
      <c r="J346" s="32"/>
      <c r="K346" s="32"/>
      <c r="L346" s="32"/>
      <c r="M346" s="32"/>
      <c r="N346" s="32"/>
      <c r="O346" s="32"/>
      <c r="P346" s="32"/>
      <c r="Q346" s="32"/>
      <c r="R346" s="32"/>
      <c r="S346" s="32"/>
      <c r="T346" s="32"/>
      <c r="U346" s="32"/>
      <c r="V346" s="32"/>
      <c r="W346" s="32"/>
      <c r="X346" s="32"/>
      <c r="Y346" s="32"/>
      <c r="Z346" s="32"/>
      <c r="AA346" s="32"/>
      <c r="AB346" s="32"/>
      <c r="AC346" s="28">
        <f t="shared" si="183"/>
        <v>0</v>
      </c>
      <c r="AD346" s="33"/>
      <c r="AE346" s="33"/>
      <c r="AF346" s="33"/>
      <c r="AG346" s="33"/>
      <c r="AH346" s="33"/>
      <c r="AI346" s="33"/>
      <c r="AJ346" s="33"/>
      <c r="AK346" s="33"/>
      <c r="AL346" s="33"/>
      <c r="AM346" s="33"/>
      <c r="AN346" s="33"/>
      <c r="AO346" s="33"/>
      <c r="AP346" s="33"/>
      <c r="AQ346" s="33"/>
      <c r="AR346" s="33"/>
      <c r="AS346" s="33"/>
      <c r="AT346" s="34"/>
      <c r="AU346" s="1679"/>
      <c r="AV346" s="2256">
        <f t="shared" si="207"/>
        <v>0</v>
      </c>
      <c r="AW346" s="2256">
        <f t="shared" si="208"/>
        <v>0</v>
      </c>
      <c r="AX346" s="2256">
        <f t="shared" si="209"/>
        <v>0</v>
      </c>
      <c r="AY346" s="2781">
        <f t="shared" si="184"/>
        <v>0</v>
      </c>
      <c r="AZ346" s="28">
        <f t="shared" si="185"/>
        <v>0</v>
      </c>
      <c r="BA346" s="28">
        <f t="shared" si="186"/>
        <v>0</v>
      </c>
      <c r="BB346" s="28">
        <f t="shared" si="187"/>
        <v>0</v>
      </c>
      <c r="BC346" s="28">
        <f t="shared" si="188"/>
        <v>0</v>
      </c>
      <c r="BD346" s="3439">
        <f t="shared" si="189"/>
        <v>0</v>
      </c>
      <c r="BE346" s="3439">
        <f t="shared" si="190"/>
        <v>0</v>
      </c>
      <c r="BF346" s="3439">
        <f t="shared" si="191"/>
        <v>0</v>
      </c>
      <c r="BG346" s="3439">
        <f t="shared" si="192"/>
        <v>0</v>
      </c>
      <c r="BH346" s="3439">
        <f t="shared" si="193"/>
        <v>0</v>
      </c>
      <c r="BI346" s="3439">
        <f t="shared" si="194"/>
        <v>0</v>
      </c>
      <c r="BJ346" s="3439">
        <f t="shared" si="195"/>
        <v>0</v>
      </c>
      <c r="BK346" s="3439">
        <f t="shared" si="196"/>
        <v>0</v>
      </c>
      <c r="BL346" s="28">
        <f t="shared" si="197"/>
        <v>0</v>
      </c>
      <c r="BM346" s="28">
        <f t="shared" si="198"/>
        <v>0</v>
      </c>
      <c r="BN346" s="28">
        <f t="shared" si="199"/>
        <v>0</v>
      </c>
      <c r="BO346" s="28">
        <f t="shared" si="200"/>
        <v>0</v>
      </c>
      <c r="BP346" s="28">
        <f t="shared" si="201"/>
        <v>0</v>
      </c>
      <c r="BQ346" s="3439">
        <f t="shared" si="202"/>
        <v>0</v>
      </c>
      <c r="BR346" s="3439">
        <f t="shared" si="203"/>
        <v>0</v>
      </c>
      <c r="BS346" s="3439">
        <f t="shared" si="204"/>
        <v>0</v>
      </c>
      <c r="BT346" s="3451">
        <f t="shared" si="205"/>
        <v>0</v>
      </c>
    </row>
    <row r="347" spans="1:72">
      <c r="A347" s="9"/>
      <c r="B347" s="27"/>
      <c r="C347" s="27"/>
      <c r="D347" s="1678"/>
      <c r="E347" s="28">
        <f t="shared" si="206"/>
        <v>0</v>
      </c>
      <c r="F347" s="29"/>
      <c r="G347" s="30">
        <f t="shared" si="181"/>
        <v>0</v>
      </c>
      <c r="H347" s="31">
        <f t="shared" si="182"/>
        <v>0</v>
      </c>
      <c r="I347" s="32"/>
      <c r="J347" s="32"/>
      <c r="K347" s="32"/>
      <c r="L347" s="32"/>
      <c r="M347" s="32"/>
      <c r="N347" s="32"/>
      <c r="O347" s="32"/>
      <c r="P347" s="32"/>
      <c r="Q347" s="32"/>
      <c r="R347" s="32"/>
      <c r="S347" s="32"/>
      <c r="T347" s="32"/>
      <c r="U347" s="32"/>
      <c r="V347" s="32"/>
      <c r="W347" s="32"/>
      <c r="X347" s="32"/>
      <c r="Y347" s="32"/>
      <c r="Z347" s="32"/>
      <c r="AA347" s="32"/>
      <c r="AB347" s="32"/>
      <c r="AC347" s="28">
        <f t="shared" si="183"/>
        <v>0</v>
      </c>
      <c r="AD347" s="33"/>
      <c r="AE347" s="33"/>
      <c r="AF347" s="33"/>
      <c r="AG347" s="33"/>
      <c r="AH347" s="33"/>
      <c r="AI347" s="33"/>
      <c r="AJ347" s="33"/>
      <c r="AK347" s="33"/>
      <c r="AL347" s="33"/>
      <c r="AM347" s="33"/>
      <c r="AN347" s="33"/>
      <c r="AO347" s="33"/>
      <c r="AP347" s="33"/>
      <c r="AQ347" s="33"/>
      <c r="AR347" s="33"/>
      <c r="AS347" s="33"/>
      <c r="AT347" s="34"/>
      <c r="AU347" s="1679"/>
      <c r="AV347" s="2256">
        <f t="shared" si="207"/>
        <v>0</v>
      </c>
      <c r="AW347" s="2256">
        <f t="shared" si="208"/>
        <v>0</v>
      </c>
      <c r="AX347" s="2256">
        <f t="shared" si="209"/>
        <v>0</v>
      </c>
      <c r="AY347" s="2781">
        <f t="shared" si="184"/>
        <v>0</v>
      </c>
      <c r="AZ347" s="28">
        <f t="shared" si="185"/>
        <v>0</v>
      </c>
      <c r="BA347" s="28">
        <f t="shared" si="186"/>
        <v>0</v>
      </c>
      <c r="BB347" s="28">
        <f t="shared" si="187"/>
        <v>0</v>
      </c>
      <c r="BC347" s="28">
        <f t="shared" si="188"/>
        <v>0</v>
      </c>
      <c r="BD347" s="3439">
        <f t="shared" si="189"/>
        <v>0</v>
      </c>
      <c r="BE347" s="3439">
        <f t="shared" si="190"/>
        <v>0</v>
      </c>
      <c r="BF347" s="3439">
        <f t="shared" si="191"/>
        <v>0</v>
      </c>
      <c r="BG347" s="3439">
        <f t="shared" si="192"/>
        <v>0</v>
      </c>
      <c r="BH347" s="3439">
        <f t="shared" si="193"/>
        <v>0</v>
      </c>
      <c r="BI347" s="3439">
        <f t="shared" si="194"/>
        <v>0</v>
      </c>
      <c r="BJ347" s="3439">
        <f t="shared" si="195"/>
        <v>0</v>
      </c>
      <c r="BK347" s="3439">
        <f t="shared" si="196"/>
        <v>0</v>
      </c>
      <c r="BL347" s="28">
        <f t="shared" si="197"/>
        <v>0</v>
      </c>
      <c r="BM347" s="28">
        <f t="shared" si="198"/>
        <v>0</v>
      </c>
      <c r="BN347" s="28">
        <f t="shared" si="199"/>
        <v>0</v>
      </c>
      <c r="BO347" s="28">
        <f t="shared" si="200"/>
        <v>0</v>
      </c>
      <c r="BP347" s="28">
        <f t="shared" si="201"/>
        <v>0</v>
      </c>
      <c r="BQ347" s="3439">
        <f t="shared" si="202"/>
        <v>0</v>
      </c>
      <c r="BR347" s="3439">
        <f t="shared" si="203"/>
        <v>0</v>
      </c>
      <c r="BS347" s="3439">
        <f t="shared" si="204"/>
        <v>0</v>
      </c>
      <c r="BT347" s="3451">
        <f t="shared" si="205"/>
        <v>0</v>
      </c>
    </row>
    <row r="348" spans="1:72">
      <c r="A348" s="9"/>
      <c r="B348" s="27"/>
      <c r="C348" s="27"/>
      <c r="D348" s="1678"/>
      <c r="E348" s="28">
        <f t="shared" si="206"/>
        <v>0</v>
      </c>
      <c r="F348" s="29"/>
      <c r="G348" s="30">
        <f t="shared" si="181"/>
        <v>0</v>
      </c>
      <c r="H348" s="31">
        <f t="shared" si="182"/>
        <v>0</v>
      </c>
      <c r="I348" s="32"/>
      <c r="J348" s="32"/>
      <c r="K348" s="32"/>
      <c r="L348" s="32"/>
      <c r="M348" s="32"/>
      <c r="N348" s="32"/>
      <c r="O348" s="32"/>
      <c r="P348" s="32"/>
      <c r="Q348" s="32"/>
      <c r="R348" s="32"/>
      <c r="S348" s="32"/>
      <c r="T348" s="32"/>
      <c r="U348" s="32"/>
      <c r="V348" s="32"/>
      <c r="W348" s="32"/>
      <c r="X348" s="32"/>
      <c r="Y348" s="32"/>
      <c r="Z348" s="32"/>
      <c r="AA348" s="32"/>
      <c r="AB348" s="32"/>
      <c r="AC348" s="28">
        <f t="shared" si="183"/>
        <v>0</v>
      </c>
      <c r="AD348" s="33"/>
      <c r="AE348" s="33"/>
      <c r="AF348" s="33"/>
      <c r="AG348" s="33"/>
      <c r="AH348" s="33"/>
      <c r="AI348" s="33"/>
      <c r="AJ348" s="33"/>
      <c r="AK348" s="33"/>
      <c r="AL348" s="33"/>
      <c r="AM348" s="33"/>
      <c r="AN348" s="33"/>
      <c r="AO348" s="33"/>
      <c r="AP348" s="33"/>
      <c r="AQ348" s="33"/>
      <c r="AR348" s="33"/>
      <c r="AS348" s="33"/>
      <c r="AT348" s="34"/>
      <c r="AU348" s="1679"/>
      <c r="AV348" s="2256">
        <f t="shared" si="207"/>
        <v>0</v>
      </c>
      <c r="AW348" s="2256">
        <f t="shared" si="208"/>
        <v>0</v>
      </c>
      <c r="AX348" s="2256">
        <f t="shared" si="209"/>
        <v>0</v>
      </c>
      <c r="AY348" s="2781">
        <f t="shared" si="184"/>
        <v>0</v>
      </c>
      <c r="AZ348" s="28">
        <f t="shared" si="185"/>
        <v>0</v>
      </c>
      <c r="BA348" s="28">
        <f t="shared" si="186"/>
        <v>0</v>
      </c>
      <c r="BB348" s="28">
        <f t="shared" si="187"/>
        <v>0</v>
      </c>
      <c r="BC348" s="28">
        <f t="shared" si="188"/>
        <v>0</v>
      </c>
      <c r="BD348" s="3439">
        <f t="shared" si="189"/>
        <v>0</v>
      </c>
      <c r="BE348" s="3439">
        <f t="shared" si="190"/>
        <v>0</v>
      </c>
      <c r="BF348" s="3439">
        <f t="shared" si="191"/>
        <v>0</v>
      </c>
      <c r="BG348" s="3439">
        <f t="shared" si="192"/>
        <v>0</v>
      </c>
      <c r="BH348" s="3439">
        <f t="shared" si="193"/>
        <v>0</v>
      </c>
      <c r="BI348" s="3439">
        <f t="shared" si="194"/>
        <v>0</v>
      </c>
      <c r="BJ348" s="3439">
        <f t="shared" si="195"/>
        <v>0</v>
      </c>
      <c r="BK348" s="3439">
        <f t="shared" si="196"/>
        <v>0</v>
      </c>
      <c r="BL348" s="28">
        <f t="shared" si="197"/>
        <v>0</v>
      </c>
      <c r="BM348" s="28">
        <f t="shared" si="198"/>
        <v>0</v>
      </c>
      <c r="BN348" s="28">
        <f t="shared" si="199"/>
        <v>0</v>
      </c>
      <c r="BO348" s="28">
        <f t="shared" si="200"/>
        <v>0</v>
      </c>
      <c r="BP348" s="28">
        <f t="shared" si="201"/>
        <v>0</v>
      </c>
      <c r="BQ348" s="3439">
        <f t="shared" si="202"/>
        <v>0</v>
      </c>
      <c r="BR348" s="3439">
        <f t="shared" si="203"/>
        <v>0</v>
      </c>
      <c r="BS348" s="3439">
        <f t="shared" si="204"/>
        <v>0</v>
      </c>
      <c r="BT348" s="3451">
        <f t="shared" si="205"/>
        <v>0</v>
      </c>
    </row>
    <row r="349" spans="1:72">
      <c r="A349" s="9"/>
      <c r="B349" s="27"/>
      <c r="C349" s="27"/>
      <c r="D349" s="1678"/>
      <c r="E349" s="28">
        <f t="shared" si="206"/>
        <v>0</v>
      </c>
      <c r="F349" s="29"/>
      <c r="G349" s="30">
        <f t="shared" si="181"/>
        <v>0</v>
      </c>
      <c r="H349" s="31">
        <f t="shared" si="182"/>
        <v>0</v>
      </c>
      <c r="I349" s="32"/>
      <c r="J349" s="32"/>
      <c r="K349" s="32"/>
      <c r="L349" s="32"/>
      <c r="M349" s="32"/>
      <c r="N349" s="32"/>
      <c r="O349" s="32"/>
      <c r="P349" s="32"/>
      <c r="Q349" s="32"/>
      <c r="R349" s="32"/>
      <c r="S349" s="32"/>
      <c r="T349" s="32"/>
      <c r="U349" s="32"/>
      <c r="V349" s="32"/>
      <c r="W349" s="32"/>
      <c r="X349" s="32"/>
      <c r="Y349" s="32"/>
      <c r="Z349" s="32"/>
      <c r="AA349" s="32"/>
      <c r="AB349" s="32"/>
      <c r="AC349" s="28">
        <f t="shared" si="183"/>
        <v>0</v>
      </c>
      <c r="AD349" s="33"/>
      <c r="AE349" s="33"/>
      <c r="AF349" s="33"/>
      <c r="AG349" s="33"/>
      <c r="AH349" s="33"/>
      <c r="AI349" s="33"/>
      <c r="AJ349" s="33"/>
      <c r="AK349" s="33"/>
      <c r="AL349" s="33"/>
      <c r="AM349" s="33"/>
      <c r="AN349" s="33"/>
      <c r="AO349" s="33"/>
      <c r="AP349" s="33"/>
      <c r="AQ349" s="33"/>
      <c r="AR349" s="33"/>
      <c r="AS349" s="33"/>
      <c r="AT349" s="34"/>
      <c r="AU349" s="1679"/>
      <c r="AV349" s="2256">
        <f t="shared" si="207"/>
        <v>0</v>
      </c>
      <c r="AW349" s="2256">
        <f t="shared" si="208"/>
        <v>0</v>
      </c>
      <c r="AX349" s="2256">
        <f t="shared" si="209"/>
        <v>0</v>
      </c>
      <c r="AY349" s="2781">
        <f t="shared" si="184"/>
        <v>0</v>
      </c>
      <c r="AZ349" s="28">
        <f t="shared" si="185"/>
        <v>0</v>
      </c>
      <c r="BA349" s="28">
        <f t="shared" si="186"/>
        <v>0</v>
      </c>
      <c r="BB349" s="28">
        <f t="shared" si="187"/>
        <v>0</v>
      </c>
      <c r="BC349" s="28">
        <f t="shared" si="188"/>
        <v>0</v>
      </c>
      <c r="BD349" s="3439">
        <f t="shared" si="189"/>
        <v>0</v>
      </c>
      <c r="BE349" s="3439">
        <f t="shared" si="190"/>
        <v>0</v>
      </c>
      <c r="BF349" s="3439">
        <f t="shared" si="191"/>
        <v>0</v>
      </c>
      <c r="BG349" s="3439">
        <f t="shared" si="192"/>
        <v>0</v>
      </c>
      <c r="BH349" s="3439">
        <f t="shared" si="193"/>
        <v>0</v>
      </c>
      <c r="BI349" s="3439">
        <f t="shared" si="194"/>
        <v>0</v>
      </c>
      <c r="BJ349" s="3439">
        <f t="shared" si="195"/>
        <v>0</v>
      </c>
      <c r="BK349" s="3439">
        <f t="shared" si="196"/>
        <v>0</v>
      </c>
      <c r="BL349" s="28">
        <f t="shared" si="197"/>
        <v>0</v>
      </c>
      <c r="BM349" s="28">
        <f t="shared" si="198"/>
        <v>0</v>
      </c>
      <c r="BN349" s="28">
        <f t="shared" si="199"/>
        <v>0</v>
      </c>
      <c r="BO349" s="28">
        <f t="shared" si="200"/>
        <v>0</v>
      </c>
      <c r="BP349" s="28">
        <f t="shared" si="201"/>
        <v>0</v>
      </c>
      <c r="BQ349" s="3439">
        <f t="shared" si="202"/>
        <v>0</v>
      </c>
      <c r="BR349" s="3439">
        <f t="shared" si="203"/>
        <v>0</v>
      </c>
      <c r="BS349" s="3439">
        <f t="shared" si="204"/>
        <v>0</v>
      </c>
      <c r="BT349" s="3451">
        <f t="shared" si="205"/>
        <v>0</v>
      </c>
    </row>
    <row r="350" spans="1:72">
      <c r="A350" s="9"/>
      <c r="B350" s="27"/>
      <c r="C350" s="27"/>
      <c r="D350" s="1678"/>
      <c r="E350" s="28">
        <f t="shared" si="206"/>
        <v>0</v>
      </c>
      <c r="F350" s="29"/>
      <c r="G350" s="30">
        <f t="shared" si="181"/>
        <v>0</v>
      </c>
      <c r="H350" s="31">
        <f t="shared" si="182"/>
        <v>0</v>
      </c>
      <c r="I350" s="32"/>
      <c r="J350" s="32"/>
      <c r="K350" s="32"/>
      <c r="L350" s="32"/>
      <c r="M350" s="32"/>
      <c r="N350" s="32"/>
      <c r="O350" s="32"/>
      <c r="P350" s="32"/>
      <c r="Q350" s="32"/>
      <c r="R350" s="32"/>
      <c r="S350" s="32"/>
      <c r="T350" s="32"/>
      <c r="U350" s="32"/>
      <c r="V350" s="32"/>
      <c r="W350" s="32"/>
      <c r="X350" s="32"/>
      <c r="Y350" s="32"/>
      <c r="Z350" s="32"/>
      <c r="AA350" s="32"/>
      <c r="AB350" s="32"/>
      <c r="AC350" s="28">
        <f t="shared" si="183"/>
        <v>0</v>
      </c>
      <c r="AD350" s="33"/>
      <c r="AE350" s="33"/>
      <c r="AF350" s="33"/>
      <c r="AG350" s="33"/>
      <c r="AH350" s="33"/>
      <c r="AI350" s="33"/>
      <c r="AJ350" s="33"/>
      <c r="AK350" s="33"/>
      <c r="AL350" s="33"/>
      <c r="AM350" s="33"/>
      <c r="AN350" s="33"/>
      <c r="AO350" s="33"/>
      <c r="AP350" s="33"/>
      <c r="AQ350" s="33"/>
      <c r="AR350" s="33"/>
      <c r="AS350" s="33"/>
      <c r="AT350" s="34"/>
      <c r="AU350" s="1679"/>
      <c r="AV350" s="2256">
        <f t="shared" si="207"/>
        <v>0</v>
      </c>
      <c r="AW350" s="2256">
        <f t="shared" si="208"/>
        <v>0</v>
      </c>
      <c r="AX350" s="2256">
        <f t="shared" si="209"/>
        <v>0</v>
      </c>
      <c r="AY350" s="2781">
        <f t="shared" si="184"/>
        <v>0</v>
      </c>
      <c r="AZ350" s="28">
        <f t="shared" si="185"/>
        <v>0</v>
      </c>
      <c r="BA350" s="28">
        <f t="shared" si="186"/>
        <v>0</v>
      </c>
      <c r="BB350" s="28">
        <f t="shared" si="187"/>
        <v>0</v>
      </c>
      <c r="BC350" s="28">
        <f t="shared" si="188"/>
        <v>0</v>
      </c>
      <c r="BD350" s="3439">
        <f t="shared" si="189"/>
        <v>0</v>
      </c>
      <c r="BE350" s="3439">
        <f t="shared" si="190"/>
        <v>0</v>
      </c>
      <c r="BF350" s="3439">
        <f t="shared" si="191"/>
        <v>0</v>
      </c>
      <c r="BG350" s="3439">
        <f t="shared" si="192"/>
        <v>0</v>
      </c>
      <c r="BH350" s="3439">
        <f t="shared" si="193"/>
        <v>0</v>
      </c>
      <c r="BI350" s="3439">
        <f t="shared" si="194"/>
        <v>0</v>
      </c>
      <c r="BJ350" s="3439">
        <f t="shared" si="195"/>
        <v>0</v>
      </c>
      <c r="BK350" s="3439">
        <f t="shared" si="196"/>
        <v>0</v>
      </c>
      <c r="BL350" s="28">
        <f t="shared" si="197"/>
        <v>0</v>
      </c>
      <c r="BM350" s="28">
        <f t="shared" si="198"/>
        <v>0</v>
      </c>
      <c r="BN350" s="28">
        <f t="shared" si="199"/>
        <v>0</v>
      </c>
      <c r="BO350" s="28">
        <f t="shared" si="200"/>
        <v>0</v>
      </c>
      <c r="BP350" s="28">
        <f t="shared" si="201"/>
        <v>0</v>
      </c>
      <c r="BQ350" s="3439">
        <f t="shared" si="202"/>
        <v>0</v>
      </c>
      <c r="BR350" s="3439">
        <f t="shared" si="203"/>
        <v>0</v>
      </c>
      <c r="BS350" s="3439">
        <f t="shared" si="204"/>
        <v>0</v>
      </c>
      <c r="BT350" s="3451">
        <f t="shared" si="205"/>
        <v>0</v>
      </c>
    </row>
    <row r="351" spans="1:72">
      <c r="A351" s="9"/>
      <c r="B351" s="27"/>
      <c r="C351" s="27"/>
      <c r="D351" s="1678"/>
      <c r="E351" s="28">
        <f t="shared" si="206"/>
        <v>0</v>
      </c>
      <c r="F351" s="29"/>
      <c r="G351" s="30">
        <f t="shared" si="181"/>
        <v>0</v>
      </c>
      <c r="H351" s="31">
        <f t="shared" si="182"/>
        <v>0</v>
      </c>
      <c r="I351" s="32"/>
      <c r="J351" s="32"/>
      <c r="K351" s="32"/>
      <c r="L351" s="32"/>
      <c r="M351" s="32"/>
      <c r="N351" s="32"/>
      <c r="O351" s="32"/>
      <c r="P351" s="32"/>
      <c r="Q351" s="32"/>
      <c r="R351" s="32"/>
      <c r="S351" s="32"/>
      <c r="T351" s="32"/>
      <c r="U351" s="32"/>
      <c r="V351" s="32"/>
      <c r="W351" s="32"/>
      <c r="X351" s="32"/>
      <c r="Y351" s="32"/>
      <c r="Z351" s="32"/>
      <c r="AA351" s="32"/>
      <c r="AB351" s="32"/>
      <c r="AC351" s="28">
        <f t="shared" si="183"/>
        <v>0</v>
      </c>
      <c r="AD351" s="33"/>
      <c r="AE351" s="33"/>
      <c r="AF351" s="33"/>
      <c r="AG351" s="33"/>
      <c r="AH351" s="33"/>
      <c r="AI351" s="33"/>
      <c r="AJ351" s="33"/>
      <c r="AK351" s="33"/>
      <c r="AL351" s="33"/>
      <c r="AM351" s="33"/>
      <c r="AN351" s="33"/>
      <c r="AO351" s="33"/>
      <c r="AP351" s="33"/>
      <c r="AQ351" s="33"/>
      <c r="AR351" s="33"/>
      <c r="AS351" s="33"/>
      <c r="AT351" s="34"/>
      <c r="AU351" s="1679"/>
      <c r="AV351" s="2256">
        <f t="shared" si="207"/>
        <v>0</v>
      </c>
      <c r="AW351" s="2256">
        <f t="shared" si="208"/>
        <v>0</v>
      </c>
      <c r="AX351" s="2256">
        <f t="shared" si="209"/>
        <v>0</v>
      </c>
      <c r="AY351" s="2781">
        <f t="shared" si="184"/>
        <v>0</v>
      </c>
      <c r="AZ351" s="28">
        <f t="shared" si="185"/>
        <v>0</v>
      </c>
      <c r="BA351" s="28">
        <f t="shared" si="186"/>
        <v>0</v>
      </c>
      <c r="BB351" s="28">
        <f t="shared" si="187"/>
        <v>0</v>
      </c>
      <c r="BC351" s="28">
        <f t="shared" si="188"/>
        <v>0</v>
      </c>
      <c r="BD351" s="3439">
        <f t="shared" si="189"/>
        <v>0</v>
      </c>
      <c r="BE351" s="3439">
        <f t="shared" si="190"/>
        <v>0</v>
      </c>
      <c r="BF351" s="3439">
        <f t="shared" si="191"/>
        <v>0</v>
      </c>
      <c r="BG351" s="3439">
        <f t="shared" si="192"/>
        <v>0</v>
      </c>
      <c r="BH351" s="3439">
        <f t="shared" si="193"/>
        <v>0</v>
      </c>
      <c r="BI351" s="3439">
        <f t="shared" si="194"/>
        <v>0</v>
      </c>
      <c r="BJ351" s="3439">
        <f t="shared" si="195"/>
        <v>0</v>
      </c>
      <c r="BK351" s="3439">
        <f t="shared" si="196"/>
        <v>0</v>
      </c>
      <c r="BL351" s="28">
        <f t="shared" si="197"/>
        <v>0</v>
      </c>
      <c r="BM351" s="28">
        <f t="shared" si="198"/>
        <v>0</v>
      </c>
      <c r="BN351" s="28">
        <f t="shared" si="199"/>
        <v>0</v>
      </c>
      <c r="BO351" s="28">
        <f t="shared" si="200"/>
        <v>0</v>
      </c>
      <c r="BP351" s="28">
        <f t="shared" si="201"/>
        <v>0</v>
      </c>
      <c r="BQ351" s="3439">
        <f t="shared" si="202"/>
        <v>0</v>
      </c>
      <c r="BR351" s="3439">
        <f t="shared" si="203"/>
        <v>0</v>
      </c>
      <c r="BS351" s="3439">
        <f t="shared" si="204"/>
        <v>0</v>
      </c>
      <c r="BT351" s="3451">
        <f t="shared" si="205"/>
        <v>0</v>
      </c>
    </row>
    <row r="352" spans="1:72">
      <c r="A352" s="9"/>
      <c r="B352" s="27"/>
      <c r="C352" s="27"/>
      <c r="D352" s="1678"/>
      <c r="E352" s="28">
        <f t="shared" si="206"/>
        <v>0</v>
      </c>
      <c r="F352" s="29"/>
      <c r="G352" s="30">
        <f t="shared" si="181"/>
        <v>0</v>
      </c>
      <c r="H352" s="31">
        <f t="shared" si="182"/>
        <v>0</v>
      </c>
      <c r="I352" s="32"/>
      <c r="J352" s="32"/>
      <c r="K352" s="32"/>
      <c r="L352" s="32"/>
      <c r="M352" s="32"/>
      <c r="N352" s="32"/>
      <c r="O352" s="32"/>
      <c r="P352" s="32"/>
      <c r="Q352" s="32"/>
      <c r="R352" s="32"/>
      <c r="S352" s="32"/>
      <c r="T352" s="32"/>
      <c r="U352" s="32"/>
      <c r="V352" s="32"/>
      <c r="W352" s="32"/>
      <c r="X352" s="32"/>
      <c r="Y352" s="32"/>
      <c r="Z352" s="32"/>
      <c r="AA352" s="32"/>
      <c r="AB352" s="32"/>
      <c r="AC352" s="28">
        <f t="shared" si="183"/>
        <v>0</v>
      </c>
      <c r="AD352" s="33"/>
      <c r="AE352" s="33"/>
      <c r="AF352" s="33"/>
      <c r="AG352" s="33"/>
      <c r="AH352" s="33"/>
      <c r="AI352" s="33"/>
      <c r="AJ352" s="33"/>
      <c r="AK352" s="33"/>
      <c r="AL352" s="33"/>
      <c r="AM352" s="33"/>
      <c r="AN352" s="33"/>
      <c r="AO352" s="33"/>
      <c r="AP352" s="33"/>
      <c r="AQ352" s="33"/>
      <c r="AR352" s="33"/>
      <c r="AS352" s="33"/>
      <c r="AT352" s="34"/>
      <c r="AU352" s="1679"/>
      <c r="AV352" s="2256">
        <f t="shared" si="207"/>
        <v>0</v>
      </c>
      <c r="AW352" s="2256">
        <f t="shared" si="208"/>
        <v>0</v>
      </c>
      <c r="AX352" s="2256">
        <f t="shared" si="209"/>
        <v>0</v>
      </c>
      <c r="AY352" s="2781">
        <f t="shared" si="184"/>
        <v>0</v>
      </c>
      <c r="AZ352" s="28">
        <f t="shared" si="185"/>
        <v>0</v>
      </c>
      <c r="BA352" s="28">
        <f t="shared" si="186"/>
        <v>0</v>
      </c>
      <c r="BB352" s="28">
        <f t="shared" si="187"/>
        <v>0</v>
      </c>
      <c r="BC352" s="28">
        <f t="shared" si="188"/>
        <v>0</v>
      </c>
      <c r="BD352" s="3439">
        <f t="shared" si="189"/>
        <v>0</v>
      </c>
      <c r="BE352" s="3439">
        <f t="shared" si="190"/>
        <v>0</v>
      </c>
      <c r="BF352" s="3439">
        <f t="shared" si="191"/>
        <v>0</v>
      </c>
      <c r="BG352" s="3439">
        <f t="shared" si="192"/>
        <v>0</v>
      </c>
      <c r="BH352" s="3439">
        <f t="shared" si="193"/>
        <v>0</v>
      </c>
      <c r="BI352" s="3439">
        <f t="shared" si="194"/>
        <v>0</v>
      </c>
      <c r="BJ352" s="3439">
        <f t="shared" si="195"/>
        <v>0</v>
      </c>
      <c r="BK352" s="3439">
        <f t="shared" si="196"/>
        <v>0</v>
      </c>
      <c r="BL352" s="28">
        <f t="shared" si="197"/>
        <v>0</v>
      </c>
      <c r="BM352" s="28">
        <f t="shared" si="198"/>
        <v>0</v>
      </c>
      <c r="BN352" s="28">
        <f t="shared" si="199"/>
        <v>0</v>
      </c>
      <c r="BO352" s="28">
        <f t="shared" si="200"/>
        <v>0</v>
      </c>
      <c r="BP352" s="28">
        <f t="shared" si="201"/>
        <v>0</v>
      </c>
      <c r="BQ352" s="3439">
        <f t="shared" si="202"/>
        <v>0</v>
      </c>
      <c r="BR352" s="3439">
        <f t="shared" si="203"/>
        <v>0</v>
      </c>
      <c r="BS352" s="3439">
        <f t="shared" si="204"/>
        <v>0</v>
      </c>
      <c r="BT352" s="3451">
        <f t="shared" si="205"/>
        <v>0</v>
      </c>
    </row>
    <row r="353" spans="1:72">
      <c r="A353" s="9"/>
      <c r="B353" s="27"/>
      <c r="C353" s="27"/>
      <c r="D353" s="1678"/>
      <c r="E353" s="28">
        <f t="shared" si="206"/>
        <v>0</v>
      </c>
      <c r="F353" s="29"/>
      <c r="G353" s="30">
        <f t="shared" si="181"/>
        <v>0</v>
      </c>
      <c r="H353" s="31">
        <f t="shared" si="182"/>
        <v>0</v>
      </c>
      <c r="I353" s="32"/>
      <c r="J353" s="32"/>
      <c r="K353" s="32"/>
      <c r="L353" s="32"/>
      <c r="M353" s="32"/>
      <c r="N353" s="32"/>
      <c r="O353" s="32"/>
      <c r="P353" s="32"/>
      <c r="Q353" s="32"/>
      <c r="R353" s="32"/>
      <c r="S353" s="32"/>
      <c r="T353" s="32"/>
      <c r="U353" s="32"/>
      <c r="V353" s="32"/>
      <c r="W353" s="32"/>
      <c r="X353" s="32"/>
      <c r="Y353" s="32"/>
      <c r="Z353" s="32"/>
      <c r="AA353" s="32"/>
      <c r="AB353" s="32"/>
      <c r="AC353" s="28">
        <f t="shared" si="183"/>
        <v>0</v>
      </c>
      <c r="AD353" s="33"/>
      <c r="AE353" s="33"/>
      <c r="AF353" s="33"/>
      <c r="AG353" s="33"/>
      <c r="AH353" s="33"/>
      <c r="AI353" s="33"/>
      <c r="AJ353" s="33"/>
      <c r="AK353" s="33"/>
      <c r="AL353" s="33"/>
      <c r="AM353" s="33"/>
      <c r="AN353" s="33"/>
      <c r="AO353" s="33"/>
      <c r="AP353" s="33"/>
      <c r="AQ353" s="33"/>
      <c r="AR353" s="33"/>
      <c r="AS353" s="33"/>
      <c r="AT353" s="34"/>
      <c r="AU353" s="1679"/>
      <c r="AV353" s="2256">
        <f t="shared" si="207"/>
        <v>0</v>
      </c>
      <c r="AW353" s="2256">
        <f t="shared" si="208"/>
        <v>0</v>
      </c>
      <c r="AX353" s="2256">
        <f t="shared" si="209"/>
        <v>0</v>
      </c>
      <c r="AY353" s="2781">
        <f t="shared" si="184"/>
        <v>0</v>
      </c>
      <c r="AZ353" s="28">
        <f t="shared" si="185"/>
        <v>0</v>
      </c>
      <c r="BA353" s="28">
        <f t="shared" si="186"/>
        <v>0</v>
      </c>
      <c r="BB353" s="28">
        <f t="shared" si="187"/>
        <v>0</v>
      </c>
      <c r="BC353" s="28">
        <f t="shared" si="188"/>
        <v>0</v>
      </c>
      <c r="BD353" s="3439">
        <f t="shared" si="189"/>
        <v>0</v>
      </c>
      <c r="BE353" s="3439">
        <f t="shared" si="190"/>
        <v>0</v>
      </c>
      <c r="BF353" s="3439">
        <f t="shared" si="191"/>
        <v>0</v>
      </c>
      <c r="BG353" s="3439">
        <f t="shared" si="192"/>
        <v>0</v>
      </c>
      <c r="BH353" s="3439">
        <f t="shared" si="193"/>
        <v>0</v>
      </c>
      <c r="BI353" s="3439">
        <f t="shared" si="194"/>
        <v>0</v>
      </c>
      <c r="BJ353" s="3439">
        <f t="shared" si="195"/>
        <v>0</v>
      </c>
      <c r="BK353" s="3439">
        <f t="shared" si="196"/>
        <v>0</v>
      </c>
      <c r="BL353" s="28">
        <f t="shared" si="197"/>
        <v>0</v>
      </c>
      <c r="BM353" s="28">
        <f t="shared" si="198"/>
        <v>0</v>
      </c>
      <c r="BN353" s="28">
        <f t="shared" si="199"/>
        <v>0</v>
      </c>
      <c r="BO353" s="28">
        <f t="shared" si="200"/>
        <v>0</v>
      </c>
      <c r="BP353" s="28">
        <f t="shared" si="201"/>
        <v>0</v>
      </c>
      <c r="BQ353" s="3439">
        <f t="shared" si="202"/>
        <v>0</v>
      </c>
      <c r="BR353" s="3439">
        <f t="shared" si="203"/>
        <v>0</v>
      </c>
      <c r="BS353" s="3439">
        <f t="shared" si="204"/>
        <v>0</v>
      </c>
      <c r="BT353" s="3451">
        <f t="shared" si="205"/>
        <v>0</v>
      </c>
    </row>
    <row r="354" spans="1:72">
      <c r="A354" s="9"/>
      <c r="B354" s="27"/>
      <c r="C354" s="27"/>
      <c r="D354" s="1678"/>
      <c r="E354" s="28">
        <f t="shared" si="206"/>
        <v>0</v>
      </c>
      <c r="F354" s="29"/>
      <c r="G354" s="30">
        <f t="shared" si="181"/>
        <v>0</v>
      </c>
      <c r="H354" s="31">
        <f t="shared" si="182"/>
        <v>0</v>
      </c>
      <c r="I354" s="32"/>
      <c r="J354" s="32"/>
      <c r="K354" s="32"/>
      <c r="L354" s="32"/>
      <c r="M354" s="32"/>
      <c r="N354" s="32"/>
      <c r="O354" s="32"/>
      <c r="P354" s="32"/>
      <c r="Q354" s="32"/>
      <c r="R354" s="32"/>
      <c r="S354" s="32"/>
      <c r="T354" s="32"/>
      <c r="U354" s="32"/>
      <c r="V354" s="32"/>
      <c r="W354" s="32"/>
      <c r="X354" s="32"/>
      <c r="Y354" s="32"/>
      <c r="Z354" s="32"/>
      <c r="AA354" s="32"/>
      <c r="AB354" s="32"/>
      <c r="AC354" s="28">
        <f t="shared" si="183"/>
        <v>0</v>
      </c>
      <c r="AD354" s="33"/>
      <c r="AE354" s="33"/>
      <c r="AF354" s="33"/>
      <c r="AG354" s="33"/>
      <c r="AH354" s="33"/>
      <c r="AI354" s="33"/>
      <c r="AJ354" s="33"/>
      <c r="AK354" s="33"/>
      <c r="AL354" s="33"/>
      <c r="AM354" s="33"/>
      <c r="AN354" s="33"/>
      <c r="AO354" s="33"/>
      <c r="AP354" s="33"/>
      <c r="AQ354" s="33"/>
      <c r="AR354" s="33"/>
      <c r="AS354" s="33"/>
      <c r="AT354" s="34"/>
      <c r="AU354" s="1679"/>
      <c r="AV354" s="2256">
        <f t="shared" si="207"/>
        <v>0</v>
      </c>
      <c r="AW354" s="2256">
        <f t="shared" si="208"/>
        <v>0</v>
      </c>
      <c r="AX354" s="2256">
        <f t="shared" si="209"/>
        <v>0</v>
      </c>
      <c r="AY354" s="2781">
        <f t="shared" si="184"/>
        <v>0</v>
      </c>
      <c r="AZ354" s="28">
        <f t="shared" si="185"/>
        <v>0</v>
      </c>
      <c r="BA354" s="28">
        <f t="shared" si="186"/>
        <v>0</v>
      </c>
      <c r="BB354" s="28">
        <f t="shared" si="187"/>
        <v>0</v>
      </c>
      <c r="BC354" s="28">
        <f t="shared" si="188"/>
        <v>0</v>
      </c>
      <c r="BD354" s="3439">
        <f t="shared" si="189"/>
        <v>0</v>
      </c>
      <c r="BE354" s="3439">
        <f t="shared" si="190"/>
        <v>0</v>
      </c>
      <c r="BF354" s="3439">
        <f t="shared" si="191"/>
        <v>0</v>
      </c>
      <c r="BG354" s="3439">
        <f t="shared" si="192"/>
        <v>0</v>
      </c>
      <c r="BH354" s="3439">
        <f t="shared" si="193"/>
        <v>0</v>
      </c>
      <c r="BI354" s="3439">
        <f t="shared" si="194"/>
        <v>0</v>
      </c>
      <c r="BJ354" s="3439">
        <f t="shared" si="195"/>
        <v>0</v>
      </c>
      <c r="BK354" s="3439">
        <f t="shared" si="196"/>
        <v>0</v>
      </c>
      <c r="BL354" s="28">
        <f t="shared" si="197"/>
        <v>0</v>
      </c>
      <c r="BM354" s="28">
        <f t="shared" si="198"/>
        <v>0</v>
      </c>
      <c r="BN354" s="28">
        <f t="shared" si="199"/>
        <v>0</v>
      </c>
      <c r="BO354" s="28">
        <f t="shared" si="200"/>
        <v>0</v>
      </c>
      <c r="BP354" s="28">
        <f t="shared" si="201"/>
        <v>0</v>
      </c>
      <c r="BQ354" s="3439">
        <f t="shared" si="202"/>
        <v>0</v>
      </c>
      <c r="BR354" s="3439">
        <f t="shared" si="203"/>
        <v>0</v>
      </c>
      <c r="BS354" s="3439">
        <f t="shared" si="204"/>
        <v>0</v>
      </c>
      <c r="BT354" s="3451">
        <f t="shared" si="205"/>
        <v>0</v>
      </c>
    </row>
    <row r="355" spans="1:72">
      <c r="A355" s="9"/>
      <c r="B355" s="27"/>
      <c r="C355" s="27"/>
      <c r="D355" s="1678"/>
      <c r="E355" s="28">
        <f t="shared" si="206"/>
        <v>0</v>
      </c>
      <c r="F355" s="29"/>
      <c r="G355" s="30">
        <f t="shared" si="181"/>
        <v>0</v>
      </c>
      <c r="H355" s="31">
        <f t="shared" si="182"/>
        <v>0</v>
      </c>
      <c r="I355" s="32"/>
      <c r="J355" s="32"/>
      <c r="K355" s="32"/>
      <c r="L355" s="32"/>
      <c r="M355" s="32"/>
      <c r="N355" s="32"/>
      <c r="O355" s="32"/>
      <c r="P355" s="32"/>
      <c r="Q355" s="32"/>
      <c r="R355" s="32"/>
      <c r="S355" s="32"/>
      <c r="T355" s="32"/>
      <c r="U355" s="32"/>
      <c r="V355" s="32"/>
      <c r="W355" s="32"/>
      <c r="X355" s="32"/>
      <c r="Y355" s="32"/>
      <c r="Z355" s="32"/>
      <c r="AA355" s="32"/>
      <c r="AB355" s="32"/>
      <c r="AC355" s="28">
        <f t="shared" si="183"/>
        <v>0</v>
      </c>
      <c r="AD355" s="33"/>
      <c r="AE355" s="33"/>
      <c r="AF355" s="33"/>
      <c r="AG355" s="33"/>
      <c r="AH355" s="33"/>
      <c r="AI355" s="33"/>
      <c r="AJ355" s="33"/>
      <c r="AK355" s="33"/>
      <c r="AL355" s="33"/>
      <c r="AM355" s="33"/>
      <c r="AN355" s="33"/>
      <c r="AO355" s="33"/>
      <c r="AP355" s="33"/>
      <c r="AQ355" s="33"/>
      <c r="AR355" s="33"/>
      <c r="AS355" s="33"/>
      <c r="AT355" s="34"/>
      <c r="AU355" s="1679"/>
      <c r="AV355" s="2256">
        <f t="shared" si="207"/>
        <v>0</v>
      </c>
      <c r="AW355" s="2256">
        <f t="shared" si="208"/>
        <v>0</v>
      </c>
      <c r="AX355" s="2256">
        <f t="shared" si="209"/>
        <v>0</v>
      </c>
      <c r="AY355" s="2781">
        <f t="shared" si="184"/>
        <v>0</v>
      </c>
      <c r="AZ355" s="28">
        <f t="shared" si="185"/>
        <v>0</v>
      </c>
      <c r="BA355" s="28">
        <f t="shared" si="186"/>
        <v>0</v>
      </c>
      <c r="BB355" s="28">
        <f t="shared" si="187"/>
        <v>0</v>
      </c>
      <c r="BC355" s="28">
        <f t="shared" si="188"/>
        <v>0</v>
      </c>
      <c r="BD355" s="3439">
        <f t="shared" si="189"/>
        <v>0</v>
      </c>
      <c r="BE355" s="3439">
        <f t="shared" si="190"/>
        <v>0</v>
      </c>
      <c r="BF355" s="3439">
        <f t="shared" si="191"/>
        <v>0</v>
      </c>
      <c r="BG355" s="3439">
        <f t="shared" si="192"/>
        <v>0</v>
      </c>
      <c r="BH355" s="3439">
        <f t="shared" si="193"/>
        <v>0</v>
      </c>
      <c r="BI355" s="3439">
        <f t="shared" si="194"/>
        <v>0</v>
      </c>
      <c r="BJ355" s="3439">
        <f t="shared" si="195"/>
        <v>0</v>
      </c>
      <c r="BK355" s="3439">
        <f t="shared" si="196"/>
        <v>0</v>
      </c>
      <c r="BL355" s="28">
        <f t="shared" si="197"/>
        <v>0</v>
      </c>
      <c r="BM355" s="28">
        <f t="shared" si="198"/>
        <v>0</v>
      </c>
      <c r="BN355" s="28">
        <f t="shared" si="199"/>
        <v>0</v>
      </c>
      <c r="BO355" s="28">
        <f t="shared" si="200"/>
        <v>0</v>
      </c>
      <c r="BP355" s="28">
        <f t="shared" si="201"/>
        <v>0</v>
      </c>
      <c r="BQ355" s="3439">
        <f t="shared" si="202"/>
        <v>0</v>
      </c>
      <c r="BR355" s="3439">
        <f t="shared" si="203"/>
        <v>0</v>
      </c>
      <c r="BS355" s="3439">
        <f t="shared" si="204"/>
        <v>0</v>
      </c>
      <c r="BT355" s="3451">
        <f t="shared" si="205"/>
        <v>0</v>
      </c>
    </row>
    <row r="356" spans="1:72">
      <c r="A356" s="9"/>
      <c r="B356" s="27"/>
      <c r="C356" s="27"/>
      <c r="D356" s="1678"/>
      <c r="E356" s="28">
        <f t="shared" si="206"/>
        <v>0</v>
      </c>
      <c r="F356" s="29"/>
      <c r="G356" s="30">
        <f t="shared" si="181"/>
        <v>0</v>
      </c>
      <c r="H356" s="31">
        <f t="shared" si="182"/>
        <v>0</v>
      </c>
      <c r="I356" s="32"/>
      <c r="J356" s="32"/>
      <c r="K356" s="32"/>
      <c r="L356" s="32"/>
      <c r="M356" s="32"/>
      <c r="N356" s="32"/>
      <c r="O356" s="32"/>
      <c r="P356" s="32"/>
      <c r="Q356" s="32"/>
      <c r="R356" s="32"/>
      <c r="S356" s="32"/>
      <c r="T356" s="32"/>
      <c r="U356" s="32"/>
      <c r="V356" s="32"/>
      <c r="W356" s="32"/>
      <c r="X356" s="32"/>
      <c r="Y356" s="32"/>
      <c r="Z356" s="32"/>
      <c r="AA356" s="32"/>
      <c r="AB356" s="32"/>
      <c r="AC356" s="28">
        <f t="shared" si="183"/>
        <v>0</v>
      </c>
      <c r="AD356" s="33"/>
      <c r="AE356" s="33"/>
      <c r="AF356" s="33"/>
      <c r="AG356" s="33"/>
      <c r="AH356" s="33"/>
      <c r="AI356" s="33"/>
      <c r="AJ356" s="33"/>
      <c r="AK356" s="33"/>
      <c r="AL356" s="33"/>
      <c r="AM356" s="33"/>
      <c r="AN356" s="33"/>
      <c r="AO356" s="33"/>
      <c r="AP356" s="33"/>
      <c r="AQ356" s="33"/>
      <c r="AR356" s="33"/>
      <c r="AS356" s="33"/>
      <c r="AT356" s="34"/>
      <c r="AU356" s="1679"/>
      <c r="AV356" s="2256">
        <f t="shared" si="207"/>
        <v>0</v>
      </c>
      <c r="AW356" s="2256">
        <f t="shared" si="208"/>
        <v>0</v>
      </c>
      <c r="AX356" s="2256">
        <f t="shared" si="209"/>
        <v>0</v>
      </c>
      <c r="AY356" s="2781">
        <f t="shared" si="184"/>
        <v>0</v>
      </c>
      <c r="AZ356" s="28">
        <f t="shared" si="185"/>
        <v>0</v>
      </c>
      <c r="BA356" s="28">
        <f t="shared" si="186"/>
        <v>0</v>
      </c>
      <c r="BB356" s="28">
        <f t="shared" si="187"/>
        <v>0</v>
      </c>
      <c r="BC356" s="28">
        <f t="shared" si="188"/>
        <v>0</v>
      </c>
      <c r="BD356" s="3439">
        <f t="shared" si="189"/>
        <v>0</v>
      </c>
      <c r="BE356" s="3439">
        <f t="shared" si="190"/>
        <v>0</v>
      </c>
      <c r="BF356" s="3439">
        <f t="shared" si="191"/>
        <v>0</v>
      </c>
      <c r="BG356" s="3439">
        <f t="shared" si="192"/>
        <v>0</v>
      </c>
      <c r="BH356" s="3439">
        <f t="shared" si="193"/>
        <v>0</v>
      </c>
      <c r="BI356" s="3439">
        <f t="shared" si="194"/>
        <v>0</v>
      </c>
      <c r="BJ356" s="3439">
        <f t="shared" si="195"/>
        <v>0</v>
      </c>
      <c r="BK356" s="3439">
        <f t="shared" si="196"/>
        <v>0</v>
      </c>
      <c r="BL356" s="28">
        <f t="shared" si="197"/>
        <v>0</v>
      </c>
      <c r="BM356" s="28">
        <f t="shared" si="198"/>
        <v>0</v>
      </c>
      <c r="BN356" s="28">
        <f t="shared" si="199"/>
        <v>0</v>
      </c>
      <c r="BO356" s="28">
        <f t="shared" si="200"/>
        <v>0</v>
      </c>
      <c r="BP356" s="28">
        <f t="shared" si="201"/>
        <v>0</v>
      </c>
      <c r="BQ356" s="3439">
        <f t="shared" si="202"/>
        <v>0</v>
      </c>
      <c r="BR356" s="3439">
        <f t="shared" si="203"/>
        <v>0</v>
      </c>
      <c r="BS356" s="3439">
        <f t="shared" si="204"/>
        <v>0</v>
      </c>
      <c r="BT356" s="3451">
        <f t="shared" si="205"/>
        <v>0</v>
      </c>
    </row>
    <row r="357" spans="1:72">
      <c r="A357" s="9"/>
      <c r="B357" s="27"/>
      <c r="C357" s="27"/>
      <c r="D357" s="1678"/>
      <c r="E357" s="28">
        <f t="shared" si="206"/>
        <v>0</v>
      </c>
      <c r="F357" s="29"/>
      <c r="G357" s="30">
        <f t="shared" si="181"/>
        <v>0</v>
      </c>
      <c r="H357" s="31">
        <f t="shared" si="182"/>
        <v>0</v>
      </c>
      <c r="I357" s="32"/>
      <c r="J357" s="32"/>
      <c r="K357" s="32"/>
      <c r="L357" s="32"/>
      <c r="M357" s="32"/>
      <c r="N357" s="32"/>
      <c r="O357" s="32"/>
      <c r="P357" s="32"/>
      <c r="Q357" s="32"/>
      <c r="R357" s="32"/>
      <c r="S357" s="32"/>
      <c r="T357" s="32"/>
      <c r="U357" s="32"/>
      <c r="V357" s="32"/>
      <c r="W357" s="32"/>
      <c r="X357" s="32"/>
      <c r="Y357" s="32"/>
      <c r="Z357" s="32"/>
      <c r="AA357" s="32"/>
      <c r="AB357" s="32"/>
      <c r="AC357" s="28">
        <f t="shared" si="183"/>
        <v>0</v>
      </c>
      <c r="AD357" s="33"/>
      <c r="AE357" s="33"/>
      <c r="AF357" s="33"/>
      <c r="AG357" s="33"/>
      <c r="AH357" s="33"/>
      <c r="AI357" s="33"/>
      <c r="AJ357" s="33"/>
      <c r="AK357" s="33"/>
      <c r="AL357" s="33"/>
      <c r="AM357" s="33"/>
      <c r="AN357" s="33"/>
      <c r="AO357" s="33"/>
      <c r="AP357" s="33"/>
      <c r="AQ357" s="33"/>
      <c r="AR357" s="33"/>
      <c r="AS357" s="33"/>
      <c r="AT357" s="34"/>
      <c r="AU357" s="1679"/>
      <c r="AV357" s="2256">
        <f t="shared" si="207"/>
        <v>0</v>
      </c>
      <c r="AW357" s="2256">
        <f t="shared" si="208"/>
        <v>0</v>
      </c>
      <c r="AX357" s="2256">
        <f t="shared" si="209"/>
        <v>0</v>
      </c>
      <c r="AY357" s="2781">
        <f t="shared" si="184"/>
        <v>0</v>
      </c>
      <c r="AZ357" s="28">
        <f t="shared" si="185"/>
        <v>0</v>
      </c>
      <c r="BA357" s="28">
        <f t="shared" si="186"/>
        <v>0</v>
      </c>
      <c r="BB357" s="28">
        <f t="shared" si="187"/>
        <v>0</v>
      </c>
      <c r="BC357" s="28">
        <f t="shared" si="188"/>
        <v>0</v>
      </c>
      <c r="BD357" s="3439">
        <f t="shared" si="189"/>
        <v>0</v>
      </c>
      <c r="BE357" s="3439">
        <f t="shared" si="190"/>
        <v>0</v>
      </c>
      <c r="BF357" s="3439">
        <f t="shared" si="191"/>
        <v>0</v>
      </c>
      <c r="BG357" s="3439">
        <f t="shared" si="192"/>
        <v>0</v>
      </c>
      <c r="BH357" s="3439">
        <f t="shared" si="193"/>
        <v>0</v>
      </c>
      <c r="BI357" s="3439">
        <f t="shared" si="194"/>
        <v>0</v>
      </c>
      <c r="BJ357" s="3439">
        <f t="shared" si="195"/>
        <v>0</v>
      </c>
      <c r="BK357" s="3439">
        <f t="shared" si="196"/>
        <v>0</v>
      </c>
      <c r="BL357" s="28">
        <f t="shared" si="197"/>
        <v>0</v>
      </c>
      <c r="BM357" s="28">
        <f t="shared" si="198"/>
        <v>0</v>
      </c>
      <c r="BN357" s="28">
        <f t="shared" si="199"/>
        <v>0</v>
      </c>
      <c r="BO357" s="28">
        <f t="shared" si="200"/>
        <v>0</v>
      </c>
      <c r="BP357" s="28">
        <f t="shared" si="201"/>
        <v>0</v>
      </c>
      <c r="BQ357" s="3439">
        <f t="shared" si="202"/>
        <v>0</v>
      </c>
      <c r="BR357" s="3439">
        <f t="shared" si="203"/>
        <v>0</v>
      </c>
      <c r="BS357" s="3439">
        <f t="shared" si="204"/>
        <v>0</v>
      </c>
      <c r="BT357" s="3451">
        <f t="shared" si="205"/>
        <v>0</v>
      </c>
    </row>
    <row r="358" spans="1:72">
      <c r="A358" s="9"/>
      <c r="B358" s="27"/>
      <c r="C358" s="27"/>
      <c r="D358" s="1678"/>
      <c r="E358" s="28">
        <f t="shared" si="206"/>
        <v>0</v>
      </c>
      <c r="F358" s="29"/>
      <c r="G358" s="30">
        <f t="shared" si="181"/>
        <v>0</v>
      </c>
      <c r="H358" s="31">
        <f t="shared" si="182"/>
        <v>0</v>
      </c>
      <c r="I358" s="32"/>
      <c r="J358" s="32"/>
      <c r="K358" s="32"/>
      <c r="L358" s="32"/>
      <c r="M358" s="32"/>
      <c r="N358" s="32"/>
      <c r="O358" s="32"/>
      <c r="P358" s="32"/>
      <c r="Q358" s="32"/>
      <c r="R358" s="32"/>
      <c r="S358" s="32"/>
      <c r="T358" s="32"/>
      <c r="U358" s="32"/>
      <c r="V358" s="32"/>
      <c r="W358" s="32"/>
      <c r="X358" s="32"/>
      <c r="Y358" s="32"/>
      <c r="Z358" s="32"/>
      <c r="AA358" s="32"/>
      <c r="AB358" s="32"/>
      <c r="AC358" s="28">
        <f t="shared" si="183"/>
        <v>0</v>
      </c>
      <c r="AD358" s="33"/>
      <c r="AE358" s="33"/>
      <c r="AF358" s="33"/>
      <c r="AG358" s="33"/>
      <c r="AH358" s="33"/>
      <c r="AI358" s="33"/>
      <c r="AJ358" s="33"/>
      <c r="AK358" s="33"/>
      <c r="AL358" s="33"/>
      <c r="AM358" s="33"/>
      <c r="AN358" s="33"/>
      <c r="AO358" s="33"/>
      <c r="AP358" s="33"/>
      <c r="AQ358" s="33"/>
      <c r="AR358" s="33"/>
      <c r="AS358" s="33"/>
      <c r="AT358" s="34"/>
      <c r="AU358" s="1679"/>
      <c r="AV358" s="2256">
        <f t="shared" si="207"/>
        <v>0</v>
      </c>
      <c r="AW358" s="2256">
        <f t="shared" si="208"/>
        <v>0</v>
      </c>
      <c r="AX358" s="2256">
        <f t="shared" si="209"/>
        <v>0</v>
      </c>
      <c r="AY358" s="2781">
        <f t="shared" si="184"/>
        <v>0</v>
      </c>
      <c r="AZ358" s="28">
        <f t="shared" si="185"/>
        <v>0</v>
      </c>
      <c r="BA358" s="28">
        <f t="shared" si="186"/>
        <v>0</v>
      </c>
      <c r="BB358" s="28">
        <f t="shared" si="187"/>
        <v>0</v>
      </c>
      <c r="BC358" s="28">
        <f t="shared" si="188"/>
        <v>0</v>
      </c>
      <c r="BD358" s="3439">
        <f t="shared" si="189"/>
        <v>0</v>
      </c>
      <c r="BE358" s="3439">
        <f t="shared" si="190"/>
        <v>0</v>
      </c>
      <c r="BF358" s="3439">
        <f t="shared" si="191"/>
        <v>0</v>
      </c>
      <c r="BG358" s="3439">
        <f t="shared" si="192"/>
        <v>0</v>
      </c>
      <c r="BH358" s="3439">
        <f t="shared" si="193"/>
        <v>0</v>
      </c>
      <c r="BI358" s="3439">
        <f t="shared" si="194"/>
        <v>0</v>
      </c>
      <c r="BJ358" s="3439">
        <f t="shared" si="195"/>
        <v>0</v>
      </c>
      <c r="BK358" s="3439">
        <f t="shared" si="196"/>
        <v>0</v>
      </c>
      <c r="BL358" s="28">
        <f t="shared" si="197"/>
        <v>0</v>
      </c>
      <c r="BM358" s="28">
        <f t="shared" si="198"/>
        <v>0</v>
      </c>
      <c r="BN358" s="28">
        <f t="shared" si="199"/>
        <v>0</v>
      </c>
      <c r="BO358" s="28">
        <f t="shared" si="200"/>
        <v>0</v>
      </c>
      <c r="BP358" s="28">
        <f t="shared" si="201"/>
        <v>0</v>
      </c>
      <c r="BQ358" s="3439">
        <f t="shared" si="202"/>
        <v>0</v>
      </c>
      <c r="BR358" s="3439">
        <f t="shared" si="203"/>
        <v>0</v>
      </c>
      <c r="BS358" s="3439">
        <f t="shared" si="204"/>
        <v>0</v>
      </c>
      <c r="BT358" s="3451">
        <f t="shared" si="205"/>
        <v>0</v>
      </c>
    </row>
    <row r="359" spans="1:72">
      <c r="A359" s="9"/>
      <c r="B359" s="27"/>
      <c r="C359" s="27"/>
      <c r="D359" s="1678"/>
      <c r="E359" s="28">
        <f t="shared" si="206"/>
        <v>0</v>
      </c>
      <c r="F359" s="29"/>
      <c r="G359" s="30">
        <f t="shared" si="181"/>
        <v>0</v>
      </c>
      <c r="H359" s="31">
        <f t="shared" si="182"/>
        <v>0</v>
      </c>
      <c r="I359" s="32"/>
      <c r="J359" s="32"/>
      <c r="K359" s="32"/>
      <c r="L359" s="32"/>
      <c r="M359" s="32"/>
      <c r="N359" s="32"/>
      <c r="O359" s="32"/>
      <c r="P359" s="32"/>
      <c r="Q359" s="32"/>
      <c r="R359" s="32"/>
      <c r="S359" s="32"/>
      <c r="T359" s="32"/>
      <c r="U359" s="32"/>
      <c r="V359" s="32"/>
      <c r="W359" s="32"/>
      <c r="X359" s="32"/>
      <c r="Y359" s="32"/>
      <c r="Z359" s="32"/>
      <c r="AA359" s="32"/>
      <c r="AB359" s="32"/>
      <c r="AC359" s="28">
        <f t="shared" si="183"/>
        <v>0</v>
      </c>
      <c r="AD359" s="33"/>
      <c r="AE359" s="33"/>
      <c r="AF359" s="33"/>
      <c r="AG359" s="33"/>
      <c r="AH359" s="33"/>
      <c r="AI359" s="33"/>
      <c r="AJ359" s="33"/>
      <c r="AK359" s="33"/>
      <c r="AL359" s="33"/>
      <c r="AM359" s="33"/>
      <c r="AN359" s="33"/>
      <c r="AO359" s="33"/>
      <c r="AP359" s="33"/>
      <c r="AQ359" s="33"/>
      <c r="AR359" s="33"/>
      <c r="AS359" s="33"/>
      <c r="AT359" s="34"/>
      <c r="AU359" s="1679"/>
      <c r="AV359" s="2256">
        <f t="shared" si="207"/>
        <v>0</v>
      </c>
      <c r="AW359" s="2256">
        <f t="shared" si="208"/>
        <v>0</v>
      </c>
      <c r="AX359" s="2256">
        <f t="shared" si="209"/>
        <v>0</v>
      </c>
      <c r="AY359" s="2781">
        <f t="shared" si="184"/>
        <v>0</v>
      </c>
      <c r="AZ359" s="28">
        <f t="shared" si="185"/>
        <v>0</v>
      </c>
      <c r="BA359" s="28">
        <f t="shared" si="186"/>
        <v>0</v>
      </c>
      <c r="BB359" s="28">
        <f t="shared" si="187"/>
        <v>0</v>
      </c>
      <c r="BC359" s="28">
        <f t="shared" si="188"/>
        <v>0</v>
      </c>
      <c r="BD359" s="3439">
        <f t="shared" si="189"/>
        <v>0</v>
      </c>
      <c r="BE359" s="3439">
        <f t="shared" si="190"/>
        <v>0</v>
      </c>
      <c r="BF359" s="3439">
        <f t="shared" si="191"/>
        <v>0</v>
      </c>
      <c r="BG359" s="3439">
        <f t="shared" si="192"/>
        <v>0</v>
      </c>
      <c r="BH359" s="3439">
        <f t="shared" si="193"/>
        <v>0</v>
      </c>
      <c r="BI359" s="3439">
        <f t="shared" si="194"/>
        <v>0</v>
      </c>
      <c r="BJ359" s="3439">
        <f t="shared" si="195"/>
        <v>0</v>
      </c>
      <c r="BK359" s="3439">
        <f t="shared" si="196"/>
        <v>0</v>
      </c>
      <c r="BL359" s="28">
        <f t="shared" si="197"/>
        <v>0</v>
      </c>
      <c r="BM359" s="28">
        <f t="shared" si="198"/>
        <v>0</v>
      </c>
      <c r="BN359" s="28">
        <f t="shared" si="199"/>
        <v>0</v>
      </c>
      <c r="BO359" s="28">
        <f t="shared" si="200"/>
        <v>0</v>
      </c>
      <c r="BP359" s="28">
        <f t="shared" si="201"/>
        <v>0</v>
      </c>
      <c r="BQ359" s="3439">
        <f t="shared" si="202"/>
        <v>0</v>
      </c>
      <c r="BR359" s="3439">
        <f t="shared" si="203"/>
        <v>0</v>
      </c>
      <c r="BS359" s="3439">
        <f t="shared" si="204"/>
        <v>0</v>
      </c>
      <c r="BT359" s="3451">
        <f t="shared" si="205"/>
        <v>0</v>
      </c>
    </row>
    <row r="360" spans="1:72">
      <c r="A360" s="9"/>
      <c r="B360" s="27"/>
      <c r="C360" s="27"/>
      <c r="D360" s="1678"/>
      <c r="E360" s="28">
        <f t="shared" si="206"/>
        <v>0</v>
      </c>
      <c r="F360" s="29"/>
      <c r="G360" s="30">
        <f t="shared" si="181"/>
        <v>0</v>
      </c>
      <c r="H360" s="31">
        <f t="shared" si="182"/>
        <v>0</v>
      </c>
      <c r="I360" s="32"/>
      <c r="J360" s="32"/>
      <c r="K360" s="32"/>
      <c r="L360" s="32"/>
      <c r="M360" s="32"/>
      <c r="N360" s="32"/>
      <c r="O360" s="32"/>
      <c r="P360" s="32"/>
      <c r="Q360" s="32"/>
      <c r="R360" s="32"/>
      <c r="S360" s="32"/>
      <c r="T360" s="32"/>
      <c r="U360" s="32"/>
      <c r="V360" s="32"/>
      <c r="W360" s="32"/>
      <c r="X360" s="32"/>
      <c r="Y360" s="32"/>
      <c r="Z360" s="32"/>
      <c r="AA360" s="32"/>
      <c r="AB360" s="32"/>
      <c r="AC360" s="28">
        <f t="shared" si="183"/>
        <v>0</v>
      </c>
      <c r="AD360" s="33"/>
      <c r="AE360" s="33"/>
      <c r="AF360" s="33"/>
      <c r="AG360" s="33"/>
      <c r="AH360" s="33"/>
      <c r="AI360" s="33"/>
      <c r="AJ360" s="33"/>
      <c r="AK360" s="33"/>
      <c r="AL360" s="33"/>
      <c r="AM360" s="33"/>
      <c r="AN360" s="33"/>
      <c r="AO360" s="33"/>
      <c r="AP360" s="33"/>
      <c r="AQ360" s="33"/>
      <c r="AR360" s="33"/>
      <c r="AS360" s="33"/>
      <c r="AT360" s="34"/>
      <c r="AU360" s="1679"/>
      <c r="AV360" s="2256">
        <f t="shared" si="207"/>
        <v>0</v>
      </c>
      <c r="AW360" s="2256">
        <f t="shared" si="208"/>
        <v>0</v>
      </c>
      <c r="AX360" s="2256">
        <f t="shared" si="209"/>
        <v>0</v>
      </c>
      <c r="AY360" s="2781">
        <f t="shared" si="184"/>
        <v>0</v>
      </c>
      <c r="AZ360" s="28">
        <f t="shared" si="185"/>
        <v>0</v>
      </c>
      <c r="BA360" s="28">
        <f t="shared" si="186"/>
        <v>0</v>
      </c>
      <c r="BB360" s="28">
        <f t="shared" si="187"/>
        <v>0</v>
      </c>
      <c r="BC360" s="28">
        <f t="shared" si="188"/>
        <v>0</v>
      </c>
      <c r="BD360" s="3439">
        <f t="shared" si="189"/>
        <v>0</v>
      </c>
      <c r="BE360" s="3439">
        <f t="shared" si="190"/>
        <v>0</v>
      </c>
      <c r="BF360" s="3439">
        <f t="shared" si="191"/>
        <v>0</v>
      </c>
      <c r="BG360" s="3439">
        <f t="shared" si="192"/>
        <v>0</v>
      </c>
      <c r="BH360" s="3439">
        <f t="shared" si="193"/>
        <v>0</v>
      </c>
      <c r="BI360" s="3439">
        <f t="shared" si="194"/>
        <v>0</v>
      </c>
      <c r="BJ360" s="3439">
        <f t="shared" si="195"/>
        <v>0</v>
      </c>
      <c r="BK360" s="3439">
        <f t="shared" si="196"/>
        <v>0</v>
      </c>
      <c r="BL360" s="28">
        <f t="shared" si="197"/>
        <v>0</v>
      </c>
      <c r="BM360" s="28">
        <f t="shared" si="198"/>
        <v>0</v>
      </c>
      <c r="BN360" s="28">
        <f t="shared" si="199"/>
        <v>0</v>
      </c>
      <c r="BO360" s="28">
        <f t="shared" si="200"/>
        <v>0</v>
      </c>
      <c r="BP360" s="28">
        <f t="shared" si="201"/>
        <v>0</v>
      </c>
      <c r="BQ360" s="3439">
        <f t="shared" si="202"/>
        <v>0</v>
      </c>
      <c r="BR360" s="3439">
        <f t="shared" si="203"/>
        <v>0</v>
      </c>
      <c r="BS360" s="3439">
        <f t="shared" si="204"/>
        <v>0</v>
      </c>
      <c r="BT360" s="3451">
        <f t="shared" si="205"/>
        <v>0</v>
      </c>
    </row>
    <row r="361" spans="1:72">
      <c r="A361" s="9"/>
      <c r="B361" s="27"/>
      <c r="C361" s="27"/>
      <c r="D361" s="1678"/>
      <c r="E361" s="28">
        <f t="shared" si="206"/>
        <v>0</v>
      </c>
      <c r="F361" s="29"/>
      <c r="G361" s="30">
        <f t="shared" si="181"/>
        <v>0</v>
      </c>
      <c r="H361" s="31">
        <f t="shared" si="182"/>
        <v>0</v>
      </c>
      <c r="I361" s="32"/>
      <c r="J361" s="32"/>
      <c r="K361" s="32"/>
      <c r="L361" s="32"/>
      <c r="M361" s="32"/>
      <c r="N361" s="32"/>
      <c r="O361" s="32"/>
      <c r="P361" s="32"/>
      <c r="Q361" s="32"/>
      <c r="R361" s="32"/>
      <c r="S361" s="32"/>
      <c r="T361" s="32"/>
      <c r="U361" s="32"/>
      <c r="V361" s="32"/>
      <c r="W361" s="32"/>
      <c r="X361" s="32"/>
      <c r="Y361" s="32"/>
      <c r="Z361" s="32"/>
      <c r="AA361" s="32"/>
      <c r="AB361" s="32"/>
      <c r="AC361" s="28">
        <f t="shared" si="183"/>
        <v>0</v>
      </c>
      <c r="AD361" s="33"/>
      <c r="AE361" s="33"/>
      <c r="AF361" s="33"/>
      <c r="AG361" s="33"/>
      <c r="AH361" s="33"/>
      <c r="AI361" s="33"/>
      <c r="AJ361" s="33"/>
      <c r="AK361" s="33"/>
      <c r="AL361" s="33"/>
      <c r="AM361" s="33"/>
      <c r="AN361" s="33"/>
      <c r="AO361" s="33"/>
      <c r="AP361" s="33"/>
      <c r="AQ361" s="33"/>
      <c r="AR361" s="33"/>
      <c r="AS361" s="33"/>
      <c r="AT361" s="34"/>
      <c r="AU361" s="1679"/>
      <c r="AV361" s="2256">
        <f t="shared" si="207"/>
        <v>0</v>
      </c>
      <c r="AW361" s="2256">
        <f t="shared" si="208"/>
        <v>0</v>
      </c>
      <c r="AX361" s="2256">
        <f t="shared" si="209"/>
        <v>0</v>
      </c>
      <c r="AY361" s="2781">
        <f t="shared" si="184"/>
        <v>0</v>
      </c>
      <c r="AZ361" s="28">
        <f t="shared" si="185"/>
        <v>0</v>
      </c>
      <c r="BA361" s="28">
        <f t="shared" si="186"/>
        <v>0</v>
      </c>
      <c r="BB361" s="28">
        <f t="shared" si="187"/>
        <v>0</v>
      </c>
      <c r="BC361" s="28">
        <f t="shared" si="188"/>
        <v>0</v>
      </c>
      <c r="BD361" s="3439">
        <f t="shared" si="189"/>
        <v>0</v>
      </c>
      <c r="BE361" s="3439">
        <f t="shared" si="190"/>
        <v>0</v>
      </c>
      <c r="BF361" s="3439">
        <f t="shared" si="191"/>
        <v>0</v>
      </c>
      <c r="BG361" s="3439">
        <f t="shared" si="192"/>
        <v>0</v>
      </c>
      <c r="BH361" s="3439">
        <f t="shared" si="193"/>
        <v>0</v>
      </c>
      <c r="BI361" s="3439">
        <f t="shared" si="194"/>
        <v>0</v>
      </c>
      <c r="BJ361" s="3439">
        <f t="shared" si="195"/>
        <v>0</v>
      </c>
      <c r="BK361" s="3439">
        <f t="shared" si="196"/>
        <v>0</v>
      </c>
      <c r="BL361" s="28">
        <f t="shared" si="197"/>
        <v>0</v>
      </c>
      <c r="BM361" s="28">
        <f t="shared" si="198"/>
        <v>0</v>
      </c>
      <c r="BN361" s="28">
        <f t="shared" si="199"/>
        <v>0</v>
      </c>
      <c r="BO361" s="28">
        <f t="shared" si="200"/>
        <v>0</v>
      </c>
      <c r="BP361" s="28">
        <f t="shared" si="201"/>
        <v>0</v>
      </c>
      <c r="BQ361" s="3439">
        <f t="shared" si="202"/>
        <v>0</v>
      </c>
      <c r="BR361" s="3439">
        <f t="shared" si="203"/>
        <v>0</v>
      </c>
      <c r="BS361" s="3439">
        <f t="shared" si="204"/>
        <v>0</v>
      </c>
      <c r="BT361" s="3451">
        <f t="shared" si="205"/>
        <v>0</v>
      </c>
    </row>
    <row r="362" spans="1:72">
      <c r="A362" s="9"/>
      <c r="B362" s="27"/>
      <c r="C362" s="27"/>
      <c r="D362" s="1678"/>
      <c r="E362" s="28">
        <f t="shared" si="206"/>
        <v>0</v>
      </c>
      <c r="F362" s="29"/>
      <c r="G362" s="30">
        <f t="shared" si="181"/>
        <v>0</v>
      </c>
      <c r="H362" s="31">
        <f t="shared" si="182"/>
        <v>0</v>
      </c>
      <c r="I362" s="32"/>
      <c r="J362" s="32"/>
      <c r="K362" s="32"/>
      <c r="L362" s="32"/>
      <c r="M362" s="32"/>
      <c r="N362" s="32"/>
      <c r="O362" s="32"/>
      <c r="P362" s="32"/>
      <c r="Q362" s="32"/>
      <c r="R362" s="32"/>
      <c r="S362" s="32"/>
      <c r="T362" s="32"/>
      <c r="U362" s="32"/>
      <c r="V362" s="32"/>
      <c r="W362" s="32"/>
      <c r="X362" s="32"/>
      <c r="Y362" s="32"/>
      <c r="Z362" s="32"/>
      <c r="AA362" s="32"/>
      <c r="AB362" s="32"/>
      <c r="AC362" s="28">
        <f t="shared" si="183"/>
        <v>0</v>
      </c>
      <c r="AD362" s="33"/>
      <c r="AE362" s="33"/>
      <c r="AF362" s="33"/>
      <c r="AG362" s="33"/>
      <c r="AH362" s="33"/>
      <c r="AI362" s="33"/>
      <c r="AJ362" s="33"/>
      <c r="AK362" s="33"/>
      <c r="AL362" s="33"/>
      <c r="AM362" s="33"/>
      <c r="AN362" s="33"/>
      <c r="AO362" s="33"/>
      <c r="AP362" s="33"/>
      <c r="AQ362" s="33"/>
      <c r="AR362" s="33"/>
      <c r="AS362" s="33"/>
      <c r="AT362" s="34"/>
      <c r="AU362" s="1679"/>
      <c r="AV362" s="2256">
        <f t="shared" si="207"/>
        <v>0</v>
      </c>
      <c r="AW362" s="2256">
        <f t="shared" si="208"/>
        <v>0</v>
      </c>
      <c r="AX362" s="2256">
        <f t="shared" si="209"/>
        <v>0</v>
      </c>
      <c r="AY362" s="2781">
        <f t="shared" si="184"/>
        <v>0</v>
      </c>
      <c r="AZ362" s="28">
        <f t="shared" si="185"/>
        <v>0</v>
      </c>
      <c r="BA362" s="28">
        <f t="shared" si="186"/>
        <v>0</v>
      </c>
      <c r="BB362" s="28">
        <f t="shared" si="187"/>
        <v>0</v>
      </c>
      <c r="BC362" s="28">
        <f t="shared" si="188"/>
        <v>0</v>
      </c>
      <c r="BD362" s="3439">
        <f t="shared" si="189"/>
        <v>0</v>
      </c>
      <c r="BE362" s="3439">
        <f t="shared" si="190"/>
        <v>0</v>
      </c>
      <c r="BF362" s="3439">
        <f t="shared" si="191"/>
        <v>0</v>
      </c>
      <c r="BG362" s="3439">
        <f t="shared" si="192"/>
        <v>0</v>
      </c>
      <c r="BH362" s="3439">
        <f t="shared" si="193"/>
        <v>0</v>
      </c>
      <c r="BI362" s="3439">
        <f t="shared" si="194"/>
        <v>0</v>
      </c>
      <c r="BJ362" s="3439">
        <f t="shared" si="195"/>
        <v>0</v>
      </c>
      <c r="BK362" s="3439">
        <f t="shared" si="196"/>
        <v>0</v>
      </c>
      <c r="BL362" s="28">
        <f t="shared" si="197"/>
        <v>0</v>
      </c>
      <c r="BM362" s="28">
        <f t="shared" si="198"/>
        <v>0</v>
      </c>
      <c r="BN362" s="28">
        <f t="shared" si="199"/>
        <v>0</v>
      </c>
      <c r="BO362" s="28">
        <f t="shared" si="200"/>
        <v>0</v>
      </c>
      <c r="BP362" s="28">
        <f t="shared" si="201"/>
        <v>0</v>
      </c>
      <c r="BQ362" s="3439">
        <f t="shared" si="202"/>
        <v>0</v>
      </c>
      <c r="BR362" s="3439">
        <f t="shared" si="203"/>
        <v>0</v>
      </c>
      <c r="BS362" s="3439">
        <f t="shared" si="204"/>
        <v>0</v>
      </c>
      <c r="BT362" s="3451">
        <f t="shared" si="205"/>
        <v>0</v>
      </c>
    </row>
    <row r="363" spans="1:72">
      <c r="A363" s="9"/>
      <c r="B363" s="27"/>
      <c r="C363" s="27"/>
      <c r="D363" s="1678"/>
      <c r="E363" s="28">
        <f t="shared" si="206"/>
        <v>0</v>
      </c>
      <c r="F363" s="29"/>
      <c r="G363" s="30">
        <f t="shared" si="181"/>
        <v>0</v>
      </c>
      <c r="H363" s="31">
        <f t="shared" si="182"/>
        <v>0</v>
      </c>
      <c r="I363" s="32"/>
      <c r="J363" s="32"/>
      <c r="K363" s="32"/>
      <c r="L363" s="32"/>
      <c r="M363" s="32"/>
      <c r="N363" s="32"/>
      <c r="O363" s="32"/>
      <c r="P363" s="32"/>
      <c r="Q363" s="32"/>
      <c r="R363" s="32"/>
      <c r="S363" s="32"/>
      <c r="T363" s="32"/>
      <c r="U363" s="32"/>
      <c r="V363" s="32"/>
      <c r="W363" s="32"/>
      <c r="X363" s="32"/>
      <c r="Y363" s="32"/>
      <c r="Z363" s="32"/>
      <c r="AA363" s="32"/>
      <c r="AB363" s="32"/>
      <c r="AC363" s="28">
        <f t="shared" si="183"/>
        <v>0</v>
      </c>
      <c r="AD363" s="33"/>
      <c r="AE363" s="33"/>
      <c r="AF363" s="33"/>
      <c r="AG363" s="33"/>
      <c r="AH363" s="33"/>
      <c r="AI363" s="33"/>
      <c r="AJ363" s="33"/>
      <c r="AK363" s="33"/>
      <c r="AL363" s="33"/>
      <c r="AM363" s="33"/>
      <c r="AN363" s="33"/>
      <c r="AO363" s="33"/>
      <c r="AP363" s="33"/>
      <c r="AQ363" s="33"/>
      <c r="AR363" s="33"/>
      <c r="AS363" s="33"/>
      <c r="AT363" s="34"/>
      <c r="AU363" s="1679"/>
      <c r="AV363" s="2256">
        <f t="shared" si="207"/>
        <v>0</v>
      </c>
      <c r="AW363" s="2256">
        <f t="shared" si="208"/>
        <v>0</v>
      </c>
      <c r="AX363" s="2256">
        <f t="shared" si="209"/>
        <v>0</v>
      </c>
      <c r="AY363" s="2781">
        <f t="shared" si="184"/>
        <v>0</v>
      </c>
      <c r="AZ363" s="28">
        <f t="shared" si="185"/>
        <v>0</v>
      </c>
      <c r="BA363" s="28">
        <f t="shared" si="186"/>
        <v>0</v>
      </c>
      <c r="BB363" s="28">
        <f t="shared" si="187"/>
        <v>0</v>
      </c>
      <c r="BC363" s="28">
        <f t="shared" si="188"/>
        <v>0</v>
      </c>
      <c r="BD363" s="3439">
        <f t="shared" si="189"/>
        <v>0</v>
      </c>
      <c r="BE363" s="3439">
        <f t="shared" si="190"/>
        <v>0</v>
      </c>
      <c r="BF363" s="3439">
        <f t="shared" si="191"/>
        <v>0</v>
      </c>
      <c r="BG363" s="3439">
        <f t="shared" si="192"/>
        <v>0</v>
      </c>
      <c r="BH363" s="3439">
        <f t="shared" si="193"/>
        <v>0</v>
      </c>
      <c r="BI363" s="3439">
        <f t="shared" si="194"/>
        <v>0</v>
      </c>
      <c r="BJ363" s="3439">
        <f t="shared" si="195"/>
        <v>0</v>
      </c>
      <c r="BK363" s="3439">
        <f t="shared" si="196"/>
        <v>0</v>
      </c>
      <c r="BL363" s="28">
        <f t="shared" si="197"/>
        <v>0</v>
      </c>
      <c r="BM363" s="28">
        <f t="shared" si="198"/>
        <v>0</v>
      </c>
      <c r="BN363" s="28">
        <f t="shared" si="199"/>
        <v>0</v>
      </c>
      <c r="BO363" s="28">
        <f t="shared" si="200"/>
        <v>0</v>
      </c>
      <c r="BP363" s="28">
        <f t="shared" si="201"/>
        <v>0</v>
      </c>
      <c r="BQ363" s="3439">
        <f t="shared" si="202"/>
        <v>0</v>
      </c>
      <c r="BR363" s="3439">
        <f t="shared" si="203"/>
        <v>0</v>
      </c>
      <c r="BS363" s="3439">
        <f t="shared" si="204"/>
        <v>0</v>
      </c>
      <c r="BT363" s="3451">
        <f t="shared" si="205"/>
        <v>0</v>
      </c>
    </row>
    <row r="364" spans="1:72">
      <c r="A364" s="9"/>
      <c r="B364" s="27"/>
      <c r="C364" s="27"/>
      <c r="D364" s="1678"/>
      <c r="E364" s="28">
        <f t="shared" si="206"/>
        <v>0</v>
      </c>
      <c r="F364" s="29"/>
      <c r="G364" s="30">
        <f t="shared" ref="G364:G395" si="210">H364+AC364+AT364</f>
        <v>0</v>
      </c>
      <c r="H364" s="31">
        <f t="shared" ref="H364:H395" si="211">SUMIF(I$12:AB$12,"总值",I364:AB364)</f>
        <v>0</v>
      </c>
      <c r="I364" s="32"/>
      <c r="J364" s="32"/>
      <c r="K364" s="32"/>
      <c r="L364" s="32"/>
      <c r="M364" s="32"/>
      <c r="N364" s="32"/>
      <c r="O364" s="32"/>
      <c r="P364" s="32"/>
      <c r="Q364" s="32"/>
      <c r="R364" s="32"/>
      <c r="S364" s="32"/>
      <c r="T364" s="32"/>
      <c r="U364" s="32"/>
      <c r="V364" s="32"/>
      <c r="W364" s="32"/>
      <c r="X364" s="32"/>
      <c r="Y364" s="32"/>
      <c r="Z364" s="32"/>
      <c r="AA364" s="32"/>
      <c r="AB364" s="32"/>
      <c r="AC364" s="28">
        <f t="shared" ref="AC364:AC395" si="212">SUMIF(AD$12:AS$12,"总值",AD364:AS364)</f>
        <v>0</v>
      </c>
      <c r="AD364" s="33"/>
      <c r="AE364" s="33"/>
      <c r="AF364" s="33"/>
      <c r="AG364" s="33"/>
      <c r="AH364" s="33"/>
      <c r="AI364" s="33"/>
      <c r="AJ364" s="33"/>
      <c r="AK364" s="33"/>
      <c r="AL364" s="33"/>
      <c r="AM364" s="33"/>
      <c r="AN364" s="33"/>
      <c r="AO364" s="33"/>
      <c r="AP364" s="33"/>
      <c r="AQ364" s="33"/>
      <c r="AR364" s="33"/>
      <c r="AS364" s="33"/>
      <c r="AT364" s="34"/>
      <c r="AU364" s="1679"/>
      <c r="AV364" s="2256">
        <f t="shared" si="207"/>
        <v>0</v>
      </c>
      <c r="AW364" s="2256">
        <f t="shared" si="208"/>
        <v>0</v>
      </c>
      <c r="AX364" s="2256">
        <f t="shared" si="209"/>
        <v>0</v>
      </c>
      <c r="AY364" s="2781">
        <f t="shared" ref="AY364:AY395" si="213">ROUND($AY$6*AZ364/$AZ$5,2)</f>
        <v>0</v>
      </c>
      <c r="AZ364" s="28">
        <f t="shared" ref="AZ364:AZ395" si="214">BA364+BL364</f>
        <v>0</v>
      </c>
      <c r="BA364" s="28">
        <f t="shared" ref="BA364:BA395" si="215">SUM(BB364:BK364)</f>
        <v>0</v>
      </c>
      <c r="BB364" s="28">
        <f t="shared" ref="BB364:BB397" si="216">IF($D364="是",I364-J364,0)</f>
        <v>0</v>
      </c>
      <c r="BC364" s="28">
        <f t="shared" ref="BC364:BC397" si="217">IF($D364="是",K364-L364,0)</f>
        <v>0</v>
      </c>
      <c r="BD364" s="3439">
        <f t="shared" ref="BD364:BD397" si="218">IF($D364="是",M364-N364,0)</f>
        <v>0</v>
      </c>
      <c r="BE364" s="3439">
        <f t="shared" ref="BE364:BE397" si="219">IF($D364="是",O364-P364,0)</f>
        <v>0</v>
      </c>
      <c r="BF364" s="3439">
        <f t="shared" ref="BF364:BF397" si="220">IF($D364="是",Q364-R364,0)</f>
        <v>0</v>
      </c>
      <c r="BG364" s="3439">
        <f t="shared" ref="BG364:BG397" si="221">IF($D364="是",S364-T364,0)</f>
        <v>0</v>
      </c>
      <c r="BH364" s="3439">
        <f t="shared" ref="BH364:BH397" si="222">IF($D364="是",U364-V364,0)</f>
        <v>0</v>
      </c>
      <c r="BI364" s="3439">
        <f t="shared" ref="BI364:BI397" si="223">IF($D364="是",W364-X364,0)</f>
        <v>0</v>
      </c>
      <c r="BJ364" s="3439">
        <f t="shared" ref="BJ364:BJ397" si="224">IF($D364="是",Y364-Z364,0)</f>
        <v>0</v>
      </c>
      <c r="BK364" s="3439">
        <f t="shared" ref="BK364:BK397" si="225">IF($D364="是",AA364-AB364,0)</f>
        <v>0</v>
      </c>
      <c r="BL364" s="28">
        <f t="shared" ref="BL364:BL395" si="226">SUM(BM364:BT364)</f>
        <v>0</v>
      </c>
      <c r="BM364" s="28">
        <f t="shared" ref="BM364:BM397" si="227">IF($D364="是",AD364-AE364,0)</f>
        <v>0</v>
      </c>
      <c r="BN364" s="28">
        <f t="shared" ref="BN364:BN397" si="228">IF($D364="是",AF364-AG364,0)</f>
        <v>0</v>
      </c>
      <c r="BO364" s="28">
        <f t="shared" ref="BO364:BO397" si="229">IF($D364="是",AH364-AI364,0)</f>
        <v>0</v>
      </c>
      <c r="BP364" s="28">
        <f t="shared" ref="BP364:BP397" si="230">IF($D364="是",AJ364-AK364,0)</f>
        <v>0</v>
      </c>
      <c r="BQ364" s="3439">
        <f t="shared" ref="BQ364:BQ397" si="231">IF($D364="是",AL364-AM364,0)</f>
        <v>0</v>
      </c>
      <c r="BR364" s="3439">
        <f t="shared" ref="BR364:BR397" si="232">IF($D364="是",AN364-AO364,0)</f>
        <v>0</v>
      </c>
      <c r="BS364" s="3439">
        <f t="shared" ref="BS364:BS397" si="233">IF($D364="是",AP364-AQ364,0)</f>
        <v>0</v>
      </c>
      <c r="BT364" s="3451">
        <f t="shared" ref="BT364:BT397" si="234">IF($D364="是",AR364-AS364,0)</f>
        <v>0</v>
      </c>
    </row>
    <row r="365" spans="1:72">
      <c r="A365" s="9"/>
      <c r="B365" s="27"/>
      <c r="C365" s="27"/>
      <c r="D365" s="1678"/>
      <c r="E365" s="28">
        <f t="shared" si="206"/>
        <v>0</v>
      </c>
      <c r="F365" s="29"/>
      <c r="G365" s="30">
        <f t="shared" si="210"/>
        <v>0</v>
      </c>
      <c r="H365" s="31">
        <f t="shared" si="211"/>
        <v>0</v>
      </c>
      <c r="I365" s="32"/>
      <c r="J365" s="32"/>
      <c r="K365" s="32"/>
      <c r="L365" s="32"/>
      <c r="M365" s="32"/>
      <c r="N365" s="32"/>
      <c r="O365" s="32"/>
      <c r="P365" s="32"/>
      <c r="Q365" s="32"/>
      <c r="R365" s="32"/>
      <c r="S365" s="32"/>
      <c r="T365" s="32"/>
      <c r="U365" s="32"/>
      <c r="V365" s="32"/>
      <c r="W365" s="32"/>
      <c r="X365" s="32"/>
      <c r="Y365" s="32"/>
      <c r="Z365" s="32"/>
      <c r="AA365" s="32"/>
      <c r="AB365" s="32"/>
      <c r="AC365" s="28">
        <f t="shared" si="212"/>
        <v>0</v>
      </c>
      <c r="AD365" s="33"/>
      <c r="AE365" s="33"/>
      <c r="AF365" s="33"/>
      <c r="AG365" s="33"/>
      <c r="AH365" s="33"/>
      <c r="AI365" s="33"/>
      <c r="AJ365" s="33"/>
      <c r="AK365" s="33"/>
      <c r="AL365" s="33"/>
      <c r="AM365" s="33"/>
      <c r="AN365" s="33"/>
      <c r="AO365" s="33"/>
      <c r="AP365" s="33"/>
      <c r="AQ365" s="33"/>
      <c r="AR365" s="33"/>
      <c r="AS365" s="33"/>
      <c r="AT365" s="34"/>
      <c r="AU365" s="1679"/>
      <c r="AV365" s="2256">
        <f t="shared" si="207"/>
        <v>0</v>
      </c>
      <c r="AW365" s="2256">
        <f t="shared" si="208"/>
        <v>0</v>
      </c>
      <c r="AX365" s="2256">
        <f t="shared" si="209"/>
        <v>0</v>
      </c>
      <c r="AY365" s="2781">
        <f t="shared" si="213"/>
        <v>0</v>
      </c>
      <c r="AZ365" s="28">
        <f t="shared" si="214"/>
        <v>0</v>
      </c>
      <c r="BA365" s="28">
        <f t="shared" si="215"/>
        <v>0</v>
      </c>
      <c r="BB365" s="28">
        <f t="shared" si="216"/>
        <v>0</v>
      </c>
      <c r="BC365" s="28">
        <f t="shared" si="217"/>
        <v>0</v>
      </c>
      <c r="BD365" s="3439">
        <f t="shared" si="218"/>
        <v>0</v>
      </c>
      <c r="BE365" s="3439">
        <f t="shared" si="219"/>
        <v>0</v>
      </c>
      <c r="BF365" s="3439">
        <f t="shared" si="220"/>
        <v>0</v>
      </c>
      <c r="BG365" s="3439">
        <f t="shared" si="221"/>
        <v>0</v>
      </c>
      <c r="BH365" s="3439">
        <f t="shared" si="222"/>
        <v>0</v>
      </c>
      <c r="BI365" s="3439">
        <f t="shared" si="223"/>
        <v>0</v>
      </c>
      <c r="BJ365" s="3439">
        <f t="shared" si="224"/>
        <v>0</v>
      </c>
      <c r="BK365" s="3439">
        <f t="shared" si="225"/>
        <v>0</v>
      </c>
      <c r="BL365" s="28">
        <f t="shared" si="226"/>
        <v>0</v>
      </c>
      <c r="BM365" s="28">
        <f t="shared" si="227"/>
        <v>0</v>
      </c>
      <c r="BN365" s="28">
        <f t="shared" si="228"/>
        <v>0</v>
      </c>
      <c r="BO365" s="28">
        <f t="shared" si="229"/>
        <v>0</v>
      </c>
      <c r="BP365" s="28">
        <f t="shared" si="230"/>
        <v>0</v>
      </c>
      <c r="BQ365" s="3439">
        <f t="shared" si="231"/>
        <v>0</v>
      </c>
      <c r="BR365" s="3439">
        <f t="shared" si="232"/>
        <v>0</v>
      </c>
      <c r="BS365" s="3439">
        <f t="shared" si="233"/>
        <v>0</v>
      </c>
      <c r="BT365" s="3451">
        <f t="shared" si="234"/>
        <v>0</v>
      </c>
    </row>
    <row r="366" spans="1:72">
      <c r="A366" s="9"/>
      <c r="B366" s="27"/>
      <c r="C366" s="27"/>
      <c r="D366" s="1678"/>
      <c r="E366" s="28">
        <f t="shared" si="206"/>
        <v>0</v>
      </c>
      <c r="F366" s="29"/>
      <c r="G366" s="30">
        <f t="shared" si="210"/>
        <v>0</v>
      </c>
      <c r="H366" s="31">
        <f t="shared" si="211"/>
        <v>0</v>
      </c>
      <c r="I366" s="32"/>
      <c r="J366" s="32"/>
      <c r="K366" s="32"/>
      <c r="L366" s="32"/>
      <c r="M366" s="32"/>
      <c r="N366" s="32"/>
      <c r="O366" s="32"/>
      <c r="P366" s="32"/>
      <c r="Q366" s="32"/>
      <c r="R366" s="32"/>
      <c r="S366" s="32"/>
      <c r="T366" s="32"/>
      <c r="U366" s="32"/>
      <c r="V366" s="32"/>
      <c r="W366" s="32"/>
      <c r="X366" s="32"/>
      <c r="Y366" s="32"/>
      <c r="Z366" s="32"/>
      <c r="AA366" s="32"/>
      <c r="AB366" s="32"/>
      <c r="AC366" s="28">
        <f t="shared" si="212"/>
        <v>0</v>
      </c>
      <c r="AD366" s="33"/>
      <c r="AE366" s="33"/>
      <c r="AF366" s="33"/>
      <c r="AG366" s="33"/>
      <c r="AH366" s="33"/>
      <c r="AI366" s="33"/>
      <c r="AJ366" s="33"/>
      <c r="AK366" s="33"/>
      <c r="AL366" s="33"/>
      <c r="AM366" s="33"/>
      <c r="AN366" s="33"/>
      <c r="AO366" s="33"/>
      <c r="AP366" s="33"/>
      <c r="AQ366" s="33"/>
      <c r="AR366" s="33"/>
      <c r="AS366" s="33"/>
      <c r="AT366" s="34"/>
      <c r="AU366" s="1679"/>
      <c r="AV366" s="2256">
        <f t="shared" si="207"/>
        <v>0</v>
      </c>
      <c r="AW366" s="2256">
        <f t="shared" si="208"/>
        <v>0</v>
      </c>
      <c r="AX366" s="2256">
        <f t="shared" si="209"/>
        <v>0</v>
      </c>
      <c r="AY366" s="2781">
        <f t="shared" si="213"/>
        <v>0</v>
      </c>
      <c r="AZ366" s="28">
        <f t="shared" si="214"/>
        <v>0</v>
      </c>
      <c r="BA366" s="28">
        <f t="shared" si="215"/>
        <v>0</v>
      </c>
      <c r="BB366" s="28">
        <f t="shared" si="216"/>
        <v>0</v>
      </c>
      <c r="BC366" s="28">
        <f t="shared" si="217"/>
        <v>0</v>
      </c>
      <c r="BD366" s="3439">
        <f t="shared" si="218"/>
        <v>0</v>
      </c>
      <c r="BE366" s="3439">
        <f t="shared" si="219"/>
        <v>0</v>
      </c>
      <c r="BF366" s="3439">
        <f t="shared" si="220"/>
        <v>0</v>
      </c>
      <c r="BG366" s="3439">
        <f t="shared" si="221"/>
        <v>0</v>
      </c>
      <c r="BH366" s="3439">
        <f t="shared" si="222"/>
        <v>0</v>
      </c>
      <c r="BI366" s="3439">
        <f t="shared" si="223"/>
        <v>0</v>
      </c>
      <c r="BJ366" s="3439">
        <f t="shared" si="224"/>
        <v>0</v>
      </c>
      <c r="BK366" s="3439">
        <f t="shared" si="225"/>
        <v>0</v>
      </c>
      <c r="BL366" s="28">
        <f t="shared" si="226"/>
        <v>0</v>
      </c>
      <c r="BM366" s="28">
        <f t="shared" si="227"/>
        <v>0</v>
      </c>
      <c r="BN366" s="28">
        <f t="shared" si="228"/>
        <v>0</v>
      </c>
      <c r="BO366" s="28">
        <f t="shared" si="229"/>
        <v>0</v>
      </c>
      <c r="BP366" s="28">
        <f t="shared" si="230"/>
        <v>0</v>
      </c>
      <c r="BQ366" s="3439">
        <f t="shared" si="231"/>
        <v>0</v>
      </c>
      <c r="BR366" s="3439">
        <f t="shared" si="232"/>
        <v>0</v>
      </c>
      <c r="BS366" s="3439">
        <f t="shared" si="233"/>
        <v>0</v>
      </c>
      <c r="BT366" s="3451">
        <f t="shared" si="234"/>
        <v>0</v>
      </c>
    </row>
    <row r="367" spans="1:72">
      <c r="A367" s="9"/>
      <c r="B367" s="27"/>
      <c r="C367" s="27"/>
      <c r="D367" s="1678"/>
      <c r="E367" s="28">
        <f t="shared" ref="E367:E397" si="235">IF($C$3="是",ROUND($A$3*G367/$B$3,2),ROUND($A$3*(G367-AT367)/$B$3,2))</f>
        <v>0</v>
      </c>
      <c r="F367" s="29"/>
      <c r="G367" s="30">
        <f t="shared" si="210"/>
        <v>0</v>
      </c>
      <c r="H367" s="31">
        <f t="shared" si="211"/>
        <v>0</v>
      </c>
      <c r="I367" s="32"/>
      <c r="J367" s="32"/>
      <c r="K367" s="32"/>
      <c r="L367" s="32"/>
      <c r="M367" s="32"/>
      <c r="N367" s="32"/>
      <c r="O367" s="32"/>
      <c r="P367" s="32"/>
      <c r="Q367" s="32"/>
      <c r="R367" s="32"/>
      <c r="S367" s="32"/>
      <c r="T367" s="32"/>
      <c r="U367" s="32"/>
      <c r="V367" s="32"/>
      <c r="W367" s="32"/>
      <c r="X367" s="32"/>
      <c r="Y367" s="32"/>
      <c r="Z367" s="32"/>
      <c r="AA367" s="32"/>
      <c r="AB367" s="32"/>
      <c r="AC367" s="28">
        <f t="shared" si="212"/>
        <v>0</v>
      </c>
      <c r="AD367" s="33"/>
      <c r="AE367" s="33"/>
      <c r="AF367" s="33"/>
      <c r="AG367" s="33"/>
      <c r="AH367" s="33"/>
      <c r="AI367" s="33"/>
      <c r="AJ367" s="33"/>
      <c r="AK367" s="33"/>
      <c r="AL367" s="33"/>
      <c r="AM367" s="33"/>
      <c r="AN367" s="33"/>
      <c r="AO367" s="33"/>
      <c r="AP367" s="33"/>
      <c r="AQ367" s="33"/>
      <c r="AR367" s="33"/>
      <c r="AS367" s="33"/>
      <c r="AT367" s="34"/>
      <c r="AU367" s="1679"/>
      <c r="AV367" s="2256">
        <f t="shared" ref="AV367:AV397" si="236">A367</f>
        <v>0</v>
      </c>
      <c r="AW367" s="2256">
        <f t="shared" ref="AW367:AW397" si="237">B367</f>
        <v>0</v>
      </c>
      <c r="AX367" s="2256">
        <f t="shared" ref="AX367:AX397" si="238">C367</f>
        <v>0</v>
      </c>
      <c r="AY367" s="2781">
        <f t="shared" si="213"/>
        <v>0</v>
      </c>
      <c r="AZ367" s="28">
        <f t="shared" si="214"/>
        <v>0</v>
      </c>
      <c r="BA367" s="28">
        <f t="shared" si="215"/>
        <v>0</v>
      </c>
      <c r="BB367" s="28">
        <f t="shared" si="216"/>
        <v>0</v>
      </c>
      <c r="BC367" s="28">
        <f t="shared" si="217"/>
        <v>0</v>
      </c>
      <c r="BD367" s="3439">
        <f t="shared" si="218"/>
        <v>0</v>
      </c>
      <c r="BE367" s="3439">
        <f t="shared" si="219"/>
        <v>0</v>
      </c>
      <c r="BF367" s="3439">
        <f t="shared" si="220"/>
        <v>0</v>
      </c>
      <c r="BG367" s="3439">
        <f t="shared" si="221"/>
        <v>0</v>
      </c>
      <c r="BH367" s="3439">
        <f t="shared" si="222"/>
        <v>0</v>
      </c>
      <c r="BI367" s="3439">
        <f t="shared" si="223"/>
        <v>0</v>
      </c>
      <c r="BJ367" s="3439">
        <f t="shared" si="224"/>
        <v>0</v>
      </c>
      <c r="BK367" s="3439">
        <f t="shared" si="225"/>
        <v>0</v>
      </c>
      <c r="BL367" s="28">
        <f t="shared" si="226"/>
        <v>0</v>
      </c>
      <c r="BM367" s="28">
        <f t="shared" si="227"/>
        <v>0</v>
      </c>
      <c r="BN367" s="28">
        <f t="shared" si="228"/>
        <v>0</v>
      </c>
      <c r="BO367" s="28">
        <f t="shared" si="229"/>
        <v>0</v>
      </c>
      <c r="BP367" s="28">
        <f t="shared" si="230"/>
        <v>0</v>
      </c>
      <c r="BQ367" s="3439">
        <f t="shared" si="231"/>
        <v>0</v>
      </c>
      <c r="BR367" s="3439">
        <f t="shared" si="232"/>
        <v>0</v>
      </c>
      <c r="BS367" s="3439">
        <f t="shared" si="233"/>
        <v>0</v>
      </c>
      <c r="BT367" s="3451">
        <f t="shared" si="234"/>
        <v>0</v>
      </c>
    </row>
    <row r="368" spans="1:72">
      <c r="A368" s="9"/>
      <c r="B368" s="27"/>
      <c r="C368" s="27"/>
      <c r="D368" s="1678"/>
      <c r="E368" s="28">
        <f t="shared" si="235"/>
        <v>0</v>
      </c>
      <c r="F368" s="29"/>
      <c r="G368" s="30">
        <f t="shared" si="210"/>
        <v>0</v>
      </c>
      <c r="H368" s="31">
        <f t="shared" si="211"/>
        <v>0</v>
      </c>
      <c r="I368" s="32"/>
      <c r="J368" s="32"/>
      <c r="K368" s="32"/>
      <c r="L368" s="32"/>
      <c r="M368" s="32"/>
      <c r="N368" s="32"/>
      <c r="O368" s="32"/>
      <c r="P368" s="32"/>
      <c r="Q368" s="32"/>
      <c r="R368" s="32"/>
      <c r="S368" s="32"/>
      <c r="T368" s="32"/>
      <c r="U368" s="32"/>
      <c r="V368" s="32"/>
      <c r="W368" s="32"/>
      <c r="X368" s="32"/>
      <c r="Y368" s="32"/>
      <c r="Z368" s="32"/>
      <c r="AA368" s="32"/>
      <c r="AB368" s="32"/>
      <c r="AC368" s="28">
        <f t="shared" si="212"/>
        <v>0</v>
      </c>
      <c r="AD368" s="33"/>
      <c r="AE368" s="33"/>
      <c r="AF368" s="33"/>
      <c r="AG368" s="33"/>
      <c r="AH368" s="33"/>
      <c r="AI368" s="33"/>
      <c r="AJ368" s="33"/>
      <c r="AK368" s="33"/>
      <c r="AL368" s="33"/>
      <c r="AM368" s="33"/>
      <c r="AN368" s="33"/>
      <c r="AO368" s="33"/>
      <c r="AP368" s="33"/>
      <c r="AQ368" s="33"/>
      <c r="AR368" s="33"/>
      <c r="AS368" s="33"/>
      <c r="AT368" s="34"/>
      <c r="AU368" s="1679"/>
      <c r="AV368" s="2256">
        <f t="shared" si="236"/>
        <v>0</v>
      </c>
      <c r="AW368" s="2256">
        <f t="shared" si="237"/>
        <v>0</v>
      </c>
      <c r="AX368" s="2256">
        <f t="shared" si="238"/>
        <v>0</v>
      </c>
      <c r="AY368" s="2781">
        <f t="shared" si="213"/>
        <v>0</v>
      </c>
      <c r="AZ368" s="28">
        <f t="shared" si="214"/>
        <v>0</v>
      </c>
      <c r="BA368" s="28">
        <f t="shared" si="215"/>
        <v>0</v>
      </c>
      <c r="BB368" s="28">
        <f t="shared" si="216"/>
        <v>0</v>
      </c>
      <c r="BC368" s="28">
        <f t="shared" si="217"/>
        <v>0</v>
      </c>
      <c r="BD368" s="3439">
        <f t="shared" si="218"/>
        <v>0</v>
      </c>
      <c r="BE368" s="3439">
        <f t="shared" si="219"/>
        <v>0</v>
      </c>
      <c r="BF368" s="3439">
        <f t="shared" si="220"/>
        <v>0</v>
      </c>
      <c r="BG368" s="3439">
        <f t="shared" si="221"/>
        <v>0</v>
      </c>
      <c r="BH368" s="3439">
        <f t="shared" si="222"/>
        <v>0</v>
      </c>
      <c r="BI368" s="3439">
        <f t="shared" si="223"/>
        <v>0</v>
      </c>
      <c r="BJ368" s="3439">
        <f t="shared" si="224"/>
        <v>0</v>
      </c>
      <c r="BK368" s="3439">
        <f t="shared" si="225"/>
        <v>0</v>
      </c>
      <c r="BL368" s="28">
        <f t="shared" si="226"/>
        <v>0</v>
      </c>
      <c r="BM368" s="28">
        <f t="shared" si="227"/>
        <v>0</v>
      </c>
      <c r="BN368" s="28">
        <f t="shared" si="228"/>
        <v>0</v>
      </c>
      <c r="BO368" s="28">
        <f t="shared" si="229"/>
        <v>0</v>
      </c>
      <c r="BP368" s="28">
        <f t="shared" si="230"/>
        <v>0</v>
      </c>
      <c r="BQ368" s="3439">
        <f t="shared" si="231"/>
        <v>0</v>
      </c>
      <c r="BR368" s="3439">
        <f t="shared" si="232"/>
        <v>0</v>
      </c>
      <c r="BS368" s="3439">
        <f t="shared" si="233"/>
        <v>0</v>
      </c>
      <c r="BT368" s="3451">
        <f t="shared" si="234"/>
        <v>0</v>
      </c>
    </row>
    <row r="369" spans="1:72">
      <c r="A369" s="9"/>
      <c r="B369" s="27"/>
      <c r="C369" s="27"/>
      <c r="D369" s="1678"/>
      <c r="E369" s="28">
        <f t="shared" si="235"/>
        <v>0</v>
      </c>
      <c r="F369" s="29"/>
      <c r="G369" s="30">
        <f t="shared" si="210"/>
        <v>0</v>
      </c>
      <c r="H369" s="31">
        <f t="shared" si="211"/>
        <v>0</v>
      </c>
      <c r="I369" s="32"/>
      <c r="J369" s="32"/>
      <c r="K369" s="32"/>
      <c r="L369" s="32"/>
      <c r="M369" s="32"/>
      <c r="N369" s="32"/>
      <c r="O369" s="32"/>
      <c r="P369" s="32"/>
      <c r="Q369" s="32"/>
      <c r="R369" s="32"/>
      <c r="S369" s="32"/>
      <c r="T369" s="32"/>
      <c r="U369" s="32"/>
      <c r="V369" s="32"/>
      <c r="W369" s="32"/>
      <c r="X369" s="32"/>
      <c r="Y369" s="32"/>
      <c r="Z369" s="32"/>
      <c r="AA369" s="32"/>
      <c r="AB369" s="32"/>
      <c r="AC369" s="28">
        <f t="shared" si="212"/>
        <v>0</v>
      </c>
      <c r="AD369" s="33"/>
      <c r="AE369" s="33"/>
      <c r="AF369" s="33"/>
      <c r="AG369" s="33"/>
      <c r="AH369" s="33"/>
      <c r="AI369" s="33"/>
      <c r="AJ369" s="33"/>
      <c r="AK369" s="33"/>
      <c r="AL369" s="33"/>
      <c r="AM369" s="33"/>
      <c r="AN369" s="33"/>
      <c r="AO369" s="33"/>
      <c r="AP369" s="33"/>
      <c r="AQ369" s="33"/>
      <c r="AR369" s="33"/>
      <c r="AS369" s="33"/>
      <c r="AT369" s="34"/>
      <c r="AU369" s="1679"/>
      <c r="AV369" s="2256">
        <f t="shared" si="236"/>
        <v>0</v>
      </c>
      <c r="AW369" s="2256">
        <f t="shared" si="237"/>
        <v>0</v>
      </c>
      <c r="AX369" s="2256">
        <f t="shared" si="238"/>
        <v>0</v>
      </c>
      <c r="AY369" s="2781">
        <f t="shared" si="213"/>
        <v>0</v>
      </c>
      <c r="AZ369" s="28">
        <f t="shared" si="214"/>
        <v>0</v>
      </c>
      <c r="BA369" s="28">
        <f t="shared" si="215"/>
        <v>0</v>
      </c>
      <c r="BB369" s="28">
        <f t="shared" si="216"/>
        <v>0</v>
      </c>
      <c r="BC369" s="28">
        <f t="shared" si="217"/>
        <v>0</v>
      </c>
      <c r="BD369" s="3439">
        <f t="shared" si="218"/>
        <v>0</v>
      </c>
      <c r="BE369" s="3439">
        <f t="shared" si="219"/>
        <v>0</v>
      </c>
      <c r="BF369" s="3439">
        <f t="shared" si="220"/>
        <v>0</v>
      </c>
      <c r="BG369" s="3439">
        <f t="shared" si="221"/>
        <v>0</v>
      </c>
      <c r="BH369" s="3439">
        <f t="shared" si="222"/>
        <v>0</v>
      </c>
      <c r="BI369" s="3439">
        <f t="shared" si="223"/>
        <v>0</v>
      </c>
      <c r="BJ369" s="3439">
        <f t="shared" si="224"/>
        <v>0</v>
      </c>
      <c r="BK369" s="3439">
        <f t="shared" si="225"/>
        <v>0</v>
      </c>
      <c r="BL369" s="28">
        <f t="shared" si="226"/>
        <v>0</v>
      </c>
      <c r="BM369" s="28">
        <f t="shared" si="227"/>
        <v>0</v>
      </c>
      <c r="BN369" s="28">
        <f t="shared" si="228"/>
        <v>0</v>
      </c>
      <c r="BO369" s="28">
        <f t="shared" si="229"/>
        <v>0</v>
      </c>
      <c r="BP369" s="28">
        <f t="shared" si="230"/>
        <v>0</v>
      </c>
      <c r="BQ369" s="3439">
        <f t="shared" si="231"/>
        <v>0</v>
      </c>
      <c r="BR369" s="3439">
        <f t="shared" si="232"/>
        <v>0</v>
      </c>
      <c r="BS369" s="3439">
        <f t="shared" si="233"/>
        <v>0</v>
      </c>
      <c r="BT369" s="3451">
        <f t="shared" si="234"/>
        <v>0</v>
      </c>
    </row>
    <row r="370" spans="1:72">
      <c r="A370" s="9"/>
      <c r="B370" s="27"/>
      <c r="C370" s="27"/>
      <c r="D370" s="1678"/>
      <c r="E370" s="28">
        <f t="shared" si="235"/>
        <v>0</v>
      </c>
      <c r="F370" s="29"/>
      <c r="G370" s="30">
        <f t="shared" si="210"/>
        <v>0</v>
      </c>
      <c r="H370" s="31">
        <f t="shared" si="211"/>
        <v>0</v>
      </c>
      <c r="I370" s="32"/>
      <c r="J370" s="32"/>
      <c r="K370" s="32"/>
      <c r="L370" s="32"/>
      <c r="M370" s="32"/>
      <c r="N370" s="32"/>
      <c r="O370" s="32"/>
      <c r="P370" s="32"/>
      <c r="Q370" s="32"/>
      <c r="R370" s="32"/>
      <c r="S370" s="32"/>
      <c r="T370" s="32"/>
      <c r="U370" s="32"/>
      <c r="V370" s="32"/>
      <c r="W370" s="32"/>
      <c r="X370" s="32"/>
      <c r="Y370" s="32"/>
      <c r="Z370" s="32"/>
      <c r="AA370" s="32"/>
      <c r="AB370" s="32"/>
      <c r="AC370" s="28">
        <f t="shared" si="212"/>
        <v>0</v>
      </c>
      <c r="AD370" s="33"/>
      <c r="AE370" s="33"/>
      <c r="AF370" s="33"/>
      <c r="AG370" s="33"/>
      <c r="AH370" s="33"/>
      <c r="AI370" s="33"/>
      <c r="AJ370" s="33"/>
      <c r="AK370" s="33"/>
      <c r="AL370" s="33"/>
      <c r="AM370" s="33"/>
      <c r="AN370" s="33"/>
      <c r="AO370" s="33"/>
      <c r="AP370" s="33"/>
      <c r="AQ370" s="33"/>
      <c r="AR370" s="33"/>
      <c r="AS370" s="33"/>
      <c r="AT370" s="34"/>
      <c r="AU370" s="1679"/>
      <c r="AV370" s="2256">
        <f t="shared" si="236"/>
        <v>0</v>
      </c>
      <c r="AW370" s="2256">
        <f t="shared" si="237"/>
        <v>0</v>
      </c>
      <c r="AX370" s="2256">
        <f t="shared" si="238"/>
        <v>0</v>
      </c>
      <c r="AY370" s="2781">
        <f t="shared" si="213"/>
        <v>0</v>
      </c>
      <c r="AZ370" s="28">
        <f t="shared" si="214"/>
        <v>0</v>
      </c>
      <c r="BA370" s="28">
        <f t="shared" si="215"/>
        <v>0</v>
      </c>
      <c r="BB370" s="28">
        <f t="shared" si="216"/>
        <v>0</v>
      </c>
      <c r="BC370" s="28">
        <f t="shared" si="217"/>
        <v>0</v>
      </c>
      <c r="BD370" s="3439">
        <f t="shared" si="218"/>
        <v>0</v>
      </c>
      <c r="BE370" s="3439">
        <f t="shared" si="219"/>
        <v>0</v>
      </c>
      <c r="BF370" s="3439">
        <f t="shared" si="220"/>
        <v>0</v>
      </c>
      <c r="BG370" s="3439">
        <f t="shared" si="221"/>
        <v>0</v>
      </c>
      <c r="BH370" s="3439">
        <f t="shared" si="222"/>
        <v>0</v>
      </c>
      <c r="BI370" s="3439">
        <f t="shared" si="223"/>
        <v>0</v>
      </c>
      <c r="BJ370" s="3439">
        <f t="shared" si="224"/>
        <v>0</v>
      </c>
      <c r="BK370" s="3439">
        <f t="shared" si="225"/>
        <v>0</v>
      </c>
      <c r="BL370" s="28">
        <f t="shared" si="226"/>
        <v>0</v>
      </c>
      <c r="BM370" s="28">
        <f t="shared" si="227"/>
        <v>0</v>
      </c>
      <c r="BN370" s="28">
        <f t="shared" si="228"/>
        <v>0</v>
      </c>
      <c r="BO370" s="28">
        <f t="shared" si="229"/>
        <v>0</v>
      </c>
      <c r="BP370" s="28">
        <f t="shared" si="230"/>
        <v>0</v>
      </c>
      <c r="BQ370" s="3439">
        <f t="shared" si="231"/>
        <v>0</v>
      </c>
      <c r="BR370" s="3439">
        <f t="shared" si="232"/>
        <v>0</v>
      </c>
      <c r="BS370" s="3439">
        <f t="shared" si="233"/>
        <v>0</v>
      </c>
      <c r="BT370" s="3451">
        <f t="shared" si="234"/>
        <v>0</v>
      </c>
    </row>
    <row r="371" spans="1:72">
      <c r="A371" s="9"/>
      <c r="B371" s="27"/>
      <c r="C371" s="27"/>
      <c r="D371" s="1678"/>
      <c r="E371" s="28">
        <f t="shared" si="235"/>
        <v>0</v>
      </c>
      <c r="F371" s="29"/>
      <c r="G371" s="30">
        <f t="shared" si="210"/>
        <v>0</v>
      </c>
      <c r="H371" s="31">
        <f t="shared" si="211"/>
        <v>0</v>
      </c>
      <c r="I371" s="32"/>
      <c r="J371" s="32"/>
      <c r="K371" s="32"/>
      <c r="L371" s="32"/>
      <c r="M371" s="32"/>
      <c r="N371" s="32"/>
      <c r="O371" s="32"/>
      <c r="P371" s="32"/>
      <c r="Q371" s="32"/>
      <c r="R371" s="32"/>
      <c r="S371" s="32"/>
      <c r="T371" s="32"/>
      <c r="U371" s="32"/>
      <c r="V371" s="32"/>
      <c r="W371" s="32"/>
      <c r="X371" s="32"/>
      <c r="Y371" s="32"/>
      <c r="Z371" s="32"/>
      <c r="AA371" s="32"/>
      <c r="AB371" s="32"/>
      <c r="AC371" s="28">
        <f t="shared" si="212"/>
        <v>0</v>
      </c>
      <c r="AD371" s="33"/>
      <c r="AE371" s="33"/>
      <c r="AF371" s="33"/>
      <c r="AG371" s="33"/>
      <c r="AH371" s="33"/>
      <c r="AI371" s="33"/>
      <c r="AJ371" s="33"/>
      <c r="AK371" s="33"/>
      <c r="AL371" s="33"/>
      <c r="AM371" s="33"/>
      <c r="AN371" s="33"/>
      <c r="AO371" s="33"/>
      <c r="AP371" s="33"/>
      <c r="AQ371" s="33"/>
      <c r="AR371" s="33"/>
      <c r="AS371" s="33"/>
      <c r="AT371" s="34"/>
      <c r="AU371" s="1679"/>
      <c r="AV371" s="2256">
        <f t="shared" si="236"/>
        <v>0</v>
      </c>
      <c r="AW371" s="2256">
        <f t="shared" si="237"/>
        <v>0</v>
      </c>
      <c r="AX371" s="2256">
        <f t="shared" si="238"/>
        <v>0</v>
      </c>
      <c r="AY371" s="2781">
        <f t="shared" si="213"/>
        <v>0</v>
      </c>
      <c r="AZ371" s="28">
        <f t="shared" si="214"/>
        <v>0</v>
      </c>
      <c r="BA371" s="28">
        <f t="shared" si="215"/>
        <v>0</v>
      </c>
      <c r="BB371" s="28">
        <f t="shared" si="216"/>
        <v>0</v>
      </c>
      <c r="BC371" s="28">
        <f t="shared" si="217"/>
        <v>0</v>
      </c>
      <c r="BD371" s="3439">
        <f t="shared" si="218"/>
        <v>0</v>
      </c>
      <c r="BE371" s="3439">
        <f t="shared" si="219"/>
        <v>0</v>
      </c>
      <c r="BF371" s="3439">
        <f t="shared" si="220"/>
        <v>0</v>
      </c>
      <c r="BG371" s="3439">
        <f t="shared" si="221"/>
        <v>0</v>
      </c>
      <c r="BH371" s="3439">
        <f t="shared" si="222"/>
        <v>0</v>
      </c>
      <c r="BI371" s="3439">
        <f t="shared" si="223"/>
        <v>0</v>
      </c>
      <c r="BJ371" s="3439">
        <f t="shared" si="224"/>
        <v>0</v>
      </c>
      <c r="BK371" s="3439">
        <f t="shared" si="225"/>
        <v>0</v>
      </c>
      <c r="BL371" s="28">
        <f t="shared" si="226"/>
        <v>0</v>
      </c>
      <c r="BM371" s="28">
        <f t="shared" si="227"/>
        <v>0</v>
      </c>
      <c r="BN371" s="28">
        <f t="shared" si="228"/>
        <v>0</v>
      </c>
      <c r="BO371" s="28">
        <f t="shared" si="229"/>
        <v>0</v>
      </c>
      <c r="BP371" s="28">
        <f t="shared" si="230"/>
        <v>0</v>
      </c>
      <c r="BQ371" s="3439">
        <f t="shared" si="231"/>
        <v>0</v>
      </c>
      <c r="BR371" s="3439">
        <f t="shared" si="232"/>
        <v>0</v>
      </c>
      <c r="BS371" s="3439">
        <f t="shared" si="233"/>
        <v>0</v>
      </c>
      <c r="BT371" s="3451">
        <f t="shared" si="234"/>
        <v>0</v>
      </c>
    </row>
    <row r="372" spans="1:72">
      <c r="A372" s="9"/>
      <c r="B372" s="27"/>
      <c r="C372" s="27"/>
      <c r="D372" s="1678"/>
      <c r="E372" s="28">
        <f t="shared" si="235"/>
        <v>0</v>
      </c>
      <c r="F372" s="29"/>
      <c r="G372" s="30">
        <f t="shared" si="210"/>
        <v>0</v>
      </c>
      <c r="H372" s="31">
        <f t="shared" si="211"/>
        <v>0</v>
      </c>
      <c r="I372" s="32"/>
      <c r="J372" s="32"/>
      <c r="K372" s="32"/>
      <c r="L372" s="32"/>
      <c r="M372" s="32"/>
      <c r="N372" s="32"/>
      <c r="O372" s="32"/>
      <c r="P372" s="32"/>
      <c r="Q372" s="32"/>
      <c r="R372" s="32"/>
      <c r="S372" s="32"/>
      <c r="T372" s="32"/>
      <c r="U372" s="32"/>
      <c r="V372" s="32"/>
      <c r="W372" s="32"/>
      <c r="X372" s="32"/>
      <c r="Y372" s="32"/>
      <c r="Z372" s="32"/>
      <c r="AA372" s="32"/>
      <c r="AB372" s="32"/>
      <c r="AC372" s="28">
        <f t="shared" si="212"/>
        <v>0</v>
      </c>
      <c r="AD372" s="33"/>
      <c r="AE372" s="33"/>
      <c r="AF372" s="33"/>
      <c r="AG372" s="33"/>
      <c r="AH372" s="33"/>
      <c r="AI372" s="33"/>
      <c r="AJ372" s="33"/>
      <c r="AK372" s="33"/>
      <c r="AL372" s="33"/>
      <c r="AM372" s="33"/>
      <c r="AN372" s="33"/>
      <c r="AO372" s="33"/>
      <c r="AP372" s="33"/>
      <c r="AQ372" s="33"/>
      <c r="AR372" s="33"/>
      <c r="AS372" s="33"/>
      <c r="AT372" s="34"/>
      <c r="AU372" s="1679"/>
      <c r="AV372" s="2256">
        <f t="shared" si="236"/>
        <v>0</v>
      </c>
      <c r="AW372" s="2256">
        <f t="shared" si="237"/>
        <v>0</v>
      </c>
      <c r="AX372" s="2256">
        <f t="shared" si="238"/>
        <v>0</v>
      </c>
      <c r="AY372" s="2781">
        <f t="shared" si="213"/>
        <v>0</v>
      </c>
      <c r="AZ372" s="28">
        <f t="shared" si="214"/>
        <v>0</v>
      </c>
      <c r="BA372" s="28">
        <f t="shared" si="215"/>
        <v>0</v>
      </c>
      <c r="BB372" s="28">
        <f t="shared" si="216"/>
        <v>0</v>
      </c>
      <c r="BC372" s="28">
        <f t="shared" si="217"/>
        <v>0</v>
      </c>
      <c r="BD372" s="3439">
        <f t="shared" si="218"/>
        <v>0</v>
      </c>
      <c r="BE372" s="3439">
        <f t="shared" si="219"/>
        <v>0</v>
      </c>
      <c r="BF372" s="3439">
        <f t="shared" si="220"/>
        <v>0</v>
      </c>
      <c r="BG372" s="3439">
        <f t="shared" si="221"/>
        <v>0</v>
      </c>
      <c r="BH372" s="3439">
        <f t="shared" si="222"/>
        <v>0</v>
      </c>
      <c r="BI372" s="3439">
        <f t="shared" si="223"/>
        <v>0</v>
      </c>
      <c r="BJ372" s="3439">
        <f t="shared" si="224"/>
        <v>0</v>
      </c>
      <c r="BK372" s="3439">
        <f t="shared" si="225"/>
        <v>0</v>
      </c>
      <c r="BL372" s="28">
        <f t="shared" si="226"/>
        <v>0</v>
      </c>
      <c r="BM372" s="28">
        <f t="shared" si="227"/>
        <v>0</v>
      </c>
      <c r="BN372" s="28">
        <f t="shared" si="228"/>
        <v>0</v>
      </c>
      <c r="BO372" s="28">
        <f t="shared" si="229"/>
        <v>0</v>
      </c>
      <c r="BP372" s="28">
        <f t="shared" si="230"/>
        <v>0</v>
      </c>
      <c r="BQ372" s="3439">
        <f t="shared" si="231"/>
        <v>0</v>
      </c>
      <c r="BR372" s="3439">
        <f t="shared" si="232"/>
        <v>0</v>
      </c>
      <c r="BS372" s="3439">
        <f t="shared" si="233"/>
        <v>0</v>
      </c>
      <c r="BT372" s="3451">
        <f t="shared" si="234"/>
        <v>0</v>
      </c>
    </row>
    <row r="373" spans="1:72">
      <c r="A373" s="9"/>
      <c r="B373" s="27"/>
      <c r="C373" s="27"/>
      <c r="D373" s="1678"/>
      <c r="E373" s="28">
        <f t="shared" si="235"/>
        <v>0</v>
      </c>
      <c r="F373" s="29"/>
      <c r="G373" s="30">
        <f t="shared" si="210"/>
        <v>0</v>
      </c>
      <c r="H373" s="31">
        <f t="shared" si="211"/>
        <v>0</v>
      </c>
      <c r="I373" s="32"/>
      <c r="J373" s="32"/>
      <c r="K373" s="32"/>
      <c r="L373" s="32"/>
      <c r="M373" s="32"/>
      <c r="N373" s="32"/>
      <c r="O373" s="32"/>
      <c r="P373" s="32"/>
      <c r="Q373" s="32"/>
      <c r="R373" s="32"/>
      <c r="S373" s="32"/>
      <c r="T373" s="32"/>
      <c r="U373" s="32"/>
      <c r="V373" s="32"/>
      <c r="W373" s="32"/>
      <c r="X373" s="32"/>
      <c r="Y373" s="32"/>
      <c r="Z373" s="32"/>
      <c r="AA373" s="32"/>
      <c r="AB373" s="32"/>
      <c r="AC373" s="28">
        <f t="shared" si="212"/>
        <v>0</v>
      </c>
      <c r="AD373" s="33"/>
      <c r="AE373" s="33"/>
      <c r="AF373" s="33"/>
      <c r="AG373" s="33"/>
      <c r="AH373" s="33"/>
      <c r="AI373" s="33"/>
      <c r="AJ373" s="33"/>
      <c r="AK373" s="33"/>
      <c r="AL373" s="33"/>
      <c r="AM373" s="33"/>
      <c r="AN373" s="33"/>
      <c r="AO373" s="33"/>
      <c r="AP373" s="33"/>
      <c r="AQ373" s="33"/>
      <c r="AR373" s="33"/>
      <c r="AS373" s="33"/>
      <c r="AT373" s="34"/>
      <c r="AU373" s="1679"/>
      <c r="AV373" s="2256">
        <f t="shared" si="236"/>
        <v>0</v>
      </c>
      <c r="AW373" s="2256">
        <f t="shared" si="237"/>
        <v>0</v>
      </c>
      <c r="AX373" s="2256">
        <f t="shared" si="238"/>
        <v>0</v>
      </c>
      <c r="AY373" s="2781">
        <f t="shared" si="213"/>
        <v>0</v>
      </c>
      <c r="AZ373" s="28">
        <f t="shared" si="214"/>
        <v>0</v>
      </c>
      <c r="BA373" s="28">
        <f t="shared" si="215"/>
        <v>0</v>
      </c>
      <c r="BB373" s="28">
        <f t="shared" si="216"/>
        <v>0</v>
      </c>
      <c r="BC373" s="28">
        <f t="shared" si="217"/>
        <v>0</v>
      </c>
      <c r="BD373" s="3439">
        <f t="shared" si="218"/>
        <v>0</v>
      </c>
      <c r="BE373" s="3439">
        <f t="shared" si="219"/>
        <v>0</v>
      </c>
      <c r="BF373" s="3439">
        <f t="shared" si="220"/>
        <v>0</v>
      </c>
      <c r="BG373" s="3439">
        <f t="shared" si="221"/>
        <v>0</v>
      </c>
      <c r="BH373" s="3439">
        <f t="shared" si="222"/>
        <v>0</v>
      </c>
      <c r="BI373" s="3439">
        <f t="shared" si="223"/>
        <v>0</v>
      </c>
      <c r="BJ373" s="3439">
        <f t="shared" si="224"/>
        <v>0</v>
      </c>
      <c r="BK373" s="3439">
        <f t="shared" si="225"/>
        <v>0</v>
      </c>
      <c r="BL373" s="28">
        <f t="shared" si="226"/>
        <v>0</v>
      </c>
      <c r="BM373" s="28">
        <f t="shared" si="227"/>
        <v>0</v>
      </c>
      <c r="BN373" s="28">
        <f t="shared" si="228"/>
        <v>0</v>
      </c>
      <c r="BO373" s="28">
        <f t="shared" si="229"/>
        <v>0</v>
      </c>
      <c r="BP373" s="28">
        <f t="shared" si="230"/>
        <v>0</v>
      </c>
      <c r="BQ373" s="3439">
        <f t="shared" si="231"/>
        <v>0</v>
      </c>
      <c r="BR373" s="3439">
        <f t="shared" si="232"/>
        <v>0</v>
      </c>
      <c r="BS373" s="3439">
        <f t="shared" si="233"/>
        <v>0</v>
      </c>
      <c r="BT373" s="3451">
        <f t="shared" si="234"/>
        <v>0</v>
      </c>
    </row>
    <row r="374" spans="1:72">
      <c r="A374" s="9"/>
      <c r="B374" s="27"/>
      <c r="C374" s="27"/>
      <c r="D374" s="1678"/>
      <c r="E374" s="28">
        <f t="shared" si="235"/>
        <v>0</v>
      </c>
      <c r="F374" s="29"/>
      <c r="G374" s="30">
        <f t="shared" si="210"/>
        <v>0</v>
      </c>
      <c r="H374" s="31">
        <f t="shared" si="211"/>
        <v>0</v>
      </c>
      <c r="I374" s="32"/>
      <c r="J374" s="32"/>
      <c r="K374" s="32"/>
      <c r="L374" s="32"/>
      <c r="M374" s="32"/>
      <c r="N374" s="32"/>
      <c r="O374" s="32"/>
      <c r="P374" s="32"/>
      <c r="Q374" s="32"/>
      <c r="R374" s="32"/>
      <c r="S374" s="32"/>
      <c r="T374" s="32"/>
      <c r="U374" s="32"/>
      <c r="V374" s="32"/>
      <c r="W374" s="32"/>
      <c r="X374" s="32"/>
      <c r="Y374" s="32"/>
      <c r="Z374" s="32"/>
      <c r="AA374" s="32"/>
      <c r="AB374" s="32"/>
      <c r="AC374" s="28">
        <f t="shared" si="212"/>
        <v>0</v>
      </c>
      <c r="AD374" s="33"/>
      <c r="AE374" s="33"/>
      <c r="AF374" s="33"/>
      <c r="AG374" s="33"/>
      <c r="AH374" s="33"/>
      <c r="AI374" s="33"/>
      <c r="AJ374" s="33"/>
      <c r="AK374" s="33"/>
      <c r="AL374" s="33"/>
      <c r="AM374" s="33"/>
      <c r="AN374" s="33"/>
      <c r="AO374" s="33"/>
      <c r="AP374" s="33"/>
      <c r="AQ374" s="33"/>
      <c r="AR374" s="33"/>
      <c r="AS374" s="33"/>
      <c r="AT374" s="34"/>
      <c r="AU374" s="1679"/>
      <c r="AV374" s="2256">
        <f t="shared" si="236"/>
        <v>0</v>
      </c>
      <c r="AW374" s="2256">
        <f t="shared" si="237"/>
        <v>0</v>
      </c>
      <c r="AX374" s="2256">
        <f t="shared" si="238"/>
        <v>0</v>
      </c>
      <c r="AY374" s="2781">
        <f t="shared" si="213"/>
        <v>0</v>
      </c>
      <c r="AZ374" s="28">
        <f t="shared" si="214"/>
        <v>0</v>
      </c>
      <c r="BA374" s="28">
        <f t="shared" si="215"/>
        <v>0</v>
      </c>
      <c r="BB374" s="28">
        <f t="shared" si="216"/>
        <v>0</v>
      </c>
      <c r="BC374" s="28">
        <f t="shared" si="217"/>
        <v>0</v>
      </c>
      <c r="BD374" s="3439">
        <f t="shared" si="218"/>
        <v>0</v>
      </c>
      <c r="BE374" s="3439">
        <f t="shared" si="219"/>
        <v>0</v>
      </c>
      <c r="BF374" s="3439">
        <f t="shared" si="220"/>
        <v>0</v>
      </c>
      <c r="BG374" s="3439">
        <f t="shared" si="221"/>
        <v>0</v>
      </c>
      <c r="BH374" s="3439">
        <f t="shared" si="222"/>
        <v>0</v>
      </c>
      <c r="BI374" s="3439">
        <f t="shared" si="223"/>
        <v>0</v>
      </c>
      <c r="BJ374" s="3439">
        <f t="shared" si="224"/>
        <v>0</v>
      </c>
      <c r="BK374" s="3439">
        <f t="shared" si="225"/>
        <v>0</v>
      </c>
      <c r="BL374" s="28">
        <f t="shared" si="226"/>
        <v>0</v>
      </c>
      <c r="BM374" s="28">
        <f t="shared" si="227"/>
        <v>0</v>
      </c>
      <c r="BN374" s="28">
        <f t="shared" si="228"/>
        <v>0</v>
      </c>
      <c r="BO374" s="28">
        <f t="shared" si="229"/>
        <v>0</v>
      </c>
      <c r="BP374" s="28">
        <f t="shared" si="230"/>
        <v>0</v>
      </c>
      <c r="BQ374" s="3439">
        <f t="shared" si="231"/>
        <v>0</v>
      </c>
      <c r="BR374" s="3439">
        <f t="shared" si="232"/>
        <v>0</v>
      </c>
      <c r="BS374" s="3439">
        <f t="shared" si="233"/>
        <v>0</v>
      </c>
      <c r="BT374" s="3451">
        <f t="shared" si="234"/>
        <v>0</v>
      </c>
    </row>
    <row r="375" spans="1:72">
      <c r="A375" s="9"/>
      <c r="B375" s="27"/>
      <c r="C375" s="27"/>
      <c r="D375" s="1678"/>
      <c r="E375" s="28">
        <f t="shared" si="235"/>
        <v>0</v>
      </c>
      <c r="F375" s="29"/>
      <c r="G375" s="30">
        <f t="shared" si="210"/>
        <v>0</v>
      </c>
      <c r="H375" s="31">
        <f t="shared" si="211"/>
        <v>0</v>
      </c>
      <c r="I375" s="32"/>
      <c r="J375" s="32"/>
      <c r="K375" s="32"/>
      <c r="L375" s="32"/>
      <c r="M375" s="32"/>
      <c r="N375" s="32"/>
      <c r="O375" s="32"/>
      <c r="P375" s="32"/>
      <c r="Q375" s="32"/>
      <c r="R375" s="32"/>
      <c r="S375" s="32"/>
      <c r="T375" s="32"/>
      <c r="U375" s="32"/>
      <c r="V375" s="32"/>
      <c r="W375" s="32"/>
      <c r="X375" s="32"/>
      <c r="Y375" s="32"/>
      <c r="Z375" s="32"/>
      <c r="AA375" s="32"/>
      <c r="AB375" s="32"/>
      <c r="AC375" s="28">
        <f t="shared" si="212"/>
        <v>0</v>
      </c>
      <c r="AD375" s="33"/>
      <c r="AE375" s="33"/>
      <c r="AF375" s="33"/>
      <c r="AG375" s="33"/>
      <c r="AH375" s="33"/>
      <c r="AI375" s="33"/>
      <c r="AJ375" s="33"/>
      <c r="AK375" s="33"/>
      <c r="AL375" s="33"/>
      <c r="AM375" s="33"/>
      <c r="AN375" s="33"/>
      <c r="AO375" s="33"/>
      <c r="AP375" s="33"/>
      <c r="AQ375" s="33"/>
      <c r="AR375" s="33"/>
      <c r="AS375" s="33"/>
      <c r="AT375" s="34"/>
      <c r="AU375" s="1679"/>
      <c r="AV375" s="2256">
        <f t="shared" si="236"/>
        <v>0</v>
      </c>
      <c r="AW375" s="2256">
        <f t="shared" si="237"/>
        <v>0</v>
      </c>
      <c r="AX375" s="2256">
        <f t="shared" si="238"/>
        <v>0</v>
      </c>
      <c r="AY375" s="2781">
        <f t="shared" si="213"/>
        <v>0</v>
      </c>
      <c r="AZ375" s="28">
        <f t="shared" si="214"/>
        <v>0</v>
      </c>
      <c r="BA375" s="28">
        <f t="shared" si="215"/>
        <v>0</v>
      </c>
      <c r="BB375" s="28">
        <f t="shared" si="216"/>
        <v>0</v>
      </c>
      <c r="BC375" s="28">
        <f t="shared" si="217"/>
        <v>0</v>
      </c>
      <c r="BD375" s="3439">
        <f t="shared" si="218"/>
        <v>0</v>
      </c>
      <c r="BE375" s="3439">
        <f t="shared" si="219"/>
        <v>0</v>
      </c>
      <c r="BF375" s="3439">
        <f t="shared" si="220"/>
        <v>0</v>
      </c>
      <c r="BG375" s="3439">
        <f t="shared" si="221"/>
        <v>0</v>
      </c>
      <c r="BH375" s="3439">
        <f t="shared" si="222"/>
        <v>0</v>
      </c>
      <c r="BI375" s="3439">
        <f t="shared" si="223"/>
        <v>0</v>
      </c>
      <c r="BJ375" s="3439">
        <f t="shared" si="224"/>
        <v>0</v>
      </c>
      <c r="BK375" s="3439">
        <f t="shared" si="225"/>
        <v>0</v>
      </c>
      <c r="BL375" s="28">
        <f t="shared" si="226"/>
        <v>0</v>
      </c>
      <c r="BM375" s="28">
        <f t="shared" si="227"/>
        <v>0</v>
      </c>
      <c r="BN375" s="28">
        <f t="shared" si="228"/>
        <v>0</v>
      </c>
      <c r="BO375" s="28">
        <f t="shared" si="229"/>
        <v>0</v>
      </c>
      <c r="BP375" s="28">
        <f t="shared" si="230"/>
        <v>0</v>
      </c>
      <c r="BQ375" s="3439">
        <f t="shared" si="231"/>
        <v>0</v>
      </c>
      <c r="BR375" s="3439">
        <f t="shared" si="232"/>
        <v>0</v>
      </c>
      <c r="BS375" s="3439">
        <f t="shared" si="233"/>
        <v>0</v>
      </c>
      <c r="BT375" s="3451">
        <f t="shared" si="234"/>
        <v>0</v>
      </c>
    </row>
    <row r="376" spans="1:72">
      <c r="A376" s="9"/>
      <c r="B376" s="27"/>
      <c r="C376" s="27"/>
      <c r="D376" s="1678"/>
      <c r="E376" s="28">
        <f t="shared" si="235"/>
        <v>0</v>
      </c>
      <c r="F376" s="29"/>
      <c r="G376" s="30">
        <f t="shared" si="210"/>
        <v>0</v>
      </c>
      <c r="H376" s="31">
        <f t="shared" si="211"/>
        <v>0</v>
      </c>
      <c r="I376" s="32"/>
      <c r="J376" s="32"/>
      <c r="K376" s="32"/>
      <c r="L376" s="32"/>
      <c r="M376" s="32"/>
      <c r="N376" s="32"/>
      <c r="O376" s="32"/>
      <c r="P376" s="32"/>
      <c r="Q376" s="32"/>
      <c r="R376" s="32"/>
      <c r="S376" s="32"/>
      <c r="T376" s="32"/>
      <c r="U376" s="32"/>
      <c r="V376" s="32"/>
      <c r="W376" s="32"/>
      <c r="X376" s="32"/>
      <c r="Y376" s="32"/>
      <c r="Z376" s="32"/>
      <c r="AA376" s="32"/>
      <c r="AB376" s="32"/>
      <c r="AC376" s="28">
        <f t="shared" si="212"/>
        <v>0</v>
      </c>
      <c r="AD376" s="33"/>
      <c r="AE376" s="33"/>
      <c r="AF376" s="33"/>
      <c r="AG376" s="33"/>
      <c r="AH376" s="33"/>
      <c r="AI376" s="33"/>
      <c r="AJ376" s="33"/>
      <c r="AK376" s="33"/>
      <c r="AL376" s="33"/>
      <c r="AM376" s="33"/>
      <c r="AN376" s="33"/>
      <c r="AO376" s="33"/>
      <c r="AP376" s="33"/>
      <c r="AQ376" s="33"/>
      <c r="AR376" s="33"/>
      <c r="AS376" s="33"/>
      <c r="AT376" s="34"/>
      <c r="AU376" s="1679"/>
      <c r="AV376" s="2256">
        <f t="shared" si="236"/>
        <v>0</v>
      </c>
      <c r="AW376" s="2256">
        <f t="shared" si="237"/>
        <v>0</v>
      </c>
      <c r="AX376" s="2256">
        <f t="shared" si="238"/>
        <v>0</v>
      </c>
      <c r="AY376" s="2781">
        <f t="shared" si="213"/>
        <v>0</v>
      </c>
      <c r="AZ376" s="28">
        <f t="shared" si="214"/>
        <v>0</v>
      </c>
      <c r="BA376" s="28">
        <f t="shared" si="215"/>
        <v>0</v>
      </c>
      <c r="BB376" s="28">
        <f t="shared" si="216"/>
        <v>0</v>
      </c>
      <c r="BC376" s="28">
        <f t="shared" si="217"/>
        <v>0</v>
      </c>
      <c r="BD376" s="3439">
        <f t="shared" si="218"/>
        <v>0</v>
      </c>
      <c r="BE376" s="3439">
        <f t="shared" si="219"/>
        <v>0</v>
      </c>
      <c r="BF376" s="3439">
        <f t="shared" si="220"/>
        <v>0</v>
      </c>
      <c r="BG376" s="3439">
        <f t="shared" si="221"/>
        <v>0</v>
      </c>
      <c r="BH376" s="3439">
        <f t="shared" si="222"/>
        <v>0</v>
      </c>
      <c r="BI376" s="3439">
        <f t="shared" si="223"/>
        <v>0</v>
      </c>
      <c r="BJ376" s="3439">
        <f t="shared" si="224"/>
        <v>0</v>
      </c>
      <c r="BK376" s="3439">
        <f t="shared" si="225"/>
        <v>0</v>
      </c>
      <c r="BL376" s="28">
        <f t="shared" si="226"/>
        <v>0</v>
      </c>
      <c r="BM376" s="28">
        <f t="shared" si="227"/>
        <v>0</v>
      </c>
      <c r="BN376" s="28">
        <f t="shared" si="228"/>
        <v>0</v>
      </c>
      <c r="BO376" s="28">
        <f t="shared" si="229"/>
        <v>0</v>
      </c>
      <c r="BP376" s="28">
        <f t="shared" si="230"/>
        <v>0</v>
      </c>
      <c r="BQ376" s="3439">
        <f t="shared" si="231"/>
        <v>0</v>
      </c>
      <c r="BR376" s="3439">
        <f t="shared" si="232"/>
        <v>0</v>
      </c>
      <c r="BS376" s="3439">
        <f t="shared" si="233"/>
        <v>0</v>
      </c>
      <c r="BT376" s="3451">
        <f t="shared" si="234"/>
        <v>0</v>
      </c>
    </row>
    <row r="377" spans="1:72">
      <c r="A377" s="9"/>
      <c r="B377" s="27"/>
      <c r="C377" s="27"/>
      <c r="D377" s="1678"/>
      <c r="E377" s="28">
        <f t="shared" si="235"/>
        <v>0</v>
      </c>
      <c r="F377" s="29"/>
      <c r="G377" s="30">
        <f t="shared" si="210"/>
        <v>0</v>
      </c>
      <c r="H377" s="31">
        <f t="shared" si="211"/>
        <v>0</v>
      </c>
      <c r="I377" s="32"/>
      <c r="J377" s="32"/>
      <c r="K377" s="32"/>
      <c r="L377" s="32"/>
      <c r="M377" s="32"/>
      <c r="N377" s="32"/>
      <c r="O377" s="32"/>
      <c r="P377" s="32"/>
      <c r="Q377" s="32"/>
      <c r="R377" s="32"/>
      <c r="S377" s="32"/>
      <c r="T377" s="32"/>
      <c r="U377" s="32"/>
      <c r="V377" s="32"/>
      <c r="W377" s="32"/>
      <c r="X377" s="32"/>
      <c r="Y377" s="32"/>
      <c r="Z377" s="32"/>
      <c r="AA377" s="32"/>
      <c r="AB377" s="32"/>
      <c r="AC377" s="28">
        <f t="shared" si="212"/>
        <v>0</v>
      </c>
      <c r="AD377" s="33"/>
      <c r="AE377" s="33"/>
      <c r="AF377" s="33"/>
      <c r="AG377" s="33"/>
      <c r="AH377" s="33"/>
      <c r="AI377" s="33"/>
      <c r="AJ377" s="33"/>
      <c r="AK377" s="33"/>
      <c r="AL377" s="33"/>
      <c r="AM377" s="33"/>
      <c r="AN377" s="33"/>
      <c r="AO377" s="33"/>
      <c r="AP377" s="33"/>
      <c r="AQ377" s="33"/>
      <c r="AR377" s="33"/>
      <c r="AS377" s="33"/>
      <c r="AT377" s="34"/>
      <c r="AU377" s="1679"/>
      <c r="AV377" s="2256">
        <f t="shared" si="236"/>
        <v>0</v>
      </c>
      <c r="AW377" s="2256">
        <f t="shared" si="237"/>
        <v>0</v>
      </c>
      <c r="AX377" s="2256">
        <f t="shared" si="238"/>
        <v>0</v>
      </c>
      <c r="AY377" s="2781">
        <f t="shared" si="213"/>
        <v>0</v>
      </c>
      <c r="AZ377" s="28">
        <f t="shared" si="214"/>
        <v>0</v>
      </c>
      <c r="BA377" s="28">
        <f t="shared" si="215"/>
        <v>0</v>
      </c>
      <c r="BB377" s="28">
        <f t="shared" si="216"/>
        <v>0</v>
      </c>
      <c r="BC377" s="28">
        <f t="shared" si="217"/>
        <v>0</v>
      </c>
      <c r="BD377" s="3439">
        <f t="shared" si="218"/>
        <v>0</v>
      </c>
      <c r="BE377" s="3439">
        <f t="shared" si="219"/>
        <v>0</v>
      </c>
      <c r="BF377" s="3439">
        <f t="shared" si="220"/>
        <v>0</v>
      </c>
      <c r="BG377" s="3439">
        <f t="shared" si="221"/>
        <v>0</v>
      </c>
      <c r="BH377" s="3439">
        <f t="shared" si="222"/>
        <v>0</v>
      </c>
      <c r="BI377" s="3439">
        <f t="shared" si="223"/>
        <v>0</v>
      </c>
      <c r="BJ377" s="3439">
        <f t="shared" si="224"/>
        <v>0</v>
      </c>
      <c r="BK377" s="3439">
        <f t="shared" si="225"/>
        <v>0</v>
      </c>
      <c r="BL377" s="28">
        <f t="shared" si="226"/>
        <v>0</v>
      </c>
      <c r="BM377" s="28">
        <f t="shared" si="227"/>
        <v>0</v>
      </c>
      <c r="BN377" s="28">
        <f t="shared" si="228"/>
        <v>0</v>
      </c>
      <c r="BO377" s="28">
        <f t="shared" si="229"/>
        <v>0</v>
      </c>
      <c r="BP377" s="28">
        <f t="shared" si="230"/>
        <v>0</v>
      </c>
      <c r="BQ377" s="3439">
        <f t="shared" si="231"/>
        <v>0</v>
      </c>
      <c r="BR377" s="3439">
        <f t="shared" si="232"/>
        <v>0</v>
      </c>
      <c r="BS377" s="3439">
        <f t="shared" si="233"/>
        <v>0</v>
      </c>
      <c r="BT377" s="3451">
        <f t="shared" si="234"/>
        <v>0</v>
      </c>
    </row>
    <row r="378" spans="1:72">
      <c r="A378" s="9"/>
      <c r="B378" s="27"/>
      <c r="C378" s="27"/>
      <c r="D378" s="1678"/>
      <c r="E378" s="28">
        <f t="shared" si="235"/>
        <v>0</v>
      </c>
      <c r="F378" s="29"/>
      <c r="G378" s="30">
        <f t="shared" si="210"/>
        <v>0</v>
      </c>
      <c r="H378" s="31">
        <f t="shared" si="211"/>
        <v>0</v>
      </c>
      <c r="I378" s="32"/>
      <c r="J378" s="32"/>
      <c r="K378" s="32"/>
      <c r="L378" s="32"/>
      <c r="M378" s="32"/>
      <c r="N378" s="32"/>
      <c r="O378" s="32"/>
      <c r="P378" s="32"/>
      <c r="Q378" s="32"/>
      <c r="R378" s="32"/>
      <c r="S378" s="32"/>
      <c r="T378" s="32"/>
      <c r="U378" s="32"/>
      <c r="V378" s="32"/>
      <c r="W378" s="32"/>
      <c r="X378" s="32"/>
      <c r="Y378" s="32"/>
      <c r="Z378" s="32"/>
      <c r="AA378" s="32"/>
      <c r="AB378" s="32"/>
      <c r="AC378" s="28">
        <f t="shared" si="212"/>
        <v>0</v>
      </c>
      <c r="AD378" s="33"/>
      <c r="AE378" s="33"/>
      <c r="AF378" s="33"/>
      <c r="AG378" s="33"/>
      <c r="AH378" s="33"/>
      <c r="AI378" s="33"/>
      <c r="AJ378" s="33"/>
      <c r="AK378" s="33"/>
      <c r="AL378" s="33"/>
      <c r="AM378" s="33"/>
      <c r="AN378" s="33"/>
      <c r="AO378" s="33"/>
      <c r="AP378" s="33"/>
      <c r="AQ378" s="33"/>
      <c r="AR378" s="33"/>
      <c r="AS378" s="33"/>
      <c r="AT378" s="34"/>
      <c r="AU378" s="1679"/>
      <c r="AV378" s="2256">
        <f t="shared" si="236"/>
        <v>0</v>
      </c>
      <c r="AW378" s="2256">
        <f t="shared" si="237"/>
        <v>0</v>
      </c>
      <c r="AX378" s="2256">
        <f t="shared" si="238"/>
        <v>0</v>
      </c>
      <c r="AY378" s="2781">
        <f t="shared" si="213"/>
        <v>0</v>
      </c>
      <c r="AZ378" s="28">
        <f t="shared" si="214"/>
        <v>0</v>
      </c>
      <c r="BA378" s="28">
        <f t="shared" si="215"/>
        <v>0</v>
      </c>
      <c r="BB378" s="28">
        <f t="shared" si="216"/>
        <v>0</v>
      </c>
      <c r="BC378" s="28">
        <f t="shared" si="217"/>
        <v>0</v>
      </c>
      <c r="BD378" s="3439">
        <f t="shared" si="218"/>
        <v>0</v>
      </c>
      <c r="BE378" s="3439">
        <f t="shared" si="219"/>
        <v>0</v>
      </c>
      <c r="BF378" s="3439">
        <f t="shared" si="220"/>
        <v>0</v>
      </c>
      <c r="BG378" s="3439">
        <f t="shared" si="221"/>
        <v>0</v>
      </c>
      <c r="BH378" s="3439">
        <f t="shared" si="222"/>
        <v>0</v>
      </c>
      <c r="BI378" s="3439">
        <f t="shared" si="223"/>
        <v>0</v>
      </c>
      <c r="BJ378" s="3439">
        <f t="shared" si="224"/>
        <v>0</v>
      </c>
      <c r="BK378" s="3439">
        <f t="shared" si="225"/>
        <v>0</v>
      </c>
      <c r="BL378" s="28">
        <f t="shared" si="226"/>
        <v>0</v>
      </c>
      <c r="BM378" s="28">
        <f t="shared" si="227"/>
        <v>0</v>
      </c>
      <c r="BN378" s="28">
        <f t="shared" si="228"/>
        <v>0</v>
      </c>
      <c r="BO378" s="28">
        <f t="shared" si="229"/>
        <v>0</v>
      </c>
      <c r="BP378" s="28">
        <f t="shared" si="230"/>
        <v>0</v>
      </c>
      <c r="BQ378" s="3439">
        <f t="shared" si="231"/>
        <v>0</v>
      </c>
      <c r="BR378" s="3439">
        <f t="shared" si="232"/>
        <v>0</v>
      </c>
      <c r="BS378" s="3439">
        <f t="shared" si="233"/>
        <v>0</v>
      </c>
      <c r="BT378" s="3451">
        <f t="shared" si="234"/>
        <v>0</v>
      </c>
    </row>
    <row r="379" spans="1:72">
      <c r="A379" s="9"/>
      <c r="B379" s="27"/>
      <c r="C379" s="27"/>
      <c r="D379" s="1678"/>
      <c r="E379" s="28">
        <f t="shared" si="235"/>
        <v>0</v>
      </c>
      <c r="F379" s="29"/>
      <c r="G379" s="30">
        <f t="shared" si="210"/>
        <v>0</v>
      </c>
      <c r="H379" s="31">
        <f t="shared" si="211"/>
        <v>0</v>
      </c>
      <c r="I379" s="32"/>
      <c r="J379" s="32"/>
      <c r="K379" s="32"/>
      <c r="L379" s="32"/>
      <c r="M379" s="32"/>
      <c r="N379" s="32"/>
      <c r="O379" s="32"/>
      <c r="P379" s="32"/>
      <c r="Q379" s="32"/>
      <c r="R379" s="32"/>
      <c r="S379" s="32"/>
      <c r="T379" s="32"/>
      <c r="U379" s="32"/>
      <c r="V379" s="32"/>
      <c r="W379" s="32"/>
      <c r="X379" s="32"/>
      <c r="Y379" s="32"/>
      <c r="Z379" s="32"/>
      <c r="AA379" s="32"/>
      <c r="AB379" s="32"/>
      <c r="AC379" s="28">
        <f t="shared" si="212"/>
        <v>0</v>
      </c>
      <c r="AD379" s="33"/>
      <c r="AE379" s="33"/>
      <c r="AF379" s="33"/>
      <c r="AG379" s="33"/>
      <c r="AH379" s="33"/>
      <c r="AI379" s="33"/>
      <c r="AJ379" s="33"/>
      <c r="AK379" s="33"/>
      <c r="AL379" s="33"/>
      <c r="AM379" s="33"/>
      <c r="AN379" s="33"/>
      <c r="AO379" s="33"/>
      <c r="AP379" s="33"/>
      <c r="AQ379" s="33"/>
      <c r="AR379" s="33"/>
      <c r="AS379" s="33"/>
      <c r="AT379" s="34"/>
      <c r="AU379" s="1679"/>
      <c r="AV379" s="2256">
        <f t="shared" si="236"/>
        <v>0</v>
      </c>
      <c r="AW379" s="2256">
        <f t="shared" si="237"/>
        <v>0</v>
      </c>
      <c r="AX379" s="2256">
        <f t="shared" si="238"/>
        <v>0</v>
      </c>
      <c r="AY379" s="2781">
        <f t="shared" si="213"/>
        <v>0</v>
      </c>
      <c r="AZ379" s="28">
        <f t="shared" si="214"/>
        <v>0</v>
      </c>
      <c r="BA379" s="28">
        <f t="shared" si="215"/>
        <v>0</v>
      </c>
      <c r="BB379" s="28">
        <f t="shared" si="216"/>
        <v>0</v>
      </c>
      <c r="BC379" s="28">
        <f t="shared" si="217"/>
        <v>0</v>
      </c>
      <c r="BD379" s="3439">
        <f t="shared" si="218"/>
        <v>0</v>
      </c>
      <c r="BE379" s="3439">
        <f t="shared" si="219"/>
        <v>0</v>
      </c>
      <c r="BF379" s="3439">
        <f t="shared" si="220"/>
        <v>0</v>
      </c>
      <c r="BG379" s="3439">
        <f t="shared" si="221"/>
        <v>0</v>
      </c>
      <c r="BH379" s="3439">
        <f t="shared" si="222"/>
        <v>0</v>
      </c>
      <c r="BI379" s="3439">
        <f t="shared" si="223"/>
        <v>0</v>
      </c>
      <c r="BJ379" s="3439">
        <f t="shared" si="224"/>
        <v>0</v>
      </c>
      <c r="BK379" s="3439">
        <f t="shared" si="225"/>
        <v>0</v>
      </c>
      <c r="BL379" s="28">
        <f t="shared" si="226"/>
        <v>0</v>
      </c>
      <c r="BM379" s="28">
        <f t="shared" si="227"/>
        <v>0</v>
      </c>
      <c r="BN379" s="28">
        <f t="shared" si="228"/>
        <v>0</v>
      </c>
      <c r="BO379" s="28">
        <f t="shared" si="229"/>
        <v>0</v>
      </c>
      <c r="BP379" s="28">
        <f t="shared" si="230"/>
        <v>0</v>
      </c>
      <c r="BQ379" s="3439">
        <f t="shared" si="231"/>
        <v>0</v>
      </c>
      <c r="BR379" s="3439">
        <f t="shared" si="232"/>
        <v>0</v>
      </c>
      <c r="BS379" s="3439">
        <f t="shared" si="233"/>
        <v>0</v>
      </c>
      <c r="BT379" s="3451">
        <f t="shared" si="234"/>
        <v>0</v>
      </c>
    </row>
    <row r="380" spans="1:72">
      <c r="A380" s="9"/>
      <c r="B380" s="27"/>
      <c r="C380" s="27"/>
      <c r="D380" s="1678"/>
      <c r="E380" s="28">
        <f t="shared" si="235"/>
        <v>0</v>
      </c>
      <c r="F380" s="29"/>
      <c r="G380" s="30">
        <f t="shared" si="210"/>
        <v>0</v>
      </c>
      <c r="H380" s="31">
        <f t="shared" si="211"/>
        <v>0</v>
      </c>
      <c r="I380" s="32"/>
      <c r="J380" s="32"/>
      <c r="K380" s="32"/>
      <c r="L380" s="32"/>
      <c r="M380" s="32"/>
      <c r="N380" s="32"/>
      <c r="O380" s="32"/>
      <c r="P380" s="32"/>
      <c r="Q380" s="32"/>
      <c r="R380" s="32"/>
      <c r="S380" s="32"/>
      <c r="T380" s="32"/>
      <c r="U380" s="32"/>
      <c r="V380" s="32"/>
      <c r="W380" s="32"/>
      <c r="X380" s="32"/>
      <c r="Y380" s="32"/>
      <c r="Z380" s="32"/>
      <c r="AA380" s="32"/>
      <c r="AB380" s="32"/>
      <c r="AC380" s="28">
        <f t="shared" si="212"/>
        <v>0</v>
      </c>
      <c r="AD380" s="33"/>
      <c r="AE380" s="33"/>
      <c r="AF380" s="33"/>
      <c r="AG380" s="33"/>
      <c r="AH380" s="33"/>
      <c r="AI380" s="33"/>
      <c r="AJ380" s="33"/>
      <c r="AK380" s="33"/>
      <c r="AL380" s="33"/>
      <c r="AM380" s="33"/>
      <c r="AN380" s="33"/>
      <c r="AO380" s="33"/>
      <c r="AP380" s="33"/>
      <c r="AQ380" s="33"/>
      <c r="AR380" s="33"/>
      <c r="AS380" s="33"/>
      <c r="AT380" s="34"/>
      <c r="AU380" s="1679"/>
      <c r="AV380" s="2256">
        <f t="shared" si="236"/>
        <v>0</v>
      </c>
      <c r="AW380" s="2256">
        <f t="shared" si="237"/>
        <v>0</v>
      </c>
      <c r="AX380" s="2256">
        <f t="shared" si="238"/>
        <v>0</v>
      </c>
      <c r="AY380" s="2781">
        <f t="shared" si="213"/>
        <v>0</v>
      </c>
      <c r="AZ380" s="28">
        <f t="shared" si="214"/>
        <v>0</v>
      </c>
      <c r="BA380" s="28">
        <f t="shared" si="215"/>
        <v>0</v>
      </c>
      <c r="BB380" s="28">
        <f t="shared" si="216"/>
        <v>0</v>
      </c>
      <c r="BC380" s="28">
        <f t="shared" si="217"/>
        <v>0</v>
      </c>
      <c r="BD380" s="3439">
        <f t="shared" si="218"/>
        <v>0</v>
      </c>
      <c r="BE380" s="3439">
        <f t="shared" si="219"/>
        <v>0</v>
      </c>
      <c r="BF380" s="3439">
        <f t="shared" si="220"/>
        <v>0</v>
      </c>
      <c r="BG380" s="3439">
        <f t="shared" si="221"/>
        <v>0</v>
      </c>
      <c r="BH380" s="3439">
        <f t="shared" si="222"/>
        <v>0</v>
      </c>
      <c r="BI380" s="3439">
        <f t="shared" si="223"/>
        <v>0</v>
      </c>
      <c r="BJ380" s="3439">
        <f t="shared" si="224"/>
        <v>0</v>
      </c>
      <c r="BK380" s="3439">
        <f t="shared" si="225"/>
        <v>0</v>
      </c>
      <c r="BL380" s="28">
        <f t="shared" si="226"/>
        <v>0</v>
      </c>
      <c r="BM380" s="28">
        <f t="shared" si="227"/>
        <v>0</v>
      </c>
      <c r="BN380" s="28">
        <f t="shared" si="228"/>
        <v>0</v>
      </c>
      <c r="BO380" s="28">
        <f t="shared" si="229"/>
        <v>0</v>
      </c>
      <c r="BP380" s="28">
        <f t="shared" si="230"/>
        <v>0</v>
      </c>
      <c r="BQ380" s="3439">
        <f t="shared" si="231"/>
        <v>0</v>
      </c>
      <c r="BR380" s="3439">
        <f t="shared" si="232"/>
        <v>0</v>
      </c>
      <c r="BS380" s="3439">
        <f t="shared" si="233"/>
        <v>0</v>
      </c>
      <c r="BT380" s="3451">
        <f t="shared" si="234"/>
        <v>0</v>
      </c>
    </row>
    <row r="381" spans="1:72">
      <c r="A381" s="9"/>
      <c r="B381" s="27"/>
      <c r="C381" s="27"/>
      <c r="D381" s="1678"/>
      <c r="E381" s="28">
        <f t="shared" si="235"/>
        <v>0</v>
      </c>
      <c r="F381" s="29"/>
      <c r="G381" s="30">
        <f t="shared" si="210"/>
        <v>0</v>
      </c>
      <c r="H381" s="31">
        <f t="shared" si="211"/>
        <v>0</v>
      </c>
      <c r="I381" s="32"/>
      <c r="J381" s="32"/>
      <c r="K381" s="32"/>
      <c r="L381" s="32"/>
      <c r="M381" s="32"/>
      <c r="N381" s="32"/>
      <c r="O381" s="32"/>
      <c r="P381" s="32"/>
      <c r="Q381" s="32"/>
      <c r="R381" s="32"/>
      <c r="S381" s="32"/>
      <c r="T381" s="32"/>
      <c r="U381" s="32"/>
      <c r="V381" s="32"/>
      <c r="W381" s="32"/>
      <c r="X381" s="32"/>
      <c r="Y381" s="32"/>
      <c r="Z381" s="32"/>
      <c r="AA381" s="32"/>
      <c r="AB381" s="32"/>
      <c r="AC381" s="28">
        <f t="shared" si="212"/>
        <v>0</v>
      </c>
      <c r="AD381" s="33"/>
      <c r="AE381" s="33"/>
      <c r="AF381" s="33"/>
      <c r="AG381" s="33"/>
      <c r="AH381" s="33"/>
      <c r="AI381" s="33"/>
      <c r="AJ381" s="33"/>
      <c r="AK381" s="33"/>
      <c r="AL381" s="33"/>
      <c r="AM381" s="33"/>
      <c r="AN381" s="33"/>
      <c r="AO381" s="33"/>
      <c r="AP381" s="33"/>
      <c r="AQ381" s="33"/>
      <c r="AR381" s="33"/>
      <c r="AS381" s="33"/>
      <c r="AT381" s="34"/>
      <c r="AU381" s="1679"/>
      <c r="AV381" s="2256">
        <f t="shared" si="236"/>
        <v>0</v>
      </c>
      <c r="AW381" s="2256">
        <f t="shared" si="237"/>
        <v>0</v>
      </c>
      <c r="AX381" s="2256">
        <f t="shared" si="238"/>
        <v>0</v>
      </c>
      <c r="AY381" s="2781">
        <f t="shared" si="213"/>
        <v>0</v>
      </c>
      <c r="AZ381" s="28">
        <f t="shared" si="214"/>
        <v>0</v>
      </c>
      <c r="BA381" s="28">
        <f t="shared" si="215"/>
        <v>0</v>
      </c>
      <c r="BB381" s="28">
        <f t="shared" si="216"/>
        <v>0</v>
      </c>
      <c r="BC381" s="28">
        <f t="shared" si="217"/>
        <v>0</v>
      </c>
      <c r="BD381" s="3439">
        <f t="shared" si="218"/>
        <v>0</v>
      </c>
      <c r="BE381" s="3439">
        <f t="shared" si="219"/>
        <v>0</v>
      </c>
      <c r="BF381" s="3439">
        <f t="shared" si="220"/>
        <v>0</v>
      </c>
      <c r="BG381" s="3439">
        <f t="shared" si="221"/>
        <v>0</v>
      </c>
      <c r="BH381" s="3439">
        <f t="shared" si="222"/>
        <v>0</v>
      </c>
      <c r="BI381" s="3439">
        <f t="shared" si="223"/>
        <v>0</v>
      </c>
      <c r="BJ381" s="3439">
        <f t="shared" si="224"/>
        <v>0</v>
      </c>
      <c r="BK381" s="3439">
        <f t="shared" si="225"/>
        <v>0</v>
      </c>
      <c r="BL381" s="28">
        <f t="shared" si="226"/>
        <v>0</v>
      </c>
      <c r="BM381" s="28">
        <f t="shared" si="227"/>
        <v>0</v>
      </c>
      <c r="BN381" s="28">
        <f t="shared" si="228"/>
        <v>0</v>
      </c>
      <c r="BO381" s="28">
        <f t="shared" si="229"/>
        <v>0</v>
      </c>
      <c r="BP381" s="28">
        <f t="shared" si="230"/>
        <v>0</v>
      </c>
      <c r="BQ381" s="3439">
        <f t="shared" si="231"/>
        <v>0</v>
      </c>
      <c r="BR381" s="3439">
        <f t="shared" si="232"/>
        <v>0</v>
      </c>
      <c r="BS381" s="3439">
        <f t="shared" si="233"/>
        <v>0</v>
      </c>
      <c r="BT381" s="3451">
        <f t="shared" si="234"/>
        <v>0</v>
      </c>
    </row>
    <row r="382" spans="1:72">
      <c r="A382" s="9"/>
      <c r="B382" s="27"/>
      <c r="C382" s="27"/>
      <c r="D382" s="1678"/>
      <c r="E382" s="28">
        <f t="shared" si="235"/>
        <v>0</v>
      </c>
      <c r="F382" s="29"/>
      <c r="G382" s="30">
        <f t="shared" si="210"/>
        <v>0</v>
      </c>
      <c r="H382" s="31">
        <f t="shared" si="211"/>
        <v>0</v>
      </c>
      <c r="I382" s="32"/>
      <c r="J382" s="32"/>
      <c r="K382" s="32"/>
      <c r="L382" s="32"/>
      <c r="M382" s="32"/>
      <c r="N382" s="32"/>
      <c r="O382" s="32"/>
      <c r="P382" s="32"/>
      <c r="Q382" s="32"/>
      <c r="R382" s="32"/>
      <c r="S382" s="32"/>
      <c r="T382" s="32"/>
      <c r="U382" s="32"/>
      <c r="V382" s="32"/>
      <c r="W382" s="32"/>
      <c r="X382" s="32"/>
      <c r="Y382" s="32"/>
      <c r="Z382" s="32"/>
      <c r="AA382" s="32"/>
      <c r="AB382" s="32"/>
      <c r="AC382" s="28">
        <f t="shared" si="212"/>
        <v>0</v>
      </c>
      <c r="AD382" s="33"/>
      <c r="AE382" s="33"/>
      <c r="AF382" s="33"/>
      <c r="AG382" s="33"/>
      <c r="AH382" s="33"/>
      <c r="AI382" s="33"/>
      <c r="AJ382" s="33"/>
      <c r="AK382" s="33"/>
      <c r="AL382" s="33"/>
      <c r="AM382" s="33"/>
      <c r="AN382" s="33"/>
      <c r="AO382" s="33"/>
      <c r="AP382" s="33"/>
      <c r="AQ382" s="33"/>
      <c r="AR382" s="33"/>
      <c r="AS382" s="33"/>
      <c r="AT382" s="34"/>
      <c r="AU382" s="1679"/>
      <c r="AV382" s="2256">
        <f t="shared" si="236"/>
        <v>0</v>
      </c>
      <c r="AW382" s="2256">
        <f t="shared" si="237"/>
        <v>0</v>
      </c>
      <c r="AX382" s="2256">
        <f t="shared" si="238"/>
        <v>0</v>
      </c>
      <c r="AY382" s="2781">
        <f t="shared" si="213"/>
        <v>0</v>
      </c>
      <c r="AZ382" s="28">
        <f t="shared" si="214"/>
        <v>0</v>
      </c>
      <c r="BA382" s="28">
        <f t="shared" si="215"/>
        <v>0</v>
      </c>
      <c r="BB382" s="28">
        <f t="shared" si="216"/>
        <v>0</v>
      </c>
      <c r="BC382" s="28">
        <f t="shared" si="217"/>
        <v>0</v>
      </c>
      <c r="BD382" s="3439">
        <f t="shared" si="218"/>
        <v>0</v>
      </c>
      <c r="BE382" s="3439">
        <f t="shared" si="219"/>
        <v>0</v>
      </c>
      <c r="BF382" s="3439">
        <f t="shared" si="220"/>
        <v>0</v>
      </c>
      <c r="BG382" s="3439">
        <f t="shared" si="221"/>
        <v>0</v>
      </c>
      <c r="BH382" s="3439">
        <f t="shared" si="222"/>
        <v>0</v>
      </c>
      <c r="BI382" s="3439">
        <f t="shared" si="223"/>
        <v>0</v>
      </c>
      <c r="BJ382" s="3439">
        <f t="shared" si="224"/>
        <v>0</v>
      </c>
      <c r="BK382" s="3439">
        <f t="shared" si="225"/>
        <v>0</v>
      </c>
      <c r="BL382" s="28">
        <f t="shared" si="226"/>
        <v>0</v>
      </c>
      <c r="BM382" s="28">
        <f t="shared" si="227"/>
        <v>0</v>
      </c>
      <c r="BN382" s="28">
        <f t="shared" si="228"/>
        <v>0</v>
      </c>
      <c r="BO382" s="28">
        <f t="shared" si="229"/>
        <v>0</v>
      </c>
      <c r="BP382" s="28">
        <f t="shared" si="230"/>
        <v>0</v>
      </c>
      <c r="BQ382" s="3439">
        <f t="shared" si="231"/>
        <v>0</v>
      </c>
      <c r="BR382" s="3439">
        <f t="shared" si="232"/>
        <v>0</v>
      </c>
      <c r="BS382" s="3439">
        <f t="shared" si="233"/>
        <v>0</v>
      </c>
      <c r="BT382" s="3451">
        <f t="shared" si="234"/>
        <v>0</v>
      </c>
    </row>
    <row r="383" spans="1:72">
      <c r="A383" s="9"/>
      <c r="B383" s="27"/>
      <c r="C383" s="27"/>
      <c r="D383" s="1678"/>
      <c r="E383" s="28">
        <f t="shared" si="235"/>
        <v>0</v>
      </c>
      <c r="F383" s="29"/>
      <c r="G383" s="30">
        <f t="shared" si="210"/>
        <v>0</v>
      </c>
      <c r="H383" s="31">
        <f t="shared" si="211"/>
        <v>0</v>
      </c>
      <c r="I383" s="32"/>
      <c r="J383" s="32"/>
      <c r="K383" s="32"/>
      <c r="L383" s="32"/>
      <c r="M383" s="32"/>
      <c r="N383" s="32"/>
      <c r="O383" s="32"/>
      <c r="P383" s="32"/>
      <c r="Q383" s="32"/>
      <c r="R383" s="32"/>
      <c r="S383" s="32"/>
      <c r="T383" s="32"/>
      <c r="U383" s="32"/>
      <c r="V383" s="32"/>
      <c r="W383" s="32"/>
      <c r="X383" s="32"/>
      <c r="Y383" s="32"/>
      <c r="Z383" s="32"/>
      <c r="AA383" s="32"/>
      <c r="AB383" s="32"/>
      <c r="AC383" s="28">
        <f t="shared" si="212"/>
        <v>0</v>
      </c>
      <c r="AD383" s="33"/>
      <c r="AE383" s="33"/>
      <c r="AF383" s="33"/>
      <c r="AG383" s="33"/>
      <c r="AH383" s="33"/>
      <c r="AI383" s="33"/>
      <c r="AJ383" s="33"/>
      <c r="AK383" s="33"/>
      <c r="AL383" s="33"/>
      <c r="AM383" s="33"/>
      <c r="AN383" s="33"/>
      <c r="AO383" s="33"/>
      <c r="AP383" s="33"/>
      <c r="AQ383" s="33"/>
      <c r="AR383" s="33"/>
      <c r="AS383" s="33"/>
      <c r="AT383" s="34"/>
      <c r="AU383" s="1679"/>
      <c r="AV383" s="2256">
        <f t="shared" si="236"/>
        <v>0</v>
      </c>
      <c r="AW383" s="2256">
        <f t="shared" si="237"/>
        <v>0</v>
      </c>
      <c r="AX383" s="2256">
        <f t="shared" si="238"/>
        <v>0</v>
      </c>
      <c r="AY383" s="2781">
        <f t="shared" si="213"/>
        <v>0</v>
      </c>
      <c r="AZ383" s="28">
        <f t="shared" si="214"/>
        <v>0</v>
      </c>
      <c r="BA383" s="28">
        <f t="shared" si="215"/>
        <v>0</v>
      </c>
      <c r="BB383" s="28">
        <f t="shared" si="216"/>
        <v>0</v>
      </c>
      <c r="BC383" s="28">
        <f t="shared" si="217"/>
        <v>0</v>
      </c>
      <c r="BD383" s="3439">
        <f t="shared" si="218"/>
        <v>0</v>
      </c>
      <c r="BE383" s="3439">
        <f t="shared" si="219"/>
        <v>0</v>
      </c>
      <c r="BF383" s="3439">
        <f t="shared" si="220"/>
        <v>0</v>
      </c>
      <c r="BG383" s="3439">
        <f t="shared" si="221"/>
        <v>0</v>
      </c>
      <c r="BH383" s="3439">
        <f t="shared" si="222"/>
        <v>0</v>
      </c>
      <c r="BI383" s="3439">
        <f t="shared" si="223"/>
        <v>0</v>
      </c>
      <c r="BJ383" s="3439">
        <f t="shared" si="224"/>
        <v>0</v>
      </c>
      <c r="BK383" s="3439">
        <f t="shared" si="225"/>
        <v>0</v>
      </c>
      <c r="BL383" s="28">
        <f t="shared" si="226"/>
        <v>0</v>
      </c>
      <c r="BM383" s="28">
        <f t="shared" si="227"/>
        <v>0</v>
      </c>
      <c r="BN383" s="28">
        <f t="shared" si="228"/>
        <v>0</v>
      </c>
      <c r="BO383" s="28">
        <f t="shared" si="229"/>
        <v>0</v>
      </c>
      <c r="BP383" s="28">
        <f t="shared" si="230"/>
        <v>0</v>
      </c>
      <c r="BQ383" s="3439">
        <f t="shared" si="231"/>
        <v>0</v>
      </c>
      <c r="BR383" s="3439">
        <f t="shared" si="232"/>
        <v>0</v>
      </c>
      <c r="BS383" s="3439">
        <f t="shared" si="233"/>
        <v>0</v>
      </c>
      <c r="BT383" s="3451">
        <f t="shared" si="234"/>
        <v>0</v>
      </c>
    </row>
    <row r="384" spans="1:72">
      <c r="A384" s="9"/>
      <c r="B384" s="27"/>
      <c r="C384" s="27"/>
      <c r="D384" s="1678"/>
      <c r="E384" s="28">
        <f t="shared" si="235"/>
        <v>0</v>
      </c>
      <c r="F384" s="29"/>
      <c r="G384" s="30">
        <f t="shared" si="210"/>
        <v>0</v>
      </c>
      <c r="H384" s="31">
        <f t="shared" si="211"/>
        <v>0</v>
      </c>
      <c r="I384" s="32"/>
      <c r="J384" s="32"/>
      <c r="K384" s="32"/>
      <c r="L384" s="32"/>
      <c r="M384" s="32"/>
      <c r="N384" s="32"/>
      <c r="O384" s="32"/>
      <c r="P384" s="32"/>
      <c r="Q384" s="32"/>
      <c r="R384" s="32"/>
      <c r="S384" s="32"/>
      <c r="T384" s="32"/>
      <c r="U384" s="32"/>
      <c r="V384" s="32"/>
      <c r="W384" s="32"/>
      <c r="X384" s="32"/>
      <c r="Y384" s="32"/>
      <c r="Z384" s="32"/>
      <c r="AA384" s="32"/>
      <c r="AB384" s="32"/>
      <c r="AC384" s="28">
        <f t="shared" si="212"/>
        <v>0</v>
      </c>
      <c r="AD384" s="33"/>
      <c r="AE384" s="33"/>
      <c r="AF384" s="33"/>
      <c r="AG384" s="33"/>
      <c r="AH384" s="33"/>
      <c r="AI384" s="33"/>
      <c r="AJ384" s="33"/>
      <c r="AK384" s="33"/>
      <c r="AL384" s="33"/>
      <c r="AM384" s="33"/>
      <c r="AN384" s="33"/>
      <c r="AO384" s="33"/>
      <c r="AP384" s="33"/>
      <c r="AQ384" s="33"/>
      <c r="AR384" s="33"/>
      <c r="AS384" s="33"/>
      <c r="AT384" s="34"/>
      <c r="AU384" s="1679"/>
      <c r="AV384" s="2256">
        <f t="shared" si="236"/>
        <v>0</v>
      </c>
      <c r="AW384" s="2256">
        <f t="shared" si="237"/>
        <v>0</v>
      </c>
      <c r="AX384" s="2256">
        <f t="shared" si="238"/>
        <v>0</v>
      </c>
      <c r="AY384" s="2781">
        <f t="shared" si="213"/>
        <v>0</v>
      </c>
      <c r="AZ384" s="28">
        <f t="shared" si="214"/>
        <v>0</v>
      </c>
      <c r="BA384" s="28">
        <f t="shared" si="215"/>
        <v>0</v>
      </c>
      <c r="BB384" s="28">
        <f t="shared" si="216"/>
        <v>0</v>
      </c>
      <c r="BC384" s="28">
        <f t="shared" si="217"/>
        <v>0</v>
      </c>
      <c r="BD384" s="3439">
        <f t="shared" si="218"/>
        <v>0</v>
      </c>
      <c r="BE384" s="3439">
        <f t="shared" si="219"/>
        <v>0</v>
      </c>
      <c r="BF384" s="3439">
        <f t="shared" si="220"/>
        <v>0</v>
      </c>
      <c r="BG384" s="3439">
        <f t="shared" si="221"/>
        <v>0</v>
      </c>
      <c r="BH384" s="3439">
        <f t="shared" si="222"/>
        <v>0</v>
      </c>
      <c r="BI384" s="3439">
        <f t="shared" si="223"/>
        <v>0</v>
      </c>
      <c r="BJ384" s="3439">
        <f t="shared" si="224"/>
        <v>0</v>
      </c>
      <c r="BK384" s="3439">
        <f t="shared" si="225"/>
        <v>0</v>
      </c>
      <c r="BL384" s="28">
        <f t="shared" si="226"/>
        <v>0</v>
      </c>
      <c r="BM384" s="28">
        <f t="shared" si="227"/>
        <v>0</v>
      </c>
      <c r="BN384" s="28">
        <f t="shared" si="228"/>
        <v>0</v>
      </c>
      <c r="BO384" s="28">
        <f t="shared" si="229"/>
        <v>0</v>
      </c>
      <c r="BP384" s="28">
        <f t="shared" si="230"/>
        <v>0</v>
      </c>
      <c r="BQ384" s="3439">
        <f t="shared" si="231"/>
        <v>0</v>
      </c>
      <c r="BR384" s="3439">
        <f t="shared" si="232"/>
        <v>0</v>
      </c>
      <c r="BS384" s="3439">
        <f t="shared" si="233"/>
        <v>0</v>
      </c>
      <c r="BT384" s="3451">
        <f t="shared" si="234"/>
        <v>0</v>
      </c>
    </row>
    <row r="385" spans="1:72">
      <c r="A385" s="9"/>
      <c r="B385" s="27"/>
      <c r="C385" s="27"/>
      <c r="D385" s="1678"/>
      <c r="E385" s="28">
        <f t="shared" si="235"/>
        <v>0</v>
      </c>
      <c r="F385" s="29"/>
      <c r="G385" s="30">
        <f t="shared" si="210"/>
        <v>0</v>
      </c>
      <c r="H385" s="31">
        <f t="shared" si="211"/>
        <v>0</v>
      </c>
      <c r="I385" s="32"/>
      <c r="J385" s="32"/>
      <c r="K385" s="32"/>
      <c r="L385" s="32"/>
      <c r="M385" s="32"/>
      <c r="N385" s="32"/>
      <c r="O385" s="32"/>
      <c r="P385" s="32"/>
      <c r="Q385" s="32"/>
      <c r="R385" s="32"/>
      <c r="S385" s="32"/>
      <c r="T385" s="32"/>
      <c r="U385" s="32"/>
      <c r="V385" s="32"/>
      <c r="W385" s="32"/>
      <c r="X385" s="32"/>
      <c r="Y385" s="32"/>
      <c r="Z385" s="32"/>
      <c r="AA385" s="32"/>
      <c r="AB385" s="32"/>
      <c r="AC385" s="28">
        <f t="shared" si="212"/>
        <v>0</v>
      </c>
      <c r="AD385" s="33"/>
      <c r="AE385" s="33"/>
      <c r="AF385" s="33"/>
      <c r="AG385" s="33"/>
      <c r="AH385" s="33"/>
      <c r="AI385" s="33"/>
      <c r="AJ385" s="33"/>
      <c r="AK385" s="33"/>
      <c r="AL385" s="33"/>
      <c r="AM385" s="33"/>
      <c r="AN385" s="33"/>
      <c r="AO385" s="33"/>
      <c r="AP385" s="33"/>
      <c r="AQ385" s="33"/>
      <c r="AR385" s="33"/>
      <c r="AS385" s="33"/>
      <c r="AT385" s="34"/>
      <c r="AU385" s="1679"/>
      <c r="AV385" s="2256">
        <f t="shared" si="236"/>
        <v>0</v>
      </c>
      <c r="AW385" s="2256">
        <f t="shared" si="237"/>
        <v>0</v>
      </c>
      <c r="AX385" s="2256">
        <f t="shared" si="238"/>
        <v>0</v>
      </c>
      <c r="AY385" s="2781">
        <f t="shared" si="213"/>
        <v>0</v>
      </c>
      <c r="AZ385" s="28">
        <f t="shared" si="214"/>
        <v>0</v>
      </c>
      <c r="BA385" s="28">
        <f t="shared" si="215"/>
        <v>0</v>
      </c>
      <c r="BB385" s="28">
        <f t="shared" si="216"/>
        <v>0</v>
      </c>
      <c r="BC385" s="28">
        <f t="shared" si="217"/>
        <v>0</v>
      </c>
      <c r="BD385" s="3439">
        <f t="shared" si="218"/>
        <v>0</v>
      </c>
      <c r="BE385" s="3439">
        <f t="shared" si="219"/>
        <v>0</v>
      </c>
      <c r="BF385" s="3439">
        <f t="shared" si="220"/>
        <v>0</v>
      </c>
      <c r="BG385" s="3439">
        <f t="shared" si="221"/>
        <v>0</v>
      </c>
      <c r="BH385" s="3439">
        <f t="shared" si="222"/>
        <v>0</v>
      </c>
      <c r="BI385" s="3439">
        <f t="shared" si="223"/>
        <v>0</v>
      </c>
      <c r="BJ385" s="3439">
        <f t="shared" si="224"/>
        <v>0</v>
      </c>
      <c r="BK385" s="3439">
        <f t="shared" si="225"/>
        <v>0</v>
      </c>
      <c r="BL385" s="28">
        <f t="shared" si="226"/>
        <v>0</v>
      </c>
      <c r="BM385" s="28">
        <f t="shared" si="227"/>
        <v>0</v>
      </c>
      <c r="BN385" s="28">
        <f t="shared" si="228"/>
        <v>0</v>
      </c>
      <c r="BO385" s="28">
        <f t="shared" si="229"/>
        <v>0</v>
      </c>
      <c r="BP385" s="28">
        <f t="shared" si="230"/>
        <v>0</v>
      </c>
      <c r="BQ385" s="3439">
        <f t="shared" si="231"/>
        <v>0</v>
      </c>
      <c r="BR385" s="3439">
        <f t="shared" si="232"/>
        <v>0</v>
      </c>
      <c r="BS385" s="3439">
        <f t="shared" si="233"/>
        <v>0</v>
      </c>
      <c r="BT385" s="3451">
        <f t="shared" si="234"/>
        <v>0</v>
      </c>
    </row>
    <row r="386" spans="1:72">
      <c r="A386" s="9"/>
      <c r="B386" s="27"/>
      <c r="C386" s="27"/>
      <c r="D386" s="1678"/>
      <c r="E386" s="28">
        <f t="shared" si="235"/>
        <v>0</v>
      </c>
      <c r="F386" s="29"/>
      <c r="G386" s="30">
        <f t="shared" si="210"/>
        <v>0</v>
      </c>
      <c r="H386" s="31">
        <f t="shared" si="211"/>
        <v>0</v>
      </c>
      <c r="I386" s="32"/>
      <c r="J386" s="32"/>
      <c r="K386" s="32"/>
      <c r="L386" s="32"/>
      <c r="M386" s="32"/>
      <c r="N386" s="32"/>
      <c r="O386" s="32"/>
      <c r="P386" s="32"/>
      <c r="Q386" s="32"/>
      <c r="R386" s="32"/>
      <c r="S386" s="32"/>
      <c r="T386" s="32"/>
      <c r="U386" s="32"/>
      <c r="V386" s="32"/>
      <c r="W386" s="32"/>
      <c r="X386" s="32"/>
      <c r="Y386" s="32"/>
      <c r="Z386" s="32"/>
      <c r="AA386" s="32"/>
      <c r="AB386" s="32"/>
      <c r="AC386" s="28">
        <f t="shared" si="212"/>
        <v>0</v>
      </c>
      <c r="AD386" s="33"/>
      <c r="AE386" s="33"/>
      <c r="AF386" s="33"/>
      <c r="AG386" s="33"/>
      <c r="AH386" s="33"/>
      <c r="AI386" s="33"/>
      <c r="AJ386" s="33"/>
      <c r="AK386" s="33"/>
      <c r="AL386" s="33"/>
      <c r="AM386" s="33"/>
      <c r="AN386" s="33"/>
      <c r="AO386" s="33"/>
      <c r="AP386" s="33"/>
      <c r="AQ386" s="33"/>
      <c r="AR386" s="33"/>
      <c r="AS386" s="33"/>
      <c r="AT386" s="34"/>
      <c r="AU386" s="1679"/>
      <c r="AV386" s="2256">
        <f t="shared" si="236"/>
        <v>0</v>
      </c>
      <c r="AW386" s="2256">
        <f t="shared" si="237"/>
        <v>0</v>
      </c>
      <c r="AX386" s="2256">
        <f t="shared" si="238"/>
        <v>0</v>
      </c>
      <c r="AY386" s="2781">
        <f t="shared" si="213"/>
        <v>0</v>
      </c>
      <c r="AZ386" s="28">
        <f t="shared" si="214"/>
        <v>0</v>
      </c>
      <c r="BA386" s="28">
        <f t="shared" si="215"/>
        <v>0</v>
      </c>
      <c r="BB386" s="28">
        <f t="shared" si="216"/>
        <v>0</v>
      </c>
      <c r="BC386" s="28">
        <f t="shared" si="217"/>
        <v>0</v>
      </c>
      <c r="BD386" s="3439">
        <f t="shared" si="218"/>
        <v>0</v>
      </c>
      <c r="BE386" s="3439">
        <f t="shared" si="219"/>
        <v>0</v>
      </c>
      <c r="BF386" s="3439">
        <f t="shared" si="220"/>
        <v>0</v>
      </c>
      <c r="BG386" s="3439">
        <f t="shared" si="221"/>
        <v>0</v>
      </c>
      <c r="BH386" s="3439">
        <f t="shared" si="222"/>
        <v>0</v>
      </c>
      <c r="BI386" s="3439">
        <f t="shared" si="223"/>
        <v>0</v>
      </c>
      <c r="BJ386" s="3439">
        <f t="shared" si="224"/>
        <v>0</v>
      </c>
      <c r="BK386" s="3439">
        <f t="shared" si="225"/>
        <v>0</v>
      </c>
      <c r="BL386" s="28">
        <f t="shared" si="226"/>
        <v>0</v>
      </c>
      <c r="BM386" s="28">
        <f t="shared" si="227"/>
        <v>0</v>
      </c>
      <c r="BN386" s="28">
        <f t="shared" si="228"/>
        <v>0</v>
      </c>
      <c r="BO386" s="28">
        <f t="shared" si="229"/>
        <v>0</v>
      </c>
      <c r="BP386" s="28">
        <f t="shared" si="230"/>
        <v>0</v>
      </c>
      <c r="BQ386" s="3439">
        <f t="shared" si="231"/>
        <v>0</v>
      </c>
      <c r="BR386" s="3439">
        <f t="shared" si="232"/>
        <v>0</v>
      </c>
      <c r="BS386" s="3439">
        <f t="shared" si="233"/>
        <v>0</v>
      </c>
      <c r="BT386" s="3451">
        <f t="shared" si="234"/>
        <v>0</v>
      </c>
    </row>
    <row r="387" spans="1:72">
      <c r="A387" s="9"/>
      <c r="B387" s="27"/>
      <c r="C387" s="27"/>
      <c r="D387" s="1678"/>
      <c r="E387" s="28">
        <f t="shared" si="235"/>
        <v>0</v>
      </c>
      <c r="F387" s="29"/>
      <c r="G387" s="30">
        <f t="shared" si="210"/>
        <v>0</v>
      </c>
      <c r="H387" s="31">
        <f t="shared" si="211"/>
        <v>0</v>
      </c>
      <c r="I387" s="32"/>
      <c r="J387" s="32"/>
      <c r="K387" s="32"/>
      <c r="L387" s="32"/>
      <c r="M387" s="32"/>
      <c r="N387" s="32"/>
      <c r="O387" s="32"/>
      <c r="P387" s="32"/>
      <c r="Q387" s="32"/>
      <c r="R387" s="32"/>
      <c r="S387" s="32"/>
      <c r="T387" s="32"/>
      <c r="U387" s="32"/>
      <c r="V387" s="32"/>
      <c r="W387" s="32"/>
      <c r="X387" s="32"/>
      <c r="Y387" s="32"/>
      <c r="Z387" s="32"/>
      <c r="AA387" s="32"/>
      <c r="AB387" s="32"/>
      <c r="AC387" s="28">
        <f t="shared" si="212"/>
        <v>0</v>
      </c>
      <c r="AD387" s="33"/>
      <c r="AE387" s="33"/>
      <c r="AF387" s="33"/>
      <c r="AG387" s="33"/>
      <c r="AH387" s="33"/>
      <c r="AI387" s="33"/>
      <c r="AJ387" s="33"/>
      <c r="AK387" s="33"/>
      <c r="AL387" s="33"/>
      <c r="AM387" s="33"/>
      <c r="AN387" s="33"/>
      <c r="AO387" s="33"/>
      <c r="AP387" s="33"/>
      <c r="AQ387" s="33"/>
      <c r="AR387" s="33"/>
      <c r="AS387" s="33"/>
      <c r="AT387" s="34"/>
      <c r="AU387" s="1679"/>
      <c r="AV387" s="2256">
        <f t="shared" si="236"/>
        <v>0</v>
      </c>
      <c r="AW387" s="2256">
        <f t="shared" si="237"/>
        <v>0</v>
      </c>
      <c r="AX387" s="2256">
        <f t="shared" si="238"/>
        <v>0</v>
      </c>
      <c r="AY387" s="2781">
        <f t="shared" si="213"/>
        <v>0</v>
      </c>
      <c r="AZ387" s="28">
        <f t="shared" si="214"/>
        <v>0</v>
      </c>
      <c r="BA387" s="28">
        <f t="shared" si="215"/>
        <v>0</v>
      </c>
      <c r="BB387" s="28">
        <f t="shared" si="216"/>
        <v>0</v>
      </c>
      <c r="BC387" s="28">
        <f t="shared" si="217"/>
        <v>0</v>
      </c>
      <c r="BD387" s="3439">
        <f t="shared" si="218"/>
        <v>0</v>
      </c>
      <c r="BE387" s="3439">
        <f t="shared" si="219"/>
        <v>0</v>
      </c>
      <c r="BF387" s="3439">
        <f t="shared" si="220"/>
        <v>0</v>
      </c>
      <c r="BG387" s="3439">
        <f t="shared" si="221"/>
        <v>0</v>
      </c>
      <c r="BH387" s="3439">
        <f t="shared" si="222"/>
        <v>0</v>
      </c>
      <c r="BI387" s="3439">
        <f t="shared" si="223"/>
        <v>0</v>
      </c>
      <c r="BJ387" s="3439">
        <f t="shared" si="224"/>
        <v>0</v>
      </c>
      <c r="BK387" s="3439">
        <f t="shared" si="225"/>
        <v>0</v>
      </c>
      <c r="BL387" s="28">
        <f t="shared" si="226"/>
        <v>0</v>
      </c>
      <c r="BM387" s="28">
        <f t="shared" si="227"/>
        <v>0</v>
      </c>
      <c r="BN387" s="28">
        <f t="shared" si="228"/>
        <v>0</v>
      </c>
      <c r="BO387" s="28">
        <f t="shared" si="229"/>
        <v>0</v>
      </c>
      <c r="BP387" s="28">
        <f t="shared" si="230"/>
        <v>0</v>
      </c>
      <c r="BQ387" s="3439">
        <f t="shared" si="231"/>
        <v>0</v>
      </c>
      <c r="BR387" s="3439">
        <f t="shared" si="232"/>
        <v>0</v>
      </c>
      <c r="BS387" s="3439">
        <f t="shared" si="233"/>
        <v>0</v>
      </c>
      <c r="BT387" s="3451">
        <f t="shared" si="234"/>
        <v>0</v>
      </c>
    </row>
    <row r="388" spans="1:72">
      <c r="A388" s="9"/>
      <c r="B388" s="27"/>
      <c r="C388" s="27"/>
      <c r="D388" s="1678"/>
      <c r="E388" s="28">
        <f t="shared" si="235"/>
        <v>0</v>
      </c>
      <c r="F388" s="29"/>
      <c r="G388" s="30">
        <f t="shared" si="210"/>
        <v>0</v>
      </c>
      <c r="H388" s="31">
        <f t="shared" si="211"/>
        <v>0</v>
      </c>
      <c r="I388" s="32"/>
      <c r="J388" s="32"/>
      <c r="K388" s="32"/>
      <c r="L388" s="32"/>
      <c r="M388" s="32"/>
      <c r="N388" s="32"/>
      <c r="O388" s="32"/>
      <c r="P388" s="32"/>
      <c r="Q388" s="32"/>
      <c r="R388" s="32"/>
      <c r="S388" s="32"/>
      <c r="T388" s="32"/>
      <c r="U388" s="32"/>
      <c r="V388" s="32"/>
      <c r="W388" s="32"/>
      <c r="X388" s="32"/>
      <c r="Y388" s="32"/>
      <c r="Z388" s="32"/>
      <c r="AA388" s="32"/>
      <c r="AB388" s="32"/>
      <c r="AC388" s="28">
        <f t="shared" si="212"/>
        <v>0</v>
      </c>
      <c r="AD388" s="33"/>
      <c r="AE388" s="33"/>
      <c r="AF388" s="33"/>
      <c r="AG388" s="33"/>
      <c r="AH388" s="33"/>
      <c r="AI388" s="33"/>
      <c r="AJ388" s="33"/>
      <c r="AK388" s="33"/>
      <c r="AL388" s="33"/>
      <c r="AM388" s="33"/>
      <c r="AN388" s="33"/>
      <c r="AO388" s="33"/>
      <c r="AP388" s="33"/>
      <c r="AQ388" s="33"/>
      <c r="AR388" s="33"/>
      <c r="AS388" s="33"/>
      <c r="AT388" s="34"/>
      <c r="AU388" s="1679"/>
      <c r="AV388" s="2256">
        <f t="shared" si="236"/>
        <v>0</v>
      </c>
      <c r="AW388" s="2256">
        <f t="shared" si="237"/>
        <v>0</v>
      </c>
      <c r="AX388" s="2256">
        <f t="shared" si="238"/>
        <v>0</v>
      </c>
      <c r="AY388" s="2781">
        <f t="shared" si="213"/>
        <v>0</v>
      </c>
      <c r="AZ388" s="28">
        <f t="shared" si="214"/>
        <v>0</v>
      </c>
      <c r="BA388" s="28">
        <f t="shared" si="215"/>
        <v>0</v>
      </c>
      <c r="BB388" s="28">
        <f t="shared" si="216"/>
        <v>0</v>
      </c>
      <c r="BC388" s="28">
        <f t="shared" si="217"/>
        <v>0</v>
      </c>
      <c r="BD388" s="3439">
        <f t="shared" si="218"/>
        <v>0</v>
      </c>
      <c r="BE388" s="3439">
        <f t="shared" si="219"/>
        <v>0</v>
      </c>
      <c r="BF388" s="3439">
        <f t="shared" si="220"/>
        <v>0</v>
      </c>
      <c r="BG388" s="3439">
        <f t="shared" si="221"/>
        <v>0</v>
      </c>
      <c r="BH388" s="3439">
        <f t="shared" si="222"/>
        <v>0</v>
      </c>
      <c r="BI388" s="3439">
        <f t="shared" si="223"/>
        <v>0</v>
      </c>
      <c r="BJ388" s="3439">
        <f t="shared" si="224"/>
        <v>0</v>
      </c>
      <c r="BK388" s="3439">
        <f t="shared" si="225"/>
        <v>0</v>
      </c>
      <c r="BL388" s="28">
        <f t="shared" si="226"/>
        <v>0</v>
      </c>
      <c r="BM388" s="28">
        <f t="shared" si="227"/>
        <v>0</v>
      </c>
      <c r="BN388" s="28">
        <f t="shared" si="228"/>
        <v>0</v>
      </c>
      <c r="BO388" s="28">
        <f t="shared" si="229"/>
        <v>0</v>
      </c>
      <c r="BP388" s="28">
        <f t="shared" si="230"/>
        <v>0</v>
      </c>
      <c r="BQ388" s="3439">
        <f t="shared" si="231"/>
        <v>0</v>
      </c>
      <c r="BR388" s="3439">
        <f t="shared" si="232"/>
        <v>0</v>
      </c>
      <c r="BS388" s="3439">
        <f t="shared" si="233"/>
        <v>0</v>
      </c>
      <c r="BT388" s="3451">
        <f t="shared" si="234"/>
        <v>0</v>
      </c>
    </row>
    <row r="389" spans="1:72">
      <c r="A389" s="9"/>
      <c r="B389" s="27"/>
      <c r="C389" s="27"/>
      <c r="D389" s="1678"/>
      <c r="E389" s="28">
        <f t="shared" si="235"/>
        <v>0</v>
      </c>
      <c r="F389" s="29"/>
      <c r="G389" s="30">
        <f t="shared" si="210"/>
        <v>0</v>
      </c>
      <c r="H389" s="31">
        <f t="shared" si="211"/>
        <v>0</v>
      </c>
      <c r="I389" s="32"/>
      <c r="J389" s="32"/>
      <c r="K389" s="32"/>
      <c r="L389" s="32"/>
      <c r="M389" s="32"/>
      <c r="N389" s="32"/>
      <c r="O389" s="32"/>
      <c r="P389" s="32"/>
      <c r="Q389" s="32"/>
      <c r="R389" s="32"/>
      <c r="S389" s="32"/>
      <c r="T389" s="32"/>
      <c r="U389" s="32"/>
      <c r="V389" s="32"/>
      <c r="W389" s="32"/>
      <c r="X389" s="32"/>
      <c r="Y389" s="32"/>
      <c r="Z389" s="32"/>
      <c r="AA389" s="32"/>
      <c r="AB389" s="32"/>
      <c r="AC389" s="28">
        <f t="shared" si="212"/>
        <v>0</v>
      </c>
      <c r="AD389" s="33"/>
      <c r="AE389" s="33"/>
      <c r="AF389" s="33"/>
      <c r="AG389" s="33"/>
      <c r="AH389" s="33"/>
      <c r="AI389" s="33"/>
      <c r="AJ389" s="33"/>
      <c r="AK389" s="33"/>
      <c r="AL389" s="33"/>
      <c r="AM389" s="33"/>
      <c r="AN389" s="33"/>
      <c r="AO389" s="33"/>
      <c r="AP389" s="33"/>
      <c r="AQ389" s="33"/>
      <c r="AR389" s="33"/>
      <c r="AS389" s="33"/>
      <c r="AT389" s="34"/>
      <c r="AU389" s="1679"/>
      <c r="AV389" s="2256">
        <f t="shared" si="236"/>
        <v>0</v>
      </c>
      <c r="AW389" s="2256">
        <f t="shared" si="237"/>
        <v>0</v>
      </c>
      <c r="AX389" s="2256">
        <f t="shared" si="238"/>
        <v>0</v>
      </c>
      <c r="AY389" s="2781">
        <f t="shared" si="213"/>
        <v>0</v>
      </c>
      <c r="AZ389" s="28">
        <f t="shared" si="214"/>
        <v>0</v>
      </c>
      <c r="BA389" s="28">
        <f t="shared" si="215"/>
        <v>0</v>
      </c>
      <c r="BB389" s="28">
        <f t="shared" si="216"/>
        <v>0</v>
      </c>
      <c r="BC389" s="28">
        <f t="shared" si="217"/>
        <v>0</v>
      </c>
      <c r="BD389" s="3439">
        <f t="shared" si="218"/>
        <v>0</v>
      </c>
      <c r="BE389" s="3439">
        <f t="shared" si="219"/>
        <v>0</v>
      </c>
      <c r="BF389" s="3439">
        <f t="shared" si="220"/>
        <v>0</v>
      </c>
      <c r="BG389" s="3439">
        <f t="shared" si="221"/>
        <v>0</v>
      </c>
      <c r="BH389" s="3439">
        <f t="shared" si="222"/>
        <v>0</v>
      </c>
      <c r="BI389" s="3439">
        <f t="shared" si="223"/>
        <v>0</v>
      </c>
      <c r="BJ389" s="3439">
        <f t="shared" si="224"/>
        <v>0</v>
      </c>
      <c r="BK389" s="3439">
        <f t="shared" si="225"/>
        <v>0</v>
      </c>
      <c r="BL389" s="28">
        <f t="shared" si="226"/>
        <v>0</v>
      </c>
      <c r="BM389" s="28">
        <f t="shared" si="227"/>
        <v>0</v>
      </c>
      <c r="BN389" s="28">
        <f t="shared" si="228"/>
        <v>0</v>
      </c>
      <c r="BO389" s="28">
        <f t="shared" si="229"/>
        <v>0</v>
      </c>
      <c r="BP389" s="28">
        <f t="shared" si="230"/>
        <v>0</v>
      </c>
      <c r="BQ389" s="3439">
        <f t="shared" si="231"/>
        <v>0</v>
      </c>
      <c r="BR389" s="3439">
        <f t="shared" si="232"/>
        <v>0</v>
      </c>
      <c r="BS389" s="3439">
        <f t="shared" si="233"/>
        <v>0</v>
      </c>
      <c r="BT389" s="3451">
        <f t="shared" si="234"/>
        <v>0</v>
      </c>
    </row>
    <row r="390" spans="1:72">
      <c r="A390" s="9"/>
      <c r="B390" s="27"/>
      <c r="C390" s="27"/>
      <c r="D390" s="1678"/>
      <c r="E390" s="28">
        <f t="shared" si="235"/>
        <v>0</v>
      </c>
      <c r="F390" s="29"/>
      <c r="G390" s="30">
        <f t="shared" si="210"/>
        <v>0</v>
      </c>
      <c r="H390" s="31">
        <f t="shared" si="211"/>
        <v>0</v>
      </c>
      <c r="I390" s="32"/>
      <c r="J390" s="32"/>
      <c r="K390" s="32"/>
      <c r="L390" s="32"/>
      <c r="M390" s="32"/>
      <c r="N390" s="32"/>
      <c r="O390" s="32"/>
      <c r="P390" s="32"/>
      <c r="Q390" s="32"/>
      <c r="R390" s="32"/>
      <c r="S390" s="32"/>
      <c r="T390" s="32"/>
      <c r="U390" s="32"/>
      <c r="V390" s="32"/>
      <c r="W390" s="32"/>
      <c r="X390" s="32"/>
      <c r="Y390" s="32"/>
      <c r="Z390" s="32"/>
      <c r="AA390" s="32"/>
      <c r="AB390" s="32"/>
      <c r="AC390" s="28">
        <f t="shared" si="212"/>
        <v>0</v>
      </c>
      <c r="AD390" s="33"/>
      <c r="AE390" s="33"/>
      <c r="AF390" s="33"/>
      <c r="AG390" s="33"/>
      <c r="AH390" s="33"/>
      <c r="AI390" s="33"/>
      <c r="AJ390" s="33"/>
      <c r="AK390" s="33"/>
      <c r="AL390" s="33"/>
      <c r="AM390" s="33"/>
      <c r="AN390" s="33"/>
      <c r="AO390" s="33"/>
      <c r="AP390" s="33"/>
      <c r="AQ390" s="33"/>
      <c r="AR390" s="33"/>
      <c r="AS390" s="33"/>
      <c r="AT390" s="34"/>
      <c r="AU390" s="1679"/>
      <c r="AV390" s="2256">
        <f t="shared" si="236"/>
        <v>0</v>
      </c>
      <c r="AW390" s="2256">
        <f t="shared" si="237"/>
        <v>0</v>
      </c>
      <c r="AX390" s="2256">
        <f t="shared" si="238"/>
        <v>0</v>
      </c>
      <c r="AY390" s="2781">
        <f t="shared" si="213"/>
        <v>0</v>
      </c>
      <c r="AZ390" s="28">
        <f t="shared" si="214"/>
        <v>0</v>
      </c>
      <c r="BA390" s="28">
        <f t="shared" si="215"/>
        <v>0</v>
      </c>
      <c r="BB390" s="28">
        <f t="shared" si="216"/>
        <v>0</v>
      </c>
      <c r="BC390" s="28">
        <f t="shared" si="217"/>
        <v>0</v>
      </c>
      <c r="BD390" s="3439">
        <f t="shared" si="218"/>
        <v>0</v>
      </c>
      <c r="BE390" s="3439">
        <f t="shared" si="219"/>
        <v>0</v>
      </c>
      <c r="BF390" s="3439">
        <f t="shared" si="220"/>
        <v>0</v>
      </c>
      <c r="BG390" s="3439">
        <f t="shared" si="221"/>
        <v>0</v>
      </c>
      <c r="BH390" s="3439">
        <f t="shared" si="222"/>
        <v>0</v>
      </c>
      <c r="BI390" s="3439">
        <f t="shared" si="223"/>
        <v>0</v>
      </c>
      <c r="BJ390" s="3439">
        <f t="shared" si="224"/>
        <v>0</v>
      </c>
      <c r="BK390" s="3439">
        <f t="shared" si="225"/>
        <v>0</v>
      </c>
      <c r="BL390" s="28">
        <f t="shared" si="226"/>
        <v>0</v>
      </c>
      <c r="BM390" s="28">
        <f t="shared" si="227"/>
        <v>0</v>
      </c>
      <c r="BN390" s="28">
        <f t="shared" si="228"/>
        <v>0</v>
      </c>
      <c r="BO390" s="28">
        <f t="shared" si="229"/>
        <v>0</v>
      </c>
      <c r="BP390" s="28">
        <f t="shared" si="230"/>
        <v>0</v>
      </c>
      <c r="BQ390" s="3439">
        <f t="shared" si="231"/>
        <v>0</v>
      </c>
      <c r="BR390" s="3439">
        <f t="shared" si="232"/>
        <v>0</v>
      </c>
      <c r="BS390" s="3439">
        <f t="shared" si="233"/>
        <v>0</v>
      </c>
      <c r="BT390" s="3451">
        <f t="shared" si="234"/>
        <v>0</v>
      </c>
    </row>
    <row r="391" spans="1:72">
      <c r="A391" s="9"/>
      <c r="B391" s="27"/>
      <c r="C391" s="27"/>
      <c r="D391" s="1678"/>
      <c r="E391" s="28">
        <f t="shared" si="235"/>
        <v>0</v>
      </c>
      <c r="F391" s="29"/>
      <c r="G391" s="30">
        <f t="shared" si="210"/>
        <v>0</v>
      </c>
      <c r="H391" s="31">
        <f t="shared" si="211"/>
        <v>0</v>
      </c>
      <c r="I391" s="32"/>
      <c r="J391" s="32"/>
      <c r="K391" s="32"/>
      <c r="L391" s="32"/>
      <c r="M391" s="32"/>
      <c r="N391" s="32"/>
      <c r="O391" s="32"/>
      <c r="P391" s="32"/>
      <c r="Q391" s="32"/>
      <c r="R391" s="32"/>
      <c r="S391" s="32"/>
      <c r="T391" s="32"/>
      <c r="U391" s="32"/>
      <c r="V391" s="32"/>
      <c r="W391" s="32"/>
      <c r="X391" s="32"/>
      <c r="Y391" s="32"/>
      <c r="Z391" s="32"/>
      <c r="AA391" s="32"/>
      <c r="AB391" s="32"/>
      <c r="AC391" s="28">
        <f t="shared" si="212"/>
        <v>0</v>
      </c>
      <c r="AD391" s="33"/>
      <c r="AE391" s="33"/>
      <c r="AF391" s="33"/>
      <c r="AG391" s="33"/>
      <c r="AH391" s="33"/>
      <c r="AI391" s="33"/>
      <c r="AJ391" s="33"/>
      <c r="AK391" s="33"/>
      <c r="AL391" s="33"/>
      <c r="AM391" s="33"/>
      <c r="AN391" s="33"/>
      <c r="AO391" s="33"/>
      <c r="AP391" s="33"/>
      <c r="AQ391" s="33"/>
      <c r="AR391" s="33"/>
      <c r="AS391" s="33"/>
      <c r="AT391" s="34"/>
      <c r="AU391" s="1679"/>
      <c r="AV391" s="2256">
        <f t="shared" si="236"/>
        <v>0</v>
      </c>
      <c r="AW391" s="2256">
        <f t="shared" si="237"/>
        <v>0</v>
      </c>
      <c r="AX391" s="2256">
        <f t="shared" si="238"/>
        <v>0</v>
      </c>
      <c r="AY391" s="2781">
        <f t="shared" si="213"/>
        <v>0</v>
      </c>
      <c r="AZ391" s="28">
        <f t="shared" si="214"/>
        <v>0</v>
      </c>
      <c r="BA391" s="28">
        <f t="shared" si="215"/>
        <v>0</v>
      </c>
      <c r="BB391" s="28">
        <f t="shared" si="216"/>
        <v>0</v>
      </c>
      <c r="BC391" s="28">
        <f t="shared" si="217"/>
        <v>0</v>
      </c>
      <c r="BD391" s="3439">
        <f t="shared" si="218"/>
        <v>0</v>
      </c>
      <c r="BE391" s="3439">
        <f t="shared" si="219"/>
        <v>0</v>
      </c>
      <c r="BF391" s="3439">
        <f t="shared" si="220"/>
        <v>0</v>
      </c>
      <c r="BG391" s="3439">
        <f t="shared" si="221"/>
        <v>0</v>
      </c>
      <c r="BH391" s="3439">
        <f t="shared" si="222"/>
        <v>0</v>
      </c>
      <c r="BI391" s="3439">
        <f t="shared" si="223"/>
        <v>0</v>
      </c>
      <c r="BJ391" s="3439">
        <f t="shared" si="224"/>
        <v>0</v>
      </c>
      <c r="BK391" s="3439">
        <f t="shared" si="225"/>
        <v>0</v>
      </c>
      <c r="BL391" s="28">
        <f t="shared" si="226"/>
        <v>0</v>
      </c>
      <c r="BM391" s="28">
        <f t="shared" si="227"/>
        <v>0</v>
      </c>
      <c r="BN391" s="28">
        <f t="shared" si="228"/>
        <v>0</v>
      </c>
      <c r="BO391" s="28">
        <f t="shared" si="229"/>
        <v>0</v>
      </c>
      <c r="BP391" s="28">
        <f t="shared" si="230"/>
        <v>0</v>
      </c>
      <c r="BQ391" s="3439">
        <f t="shared" si="231"/>
        <v>0</v>
      </c>
      <c r="BR391" s="3439">
        <f t="shared" si="232"/>
        <v>0</v>
      </c>
      <c r="BS391" s="3439">
        <f t="shared" si="233"/>
        <v>0</v>
      </c>
      <c r="BT391" s="3451">
        <f t="shared" si="234"/>
        <v>0</v>
      </c>
    </row>
    <row r="392" spans="1:72">
      <c r="A392" s="9"/>
      <c r="B392" s="27"/>
      <c r="C392" s="27"/>
      <c r="D392" s="1678"/>
      <c r="E392" s="28">
        <f t="shared" si="235"/>
        <v>0</v>
      </c>
      <c r="F392" s="29"/>
      <c r="G392" s="30">
        <f t="shared" si="210"/>
        <v>0</v>
      </c>
      <c r="H392" s="31">
        <f t="shared" si="211"/>
        <v>0</v>
      </c>
      <c r="I392" s="32"/>
      <c r="J392" s="32"/>
      <c r="K392" s="32"/>
      <c r="L392" s="32"/>
      <c r="M392" s="32"/>
      <c r="N392" s="32"/>
      <c r="O392" s="32"/>
      <c r="P392" s="32"/>
      <c r="Q392" s="32"/>
      <c r="R392" s="32"/>
      <c r="S392" s="32"/>
      <c r="T392" s="32"/>
      <c r="U392" s="32"/>
      <c r="V392" s="32"/>
      <c r="W392" s="32"/>
      <c r="X392" s="32"/>
      <c r="Y392" s="32"/>
      <c r="Z392" s="32"/>
      <c r="AA392" s="32"/>
      <c r="AB392" s="32"/>
      <c r="AC392" s="28">
        <f t="shared" si="212"/>
        <v>0</v>
      </c>
      <c r="AD392" s="33"/>
      <c r="AE392" s="33"/>
      <c r="AF392" s="33"/>
      <c r="AG392" s="33"/>
      <c r="AH392" s="33"/>
      <c r="AI392" s="33"/>
      <c r="AJ392" s="33"/>
      <c r="AK392" s="33"/>
      <c r="AL392" s="33"/>
      <c r="AM392" s="33"/>
      <c r="AN392" s="33"/>
      <c r="AO392" s="33"/>
      <c r="AP392" s="33"/>
      <c r="AQ392" s="33"/>
      <c r="AR392" s="33"/>
      <c r="AS392" s="33"/>
      <c r="AT392" s="34"/>
      <c r="AU392" s="1679"/>
      <c r="AV392" s="2256">
        <f t="shared" si="236"/>
        <v>0</v>
      </c>
      <c r="AW392" s="2256">
        <f t="shared" si="237"/>
        <v>0</v>
      </c>
      <c r="AX392" s="2256">
        <f t="shared" si="238"/>
        <v>0</v>
      </c>
      <c r="AY392" s="2781">
        <f t="shared" si="213"/>
        <v>0</v>
      </c>
      <c r="AZ392" s="28">
        <f t="shared" si="214"/>
        <v>0</v>
      </c>
      <c r="BA392" s="28">
        <f t="shared" si="215"/>
        <v>0</v>
      </c>
      <c r="BB392" s="28">
        <f t="shared" si="216"/>
        <v>0</v>
      </c>
      <c r="BC392" s="28">
        <f t="shared" si="217"/>
        <v>0</v>
      </c>
      <c r="BD392" s="3439">
        <f t="shared" si="218"/>
        <v>0</v>
      </c>
      <c r="BE392" s="3439">
        <f t="shared" si="219"/>
        <v>0</v>
      </c>
      <c r="BF392" s="3439">
        <f t="shared" si="220"/>
        <v>0</v>
      </c>
      <c r="BG392" s="3439">
        <f t="shared" si="221"/>
        <v>0</v>
      </c>
      <c r="BH392" s="3439">
        <f t="shared" si="222"/>
        <v>0</v>
      </c>
      <c r="BI392" s="3439">
        <f t="shared" si="223"/>
        <v>0</v>
      </c>
      <c r="BJ392" s="3439">
        <f t="shared" si="224"/>
        <v>0</v>
      </c>
      <c r="BK392" s="3439">
        <f t="shared" si="225"/>
        <v>0</v>
      </c>
      <c r="BL392" s="28">
        <f t="shared" si="226"/>
        <v>0</v>
      </c>
      <c r="BM392" s="28">
        <f t="shared" si="227"/>
        <v>0</v>
      </c>
      <c r="BN392" s="28">
        <f t="shared" si="228"/>
        <v>0</v>
      </c>
      <c r="BO392" s="28">
        <f t="shared" si="229"/>
        <v>0</v>
      </c>
      <c r="BP392" s="28">
        <f t="shared" si="230"/>
        <v>0</v>
      </c>
      <c r="BQ392" s="3439">
        <f t="shared" si="231"/>
        <v>0</v>
      </c>
      <c r="BR392" s="3439">
        <f t="shared" si="232"/>
        <v>0</v>
      </c>
      <c r="BS392" s="3439">
        <f t="shared" si="233"/>
        <v>0</v>
      </c>
      <c r="BT392" s="3451">
        <f t="shared" si="234"/>
        <v>0</v>
      </c>
    </row>
    <row r="393" spans="1:72">
      <c r="A393" s="9"/>
      <c r="B393" s="27"/>
      <c r="C393" s="27"/>
      <c r="D393" s="1678"/>
      <c r="E393" s="28">
        <f t="shared" si="235"/>
        <v>0</v>
      </c>
      <c r="F393" s="29"/>
      <c r="G393" s="30">
        <f t="shared" si="210"/>
        <v>0</v>
      </c>
      <c r="H393" s="31">
        <f t="shared" si="211"/>
        <v>0</v>
      </c>
      <c r="I393" s="32"/>
      <c r="J393" s="32"/>
      <c r="K393" s="32"/>
      <c r="L393" s="32"/>
      <c r="M393" s="32"/>
      <c r="N393" s="32"/>
      <c r="O393" s="32"/>
      <c r="P393" s="32"/>
      <c r="Q393" s="32"/>
      <c r="R393" s="32"/>
      <c r="S393" s="32"/>
      <c r="T393" s="32"/>
      <c r="U393" s="32"/>
      <c r="V393" s="32"/>
      <c r="W393" s="32"/>
      <c r="X393" s="32"/>
      <c r="Y393" s="32"/>
      <c r="Z393" s="32"/>
      <c r="AA393" s="32"/>
      <c r="AB393" s="32"/>
      <c r="AC393" s="28">
        <f t="shared" si="212"/>
        <v>0</v>
      </c>
      <c r="AD393" s="33"/>
      <c r="AE393" s="33"/>
      <c r="AF393" s="33"/>
      <c r="AG393" s="33"/>
      <c r="AH393" s="33"/>
      <c r="AI393" s="33"/>
      <c r="AJ393" s="33"/>
      <c r="AK393" s="33"/>
      <c r="AL393" s="33"/>
      <c r="AM393" s="33"/>
      <c r="AN393" s="33"/>
      <c r="AO393" s="33"/>
      <c r="AP393" s="33"/>
      <c r="AQ393" s="33"/>
      <c r="AR393" s="33"/>
      <c r="AS393" s="33"/>
      <c r="AT393" s="34"/>
      <c r="AU393" s="1679"/>
      <c r="AV393" s="2256">
        <f t="shared" si="236"/>
        <v>0</v>
      </c>
      <c r="AW393" s="2256">
        <f t="shared" si="237"/>
        <v>0</v>
      </c>
      <c r="AX393" s="2256">
        <f t="shared" si="238"/>
        <v>0</v>
      </c>
      <c r="AY393" s="2781">
        <f t="shared" si="213"/>
        <v>0</v>
      </c>
      <c r="AZ393" s="28">
        <f t="shared" si="214"/>
        <v>0</v>
      </c>
      <c r="BA393" s="28">
        <f t="shared" si="215"/>
        <v>0</v>
      </c>
      <c r="BB393" s="28">
        <f t="shared" si="216"/>
        <v>0</v>
      </c>
      <c r="BC393" s="28">
        <f t="shared" si="217"/>
        <v>0</v>
      </c>
      <c r="BD393" s="3439">
        <f t="shared" si="218"/>
        <v>0</v>
      </c>
      <c r="BE393" s="3439">
        <f t="shared" si="219"/>
        <v>0</v>
      </c>
      <c r="BF393" s="3439">
        <f t="shared" si="220"/>
        <v>0</v>
      </c>
      <c r="BG393" s="3439">
        <f t="shared" si="221"/>
        <v>0</v>
      </c>
      <c r="BH393" s="3439">
        <f t="shared" si="222"/>
        <v>0</v>
      </c>
      <c r="BI393" s="3439">
        <f t="shared" si="223"/>
        <v>0</v>
      </c>
      <c r="BJ393" s="3439">
        <f t="shared" si="224"/>
        <v>0</v>
      </c>
      <c r="BK393" s="3439">
        <f t="shared" si="225"/>
        <v>0</v>
      </c>
      <c r="BL393" s="28">
        <f t="shared" si="226"/>
        <v>0</v>
      </c>
      <c r="BM393" s="28">
        <f t="shared" si="227"/>
        <v>0</v>
      </c>
      <c r="BN393" s="28">
        <f t="shared" si="228"/>
        <v>0</v>
      </c>
      <c r="BO393" s="28">
        <f t="shared" si="229"/>
        <v>0</v>
      </c>
      <c r="BP393" s="28">
        <f t="shared" si="230"/>
        <v>0</v>
      </c>
      <c r="BQ393" s="3439">
        <f t="shared" si="231"/>
        <v>0</v>
      </c>
      <c r="BR393" s="3439">
        <f t="shared" si="232"/>
        <v>0</v>
      </c>
      <c r="BS393" s="3439">
        <f t="shared" si="233"/>
        <v>0</v>
      </c>
      <c r="BT393" s="3451">
        <f t="shared" si="234"/>
        <v>0</v>
      </c>
    </row>
    <row r="394" spans="1:72">
      <c r="A394" s="9"/>
      <c r="B394" s="27"/>
      <c r="C394" s="27"/>
      <c r="D394" s="1678"/>
      <c r="E394" s="28">
        <f t="shared" si="235"/>
        <v>0</v>
      </c>
      <c r="F394" s="29"/>
      <c r="G394" s="30">
        <f t="shared" si="210"/>
        <v>0</v>
      </c>
      <c r="H394" s="31">
        <f t="shared" si="211"/>
        <v>0</v>
      </c>
      <c r="I394" s="32"/>
      <c r="J394" s="32"/>
      <c r="K394" s="32"/>
      <c r="L394" s="32"/>
      <c r="M394" s="32"/>
      <c r="N394" s="32"/>
      <c r="O394" s="32"/>
      <c r="P394" s="32"/>
      <c r="Q394" s="32"/>
      <c r="R394" s="32"/>
      <c r="S394" s="32"/>
      <c r="T394" s="32"/>
      <c r="U394" s="32"/>
      <c r="V394" s="32"/>
      <c r="W394" s="32"/>
      <c r="X394" s="32"/>
      <c r="Y394" s="32"/>
      <c r="Z394" s="32"/>
      <c r="AA394" s="32"/>
      <c r="AB394" s="32"/>
      <c r="AC394" s="28">
        <f t="shared" si="212"/>
        <v>0</v>
      </c>
      <c r="AD394" s="33"/>
      <c r="AE394" s="33"/>
      <c r="AF394" s="33"/>
      <c r="AG394" s="33"/>
      <c r="AH394" s="33"/>
      <c r="AI394" s="33"/>
      <c r="AJ394" s="33"/>
      <c r="AK394" s="33"/>
      <c r="AL394" s="33"/>
      <c r="AM394" s="33"/>
      <c r="AN394" s="33"/>
      <c r="AO394" s="33"/>
      <c r="AP394" s="33"/>
      <c r="AQ394" s="33"/>
      <c r="AR394" s="33"/>
      <c r="AS394" s="33"/>
      <c r="AT394" s="34"/>
      <c r="AU394" s="1679"/>
      <c r="AV394" s="2256">
        <f t="shared" si="236"/>
        <v>0</v>
      </c>
      <c r="AW394" s="2256">
        <f t="shared" si="237"/>
        <v>0</v>
      </c>
      <c r="AX394" s="2256">
        <f t="shared" si="238"/>
        <v>0</v>
      </c>
      <c r="AY394" s="2781">
        <f t="shared" si="213"/>
        <v>0</v>
      </c>
      <c r="AZ394" s="28">
        <f t="shared" si="214"/>
        <v>0</v>
      </c>
      <c r="BA394" s="28">
        <f t="shared" si="215"/>
        <v>0</v>
      </c>
      <c r="BB394" s="28">
        <f t="shared" si="216"/>
        <v>0</v>
      </c>
      <c r="BC394" s="28">
        <f t="shared" si="217"/>
        <v>0</v>
      </c>
      <c r="BD394" s="3439">
        <f t="shared" si="218"/>
        <v>0</v>
      </c>
      <c r="BE394" s="3439">
        <f t="shared" si="219"/>
        <v>0</v>
      </c>
      <c r="BF394" s="3439">
        <f t="shared" si="220"/>
        <v>0</v>
      </c>
      <c r="BG394" s="3439">
        <f t="shared" si="221"/>
        <v>0</v>
      </c>
      <c r="BH394" s="3439">
        <f t="shared" si="222"/>
        <v>0</v>
      </c>
      <c r="BI394" s="3439">
        <f t="shared" si="223"/>
        <v>0</v>
      </c>
      <c r="BJ394" s="3439">
        <f t="shared" si="224"/>
        <v>0</v>
      </c>
      <c r="BK394" s="3439">
        <f t="shared" si="225"/>
        <v>0</v>
      </c>
      <c r="BL394" s="28">
        <f t="shared" si="226"/>
        <v>0</v>
      </c>
      <c r="BM394" s="28">
        <f t="shared" si="227"/>
        <v>0</v>
      </c>
      <c r="BN394" s="28">
        <f t="shared" si="228"/>
        <v>0</v>
      </c>
      <c r="BO394" s="28">
        <f t="shared" si="229"/>
        <v>0</v>
      </c>
      <c r="BP394" s="28">
        <f t="shared" si="230"/>
        <v>0</v>
      </c>
      <c r="BQ394" s="3439">
        <f t="shared" si="231"/>
        <v>0</v>
      </c>
      <c r="BR394" s="3439">
        <f t="shared" si="232"/>
        <v>0</v>
      </c>
      <c r="BS394" s="3439">
        <f t="shared" si="233"/>
        <v>0</v>
      </c>
      <c r="BT394" s="3451">
        <f t="shared" si="234"/>
        <v>0</v>
      </c>
    </row>
    <row r="395" spans="1:72">
      <c r="A395" s="9"/>
      <c r="B395" s="9"/>
      <c r="C395" s="9"/>
      <c r="D395" s="1678"/>
      <c r="E395" s="28">
        <f t="shared" si="235"/>
        <v>0</v>
      </c>
      <c r="F395" s="37"/>
      <c r="G395" s="30">
        <f t="shared" si="210"/>
        <v>0</v>
      </c>
      <c r="H395" s="31">
        <f t="shared" si="211"/>
        <v>0</v>
      </c>
      <c r="I395" s="10"/>
      <c r="J395" s="10"/>
      <c r="K395" s="32"/>
      <c r="L395" s="32"/>
      <c r="M395" s="32"/>
      <c r="N395" s="32"/>
      <c r="O395" s="32"/>
      <c r="P395" s="32"/>
      <c r="Q395" s="32"/>
      <c r="R395" s="32"/>
      <c r="S395" s="32"/>
      <c r="T395" s="32"/>
      <c r="U395" s="32"/>
      <c r="V395" s="32"/>
      <c r="W395" s="32"/>
      <c r="X395" s="32"/>
      <c r="Y395" s="32"/>
      <c r="Z395" s="32"/>
      <c r="AA395" s="32"/>
      <c r="AB395" s="32"/>
      <c r="AC395" s="28">
        <f t="shared" si="212"/>
        <v>0</v>
      </c>
      <c r="AD395" s="33"/>
      <c r="AE395" s="33"/>
      <c r="AF395" s="33"/>
      <c r="AG395" s="33"/>
      <c r="AH395" s="33"/>
      <c r="AI395" s="33"/>
      <c r="AJ395" s="33"/>
      <c r="AK395" s="33"/>
      <c r="AL395" s="33"/>
      <c r="AM395" s="33"/>
      <c r="AN395" s="33"/>
      <c r="AO395" s="33"/>
      <c r="AP395" s="33"/>
      <c r="AQ395" s="33"/>
      <c r="AR395" s="33"/>
      <c r="AS395" s="33"/>
      <c r="AT395" s="33"/>
      <c r="AU395" s="1626"/>
      <c r="AV395" s="2256">
        <f t="shared" si="236"/>
        <v>0</v>
      </c>
      <c r="AW395" s="2256">
        <f t="shared" si="237"/>
        <v>0</v>
      </c>
      <c r="AX395" s="2256">
        <f t="shared" si="238"/>
        <v>0</v>
      </c>
      <c r="AY395" s="2781">
        <f t="shared" si="213"/>
        <v>0</v>
      </c>
      <c r="AZ395" s="28">
        <f t="shared" si="214"/>
        <v>0</v>
      </c>
      <c r="BA395" s="28">
        <f t="shared" si="215"/>
        <v>0</v>
      </c>
      <c r="BB395" s="28">
        <f t="shared" si="216"/>
        <v>0</v>
      </c>
      <c r="BC395" s="28">
        <f t="shared" si="217"/>
        <v>0</v>
      </c>
      <c r="BD395" s="3439">
        <f t="shared" si="218"/>
        <v>0</v>
      </c>
      <c r="BE395" s="3439">
        <f t="shared" si="219"/>
        <v>0</v>
      </c>
      <c r="BF395" s="3439">
        <f t="shared" si="220"/>
        <v>0</v>
      </c>
      <c r="BG395" s="3439">
        <f t="shared" si="221"/>
        <v>0</v>
      </c>
      <c r="BH395" s="3439">
        <f t="shared" si="222"/>
        <v>0</v>
      </c>
      <c r="BI395" s="3439">
        <f t="shared" si="223"/>
        <v>0</v>
      </c>
      <c r="BJ395" s="3439">
        <f t="shared" si="224"/>
        <v>0</v>
      </c>
      <c r="BK395" s="3439">
        <f t="shared" si="225"/>
        <v>0</v>
      </c>
      <c r="BL395" s="28">
        <f t="shared" si="226"/>
        <v>0</v>
      </c>
      <c r="BM395" s="28">
        <f t="shared" si="227"/>
        <v>0</v>
      </c>
      <c r="BN395" s="28">
        <f t="shared" si="228"/>
        <v>0</v>
      </c>
      <c r="BO395" s="28">
        <f t="shared" si="229"/>
        <v>0</v>
      </c>
      <c r="BP395" s="28">
        <f t="shared" si="230"/>
        <v>0</v>
      </c>
      <c r="BQ395" s="3439">
        <f t="shared" si="231"/>
        <v>0</v>
      </c>
      <c r="BR395" s="3439">
        <f t="shared" si="232"/>
        <v>0</v>
      </c>
      <c r="BS395" s="3439">
        <f t="shared" si="233"/>
        <v>0</v>
      </c>
      <c r="BT395" s="3451">
        <f t="shared" si="234"/>
        <v>0</v>
      </c>
    </row>
    <row r="396" spans="1:72">
      <c r="A396" s="9"/>
      <c r="B396" s="9"/>
      <c r="C396" s="9"/>
      <c r="D396" s="1678"/>
      <c r="E396" s="28">
        <f t="shared" si="235"/>
        <v>0</v>
      </c>
      <c r="F396" s="37"/>
      <c r="G396" s="30">
        <f>H396+AC396+AT396</f>
        <v>0</v>
      </c>
      <c r="H396" s="31">
        <f>SUMIF(I$12:AB$12,"总值",I396:AB396)</f>
        <v>0</v>
      </c>
      <c r="I396" s="32"/>
      <c r="J396" s="32"/>
      <c r="K396" s="32"/>
      <c r="L396" s="32"/>
      <c r="M396" s="32"/>
      <c r="N396" s="32"/>
      <c r="O396" s="32"/>
      <c r="P396" s="32"/>
      <c r="Q396" s="32"/>
      <c r="R396" s="32"/>
      <c r="S396" s="32"/>
      <c r="T396" s="32"/>
      <c r="U396" s="32"/>
      <c r="V396" s="32"/>
      <c r="W396" s="32"/>
      <c r="X396" s="32"/>
      <c r="Y396" s="32"/>
      <c r="Z396" s="32"/>
      <c r="AA396" s="32"/>
      <c r="AB396" s="32"/>
      <c r="AC396" s="28">
        <f>SUMIF(AD$12:AS$12,"总值",AD396:AS396)</f>
        <v>0</v>
      </c>
      <c r="AD396" s="33"/>
      <c r="AE396" s="33"/>
      <c r="AF396" s="33"/>
      <c r="AG396" s="33"/>
      <c r="AH396" s="33"/>
      <c r="AI396" s="33"/>
      <c r="AJ396" s="33"/>
      <c r="AK396" s="33"/>
      <c r="AL396" s="33"/>
      <c r="AM396" s="33"/>
      <c r="AN396" s="33"/>
      <c r="AO396" s="33"/>
      <c r="AP396" s="33"/>
      <c r="AQ396" s="33"/>
      <c r="AR396" s="33"/>
      <c r="AS396" s="33"/>
      <c r="AT396" s="33"/>
      <c r="AU396" s="1626"/>
      <c r="AV396" s="2256">
        <f t="shared" si="236"/>
        <v>0</v>
      </c>
      <c r="AW396" s="2256">
        <f t="shared" si="237"/>
        <v>0</v>
      </c>
      <c r="AX396" s="2256">
        <f t="shared" si="238"/>
        <v>0</v>
      </c>
      <c r="AY396" s="2781">
        <f>ROUND($AY$6*AZ396/$AZ$5,2)</f>
        <v>0</v>
      </c>
      <c r="AZ396" s="28">
        <f>BA396+BL396</f>
        <v>0</v>
      </c>
      <c r="BA396" s="28">
        <f>SUM(BB396:BK396)</f>
        <v>0</v>
      </c>
      <c r="BB396" s="28">
        <f t="shared" si="216"/>
        <v>0</v>
      </c>
      <c r="BC396" s="28">
        <f t="shared" si="217"/>
        <v>0</v>
      </c>
      <c r="BD396" s="3439">
        <f t="shared" si="218"/>
        <v>0</v>
      </c>
      <c r="BE396" s="3439">
        <f t="shared" si="219"/>
        <v>0</v>
      </c>
      <c r="BF396" s="3439">
        <f t="shared" si="220"/>
        <v>0</v>
      </c>
      <c r="BG396" s="3439">
        <f t="shared" si="221"/>
        <v>0</v>
      </c>
      <c r="BH396" s="3439">
        <f t="shared" si="222"/>
        <v>0</v>
      </c>
      <c r="BI396" s="3439">
        <f t="shared" si="223"/>
        <v>0</v>
      </c>
      <c r="BJ396" s="3439">
        <f t="shared" si="224"/>
        <v>0</v>
      </c>
      <c r="BK396" s="3439">
        <f t="shared" si="225"/>
        <v>0</v>
      </c>
      <c r="BL396" s="28">
        <f>SUM(BM396:BT396)</f>
        <v>0</v>
      </c>
      <c r="BM396" s="28">
        <f t="shared" si="227"/>
        <v>0</v>
      </c>
      <c r="BN396" s="28">
        <f t="shared" si="228"/>
        <v>0</v>
      </c>
      <c r="BO396" s="28">
        <f t="shared" si="229"/>
        <v>0</v>
      </c>
      <c r="BP396" s="28">
        <f t="shared" si="230"/>
        <v>0</v>
      </c>
      <c r="BQ396" s="3439">
        <f t="shared" si="231"/>
        <v>0</v>
      </c>
      <c r="BR396" s="3439">
        <f t="shared" si="232"/>
        <v>0</v>
      </c>
      <c r="BS396" s="3439">
        <f t="shared" si="233"/>
        <v>0</v>
      </c>
      <c r="BT396" s="3451">
        <f t="shared" si="234"/>
        <v>0</v>
      </c>
    </row>
    <row r="397" spans="1:72">
      <c r="A397" s="9"/>
      <c r="B397" s="9"/>
      <c r="C397" s="9"/>
      <c r="D397" s="1678"/>
      <c r="E397" s="28">
        <f t="shared" si="235"/>
        <v>0</v>
      </c>
      <c r="F397" s="37"/>
      <c r="G397" s="30">
        <f>H397+AC397+AT397</f>
        <v>0</v>
      </c>
      <c r="H397" s="31">
        <f>SUMIF(I$12:AB$12,"总值",I397:AB397)</f>
        <v>0</v>
      </c>
      <c r="I397" s="32"/>
      <c r="J397" s="32"/>
      <c r="K397" s="32"/>
      <c r="L397" s="32"/>
      <c r="M397" s="32"/>
      <c r="N397" s="32"/>
      <c r="O397" s="32"/>
      <c r="P397" s="32"/>
      <c r="Q397" s="32"/>
      <c r="R397" s="32"/>
      <c r="S397" s="32"/>
      <c r="T397" s="32"/>
      <c r="U397" s="32"/>
      <c r="V397" s="32"/>
      <c r="W397" s="32"/>
      <c r="X397" s="32"/>
      <c r="Y397" s="32"/>
      <c r="Z397" s="32"/>
      <c r="AA397" s="32"/>
      <c r="AB397" s="32"/>
      <c r="AC397" s="28">
        <f>SUMIF(AD$12:AS$12,"总值",AD397:AS397)</f>
        <v>0</v>
      </c>
      <c r="AD397" s="33"/>
      <c r="AE397" s="33"/>
      <c r="AF397" s="33"/>
      <c r="AG397" s="33"/>
      <c r="AH397" s="33"/>
      <c r="AI397" s="33"/>
      <c r="AJ397" s="33"/>
      <c r="AK397" s="33"/>
      <c r="AL397" s="33"/>
      <c r="AM397" s="33"/>
      <c r="AN397" s="33"/>
      <c r="AO397" s="33"/>
      <c r="AP397" s="33"/>
      <c r="AQ397" s="33"/>
      <c r="AR397" s="33"/>
      <c r="AS397" s="33"/>
      <c r="AT397" s="33"/>
      <c r="AU397" s="1626"/>
      <c r="AV397" s="2256">
        <f t="shared" si="236"/>
        <v>0</v>
      </c>
      <c r="AW397" s="2256">
        <f t="shared" si="237"/>
        <v>0</v>
      </c>
      <c r="AX397" s="2256">
        <f t="shared" si="238"/>
        <v>0</v>
      </c>
      <c r="AY397" s="2781">
        <f>ROUND($AY$6*AZ397/$AZ$5,2)</f>
        <v>0</v>
      </c>
      <c r="AZ397" s="28">
        <f>BA397+BL397</f>
        <v>0</v>
      </c>
      <c r="BA397" s="28">
        <f>SUM(BB397:BK397)</f>
        <v>0</v>
      </c>
      <c r="BB397" s="28">
        <f t="shared" si="216"/>
        <v>0</v>
      </c>
      <c r="BC397" s="28">
        <f t="shared" si="217"/>
        <v>0</v>
      </c>
      <c r="BD397" s="3439">
        <f t="shared" si="218"/>
        <v>0</v>
      </c>
      <c r="BE397" s="3439">
        <f t="shared" si="219"/>
        <v>0</v>
      </c>
      <c r="BF397" s="3439">
        <f t="shared" si="220"/>
        <v>0</v>
      </c>
      <c r="BG397" s="3439">
        <f t="shared" si="221"/>
        <v>0</v>
      </c>
      <c r="BH397" s="3439">
        <f t="shared" si="222"/>
        <v>0</v>
      </c>
      <c r="BI397" s="3439">
        <f t="shared" si="223"/>
        <v>0</v>
      </c>
      <c r="BJ397" s="3439">
        <f t="shared" si="224"/>
        <v>0</v>
      </c>
      <c r="BK397" s="3439">
        <f t="shared" si="225"/>
        <v>0</v>
      </c>
      <c r="BL397" s="28">
        <f>SUM(BM397:BT397)</f>
        <v>0</v>
      </c>
      <c r="BM397" s="28">
        <f t="shared" si="227"/>
        <v>0</v>
      </c>
      <c r="BN397" s="28">
        <f t="shared" si="228"/>
        <v>0</v>
      </c>
      <c r="BO397" s="28">
        <f t="shared" si="229"/>
        <v>0</v>
      </c>
      <c r="BP397" s="28">
        <f t="shared" si="230"/>
        <v>0</v>
      </c>
      <c r="BQ397" s="3439">
        <f t="shared" si="231"/>
        <v>0</v>
      </c>
      <c r="BR397" s="3439">
        <f t="shared" si="232"/>
        <v>0</v>
      </c>
      <c r="BS397" s="3439">
        <f t="shared" si="233"/>
        <v>0</v>
      </c>
      <c r="BT397" s="3451">
        <f t="shared" si="234"/>
        <v>0</v>
      </c>
    </row>
    <row r="398" spans="1:72">
      <c r="A398" s="9"/>
      <c r="B398" s="27"/>
      <c r="C398" s="27"/>
      <c r="D398" s="1678"/>
      <c r="E398" s="28">
        <f t="shared" ref="E398:E492" si="239">IF($C$3="是",ROUND($A$3*G398/$B$3,2),ROUND($A$3*(G398-AT398)/$B$3,2))</f>
        <v>0</v>
      </c>
      <c r="F398" s="29"/>
      <c r="G398" s="30">
        <f t="shared" ref="G398:G489" si="240">H398+AC398+AT398</f>
        <v>0</v>
      </c>
      <c r="H398" s="31">
        <f t="shared" ref="H398:H489" si="241">SUMIF(I$12:AB$12,"总值",I398:AB398)</f>
        <v>0</v>
      </c>
      <c r="I398" s="32"/>
      <c r="J398" s="32"/>
      <c r="K398" s="32"/>
      <c r="L398" s="32"/>
      <c r="M398" s="32"/>
      <c r="N398" s="32"/>
      <c r="O398" s="32"/>
      <c r="P398" s="32"/>
      <c r="Q398" s="32"/>
      <c r="R398" s="32"/>
      <c r="S398" s="32"/>
      <c r="T398" s="32"/>
      <c r="U398" s="32"/>
      <c r="V398" s="32"/>
      <c r="W398" s="32"/>
      <c r="X398" s="32"/>
      <c r="Y398" s="32"/>
      <c r="Z398" s="32"/>
      <c r="AA398" s="32"/>
      <c r="AB398" s="32"/>
      <c r="AC398" s="28">
        <f t="shared" ref="AC398:AC489" si="242">SUMIF(AD$12:AS$12,"总值",AD398:AS398)</f>
        <v>0</v>
      </c>
      <c r="AD398" s="33"/>
      <c r="AE398" s="33"/>
      <c r="AF398" s="33"/>
      <c r="AG398" s="33"/>
      <c r="AH398" s="33"/>
      <c r="AI398" s="33"/>
      <c r="AJ398" s="33"/>
      <c r="AK398" s="33"/>
      <c r="AL398" s="33"/>
      <c r="AM398" s="33"/>
      <c r="AN398" s="33"/>
      <c r="AO398" s="33"/>
      <c r="AP398" s="33"/>
      <c r="AQ398" s="33"/>
      <c r="AR398" s="33"/>
      <c r="AS398" s="33"/>
      <c r="AT398" s="34"/>
      <c r="AU398" s="1679"/>
      <c r="AV398" s="2256">
        <f t="shared" ref="AV398:AV492" si="243">A398</f>
        <v>0</v>
      </c>
      <c r="AW398" s="2256">
        <f t="shared" ref="AW398:AW492" si="244">B398</f>
        <v>0</v>
      </c>
      <c r="AX398" s="2256">
        <f t="shared" ref="AX398:AX492" si="245">C398</f>
        <v>0</v>
      </c>
      <c r="AY398" s="2781">
        <f t="shared" ref="AY398:AY489" si="246">ROUND($AY$6*AZ398/$AZ$5,2)</f>
        <v>0</v>
      </c>
      <c r="AZ398" s="28">
        <f t="shared" ref="AZ398:AZ489" si="247">BA398+BL398</f>
        <v>0</v>
      </c>
      <c r="BA398" s="28">
        <f t="shared" ref="BA398:BA489" si="248">SUM(BB398:BK398)</f>
        <v>0</v>
      </c>
      <c r="BB398" s="28">
        <f t="shared" ref="BB398:BB489" si="249">IF($D398="是",I398-J398,0)</f>
        <v>0</v>
      </c>
      <c r="BC398" s="28">
        <f t="shared" ref="BC398:BC489" si="250">IF($D398="是",K398-L398,0)</f>
        <v>0</v>
      </c>
      <c r="BD398" s="3439">
        <f t="shared" ref="BD398:BD489" si="251">IF($D398="是",M398-N398,0)</f>
        <v>0</v>
      </c>
      <c r="BE398" s="3439">
        <f t="shared" ref="BE398:BE489" si="252">IF($D398="是",O398-P398,0)</f>
        <v>0</v>
      </c>
      <c r="BF398" s="3439">
        <f t="shared" ref="BF398:BF489" si="253">IF($D398="是",Q398-R398,0)</f>
        <v>0</v>
      </c>
      <c r="BG398" s="3439">
        <f t="shared" ref="BG398:BG489" si="254">IF($D398="是",S398-T398,0)</f>
        <v>0</v>
      </c>
      <c r="BH398" s="3439">
        <f t="shared" ref="BH398:BH489" si="255">IF($D398="是",U398-V398,0)</f>
        <v>0</v>
      </c>
      <c r="BI398" s="3439">
        <f t="shared" ref="BI398:BI489" si="256">IF($D398="是",W398-X398,0)</f>
        <v>0</v>
      </c>
      <c r="BJ398" s="3439">
        <f t="shared" ref="BJ398:BJ489" si="257">IF($D398="是",Y398-Z398,0)</f>
        <v>0</v>
      </c>
      <c r="BK398" s="3439">
        <f t="shared" ref="BK398:BK489" si="258">IF($D398="是",AA398-AB398,0)</f>
        <v>0</v>
      </c>
      <c r="BL398" s="28">
        <f t="shared" ref="BL398:BL489" si="259">SUM(BM398:BT398)</f>
        <v>0</v>
      </c>
      <c r="BM398" s="28">
        <f t="shared" ref="BM398:BM489" si="260">IF($D398="是",AD398-AE398,0)</f>
        <v>0</v>
      </c>
      <c r="BN398" s="28">
        <f t="shared" ref="BN398:BN489" si="261">IF($D398="是",AF398-AG398,0)</f>
        <v>0</v>
      </c>
      <c r="BO398" s="28">
        <f t="shared" ref="BO398:BO489" si="262">IF($D398="是",AH398-AI398,0)</f>
        <v>0</v>
      </c>
      <c r="BP398" s="28">
        <f t="shared" ref="BP398:BP489" si="263">IF($D398="是",AJ398-AK398,0)</f>
        <v>0</v>
      </c>
      <c r="BQ398" s="3439">
        <f t="shared" ref="BQ398:BQ489" si="264">IF($D398="是",AL398-AM398,0)</f>
        <v>0</v>
      </c>
      <c r="BR398" s="3439">
        <f t="shared" ref="BR398:BR489" si="265">IF($D398="是",AN398-AO398,0)</f>
        <v>0</v>
      </c>
      <c r="BS398" s="3439">
        <f t="shared" ref="BS398:BS489" si="266">IF($D398="是",AP398-AQ398,0)</f>
        <v>0</v>
      </c>
      <c r="BT398" s="3451">
        <f t="shared" ref="BT398:BT489" si="267">IF($D398="是",AR398-AS398,0)</f>
        <v>0</v>
      </c>
    </row>
    <row r="399" spans="1:72">
      <c r="A399" s="9"/>
      <c r="B399" s="27"/>
      <c r="C399" s="27"/>
      <c r="D399" s="1678"/>
      <c r="E399" s="28">
        <f t="shared" si="239"/>
        <v>0</v>
      </c>
      <c r="F399" s="29"/>
      <c r="G399" s="30">
        <f t="shared" si="240"/>
        <v>0</v>
      </c>
      <c r="H399" s="31">
        <f t="shared" si="241"/>
        <v>0</v>
      </c>
      <c r="I399" s="32"/>
      <c r="J399" s="32"/>
      <c r="K399" s="32"/>
      <c r="L399" s="32"/>
      <c r="M399" s="32"/>
      <c r="N399" s="32"/>
      <c r="O399" s="32"/>
      <c r="P399" s="32"/>
      <c r="Q399" s="32"/>
      <c r="R399" s="32"/>
      <c r="S399" s="32"/>
      <c r="T399" s="32"/>
      <c r="U399" s="32"/>
      <c r="V399" s="32"/>
      <c r="W399" s="32"/>
      <c r="X399" s="32"/>
      <c r="Y399" s="32"/>
      <c r="Z399" s="32"/>
      <c r="AA399" s="32"/>
      <c r="AB399" s="32"/>
      <c r="AC399" s="28">
        <f t="shared" si="242"/>
        <v>0</v>
      </c>
      <c r="AD399" s="33"/>
      <c r="AE399" s="33"/>
      <c r="AF399" s="33"/>
      <c r="AG399" s="33"/>
      <c r="AH399" s="33"/>
      <c r="AI399" s="33"/>
      <c r="AJ399" s="33"/>
      <c r="AK399" s="33"/>
      <c r="AL399" s="33"/>
      <c r="AM399" s="33"/>
      <c r="AN399" s="33"/>
      <c r="AO399" s="33"/>
      <c r="AP399" s="33"/>
      <c r="AQ399" s="33"/>
      <c r="AR399" s="33"/>
      <c r="AS399" s="33"/>
      <c r="AT399" s="34"/>
      <c r="AU399" s="1679"/>
      <c r="AV399" s="2256">
        <f t="shared" si="243"/>
        <v>0</v>
      </c>
      <c r="AW399" s="2256">
        <f t="shared" si="244"/>
        <v>0</v>
      </c>
      <c r="AX399" s="2256">
        <f t="shared" si="245"/>
        <v>0</v>
      </c>
      <c r="AY399" s="2781">
        <f t="shared" si="246"/>
        <v>0</v>
      </c>
      <c r="AZ399" s="28">
        <f t="shared" si="247"/>
        <v>0</v>
      </c>
      <c r="BA399" s="28">
        <f t="shared" si="248"/>
        <v>0</v>
      </c>
      <c r="BB399" s="28">
        <f t="shared" si="249"/>
        <v>0</v>
      </c>
      <c r="BC399" s="28">
        <f t="shared" si="250"/>
        <v>0</v>
      </c>
      <c r="BD399" s="3439">
        <f t="shared" si="251"/>
        <v>0</v>
      </c>
      <c r="BE399" s="3439">
        <f t="shared" si="252"/>
        <v>0</v>
      </c>
      <c r="BF399" s="3439">
        <f t="shared" si="253"/>
        <v>0</v>
      </c>
      <c r="BG399" s="3439">
        <f t="shared" si="254"/>
        <v>0</v>
      </c>
      <c r="BH399" s="3439">
        <f t="shared" si="255"/>
        <v>0</v>
      </c>
      <c r="BI399" s="3439">
        <f t="shared" si="256"/>
        <v>0</v>
      </c>
      <c r="BJ399" s="3439">
        <f t="shared" si="257"/>
        <v>0</v>
      </c>
      <c r="BK399" s="3439">
        <f t="shared" si="258"/>
        <v>0</v>
      </c>
      <c r="BL399" s="28">
        <f t="shared" si="259"/>
        <v>0</v>
      </c>
      <c r="BM399" s="28">
        <f t="shared" si="260"/>
        <v>0</v>
      </c>
      <c r="BN399" s="28">
        <f t="shared" si="261"/>
        <v>0</v>
      </c>
      <c r="BO399" s="28">
        <f t="shared" si="262"/>
        <v>0</v>
      </c>
      <c r="BP399" s="28">
        <f t="shared" si="263"/>
        <v>0</v>
      </c>
      <c r="BQ399" s="3439">
        <f t="shared" si="264"/>
        <v>0</v>
      </c>
      <c r="BR399" s="3439">
        <f t="shared" si="265"/>
        <v>0</v>
      </c>
      <c r="BS399" s="3439">
        <f t="shared" si="266"/>
        <v>0</v>
      </c>
      <c r="BT399" s="3451">
        <f t="shared" si="267"/>
        <v>0</v>
      </c>
    </row>
    <row r="400" spans="1:72">
      <c r="A400" s="9"/>
      <c r="B400" s="27"/>
      <c r="C400" s="27"/>
      <c r="D400" s="1678"/>
      <c r="E400" s="28">
        <f t="shared" si="239"/>
        <v>0</v>
      </c>
      <c r="F400" s="29"/>
      <c r="G400" s="30">
        <f t="shared" si="240"/>
        <v>0</v>
      </c>
      <c r="H400" s="31">
        <f t="shared" si="241"/>
        <v>0</v>
      </c>
      <c r="I400" s="32"/>
      <c r="J400" s="32"/>
      <c r="K400" s="32"/>
      <c r="L400" s="32"/>
      <c r="M400" s="32"/>
      <c r="N400" s="32"/>
      <c r="O400" s="32"/>
      <c r="P400" s="32"/>
      <c r="Q400" s="32"/>
      <c r="R400" s="32"/>
      <c r="S400" s="32"/>
      <c r="T400" s="32"/>
      <c r="U400" s="32"/>
      <c r="V400" s="32"/>
      <c r="W400" s="32"/>
      <c r="X400" s="32"/>
      <c r="Y400" s="32"/>
      <c r="Z400" s="32"/>
      <c r="AA400" s="32"/>
      <c r="AB400" s="32"/>
      <c r="AC400" s="28">
        <f t="shared" si="242"/>
        <v>0</v>
      </c>
      <c r="AD400" s="33"/>
      <c r="AE400" s="33"/>
      <c r="AF400" s="33"/>
      <c r="AG400" s="33"/>
      <c r="AH400" s="33"/>
      <c r="AI400" s="33"/>
      <c r="AJ400" s="33"/>
      <c r="AK400" s="33"/>
      <c r="AL400" s="33"/>
      <c r="AM400" s="33"/>
      <c r="AN400" s="33"/>
      <c r="AO400" s="33"/>
      <c r="AP400" s="33"/>
      <c r="AQ400" s="33"/>
      <c r="AR400" s="33"/>
      <c r="AS400" s="33"/>
      <c r="AT400" s="34"/>
      <c r="AU400" s="1679"/>
      <c r="AV400" s="2256">
        <f t="shared" si="243"/>
        <v>0</v>
      </c>
      <c r="AW400" s="2256">
        <f t="shared" si="244"/>
        <v>0</v>
      </c>
      <c r="AX400" s="2256">
        <f t="shared" si="245"/>
        <v>0</v>
      </c>
      <c r="AY400" s="2781">
        <f t="shared" si="246"/>
        <v>0</v>
      </c>
      <c r="AZ400" s="28">
        <f t="shared" si="247"/>
        <v>0</v>
      </c>
      <c r="BA400" s="28">
        <f t="shared" si="248"/>
        <v>0</v>
      </c>
      <c r="BB400" s="28">
        <f t="shared" si="249"/>
        <v>0</v>
      </c>
      <c r="BC400" s="28">
        <f t="shared" si="250"/>
        <v>0</v>
      </c>
      <c r="BD400" s="3439">
        <f t="shared" si="251"/>
        <v>0</v>
      </c>
      <c r="BE400" s="3439">
        <f t="shared" si="252"/>
        <v>0</v>
      </c>
      <c r="BF400" s="3439">
        <f t="shared" si="253"/>
        <v>0</v>
      </c>
      <c r="BG400" s="3439">
        <f t="shared" si="254"/>
        <v>0</v>
      </c>
      <c r="BH400" s="3439">
        <f t="shared" si="255"/>
        <v>0</v>
      </c>
      <c r="BI400" s="3439">
        <f t="shared" si="256"/>
        <v>0</v>
      </c>
      <c r="BJ400" s="3439">
        <f t="shared" si="257"/>
        <v>0</v>
      </c>
      <c r="BK400" s="3439">
        <f t="shared" si="258"/>
        <v>0</v>
      </c>
      <c r="BL400" s="28">
        <f t="shared" si="259"/>
        <v>0</v>
      </c>
      <c r="BM400" s="28">
        <f t="shared" si="260"/>
        <v>0</v>
      </c>
      <c r="BN400" s="28">
        <f t="shared" si="261"/>
        <v>0</v>
      </c>
      <c r="BO400" s="28">
        <f t="shared" si="262"/>
        <v>0</v>
      </c>
      <c r="BP400" s="28">
        <f t="shared" si="263"/>
        <v>0</v>
      </c>
      <c r="BQ400" s="3439">
        <f t="shared" si="264"/>
        <v>0</v>
      </c>
      <c r="BR400" s="3439">
        <f t="shared" si="265"/>
        <v>0</v>
      </c>
      <c r="BS400" s="3439">
        <f t="shared" si="266"/>
        <v>0</v>
      </c>
      <c r="BT400" s="3451">
        <f t="shared" si="267"/>
        <v>0</v>
      </c>
    </row>
    <row r="401" spans="1:72">
      <c r="A401" s="9"/>
      <c r="B401" s="27"/>
      <c r="C401" s="27"/>
      <c r="D401" s="1678"/>
      <c r="E401" s="28">
        <f t="shared" si="239"/>
        <v>0</v>
      </c>
      <c r="F401" s="29"/>
      <c r="G401" s="30">
        <f t="shared" si="240"/>
        <v>0</v>
      </c>
      <c r="H401" s="31">
        <f t="shared" si="241"/>
        <v>0</v>
      </c>
      <c r="I401" s="32"/>
      <c r="J401" s="32"/>
      <c r="K401" s="32"/>
      <c r="L401" s="32"/>
      <c r="M401" s="32"/>
      <c r="N401" s="32"/>
      <c r="O401" s="32"/>
      <c r="P401" s="32"/>
      <c r="Q401" s="32"/>
      <c r="R401" s="32"/>
      <c r="S401" s="32"/>
      <c r="T401" s="32"/>
      <c r="U401" s="32"/>
      <c r="V401" s="32"/>
      <c r="W401" s="32"/>
      <c r="X401" s="32"/>
      <c r="Y401" s="32"/>
      <c r="Z401" s="32"/>
      <c r="AA401" s="32"/>
      <c r="AB401" s="32"/>
      <c r="AC401" s="28">
        <f t="shared" si="242"/>
        <v>0</v>
      </c>
      <c r="AD401" s="33"/>
      <c r="AE401" s="33"/>
      <c r="AF401" s="33"/>
      <c r="AG401" s="33"/>
      <c r="AH401" s="33"/>
      <c r="AI401" s="33"/>
      <c r="AJ401" s="33"/>
      <c r="AK401" s="33"/>
      <c r="AL401" s="33"/>
      <c r="AM401" s="33"/>
      <c r="AN401" s="33"/>
      <c r="AO401" s="33"/>
      <c r="AP401" s="33"/>
      <c r="AQ401" s="33"/>
      <c r="AR401" s="33"/>
      <c r="AS401" s="33"/>
      <c r="AT401" s="34"/>
      <c r="AU401" s="1679"/>
      <c r="AV401" s="2256">
        <f t="shared" si="243"/>
        <v>0</v>
      </c>
      <c r="AW401" s="2256">
        <f t="shared" si="244"/>
        <v>0</v>
      </c>
      <c r="AX401" s="2256">
        <f t="shared" si="245"/>
        <v>0</v>
      </c>
      <c r="AY401" s="2781">
        <f t="shared" si="246"/>
        <v>0</v>
      </c>
      <c r="AZ401" s="28">
        <f t="shared" si="247"/>
        <v>0</v>
      </c>
      <c r="BA401" s="28">
        <f t="shared" si="248"/>
        <v>0</v>
      </c>
      <c r="BB401" s="28">
        <f t="shared" si="249"/>
        <v>0</v>
      </c>
      <c r="BC401" s="28">
        <f t="shared" si="250"/>
        <v>0</v>
      </c>
      <c r="BD401" s="3439">
        <f t="shared" si="251"/>
        <v>0</v>
      </c>
      <c r="BE401" s="3439">
        <f t="shared" si="252"/>
        <v>0</v>
      </c>
      <c r="BF401" s="3439">
        <f t="shared" si="253"/>
        <v>0</v>
      </c>
      <c r="BG401" s="3439">
        <f t="shared" si="254"/>
        <v>0</v>
      </c>
      <c r="BH401" s="3439">
        <f t="shared" si="255"/>
        <v>0</v>
      </c>
      <c r="BI401" s="3439">
        <f t="shared" si="256"/>
        <v>0</v>
      </c>
      <c r="BJ401" s="3439">
        <f t="shared" si="257"/>
        <v>0</v>
      </c>
      <c r="BK401" s="3439">
        <f t="shared" si="258"/>
        <v>0</v>
      </c>
      <c r="BL401" s="28">
        <f t="shared" si="259"/>
        <v>0</v>
      </c>
      <c r="BM401" s="28">
        <f t="shared" si="260"/>
        <v>0</v>
      </c>
      <c r="BN401" s="28">
        <f t="shared" si="261"/>
        <v>0</v>
      </c>
      <c r="BO401" s="28">
        <f t="shared" si="262"/>
        <v>0</v>
      </c>
      <c r="BP401" s="28">
        <f t="shared" si="263"/>
        <v>0</v>
      </c>
      <c r="BQ401" s="3439">
        <f t="shared" si="264"/>
        <v>0</v>
      </c>
      <c r="BR401" s="3439">
        <f t="shared" si="265"/>
        <v>0</v>
      </c>
      <c r="BS401" s="3439">
        <f t="shared" si="266"/>
        <v>0</v>
      </c>
      <c r="BT401" s="3451">
        <f t="shared" si="267"/>
        <v>0</v>
      </c>
    </row>
    <row r="402" spans="1:72">
      <c r="A402" s="9"/>
      <c r="B402" s="27"/>
      <c r="C402" s="27"/>
      <c r="D402" s="1678"/>
      <c r="E402" s="28">
        <f t="shared" si="239"/>
        <v>0</v>
      </c>
      <c r="F402" s="29"/>
      <c r="G402" s="30">
        <f t="shared" si="240"/>
        <v>0</v>
      </c>
      <c r="H402" s="31">
        <f t="shared" si="241"/>
        <v>0</v>
      </c>
      <c r="I402" s="32"/>
      <c r="J402" s="32"/>
      <c r="K402" s="32"/>
      <c r="L402" s="32"/>
      <c r="M402" s="32"/>
      <c r="N402" s="32"/>
      <c r="O402" s="32"/>
      <c r="P402" s="32"/>
      <c r="Q402" s="32"/>
      <c r="R402" s="32"/>
      <c r="S402" s="32"/>
      <c r="T402" s="32"/>
      <c r="U402" s="32"/>
      <c r="V402" s="32"/>
      <c r="W402" s="32"/>
      <c r="X402" s="32"/>
      <c r="Y402" s="32"/>
      <c r="Z402" s="32"/>
      <c r="AA402" s="32"/>
      <c r="AB402" s="32"/>
      <c r="AC402" s="28">
        <f t="shared" si="242"/>
        <v>0</v>
      </c>
      <c r="AD402" s="33"/>
      <c r="AE402" s="33"/>
      <c r="AF402" s="33"/>
      <c r="AG402" s="33"/>
      <c r="AH402" s="33"/>
      <c r="AI402" s="33"/>
      <c r="AJ402" s="33"/>
      <c r="AK402" s="33"/>
      <c r="AL402" s="33"/>
      <c r="AM402" s="33"/>
      <c r="AN402" s="33"/>
      <c r="AO402" s="33"/>
      <c r="AP402" s="33"/>
      <c r="AQ402" s="33"/>
      <c r="AR402" s="33"/>
      <c r="AS402" s="33"/>
      <c r="AT402" s="34"/>
      <c r="AU402" s="1679"/>
      <c r="AV402" s="2256">
        <f t="shared" si="243"/>
        <v>0</v>
      </c>
      <c r="AW402" s="2256">
        <f t="shared" si="244"/>
        <v>0</v>
      </c>
      <c r="AX402" s="2256">
        <f t="shared" si="245"/>
        <v>0</v>
      </c>
      <c r="AY402" s="2781">
        <f t="shared" si="246"/>
        <v>0</v>
      </c>
      <c r="AZ402" s="28">
        <f t="shared" si="247"/>
        <v>0</v>
      </c>
      <c r="BA402" s="28">
        <f t="shared" si="248"/>
        <v>0</v>
      </c>
      <c r="BB402" s="28">
        <f t="shared" si="249"/>
        <v>0</v>
      </c>
      <c r="BC402" s="28">
        <f t="shared" si="250"/>
        <v>0</v>
      </c>
      <c r="BD402" s="3439">
        <f t="shared" si="251"/>
        <v>0</v>
      </c>
      <c r="BE402" s="3439">
        <f t="shared" si="252"/>
        <v>0</v>
      </c>
      <c r="BF402" s="3439">
        <f t="shared" si="253"/>
        <v>0</v>
      </c>
      <c r="BG402" s="3439">
        <f t="shared" si="254"/>
        <v>0</v>
      </c>
      <c r="BH402" s="3439">
        <f t="shared" si="255"/>
        <v>0</v>
      </c>
      <c r="BI402" s="3439">
        <f t="shared" si="256"/>
        <v>0</v>
      </c>
      <c r="BJ402" s="3439">
        <f t="shared" si="257"/>
        <v>0</v>
      </c>
      <c r="BK402" s="3439">
        <f t="shared" si="258"/>
        <v>0</v>
      </c>
      <c r="BL402" s="28">
        <f t="shared" si="259"/>
        <v>0</v>
      </c>
      <c r="BM402" s="28">
        <f t="shared" si="260"/>
        <v>0</v>
      </c>
      <c r="BN402" s="28">
        <f t="shared" si="261"/>
        <v>0</v>
      </c>
      <c r="BO402" s="28">
        <f t="shared" si="262"/>
        <v>0</v>
      </c>
      <c r="BP402" s="28">
        <f t="shared" si="263"/>
        <v>0</v>
      </c>
      <c r="BQ402" s="3439">
        <f t="shared" si="264"/>
        <v>0</v>
      </c>
      <c r="BR402" s="3439">
        <f t="shared" si="265"/>
        <v>0</v>
      </c>
      <c r="BS402" s="3439">
        <f t="shared" si="266"/>
        <v>0</v>
      </c>
      <c r="BT402" s="3451">
        <f t="shared" si="267"/>
        <v>0</v>
      </c>
    </row>
    <row r="403" spans="1:72">
      <c r="A403" s="9"/>
      <c r="B403" s="27"/>
      <c r="C403" s="27"/>
      <c r="D403" s="1678"/>
      <c r="E403" s="28">
        <f t="shared" si="239"/>
        <v>0</v>
      </c>
      <c r="F403" s="29"/>
      <c r="G403" s="30">
        <f t="shared" si="240"/>
        <v>0</v>
      </c>
      <c r="H403" s="31">
        <f t="shared" si="241"/>
        <v>0</v>
      </c>
      <c r="I403" s="32"/>
      <c r="J403" s="32"/>
      <c r="K403" s="32"/>
      <c r="L403" s="32"/>
      <c r="M403" s="32"/>
      <c r="N403" s="32"/>
      <c r="O403" s="32"/>
      <c r="P403" s="32"/>
      <c r="Q403" s="32"/>
      <c r="R403" s="32"/>
      <c r="S403" s="32"/>
      <c r="T403" s="32"/>
      <c r="U403" s="32"/>
      <c r="V403" s="32"/>
      <c r="W403" s="32"/>
      <c r="X403" s="32"/>
      <c r="Y403" s="32"/>
      <c r="Z403" s="32"/>
      <c r="AA403" s="32"/>
      <c r="AB403" s="32"/>
      <c r="AC403" s="28">
        <f t="shared" si="242"/>
        <v>0</v>
      </c>
      <c r="AD403" s="33"/>
      <c r="AE403" s="33"/>
      <c r="AF403" s="33"/>
      <c r="AG403" s="33"/>
      <c r="AH403" s="33"/>
      <c r="AI403" s="33"/>
      <c r="AJ403" s="33"/>
      <c r="AK403" s="33"/>
      <c r="AL403" s="33"/>
      <c r="AM403" s="33"/>
      <c r="AN403" s="33"/>
      <c r="AO403" s="33"/>
      <c r="AP403" s="33"/>
      <c r="AQ403" s="33"/>
      <c r="AR403" s="33"/>
      <c r="AS403" s="33"/>
      <c r="AT403" s="34"/>
      <c r="AU403" s="1679"/>
      <c r="AV403" s="2256">
        <f t="shared" si="243"/>
        <v>0</v>
      </c>
      <c r="AW403" s="2256">
        <f t="shared" si="244"/>
        <v>0</v>
      </c>
      <c r="AX403" s="2256">
        <f t="shared" si="245"/>
        <v>0</v>
      </c>
      <c r="AY403" s="2781">
        <f t="shared" si="246"/>
        <v>0</v>
      </c>
      <c r="AZ403" s="28">
        <f t="shared" si="247"/>
        <v>0</v>
      </c>
      <c r="BA403" s="28">
        <f t="shared" si="248"/>
        <v>0</v>
      </c>
      <c r="BB403" s="28">
        <f t="shared" si="249"/>
        <v>0</v>
      </c>
      <c r="BC403" s="28">
        <f t="shared" si="250"/>
        <v>0</v>
      </c>
      <c r="BD403" s="3439">
        <f t="shared" si="251"/>
        <v>0</v>
      </c>
      <c r="BE403" s="3439">
        <f t="shared" si="252"/>
        <v>0</v>
      </c>
      <c r="BF403" s="3439">
        <f t="shared" si="253"/>
        <v>0</v>
      </c>
      <c r="BG403" s="3439">
        <f t="shared" si="254"/>
        <v>0</v>
      </c>
      <c r="BH403" s="3439">
        <f t="shared" si="255"/>
        <v>0</v>
      </c>
      <c r="BI403" s="3439">
        <f t="shared" si="256"/>
        <v>0</v>
      </c>
      <c r="BJ403" s="3439">
        <f t="shared" si="257"/>
        <v>0</v>
      </c>
      <c r="BK403" s="3439">
        <f t="shared" si="258"/>
        <v>0</v>
      </c>
      <c r="BL403" s="28">
        <f t="shared" si="259"/>
        <v>0</v>
      </c>
      <c r="BM403" s="28">
        <f t="shared" si="260"/>
        <v>0</v>
      </c>
      <c r="BN403" s="28">
        <f t="shared" si="261"/>
        <v>0</v>
      </c>
      <c r="BO403" s="28">
        <f t="shared" si="262"/>
        <v>0</v>
      </c>
      <c r="BP403" s="28">
        <f t="shared" si="263"/>
        <v>0</v>
      </c>
      <c r="BQ403" s="3439">
        <f t="shared" si="264"/>
        <v>0</v>
      </c>
      <c r="BR403" s="3439">
        <f t="shared" si="265"/>
        <v>0</v>
      </c>
      <c r="BS403" s="3439">
        <f t="shared" si="266"/>
        <v>0</v>
      </c>
      <c r="BT403" s="3451">
        <f t="shared" si="267"/>
        <v>0</v>
      </c>
    </row>
    <row r="404" spans="1:72">
      <c r="A404" s="9"/>
      <c r="B404" s="27"/>
      <c r="C404" s="27"/>
      <c r="D404" s="1678"/>
      <c r="E404" s="28">
        <f t="shared" si="239"/>
        <v>0</v>
      </c>
      <c r="F404" s="29"/>
      <c r="G404" s="30">
        <f t="shared" si="240"/>
        <v>0</v>
      </c>
      <c r="H404" s="31">
        <f t="shared" si="241"/>
        <v>0</v>
      </c>
      <c r="I404" s="32"/>
      <c r="J404" s="32"/>
      <c r="K404" s="32"/>
      <c r="L404" s="32"/>
      <c r="M404" s="32"/>
      <c r="N404" s="32"/>
      <c r="O404" s="32"/>
      <c r="P404" s="32"/>
      <c r="Q404" s="32"/>
      <c r="R404" s="32"/>
      <c r="S404" s="32"/>
      <c r="T404" s="32"/>
      <c r="U404" s="32"/>
      <c r="V404" s="32"/>
      <c r="W404" s="32"/>
      <c r="X404" s="32"/>
      <c r="Y404" s="32"/>
      <c r="Z404" s="32"/>
      <c r="AA404" s="32"/>
      <c r="AB404" s="32"/>
      <c r="AC404" s="28">
        <f t="shared" si="242"/>
        <v>0</v>
      </c>
      <c r="AD404" s="33"/>
      <c r="AE404" s="33"/>
      <c r="AF404" s="33"/>
      <c r="AG404" s="33"/>
      <c r="AH404" s="33"/>
      <c r="AI404" s="33"/>
      <c r="AJ404" s="33"/>
      <c r="AK404" s="33"/>
      <c r="AL404" s="33"/>
      <c r="AM404" s="33"/>
      <c r="AN404" s="33"/>
      <c r="AO404" s="33"/>
      <c r="AP404" s="33"/>
      <c r="AQ404" s="33"/>
      <c r="AR404" s="33"/>
      <c r="AS404" s="33"/>
      <c r="AT404" s="34"/>
      <c r="AU404" s="1679"/>
      <c r="AV404" s="2256">
        <f t="shared" si="243"/>
        <v>0</v>
      </c>
      <c r="AW404" s="2256">
        <f t="shared" si="244"/>
        <v>0</v>
      </c>
      <c r="AX404" s="2256">
        <f t="shared" si="245"/>
        <v>0</v>
      </c>
      <c r="AY404" s="2781">
        <f t="shared" si="246"/>
        <v>0</v>
      </c>
      <c r="AZ404" s="28">
        <f t="shared" si="247"/>
        <v>0</v>
      </c>
      <c r="BA404" s="28">
        <f t="shared" si="248"/>
        <v>0</v>
      </c>
      <c r="BB404" s="28">
        <f t="shared" si="249"/>
        <v>0</v>
      </c>
      <c r="BC404" s="28">
        <f t="shared" si="250"/>
        <v>0</v>
      </c>
      <c r="BD404" s="3439">
        <f t="shared" si="251"/>
        <v>0</v>
      </c>
      <c r="BE404" s="3439">
        <f t="shared" si="252"/>
        <v>0</v>
      </c>
      <c r="BF404" s="3439">
        <f t="shared" si="253"/>
        <v>0</v>
      </c>
      <c r="BG404" s="3439">
        <f t="shared" si="254"/>
        <v>0</v>
      </c>
      <c r="BH404" s="3439">
        <f t="shared" si="255"/>
        <v>0</v>
      </c>
      <c r="BI404" s="3439">
        <f t="shared" si="256"/>
        <v>0</v>
      </c>
      <c r="BJ404" s="3439">
        <f t="shared" si="257"/>
        <v>0</v>
      </c>
      <c r="BK404" s="3439">
        <f t="shared" si="258"/>
        <v>0</v>
      </c>
      <c r="BL404" s="28">
        <f t="shared" si="259"/>
        <v>0</v>
      </c>
      <c r="BM404" s="28">
        <f t="shared" si="260"/>
        <v>0</v>
      </c>
      <c r="BN404" s="28">
        <f t="shared" si="261"/>
        <v>0</v>
      </c>
      <c r="BO404" s="28">
        <f t="shared" si="262"/>
        <v>0</v>
      </c>
      <c r="BP404" s="28">
        <f t="shared" si="263"/>
        <v>0</v>
      </c>
      <c r="BQ404" s="3439">
        <f t="shared" si="264"/>
        <v>0</v>
      </c>
      <c r="BR404" s="3439">
        <f t="shared" si="265"/>
        <v>0</v>
      </c>
      <c r="BS404" s="3439">
        <f t="shared" si="266"/>
        <v>0</v>
      </c>
      <c r="BT404" s="3451">
        <f t="shared" si="267"/>
        <v>0</v>
      </c>
    </row>
    <row r="405" spans="1:72">
      <c r="A405" s="9"/>
      <c r="B405" s="27"/>
      <c r="C405" s="27"/>
      <c r="D405" s="1678"/>
      <c r="E405" s="28">
        <f t="shared" si="239"/>
        <v>0</v>
      </c>
      <c r="F405" s="29"/>
      <c r="G405" s="30">
        <f t="shared" si="240"/>
        <v>0</v>
      </c>
      <c r="H405" s="31">
        <f t="shared" si="241"/>
        <v>0</v>
      </c>
      <c r="I405" s="32"/>
      <c r="J405" s="32"/>
      <c r="K405" s="32"/>
      <c r="L405" s="32"/>
      <c r="M405" s="32"/>
      <c r="N405" s="32"/>
      <c r="O405" s="32"/>
      <c r="P405" s="32"/>
      <c r="Q405" s="32"/>
      <c r="R405" s="32"/>
      <c r="S405" s="32"/>
      <c r="T405" s="32"/>
      <c r="U405" s="32"/>
      <c r="V405" s="32"/>
      <c r="W405" s="32"/>
      <c r="X405" s="32"/>
      <c r="Y405" s="32"/>
      <c r="Z405" s="32"/>
      <c r="AA405" s="32"/>
      <c r="AB405" s="32"/>
      <c r="AC405" s="28">
        <f t="shared" si="242"/>
        <v>0</v>
      </c>
      <c r="AD405" s="33"/>
      <c r="AE405" s="33"/>
      <c r="AF405" s="33"/>
      <c r="AG405" s="33"/>
      <c r="AH405" s="33"/>
      <c r="AI405" s="33"/>
      <c r="AJ405" s="33"/>
      <c r="AK405" s="33"/>
      <c r="AL405" s="33"/>
      <c r="AM405" s="33"/>
      <c r="AN405" s="33"/>
      <c r="AO405" s="33"/>
      <c r="AP405" s="33"/>
      <c r="AQ405" s="33"/>
      <c r="AR405" s="33"/>
      <c r="AS405" s="33"/>
      <c r="AT405" s="34"/>
      <c r="AU405" s="1679"/>
      <c r="AV405" s="2256">
        <f t="shared" si="243"/>
        <v>0</v>
      </c>
      <c r="AW405" s="2256">
        <f t="shared" si="244"/>
        <v>0</v>
      </c>
      <c r="AX405" s="2256">
        <f t="shared" si="245"/>
        <v>0</v>
      </c>
      <c r="AY405" s="2781">
        <f t="shared" si="246"/>
        <v>0</v>
      </c>
      <c r="AZ405" s="28">
        <f t="shared" si="247"/>
        <v>0</v>
      </c>
      <c r="BA405" s="28">
        <f t="shared" si="248"/>
        <v>0</v>
      </c>
      <c r="BB405" s="28">
        <f t="shared" si="249"/>
        <v>0</v>
      </c>
      <c r="BC405" s="28">
        <f t="shared" si="250"/>
        <v>0</v>
      </c>
      <c r="BD405" s="3439">
        <f t="shared" si="251"/>
        <v>0</v>
      </c>
      <c r="BE405" s="3439">
        <f t="shared" si="252"/>
        <v>0</v>
      </c>
      <c r="BF405" s="3439">
        <f t="shared" si="253"/>
        <v>0</v>
      </c>
      <c r="BG405" s="3439">
        <f t="shared" si="254"/>
        <v>0</v>
      </c>
      <c r="BH405" s="3439">
        <f t="shared" si="255"/>
        <v>0</v>
      </c>
      <c r="BI405" s="3439">
        <f t="shared" si="256"/>
        <v>0</v>
      </c>
      <c r="BJ405" s="3439">
        <f t="shared" si="257"/>
        <v>0</v>
      </c>
      <c r="BK405" s="3439">
        <f t="shared" si="258"/>
        <v>0</v>
      </c>
      <c r="BL405" s="28">
        <f t="shared" si="259"/>
        <v>0</v>
      </c>
      <c r="BM405" s="28">
        <f t="shared" si="260"/>
        <v>0</v>
      </c>
      <c r="BN405" s="28">
        <f t="shared" si="261"/>
        <v>0</v>
      </c>
      <c r="BO405" s="28">
        <f t="shared" si="262"/>
        <v>0</v>
      </c>
      <c r="BP405" s="28">
        <f t="shared" si="263"/>
        <v>0</v>
      </c>
      <c r="BQ405" s="3439">
        <f t="shared" si="264"/>
        <v>0</v>
      </c>
      <c r="BR405" s="3439">
        <f t="shared" si="265"/>
        <v>0</v>
      </c>
      <c r="BS405" s="3439">
        <f t="shared" si="266"/>
        <v>0</v>
      </c>
      <c r="BT405" s="3451">
        <f t="shared" si="267"/>
        <v>0</v>
      </c>
    </row>
    <row r="406" spans="1:72">
      <c r="A406" s="9"/>
      <c r="B406" s="27"/>
      <c r="C406" s="27"/>
      <c r="D406" s="1678"/>
      <c r="E406" s="28">
        <f t="shared" si="239"/>
        <v>0</v>
      </c>
      <c r="F406" s="29"/>
      <c r="G406" s="30">
        <f t="shared" si="240"/>
        <v>0</v>
      </c>
      <c r="H406" s="31">
        <f t="shared" si="241"/>
        <v>0</v>
      </c>
      <c r="I406" s="32"/>
      <c r="J406" s="32"/>
      <c r="K406" s="32"/>
      <c r="L406" s="32"/>
      <c r="M406" s="32"/>
      <c r="N406" s="32"/>
      <c r="O406" s="32"/>
      <c r="P406" s="32"/>
      <c r="Q406" s="32"/>
      <c r="R406" s="32"/>
      <c r="S406" s="32"/>
      <c r="T406" s="32"/>
      <c r="U406" s="32"/>
      <c r="V406" s="32"/>
      <c r="W406" s="32"/>
      <c r="X406" s="32"/>
      <c r="Y406" s="32"/>
      <c r="Z406" s="32"/>
      <c r="AA406" s="32"/>
      <c r="AB406" s="32"/>
      <c r="AC406" s="28">
        <f t="shared" si="242"/>
        <v>0</v>
      </c>
      <c r="AD406" s="33"/>
      <c r="AE406" s="33"/>
      <c r="AF406" s="33"/>
      <c r="AG406" s="33"/>
      <c r="AH406" s="33"/>
      <c r="AI406" s="33"/>
      <c r="AJ406" s="33"/>
      <c r="AK406" s="33"/>
      <c r="AL406" s="33"/>
      <c r="AM406" s="33"/>
      <c r="AN406" s="33"/>
      <c r="AO406" s="33"/>
      <c r="AP406" s="33"/>
      <c r="AQ406" s="33"/>
      <c r="AR406" s="33"/>
      <c r="AS406" s="33"/>
      <c r="AT406" s="34"/>
      <c r="AU406" s="1679"/>
      <c r="AV406" s="2256">
        <f t="shared" si="243"/>
        <v>0</v>
      </c>
      <c r="AW406" s="2256">
        <f t="shared" si="244"/>
        <v>0</v>
      </c>
      <c r="AX406" s="2256">
        <f t="shared" si="245"/>
        <v>0</v>
      </c>
      <c r="AY406" s="2781">
        <f t="shared" si="246"/>
        <v>0</v>
      </c>
      <c r="AZ406" s="28">
        <f t="shared" si="247"/>
        <v>0</v>
      </c>
      <c r="BA406" s="28">
        <f t="shared" si="248"/>
        <v>0</v>
      </c>
      <c r="BB406" s="28">
        <f t="shared" si="249"/>
        <v>0</v>
      </c>
      <c r="BC406" s="28">
        <f t="shared" si="250"/>
        <v>0</v>
      </c>
      <c r="BD406" s="3439">
        <f t="shared" si="251"/>
        <v>0</v>
      </c>
      <c r="BE406" s="3439">
        <f t="shared" si="252"/>
        <v>0</v>
      </c>
      <c r="BF406" s="3439">
        <f t="shared" si="253"/>
        <v>0</v>
      </c>
      <c r="BG406" s="3439">
        <f t="shared" si="254"/>
        <v>0</v>
      </c>
      <c r="BH406" s="3439">
        <f t="shared" si="255"/>
        <v>0</v>
      </c>
      <c r="BI406" s="3439">
        <f t="shared" si="256"/>
        <v>0</v>
      </c>
      <c r="BJ406" s="3439">
        <f t="shared" si="257"/>
        <v>0</v>
      </c>
      <c r="BK406" s="3439">
        <f t="shared" si="258"/>
        <v>0</v>
      </c>
      <c r="BL406" s="28">
        <f t="shared" si="259"/>
        <v>0</v>
      </c>
      <c r="BM406" s="28">
        <f t="shared" si="260"/>
        <v>0</v>
      </c>
      <c r="BN406" s="28">
        <f t="shared" si="261"/>
        <v>0</v>
      </c>
      <c r="BO406" s="28">
        <f t="shared" si="262"/>
        <v>0</v>
      </c>
      <c r="BP406" s="28">
        <f t="shared" si="263"/>
        <v>0</v>
      </c>
      <c r="BQ406" s="3439">
        <f t="shared" si="264"/>
        <v>0</v>
      </c>
      <c r="BR406" s="3439">
        <f t="shared" si="265"/>
        <v>0</v>
      </c>
      <c r="BS406" s="3439">
        <f t="shared" si="266"/>
        <v>0</v>
      </c>
      <c r="BT406" s="3451">
        <f t="shared" si="267"/>
        <v>0</v>
      </c>
    </row>
    <row r="407" spans="1:72">
      <c r="A407" s="9"/>
      <c r="B407" s="27"/>
      <c r="C407" s="27"/>
      <c r="D407" s="1678"/>
      <c r="E407" s="28">
        <f t="shared" si="239"/>
        <v>0</v>
      </c>
      <c r="F407" s="29"/>
      <c r="G407" s="30">
        <f t="shared" si="240"/>
        <v>0</v>
      </c>
      <c r="H407" s="31">
        <f t="shared" si="241"/>
        <v>0</v>
      </c>
      <c r="I407" s="32"/>
      <c r="J407" s="32"/>
      <c r="K407" s="32"/>
      <c r="L407" s="32"/>
      <c r="M407" s="32"/>
      <c r="N407" s="32"/>
      <c r="O407" s="32"/>
      <c r="P407" s="32"/>
      <c r="Q407" s="32"/>
      <c r="R407" s="32"/>
      <c r="S407" s="32"/>
      <c r="T407" s="32"/>
      <c r="U407" s="32"/>
      <c r="V407" s="32"/>
      <c r="W407" s="32"/>
      <c r="X407" s="32"/>
      <c r="Y407" s="32"/>
      <c r="Z407" s="32"/>
      <c r="AA407" s="32"/>
      <c r="AB407" s="32"/>
      <c r="AC407" s="28">
        <f t="shared" si="242"/>
        <v>0</v>
      </c>
      <c r="AD407" s="33"/>
      <c r="AE407" s="33"/>
      <c r="AF407" s="33"/>
      <c r="AG407" s="33"/>
      <c r="AH407" s="33"/>
      <c r="AI407" s="33"/>
      <c r="AJ407" s="33"/>
      <c r="AK407" s="33"/>
      <c r="AL407" s="33"/>
      <c r="AM407" s="33"/>
      <c r="AN407" s="33"/>
      <c r="AO407" s="33"/>
      <c r="AP407" s="33"/>
      <c r="AQ407" s="33"/>
      <c r="AR407" s="33"/>
      <c r="AS407" s="33"/>
      <c r="AT407" s="34"/>
      <c r="AU407" s="1679"/>
      <c r="AV407" s="2256">
        <f t="shared" si="243"/>
        <v>0</v>
      </c>
      <c r="AW407" s="2256">
        <f t="shared" si="244"/>
        <v>0</v>
      </c>
      <c r="AX407" s="2256">
        <f t="shared" si="245"/>
        <v>0</v>
      </c>
      <c r="AY407" s="2781">
        <f t="shared" si="246"/>
        <v>0</v>
      </c>
      <c r="AZ407" s="28">
        <f t="shared" si="247"/>
        <v>0</v>
      </c>
      <c r="BA407" s="28">
        <f t="shared" si="248"/>
        <v>0</v>
      </c>
      <c r="BB407" s="28">
        <f t="shared" si="249"/>
        <v>0</v>
      </c>
      <c r="BC407" s="28">
        <f t="shared" si="250"/>
        <v>0</v>
      </c>
      <c r="BD407" s="3439">
        <f t="shared" si="251"/>
        <v>0</v>
      </c>
      <c r="BE407" s="3439">
        <f t="shared" si="252"/>
        <v>0</v>
      </c>
      <c r="BF407" s="3439">
        <f t="shared" si="253"/>
        <v>0</v>
      </c>
      <c r="BG407" s="3439">
        <f t="shared" si="254"/>
        <v>0</v>
      </c>
      <c r="BH407" s="3439">
        <f t="shared" si="255"/>
        <v>0</v>
      </c>
      <c r="BI407" s="3439">
        <f t="shared" si="256"/>
        <v>0</v>
      </c>
      <c r="BJ407" s="3439">
        <f t="shared" si="257"/>
        <v>0</v>
      </c>
      <c r="BK407" s="3439">
        <f t="shared" si="258"/>
        <v>0</v>
      </c>
      <c r="BL407" s="28">
        <f t="shared" si="259"/>
        <v>0</v>
      </c>
      <c r="BM407" s="28">
        <f t="shared" si="260"/>
        <v>0</v>
      </c>
      <c r="BN407" s="28">
        <f t="shared" si="261"/>
        <v>0</v>
      </c>
      <c r="BO407" s="28">
        <f t="shared" si="262"/>
        <v>0</v>
      </c>
      <c r="BP407" s="28">
        <f t="shared" si="263"/>
        <v>0</v>
      </c>
      <c r="BQ407" s="3439">
        <f t="shared" si="264"/>
        <v>0</v>
      </c>
      <c r="BR407" s="3439">
        <f t="shared" si="265"/>
        <v>0</v>
      </c>
      <c r="BS407" s="3439">
        <f t="shared" si="266"/>
        <v>0</v>
      </c>
      <c r="BT407" s="3451">
        <f t="shared" si="267"/>
        <v>0</v>
      </c>
    </row>
    <row r="408" spans="1:72">
      <c r="A408" s="9"/>
      <c r="B408" s="27"/>
      <c r="C408" s="27"/>
      <c r="D408" s="1678"/>
      <c r="E408" s="28">
        <f t="shared" si="239"/>
        <v>0</v>
      </c>
      <c r="F408" s="29"/>
      <c r="G408" s="30">
        <f t="shared" si="240"/>
        <v>0</v>
      </c>
      <c r="H408" s="31">
        <f t="shared" si="241"/>
        <v>0</v>
      </c>
      <c r="I408" s="32"/>
      <c r="J408" s="32"/>
      <c r="K408" s="32"/>
      <c r="L408" s="32"/>
      <c r="M408" s="32"/>
      <c r="N408" s="32"/>
      <c r="O408" s="32"/>
      <c r="P408" s="32"/>
      <c r="Q408" s="32"/>
      <c r="R408" s="32"/>
      <c r="S408" s="32"/>
      <c r="T408" s="32"/>
      <c r="U408" s="32"/>
      <c r="V408" s="32"/>
      <c r="W408" s="32"/>
      <c r="X408" s="32"/>
      <c r="Y408" s="32"/>
      <c r="Z408" s="32"/>
      <c r="AA408" s="32"/>
      <c r="AB408" s="32"/>
      <c r="AC408" s="28">
        <f t="shared" si="242"/>
        <v>0</v>
      </c>
      <c r="AD408" s="33"/>
      <c r="AE408" s="33"/>
      <c r="AF408" s="33"/>
      <c r="AG408" s="33"/>
      <c r="AH408" s="33"/>
      <c r="AI408" s="33"/>
      <c r="AJ408" s="33"/>
      <c r="AK408" s="33"/>
      <c r="AL408" s="33"/>
      <c r="AM408" s="33"/>
      <c r="AN408" s="33"/>
      <c r="AO408" s="33"/>
      <c r="AP408" s="33"/>
      <c r="AQ408" s="33"/>
      <c r="AR408" s="33"/>
      <c r="AS408" s="33"/>
      <c r="AT408" s="34"/>
      <c r="AU408" s="1679"/>
      <c r="AV408" s="2256">
        <f t="shared" si="243"/>
        <v>0</v>
      </c>
      <c r="AW408" s="2256">
        <f t="shared" si="244"/>
        <v>0</v>
      </c>
      <c r="AX408" s="2256">
        <f t="shared" si="245"/>
        <v>0</v>
      </c>
      <c r="AY408" s="2781">
        <f t="shared" si="246"/>
        <v>0</v>
      </c>
      <c r="AZ408" s="28">
        <f t="shared" si="247"/>
        <v>0</v>
      </c>
      <c r="BA408" s="28">
        <f t="shared" si="248"/>
        <v>0</v>
      </c>
      <c r="BB408" s="28">
        <f t="shared" si="249"/>
        <v>0</v>
      </c>
      <c r="BC408" s="28">
        <f t="shared" si="250"/>
        <v>0</v>
      </c>
      <c r="BD408" s="3439">
        <f t="shared" si="251"/>
        <v>0</v>
      </c>
      <c r="BE408" s="3439">
        <f t="shared" si="252"/>
        <v>0</v>
      </c>
      <c r="BF408" s="3439">
        <f t="shared" si="253"/>
        <v>0</v>
      </c>
      <c r="BG408" s="3439">
        <f t="shared" si="254"/>
        <v>0</v>
      </c>
      <c r="BH408" s="3439">
        <f t="shared" si="255"/>
        <v>0</v>
      </c>
      <c r="BI408" s="3439">
        <f t="shared" si="256"/>
        <v>0</v>
      </c>
      <c r="BJ408" s="3439">
        <f t="shared" si="257"/>
        <v>0</v>
      </c>
      <c r="BK408" s="3439">
        <f t="shared" si="258"/>
        <v>0</v>
      </c>
      <c r="BL408" s="28">
        <f t="shared" si="259"/>
        <v>0</v>
      </c>
      <c r="BM408" s="28">
        <f t="shared" si="260"/>
        <v>0</v>
      </c>
      <c r="BN408" s="28">
        <f t="shared" si="261"/>
        <v>0</v>
      </c>
      <c r="BO408" s="28">
        <f t="shared" si="262"/>
        <v>0</v>
      </c>
      <c r="BP408" s="28">
        <f t="shared" si="263"/>
        <v>0</v>
      </c>
      <c r="BQ408" s="3439">
        <f t="shared" si="264"/>
        <v>0</v>
      </c>
      <c r="BR408" s="3439">
        <f t="shared" si="265"/>
        <v>0</v>
      </c>
      <c r="BS408" s="3439">
        <f t="shared" si="266"/>
        <v>0</v>
      </c>
      <c r="BT408" s="3451">
        <f t="shared" si="267"/>
        <v>0</v>
      </c>
    </row>
    <row r="409" spans="1:72">
      <c r="A409" s="9"/>
      <c r="B409" s="27"/>
      <c r="C409" s="27"/>
      <c r="D409" s="1678"/>
      <c r="E409" s="28">
        <f t="shared" si="239"/>
        <v>0</v>
      </c>
      <c r="F409" s="29"/>
      <c r="G409" s="30">
        <f t="shared" si="240"/>
        <v>0</v>
      </c>
      <c r="H409" s="31">
        <f t="shared" si="241"/>
        <v>0</v>
      </c>
      <c r="I409" s="32"/>
      <c r="J409" s="32"/>
      <c r="K409" s="32"/>
      <c r="L409" s="32"/>
      <c r="M409" s="32"/>
      <c r="N409" s="32"/>
      <c r="O409" s="32"/>
      <c r="P409" s="32"/>
      <c r="Q409" s="32"/>
      <c r="R409" s="32"/>
      <c r="S409" s="32"/>
      <c r="T409" s="32"/>
      <c r="U409" s="32"/>
      <c r="V409" s="32"/>
      <c r="W409" s="32"/>
      <c r="X409" s="32"/>
      <c r="Y409" s="32"/>
      <c r="Z409" s="32"/>
      <c r="AA409" s="32"/>
      <c r="AB409" s="32"/>
      <c r="AC409" s="28">
        <f t="shared" si="242"/>
        <v>0</v>
      </c>
      <c r="AD409" s="33"/>
      <c r="AE409" s="33"/>
      <c r="AF409" s="33"/>
      <c r="AG409" s="33"/>
      <c r="AH409" s="33"/>
      <c r="AI409" s="33"/>
      <c r="AJ409" s="33"/>
      <c r="AK409" s="33"/>
      <c r="AL409" s="33"/>
      <c r="AM409" s="33"/>
      <c r="AN409" s="33"/>
      <c r="AO409" s="33"/>
      <c r="AP409" s="33"/>
      <c r="AQ409" s="33"/>
      <c r="AR409" s="33"/>
      <c r="AS409" s="33"/>
      <c r="AT409" s="34"/>
      <c r="AU409" s="1679"/>
      <c r="AV409" s="2256">
        <f t="shared" si="243"/>
        <v>0</v>
      </c>
      <c r="AW409" s="2256">
        <f t="shared" si="244"/>
        <v>0</v>
      </c>
      <c r="AX409" s="2256">
        <f t="shared" si="245"/>
        <v>0</v>
      </c>
      <c r="AY409" s="2781">
        <f t="shared" si="246"/>
        <v>0</v>
      </c>
      <c r="AZ409" s="28">
        <f t="shared" si="247"/>
        <v>0</v>
      </c>
      <c r="BA409" s="28">
        <f t="shared" si="248"/>
        <v>0</v>
      </c>
      <c r="BB409" s="28">
        <f t="shared" si="249"/>
        <v>0</v>
      </c>
      <c r="BC409" s="28">
        <f t="shared" si="250"/>
        <v>0</v>
      </c>
      <c r="BD409" s="3439">
        <f t="shared" si="251"/>
        <v>0</v>
      </c>
      <c r="BE409" s="3439">
        <f t="shared" si="252"/>
        <v>0</v>
      </c>
      <c r="BF409" s="3439">
        <f t="shared" si="253"/>
        <v>0</v>
      </c>
      <c r="BG409" s="3439">
        <f t="shared" si="254"/>
        <v>0</v>
      </c>
      <c r="BH409" s="3439">
        <f t="shared" si="255"/>
        <v>0</v>
      </c>
      <c r="BI409" s="3439">
        <f t="shared" si="256"/>
        <v>0</v>
      </c>
      <c r="BJ409" s="3439">
        <f t="shared" si="257"/>
        <v>0</v>
      </c>
      <c r="BK409" s="3439">
        <f t="shared" si="258"/>
        <v>0</v>
      </c>
      <c r="BL409" s="28">
        <f t="shared" si="259"/>
        <v>0</v>
      </c>
      <c r="BM409" s="28">
        <f t="shared" si="260"/>
        <v>0</v>
      </c>
      <c r="BN409" s="28">
        <f t="shared" si="261"/>
        <v>0</v>
      </c>
      <c r="BO409" s="28">
        <f t="shared" si="262"/>
        <v>0</v>
      </c>
      <c r="BP409" s="28">
        <f t="shared" si="263"/>
        <v>0</v>
      </c>
      <c r="BQ409" s="3439">
        <f t="shared" si="264"/>
        <v>0</v>
      </c>
      <c r="BR409" s="3439">
        <f t="shared" si="265"/>
        <v>0</v>
      </c>
      <c r="BS409" s="3439">
        <f t="shared" si="266"/>
        <v>0</v>
      </c>
      <c r="BT409" s="3451">
        <f t="shared" si="267"/>
        <v>0</v>
      </c>
    </row>
    <row r="410" spans="1:72">
      <c r="A410" s="9"/>
      <c r="B410" s="27"/>
      <c r="C410" s="27"/>
      <c r="D410" s="1678"/>
      <c r="E410" s="28">
        <f t="shared" si="239"/>
        <v>0</v>
      </c>
      <c r="F410" s="29"/>
      <c r="G410" s="30">
        <f t="shared" si="240"/>
        <v>0</v>
      </c>
      <c r="H410" s="31">
        <f t="shared" si="241"/>
        <v>0</v>
      </c>
      <c r="I410" s="32"/>
      <c r="J410" s="32"/>
      <c r="K410" s="32"/>
      <c r="L410" s="32"/>
      <c r="M410" s="32"/>
      <c r="N410" s="32"/>
      <c r="O410" s="32"/>
      <c r="P410" s="32"/>
      <c r="Q410" s="32"/>
      <c r="R410" s="32"/>
      <c r="S410" s="32"/>
      <c r="T410" s="32"/>
      <c r="U410" s="32"/>
      <c r="V410" s="32"/>
      <c r="W410" s="32"/>
      <c r="X410" s="32"/>
      <c r="Y410" s="32"/>
      <c r="Z410" s="32"/>
      <c r="AA410" s="32"/>
      <c r="AB410" s="32"/>
      <c r="AC410" s="28">
        <f t="shared" si="242"/>
        <v>0</v>
      </c>
      <c r="AD410" s="33"/>
      <c r="AE410" s="33"/>
      <c r="AF410" s="33"/>
      <c r="AG410" s="33"/>
      <c r="AH410" s="33"/>
      <c r="AI410" s="33"/>
      <c r="AJ410" s="33"/>
      <c r="AK410" s="33"/>
      <c r="AL410" s="33"/>
      <c r="AM410" s="33"/>
      <c r="AN410" s="33"/>
      <c r="AO410" s="33"/>
      <c r="AP410" s="33"/>
      <c r="AQ410" s="33"/>
      <c r="AR410" s="33"/>
      <c r="AS410" s="33"/>
      <c r="AT410" s="34"/>
      <c r="AU410" s="1679"/>
      <c r="AV410" s="2256">
        <f t="shared" si="243"/>
        <v>0</v>
      </c>
      <c r="AW410" s="2256">
        <f t="shared" si="244"/>
        <v>0</v>
      </c>
      <c r="AX410" s="2256">
        <f t="shared" si="245"/>
        <v>0</v>
      </c>
      <c r="AY410" s="2781">
        <f t="shared" si="246"/>
        <v>0</v>
      </c>
      <c r="AZ410" s="28">
        <f t="shared" si="247"/>
        <v>0</v>
      </c>
      <c r="BA410" s="28">
        <f t="shared" si="248"/>
        <v>0</v>
      </c>
      <c r="BB410" s="28">
        <f t="shared" si="249"/>
        <v>0</v>
      </c>
      <c r="BC410" s="28">
        <f t="shared" si="250"/>
        <v>0</v>
      </c>
      <c r="BD410" s="3439">
        <f t="shared" si="251"/>
        <v>0</v>
      </c>
      <c r="BE410" s="3439">
        <f t="shared" si="252"/>
        <v>0</v>
      </c>
      <c r="BF410" s="3439">
        <f t="shared" si="253"/>
        <v>0</v>
      </c>
      <c r="BG410" s="3439">
        <f t="shared" si="254"/>
        <v>0</v>
      </c>
      <c r="BH410" s="3439">
        <f t="shared" si="255"/>
        <v>0</v>
      </c>
      <c r="BI410" s="3439">
        <f t="shared" si="256"/>
        <v>0</v>
      </c>
      <c r="BJ410" s="3439">
        <f t="shared" si="257"/>
        <v>0</v>
      </c>
      <c r="BK410" s="3439">
        <f t="shared" si="258"/>
        <v>0</v>
      </c>
      <c r="BL410" s="28">
        <f t="shared" si="259"/>
        <v>0</v>
      </c>
      <c r="BM410" s="28">
        <f t="shared" si="260"/>
        <v>0</v>
      </c>
      <c r="BN410" s="28">
        <f t="shared" si="261"/>
        <v>0</v>
      </c>
      <c r="BO410" s="28">
        <f t="shared" si="262"/>
        <v>0</v>
      </c>
      <c r="BP410" s="28">
        <f t="shared" si="263"/>
        <v>0</v>
      </c>
      <c r="BQ410" s="3439">
        <f t="shared" si="264"/>
        <v>0</v>
      </c>
      <c r="BR410" s="3439">
        <f t="shared" si="265"/>
        <v>0</v>
      </c>
      <c r="BS410" s="3439">
        <f t="shared" si="266"/>
        <v>0</v>
      </c>
      <c r="BT410" s="3451">
        <f t="shared" si="267"/>
        <v>0</v>
      </c>
    </row>
    <row r="411" spans="1:72">
      <c r="A411" s="9"/>
      <c r="B411" s="27"/>
      <c r="C411" s="27"/>
      <c r="D411" s="1678"/>
      <c r="E411" s="28">
        <f t="shared" si="239"/>
        <v>0</v>
      </c>
      <c r="F411" s="29"/>
      <c r="G411" s="30">
        <f t="shared" si="240"/>
        <v>0</v>
      </c>
      <c r="H411" s="31">
        <f t="shared" si="241"/>
        <v>0</v>
      </c>
      <c r="I411" s="32"/>
      <c r="J411" s="32"/>
      <c r="K411" s="32"/>
      <c r="L411" s="32"/>
      <c r="M411" s="32"/>
      <c r="N411" s="32"/>
      <c r="O411" s="32"/>
      <c r="P411" s="32"/>
      <c r="Q411" s="32"/>
      <c r="R411" s="32"/>
      <c r="S411" s="32"/>
      <c r="T411" s="32"/>
      <c r="U411" s="32"/>
      <c r="V411" s="32"/>
      <c r="W411" s="32"/>
      <c r="X411" s="32"/>
      <c r="Y411" s="32"/>
      <c r="Z411" s="32"/>
      <c r="AA411" s="32"/>
      <c r="AB411" s="32"/>
      <c r="AC411" s="28">
        <f t="shared" si="242"/>
        <v>0</v>
      </c>
      <c r="AD411" s="33"/>
      <c r="AE411" s="33"/>
      <c r="AF411" s="33"/>
      <c r="AG411" s="33"/>
      <c r="AH411" s="33"/>
      <c r="AI411" s="33"/>
      <c r="AJ411" s="33"/>
      <c r="AK411" s="33"/>
      <c r="AL411" s="33"/>
      <c r="AM411" s="33"/>
      <c r="AN411" s="33"/>
      <c r="AO411" s="33"/>
      <c r="AP411" s="33"/>
      <c r="AQ411" s="33"/>
      <c r="AR411" s="33"/>
      <c r="AS411" s="33"/>
      <c r="AT411" s="34"/>
      <c r="AU411" s="1679"/>
      <c r="AV411" s="2256">
        <f t="shared" si="243"/>
        <v>0</v>
      </c>
      <c r="AW411" s="2256">
        <f t="shared" si="244"/>
        <v>0</v>
      </c>
      <c r="AX411" s="2256">
        <f t="shared" si="245"/>
        <v>0</v>
      </c>
      <c r="AY411" s="2781">
        <f t="shared" si="246"/>
        <v>0</v>
      </c>
      <c r="AZ411" s="28">
        <f t="shared" si="247"/>
        <v>0</v>
      </c>
      <c r="BA411" s="28">
        <f t="shared" si="248"/>
        <v>0</v>
      </c>
      <c r="BB411" s="28">
        <f t="shared" si="249"/>
        <v>0</v>
      </c>
      <c r="BC411" s="28">
        <f t="shared" si="250"/>
        <v>0</v>
      </c>
      <c r="BD411" s="3439">
        <f t="shared" si="251"/>
        <v>0</v>
      </c>
      <c r="BE411" s="3439">
        <f t="shared" si="252"/>
        <v>0</v>
      </c>
      <c r="BF411" s="3439">
        <f t="shared" si="253"/>
        <v>0</v>
      </c>
      <c r="BG411" s="3439">
        <f t="shared" si="254"/>
        <v>0</v>
      </c>
      <c r="BH411" s="3439">
        <f t="shared" si="255"/>
        <v>0</v>
      </c>
      <c r="BI411" s="3439">
        <f t="shared" si="256"/>
        <v>0</v>
      </c>
      <c r="BJ411" s="3439">
        <f t="shared" si="257"/>
        <v>0</v>
      </c>
      <c r="BK411" s="3439">
        <f t="shared" si="258"/>
        <v>0</v>
      </c>
      <c r="BL411" s="28">
        <f t="shared" si="259"/>
        <v>0</v>
      </c>
      <c r="BM411" s="28">
        <f t="shared" si="260"/>
        <v>0</v>
      </c>
      <c r="BN411" s="28">
        <f t="shared" si="261"/>
        <v>0</v>
      </c>
      <c r="BO411" s="28">
        <f t="shared" si="262"/>
        <v>0</v>
      </c>
      <c r="BP411" s="28">
        <f t="shared" si="263"/>
        <v>0</v>
      </c>
      <c r="BQ411" s="3439">
        <f t="shared" si="264"/>
        <v>0</v>
      </c>
      <c r="BR411" s="3439">
        <f t="shared" si="265"/>
        <v>0</v>
      </c>
      <c r="BS411" s="3439">
        <f t="shared" si="266"/>
        <v>0</v>
      </c>
      <c r="BT411" s="3451">
        <f t="shared" si="267"/>
        <v>0</v>
      </c>
    </row>
    <row r="412" spans="1:72">
      <c r="A412" s="9"/>
      <c r="B412" s="27"/>
      <c r="C412" s="27"/>
      <c r="D412" s="1678"/>
      <c r="E412" s="28">
        <f t="shared" si="239"/>
        <v>0</v>
      </c>
      <c r="F412" s="29"/>
      <c r="G412" s="30">
        <f t="shared" si="240"/>
        <v>0</v>
      </c>
      <c r="H412" s="31">
        <f t="shared" si="241"/>
        <v>0</v>
      </c>
      <c r="I412" s="32"/>
      <c r="J412" s="32"/>
      <c r="K412" s="32"/>
      <c r="L412" s="32"/>
      <c r="M412" s="32"/>
      <c r="N412" s="32"/>
      <c r="O412" s="32"/>
      <c r="P412" s="32"/>
      <c r="Q412" s="32"/>
      <c r="R412" s="32"/>
      <c r="S412" s="32"/>
      <c r="T412" s="32"/>
      <c r="U412" s="32"/>
      <c r="V412" s="32"/>
      <c r="W412" s="32"/>
      <c r="X412" s="32"/>
      <c r="Y412" s="32"/>
      <c r="Z412" s="32"/>
      <c r="AA412" s="32"/>
      <c r="AB412" s="32"/>
      <c r="AC412" s="28">
        <f t="shared" si="242"/>
        <v>0</v>
      </c>
      <c r="AD412" s="33"/>
      <c r="AE412" s="33"/>
      <c r="AF412" s="33"/>
      <c r="AG412" s="33"/>
      <c r="AH412" s="33"/>
      <c r="AI412" s="33"/>
      <c r="AJ412" s="33"/>
      <c r="AK412" s="33"/>
      <c r="AL412" s="33"/>
      <c r="AM412" s="33"/>
      <c r="AN412" s="33"/>
      <c r="AO412" s="33"/>
      <c r="AP412" s="33"/>
      <c r="AQ412" s="33"/>
      <c r="AR412" s="33"/>
      <c r="AS412" s="33"/>
      <c r="AT412" s="34"/>
      <c r="AU412" s="1679"/>
      <c r="AV412" s="2256">
        <f t="shared" si="243"/>
        <v>0</v>
      </c>
      <c r="AW412" s="2256">
        <f t="shared" si="244"/>
        <v>0</v>
      </c>
      <c r="AX412" s="2256">
        <f t="shared" si="245"/>
        <v>0</v>
      </c>
      <c r="AY412" s="2781">
        <f t="shared" si="246"/>
        <v>0</v>
      </c>
      <c r="AZ412" s="28">
        <f t="shared" si="247"/>
        <v>0</v>
      </c>
      <c r="BA412" s="28">
        <f t="shared" si="248"/>
        <v>0</v>
      </c>
      <c r="BB412" s="28">
        <f t="shared" si="249"/>
        <v>0</v>
      </c>
      <c r="BC412" s="28">
        <f t="shared" si="250"/>
        <v>0</v>
      </c>
      <c r="BD412" s="3439">
        <f t="shared" si="251"/>
        <v>0</v>
      </c>
      <c r="BE412" s="3439">
        <f t="shared" si="252"/>
        <v>0</v>
      </c>
      <c r="BF412" s="3439">
        <f t="shared" si="253"/>
        <v>0</v>
      </c>
      <c r="BG412" s="3439">
        <f t="shared" si="254"/>
        <v>0</v>
      </c>
      <c r="BH412" s="3439">
        <f t="shared" si="255"/>
        <v>0</v>
      </c>
      <c r="BI412" s="3439">
        <f t="shared" si="256"/>
        <v>0</v>
      </c>
      <c r="BJ412" s="3439">
        <f t="shared" si="257"/>
        <v>0</v>
      </c>
      <c r="BK412" s="3439">
        <f t="shared" si="258"/>
        <v>0</v>
      </c>
      <c r="BL412" s="28">
        <f t="shared" si="259"/>
        <v>0</v>
      </c>
      <c r="BM412" s="28">
        <f t="shared" si="260"/>
        <v>0</v>
      </c>
      <c r="BN412" s="28">
        <f t="shared" si="261"/>
        <v>0</v>
      </c>
      <c r="BO412" s="28">
        <f t="shared" si="262"/>
        <v>0</v>
      </c>
      <c r="BP412" s="28">
        <f t="shared" si="263"/>
        <v>0</v>
      </c>
      <c r="BQ412" s="3439">
        <f t="shared" si="264"/>
        <v>0</v>
      </c>
      <c r="BR412" s="3439">
        <f t="shared" si="265"/>
        <v>0</v>
      </c>
      <c r="BS412" s="3439">
        <f t="shared" si="266"/>
        <v>0</v>
      </c>
      <c r="BT412" s="3451">
        <f t="shared" si="267"/>
        <v>0</v>
      </c>
    </row>
    <row r="413" spans="1:72">
      <c r="A413" s="9"/>
      <c r="B413" s="27"/>
      <c r="C413" s="27"/>
      <c r="D413" s="1678"/>
      <c r="E413" s="28">
        <f t="shared" si="239"/>
        <v>0</v>
      </c>
      <c r="F413" s="29"/>
      <c r="G413" s="30">
        <f t="shared" si="240"/>
        <v>0</v>
      </c>
      <c r="H413" s="31">
        <f t="shared" si="241"/>
        <v>0</v>
      </c>
      <c r="I413" s="32"/>
      <c r="J413" s="32"/>
      <c r="K413" s="32"/>
      <c r="L413" s="32"/>
      <c r="M413" s="32"/>
      <c r="N413" s="32"/>
      <c r="O413" s="32"/>
      <c r="P413" s="32"/>
      <c r="Q413" s="32"/>
      <c r="R413" s="32"/>
      <c r="S413" s="32"/>
      <c r="T413" s="32"/>
      <c r="U413" s="32"/>
      <c r="V413" s="32"/>
      <c r="W413" s="32"/>
      <c r="X413" s="32"/>
      <c r="Y413" s="32"/>
      <c r="Z413" s="32"/>
      <c r="AA413" s="32"/>
      <c r="AB413" s="32"/>
      <c r="AC413" s="28">
        <f t="shared" si="242"/>
        <v>0</v>
      </c>
      <c r="AD413" s="33"/>
      <c r="AE413" s="33"/>
      <c r="AF413" s="33"/>
      <c r="AG413" s="33"/>
      <c r="AH413" s="33"/>
      <c r="AI413" s="33"/>
      <c r="AJ413" s="33"/>
      <c r="AK413" s="33"/>
      <c r="AL413" s="33"/>
      <c r="AM413" s="33"/>
      <c r="AN413" s="33"/>
      <c r="AO413" s="33"/>
      <c r="AP413" s="33"/>
      <c r="AQ413" s="33"/>
      <c r="AR413" s="33"/>
      <c r="AS413" s="33"/>
      <c r="AT413" s="34"/>
      <c r="AU413" s="1679"/>
      <c r="AV413" s="2256">
        <f t="shared" si="243"/>
        <v>0</v>
      </c>
      <c r="AW413" s="2256">
        <f t="shared" si="244"/>
        <v>0</v>
      </c>
      <c r="AX413" s="2256">
        <f t="shared" si="245"/>
        <v>0</v>
      </c>
      <c r="AY413" s="2781">
        <f t="shared" si="246"/>
        <v>0</v>
      </c>
      <c r="AZ413" s="28">
        <f t="shared" si="247"/>
        <v>0</v>
      </c>
      <c r="BA413" s="28">
        <f t="shared" si="248"/>
        <v>0</v>
      </c>
      <c r="BB413" s="28">
        <f t="shared" si="249"/>
        <v>0</v>
      </c>
      <c r="BC413" s="28">
        <f t="shared" si="250"/>
        <v>0</v>
      </c>
      <c r="BD413" s="3439">
        <f t="shared" si="251"/>
        <v>0</v>
      </c>
      <c r="BE413" s="3439">
        <f t="shared" si="252"/>
        <v>0</v>
      </c>
      <c r="BF413" s="3439">
        <f t="shared" si="253"/>
        <v>0</v>
      </c>
      <c r="BG413" s="3439">
        <f t="shared" si="254"/>
        <v>0</v>
      </c>
      <c r="BH413" s="3439">
        <f t="shared" si="255"/>
        <v>0</v>
      </c>
      <c r="BI413" s="3439">
        <f t="shared" si="256"/>
        <v>0</v>
      </c>
      <c r="BJ413" s="3439">
        <f t="shared" si="257"/>
        <v>0</v>
      </c>
      <c r="BK413" s="3439">
        <f t="shared" si="258"/>
        <v>0</v>
      </c>
      <c r="BL413" s="28">
        <f t="shared" si="259"/>
        <v>0</v>
      </c>
      <c r="BM413" s="28">
        <f t="shared" si="260"/>
        <v>0</v>
      </c>
      <c r="BN413" s="28">
        <f t="shared" si="261"/>
        <v>0</v>
      </c>
      <c r="BO413" s="28">
        <f t="shared" si="262"/>
        <v>0</v>
      </c>
      <c r="BP413" s="28">
        <f t="shared" si="263"/>
        <v>0</v>
      </c>
      <c r="BQ413" s="3439">
        <f t="shared" si="264"/>
        <v>0</v>
      </c>
      <c r="BR413" s="3439">
        <f t="shared" si="265"/>
        <v>0</v>
      </c>
      <c r="BS413" s="3439">
        <f t="shared" si="266"/>
        <v>0</v>
      </c>
      <c r="BT413" s="3451">
        <f t="shared" si="267"/>
        <v>0</v>
      </c>
    </row>
    <row r="414" spans="1:72">
      <c r="A414" s="9"/>
      <c r="B414" s="27"/>
      <c r="C414" s="27"/>
      <c r="D414" s="1678"/>
      <c r="E414" s="28">
        <f t="shared" si="239"/>
        <v>0</v>
      </c>
      <c r="F414" s="29"/>
      <c r="G414" s="30">
        <f t="shared" si="240"/>
        <v>0</v>
      </c>
      <c r="H414" s="31">
        <f t="shared" si="241"/>
        <v>0</v>
      </c>
      <c r="I414" s="32"/>
      <c r="J414" s="32"/>
      <c r="K414" s="32"/>
      <c r="L414" s="32"/>
      <c r="M414" s="32"/>
      <c r="N414" s="32"/>
      <c r="O414" s="32"/>
      <c r="P414" s="32"/>
      <c r="Q414" s="32"/>
      <c r="R414" s="32"/>
      <c r="S414" s="32"/>
      <c r="T414" s="32"/>
      <c r="U414" s="32"/>
      <c r="V414" s="32"/>
      <c r="W414" s="32"/>
      <c r="X414" s="32"/>
      <c r="Y414" s="32"/>
      <c r="Z414" s="32"/>
      <c r="AA414" s="32"/>
      <c r="AB414" s="32"/>
      <c r="AC414" s="28">
        <f t="shared" si="242"/>
        <v>0</v>
      </c>
      <c r="AD414" s="33"/>
      <c r="AE414" s="33"/>
      <c r="AF414" s="33"/>
      <c r="AG414" s="33"/>
      <c r="AH414" s="33"/>
      <c r="AI414" s="33"/>
      <c r="AJ414" s="33"/>
      <c r="AK414" s="33"/>
      <c r="AL414" s="33"/>
      <c r="AM414" s="33"/>
      <c r="AN414" s="33"/>
      <c r="AO414" s="33"/>
      <c r="AP414" s="33"/>
      <c r="AQ414" s="33"/>
      <c r="AR414" s="33"/>
      <c r="AS414" s="33"/>
      <c r="AT414" s="34"/>
      <c r="AU414" s="1679"/>
      <c r="AV414" s="2256">
        <f t="shared" si="243"/>
        <v>0</v>
      </c>
      <c r="AW414" s="2256">
        <f t="shared" si="244"/>
        <v>0</v>
      </c>
      <c r="AX414" s="2256">
        <f t="shared" si="245"/>
        <v>0</v>
      </c>
      <c r="AY414" s="2781">
        <f t="shared" si="246"/>
        <v>0</v>
      </c>
      <c r="AZ414" s="28">
        <f t="shared" si="247"/>
        <v>0</v>
      </c>
      <c r="BA414" s="28">
        <f t="shared" si="248"/>
        <v>0</v>
      </c>
      <c r="BB414" s="28">
        <f t="shared" si="249"/>
        <v>0</v>
      </c>
      <c r="BC414" s="28">
        <f t="shared" si="250"/>
        <v>0</v>
      </c>
      <c r="BD414" s="3439">
        <f t="shared" si="251"/>
        <v>0</v>
      </c>
      <c r="BE414" s="3439">
        <f t="shared" si="252"/>
        <v>0</v>
      </c>
      <c r="BF414" s="3439">
        <f t="shared" si="253"/>
        <v>0</v>
      </c>
      <c r="BG414" s="3439">
        <f t="shared" si="254"/>
        <v>0</v>
      </c>
      <c r="BH414" s="3439">
        <f t="shared" si="255"/>
        <v>0</v>
      </c>
      <c r="BI414" s="3439">
        <f t="shared" si="256"/>
        <v>0</v>
      </c>
      <c r="BJ414" s="3439">
        <f t="shared" si="257"/>
        <v>0</v>
      </c>
      <c r="BK414" s="3439">
        <f t="shared" si="258"/>
        <v>0</v>
      </c>
      <c r="BL414" s="28">
        <f t="shared" si="259"/>
        <v>0</v>
      </c>
      <c r="BM414" s="28">
        <f t="shared" si="260"/>
        <v>0</v>
      </c>
      <c r="BN414" s="28">
        <f t="shared" si="261"/>
        <v>0</v>
      </c>
      <c r="BO414" s="28">
        <f t="shared" si="262"/>
        <v>0</v>
      </c>
      <c r="BP414" s="28">
        <f t="shared" si="263"/>
        <v>0</v>
      </c>
      <c r="BQ414" s="3439">
        <f t="shared" si="264"/>
        <v>0</v>
      </c>
      <c r="BR414" s="3439">
        <f t="shared" si="265"/>
        <v>0</v>
      </c>
      <c r="BS414" s="3439">
        <f t="shared" si="266"/>
        <v>0</v>
      </c>
      <c r="BT414" s="3451">
        <f t="shared" si="267"/>
        <v>0</v>
      </c>
    </row>
    <row r="415" spans="1:72">
      <c r="A415" s="9"/>
      <c r="B415" s="27"/>
      <c r="C415" s="27"/>
      <c r="D415" s="1678"/>
      <c r="E415" s="28">
        <f t="shared" si="239"/>
        <v>0</v>
      </c>
      <c r="F415" s="29"/>
      <c r="G415" s="30">
        <f t="shared" si="240"/>
        <v>0</v>
      </c>
      <c r="H415" s="31">
        <f t="shared" si="241"/>
        <v>0</v>
      </c>
      <c r="I415" s="32"/>
      <c r="J415" s="32"/>
      <c r="K415" s="32"/>
      <c r="L415" s="32"/>
      <c r="M415" s="32"/>
      <c r="N415" s="32"/>
      <c r="O415" s="32"/>
      <c r="P415" s="32"/>
      <c r="Q415" s="32"/>
      <c r="R415" s="32"/>
      <c r="S415" s="32"/>
      <c r="T415" s="32"/>
      <c r="U415" s="32"/>
      <c r="V415" s="32"/>
      <c r="W415" s="32"/>
      <c r="X415" s="32"/>
      <c r="Y415" s="32"/>
      <c r="Z415" s="32"/>
      <c r="AA415" s="32"/>
      <c r="AB415" s="32"/>
      <c r="AC415" s="28">
        <f t="shared" si="242"/>
        <v>0</v>
      </c>
      <c r="AD415" s="33"/>
      <c r="AE415" s="33"/>
      <c r="AF415" s="33"/>
      <c r="AG415" s="33"/>
      <c r="AH415" s="33"/>
      <c r="AI415" s="33"/>
      <c r="AJ415" s="33"/>
      <c r="AK415" s="33"/>
      <c r="AL415" s="33"/>
      <c r="AM415" s="33"/>
      <c r="AN415" s="33"/>
      <c r="AO415" s="33"/>
      <c r="AP415" s="33"/>
      <c r="AQ415" s="33"/>
      <c r="AR415" s="33"/>
      <c r="AS415" s="33"/>
      <c r="AT415" s="34"/>
      <c r="AU415" s="1679"/>
      <c r="AV415" s="2256">
        <f t="shared" si="243"/>
        <v>0</v>
      </c>
      <c r="AW415" s="2256">
        <f t="shared" si="244"/>
        <v>0</v>
      </c>
      <c r="AX415" s="2256">
        <f t="shared" si="245"/>
        <v>0</v>
      </c>
      <c r="AY415" s="2781">
        <f t="shared" si="246"/>
        <v>0</v>
      </c>
      <c r="AZ415" s="28">
        <f t="shared" si="247"/>
        <v>0</v>
      </c>
      <c r="BA415" s="28">
        <f t="shared" si="248"/>
        <v>0</v>
      </c>
      <c r="BB415" s="28">
        <f t="shared" si="249"/>
        <v>0</v>
      </c>
      <c r="BC415" s="28">
        <f t="shared" si="250"/>
        <v>0</v>
      </c>
      <c r="BD415" s="3439">
        <f t="shared" si="251"/>
        <v>0</v>
      </c>
      <c r="BE415" s="3439">
        <f t="shared" si="252"/>
        <v>0</v>
      </c>
      <c r="BF415" s="3439">
        <f t="shared" si="253"/>
        <v>0</v>
      </c>
      <c r="BG415" s="3439">
        <f t="shared" si="254"/>
        <v>0</v>
      </c>
      <c r="BH415" s="3439">
        <f t="shared" si="255"/>
        <v>0</v>
      </c>
      <c r="BI415" s="3439">
        <f t="shared" si="256"/>
        <v>0</v>
      </c>
      <c r="BJ415" s="3439">
        <f t="shared" si="257"/>
        <v>0</v>
      </c>
      <c r="BK415" s="3439">
        <f t="shared" si="258"/>
        <v>0</v>
      </c>
      <c r="BL415" s="28">
        <f t="shared" si="259"/>
        <v>0</v>
      </c>
      <c r="BM415" s="28">
        <f t="shared" si="260"/>
        <v>0</v>
      </c>
      <c r="BN415" s="28">
        <f t="shared" si="261"/>
        <v>0</v>
      </c>
      <c r="BO415" s="28">
        <f t="shared" si="262"/>
        <v>0</v>
      </c>
      <c r="BP415" s="28">
        <f t="shared" si="263"/>
        <v>0</v>
      </c>
      <c r="BQ415" s="3439">
        <f t="shared" si="264"/>
        <v>0</v>
      </c>
      <c r="BR415" s="3439">
        <f t="shared" si="265"/>
        <v>0</v>
      </c>
      <c r="BS415" s="3439">
        <f t="shared" si="266"/>
        <v>0</v>
      </c>
      <c r="BT415" s="3451">
        <f t="shared" si="267"/>
        <v>0</v>
      </c>
    </row>
    <row r="416" spans="1:72">
      <c r="A416" s="9"/>
      <c r="B416" s="27"/>
      <c r="C416" s="27"/>
      <c r="D416" s="1678"/>
      <c r="E416" s="28">
        <f t="shared" si="239"/>
        <v>0</v>
      </c>
      <c r="F416" s="29"/>
      <c r="G416" s="30">
        <f t="shared" si="240"/>
        <v>0</v>
      </c>
      <c r="H416" s="31">
        <f t="shared" si="241"/>
        <v>0</v>
      </c>
      <c r="I416" s="32"/>
      <c r="J416" s="32"/>
      <c r="K416" s="32"/>
      <c r="L416" s="32"/>
      <c r="M416" s="32"/>
      <c r="N416" s="32"/>
      <c r="O416" s="32"/>
      <c r="P416" s="32"/>
      <c r="Q416" s="32"/>
      <c r="R416" s="32"/>
      <c r="S416" s="32"/>
      <c r="T416" s="32"/>
      <c r="U416" s="32"/>
      <c r="V416" s="32"/>
      <c r="W416" s="32"/>
      <c r="X416" s="32"/>
      <c r="Y416" s="32"/>
      <c r="Z416" s="32"/>
      <c r="AA416" s="32"/>
      <c r="AB416" s="32"/>
      <c r="AC416" s="28">
        <f t="shared" si="242"/>
        <v>0</v>
      </c>
      <c r="AD416" s="33"/>
      <c r="AE416" s="33"/>
      <c r="AF416" s="33"/>
      <c r="AG416" s="33"/>
      <c r="AH416" s="33"/>
      <c r="AI416" s="33"/>
      <c r="AJ416" s="33"/>
      <c r="AK416" s="33"/>
      <c r="AL416" s="33"/>
      <c r="AM416" s="33"/>
      <c r="AN416" s="33"/>
      <c r="AO416" s="33"/>
      <c r="AP416" s="33"/>
      <c r="AQ416" s="33"/>
      <c r="AR416" s="33"/>
      <c r="AS416" s="33"/>
      <c r="AT416" s="34"/>
      <c r="AU416" s="1679"/>
      <c r="AV416" s="2256">
        <f t="shared" si="243"/>
        <v>0</v>
      </c>
      <c r="AW416" s="2256">
        <f t="shared" si="244"/>
        <v>0</v>
      </c>
      <c r="AX416" s="2256">
        <f t="shared" si="245"/>
        <v>0</v>
      </c>
      <c r="AY416" s="2781">
        <f t="shared" si="246"/>
        <v>0</v>
      </c>
      <c r="AZ416" s="28">
        <f t="shared" si="247"/>
        <v>0</v>
      </c>
      <c r="BA416" s="28">
        <f t="shared" si="248"/>
        <v>0</v>
      </c>
      <c r="BB416" s="28">
        <f t="shared" si="249"/>
        <v>0</v>
      </c>
      <c r="BC416" s="28">
        <f t="shared" si="250"/>
        <v>0</v>
      </c>
      <c r="BD416" s="3439">
        <f t="shared" si="251"/>
        <v>0</v>
      </c>
      <c r="BE416" s="3439">
        <f t="shared" si="252"/>
        <v>0</v>
      </c>
      <c r="BF416" s="3439">
        <f t="shared" si="253"/>
        <v>0</v>
      </c>
      <c r="BG416" s="3439">
        <f t="shared" si="254"/>
        <v>0</v>
      </c>
      <c r="BH416" s="3439">
        <f t="shared" si="255"/>
        <v>0</v>
      </c>
      <c r="BI416" s="3439">
        <f t="shared" si="256"/>
        <v>0</v>
      </c>
      <c r="BJ416" s="3439">
        <f t="shared" si="257"/>
        <v>0</v>
      </c>
      <c r="BK416" s="3439">
        <f t="shared" si="258"/>
        <v>0</v>
      </c>
      <c r="BL416" s="28">
        <f t="shared" si="259"/>
        <v>0</v>
      </c>
      <c r="BM416" s="28">
        <f t="shared" si="260"/>
        <v>0</v>
      </c>
      <c r="BN416" s="28">
        <f t="shared" si="261"/>
        <v>0</v>
      </c>
      <c r="BO416" s="28">
        <f t="shared" si="262"/>
        <v>0</v>
      </c>
      <c r="BP416" s="28">
        <f t="shared" si="263"/>
        <v>0</v>
      </c>
      <c r="BQ416" s="3439">
        <f t="shared" si="264"/>
        <v>0</v>
      </c>
      <c r="BR416" s="3439">
        <f t="shared" si="265"/>
        <v>0</v>
      </c>
      <c r="BS416" s="3439">
        <f t="shared" si="266"/>
        <v>0</v>
      </c>
      <c r="BT416" s="3451">
        <f t="shared" si="267"/>
        <v>0</v>
      </c>
    </row>
    <row r="417" spans="1:72">
      <c r="A417" s="9"/>
      <c r="B417" s="27"/>
      <c r="C417" s="27"/>
      <c r="D417" s="1678"/>
      <c r="E417" s="28">
        <f t="shared" si="239"/>
        <v>0</v>
      </c>
      <c r="F417" s="29"/>
      <c r="G417" s="30">
        <f t="shared" si="240"/>
        <v>0</v>
      </c>
      <c r="H417" s="31">
        <f t="shared" si="241"/>
        <v>0</v>
      </c>
      <c r="I417" s="32"/>
      <c r="J417" s="32"/>
      <c r="K417" s="32"/>
      <c r="L417" s="32"/>
      <c r="M417" s="32"/>
      <c r="N417" s="32"/>
      <c r="O417" s="32"/>
      <c r="P417" s="32"/>
      <c r="Q417" s="32"/>
      <c r="R417" s="32"/>
      <c r="S417" s="32"/>
      <c r="T417" s="32"/>
      <c r="U417" s="32"/>
      <c r="V417" s="32"/>
      <c r="W417" s="32"/>
      <c r="X417" s="32"/>
      <c r="Y417" s="32"/>
      <c r="Z417" s="32"/>
      <c r="AA417" s="32"/>
      <c r="AB417" s="32"/>
      <c r="AC417" s="28">
        <f t="shared" si="242"/>
        <v>0</v>
      </c>
      <c r="AD417" s="33"/>
      <c r="AE417" s="33"/>
      <c r="AF417" s="33"/>
      <c r="AG417" s="33"/>
      <c r="AH417" s="33"/>
      <c r="AI417" s="33"/>
      <c r="AJ417" s="33"/>
      <c r="AK417" s="33"/>
      <c r="AL417" s="33"/>
      <c r="AM417" s="33"/>
      <c r="AN417" s="33"/>
      <c r="AO417" s="33"/>
      <c r="AP417" s="33"/>
      <c r="AQ417" s="33"/>
      <c r="AR417" s="33"/>
      <c r="AS417" s="33"/>
      <c r="AT417" s="34"/>
      <c r="AU417" s="1679"/>
      <c r="AV417" s="2256">
        <f t="shared" si="243"/>
        <v>0</v>
      </c>
      <c r="AW417" s="2256">
        <f t="shared" si="244"/>
        <v>0</v>
      </c>
      <c r="AX417" s="2256">
        <f t="shared" si="245"/>
        <v>0</v>
      </c>
      <c r="AY417" s="2781">
        <f t="shared" si="246"/>
        <v>0</v>
      </c>
      <c r="AZ417" s="28">
        <f t="shared" si="247"/>
        <v>0</v>
      </c>
      <c r="BA417" s="28">
        <f t="shared" si="248"/>
        <v>0</v>
      </c>
      <c r="BB417" s="28">
        <f t="shared" si="249"/>
        <v>0</v>
      </c>
      <c r="BC417" s="28">
        <f t="shared" si="250"/>
        <v>0</v>
      </c>
      <c r="BD417" s="3439">
        <f t="shared" si="251"/>
        <v>0</v>
      </c>
      <c r="BE417" s="3439">
        <f t="shared" si="252"/>
        <v>0</v>
      </c>
      <c r="BF417" s="3439">
        <f t="shared" si="253"/>
        <v>0</v>
      </c>
      <c r="BG417" s="3439">
        <f t="shared" si="254"/>
        <v>0</v>
      </c>
      <c r="BH417" s="3439">
        <f t="shared" si="255"/>
        <v>0</v>
      </c>
      <c r="BI417" s="3439">
        <f t="shared" si="256"/>
        <v>0</v>
      </c>
      <c r="BJ417" s="3439">
        <f t="shared" si="257"/>
        <v>0</v>
      </c>
      <c r="BK417" s="3439">
        <f t="shared" si="258"/>
        <v>0</v>
      </c>
      <c r="BL417" s="28">
        <f t="shared" si="259"/>
        <v>0</v>
      </c>
      <c r="BM417" s="28">
        <f t="shared" si="260"/>
        <v>0</v>
      </c>
      <c r="BN417" s="28">
        <f t="shared" si="261"/>
        <v>0</v>
      </c>
      <c r="BO417" s="28">
        <f t="shared" si="262"/>
        <v>0</v>
      </c>
      <c r="BP417" s="28">
        <f t="shared" si="263"/>
        <v>0</v>
      </c>
      <c r="BQ417" s="3439">
        <f t="shared" si="264"/>
        <v>0</v>
      </c>
      <c r="BR417" s="3439">
        <f t="shared" si="265"/>
        <v>0</v>
      </c>
      <c r="BS417" s="3439">
        <f t="shared" si="266"/>
        <v>0</v>
      </c>
      <c r="BT417" s="3451">
        <f t="shared" si="267"/>
        <v>0</v>
      </c>
    </row>
    <row r="418" spans="1:72">
      <c r="A418" s="9"/>
      <c r="B418" s="27"/>
      <c r="C418" s="27"/>
      <c r="D418" s="1678"/>
      <c r="E418" s="28">
        <f t="shared" si="239"/>
        <v>0</v>
      </c>
      <c r="F418" s="29"/>
      <c r="G418" s="30">
        <f t="shared" si="240"/>
        <v>0</v>
      </c>
      <c r="H418" s="31">
        <f t="shared" si="241"/>
        <v>0</v>
      </c>
      <c r="I418" s="32"/>
      <c r="J418" s="32"/>
      <c r="K418" s="32"/>
      <c r="L418" s="32"/>
      <c r="M418" s="32"/>
      <c r="N418" s="32"/>
      <c r="O418" s="32"/>
      <c r="P418" s="32"/>
      <c r="Q418" s="32"/>
      <c r="R418" s="32"/>
      <c r="S418" s="32"/>
      <c r="T418" s="32"/>
      <c r="U418" s="32"/>
      <c r="V418" s="32"/>
      <c r="W418" s="32"/>
      <c r="X418" s="32"/>
      <c r="Y418" s="32"/>
      <c r="Z418" s="32"/>
      <c r="AA418" s="32"/>
      <c r="AB418" s="32"/>
      <c r="AC418" s="28">
        <f t="shared" si="242"/>
        <v>0</v>
      </c>
      <c r="AD418" s="33"/>
      <c r="AE418" s="33"/>
      <c r="AF418" s="33"/>
      <c r="AG418" s="33"/>
      <c r="AH418" s="33"/>
      <c r="AI418" s="33"/>
      <c r="AJ418" s="33"/>
      <c r="AK418" s="33"/>
      <c r="AL418" s="33"/>
      <c r="AM418" s="33"/>
      <c r="AN418" s="33"/>
      <c r="AO418" s="33"/>
      <c r="AP418" s="33"/>
      <c r="AQ418" s="33"/>
      <c r="AR418" s="33"/>
      <c r="AS418" s="33"/>
      <c r="AT418" s="34"/>
      <c r="AU418" s="1679"/>
      <c r="AV418" s="2256">
        <f t="shared" si="243"/>
        <v>0</v>
      </c>
      <c r="AW418" s="2256">
        <f t="shared" si="244"/>
        <v>0</v>
      </c>
      <c r="AX418" s="2256">
        <f t="shared" si="245"/>
        <v>0</v>
      </c>
      <c r="AY418" s="2781">
        <f t="shared" si="246"/>
        <v>0</v>
      </c>
      <c r="AZ418" s="28">
        <f t="shared" si="247"/>
        <v>0</v>
      </c>
      <c r="BA418" s="28">
        <f t="shared" si="248"/>
        <v>0</v>
      </c>
      <c r="BB418" s="28">
        <f t="shared" si="249"/>
        <v>0</v>
      </c>
      <c r="BC418" s="28">
        <f t="shared" si="250"/>
        <v>0</v>
      </c>
      <c r="BD418" s="3439">
        <f t="shared" si="251"/>
        <v>0</v>
      </c>
      <c r="BE418" s="3439">
        <f t="shared" si="252"/>
        <v>0</v>
      </c>
      <c r="BF418" s="3439">
        <f t="shared" si="253"/>
        <v>0</v>
      </c>
      <c r="BG418" s="3439">
        <f t="shared" si="254"/>
        <v>0</v>
      </c>
      <c r="BH418" s="3439">
        <f t="shared" si="255"/>
        <v>0</v>
      </c>
      <c r="BI418" s="3439">
        <f t="shared" si="256"/>
        <v>0</v>
      </c>
      <c r="BJ418" s="3439">
        <f t="shared" si="257"/>
        <v>0</v>
      </c>
      <c r="BK418" s="3439">
        <f t="shared" si="258"/>
        <v>0</v>
      </c>
      <c r="BL418" s="28">
        <f t="shared" si="259"/>
        <v>0</v>
      </c>
      <c r="BM418" s="28">
        <f t="shared" si="260"/>
        <v>0</v>
      </c>
      <c r="BN418" s="28">
        <f t="shared" si="261"/>
        <v>0</v>
      </c>
      <c r="BO418" s="28">
        <f t="shared" si="262"/>
        <v>0</v>
      </c>
      <c r="BP418" s="28">
        <f t="shared" si="263"/>
        <v>0</v>
      </c>
      <c r="BQ418" s="3439">
        <f t="shared" si="264"/>
        <v>0</v>
      </c>
      <c r="BR418" s="3439">
        <f t="shared" si="265"/>
        <v>0</v>
      </c>
      <c r="BS418" s="3439">
        <f t="shared" si="266"/>
        <v>0</v>
      </c>
      <c r="BT418" s="3451">
        <f t="shared" si="267"/>
        <v>0</v>
      </c>
    </row>
    <row r="419" spans="1:72">
      <c r="A419" s="9"/>
      <c r="B419" s="27"/>
      <c r="C419" s="27"/>
      <c r="D419" s="1678"/>
      <c r="E419" s="28">
        <f t="shared" si="239"/>
        <v>0</v>
      </c>
      <c r="F419" s="29"/>
      <c r="G419" s="30">
        <f t="shared" si="240"/>
        <v>0</v>
      </c>
      <c r="H419" s="31">
        <f t="shared" si="241"/>
        <v>0</v>
      </c>
      <c r="I419" s="32"/>
      <c r="J419" s="32"/>
      <c r="K419" s="32"/>
      <c r="L419" s="32"/>
      <c r="M419" s="32"/>
      <c r="N419" s="32"/>
      <c r="O419" s="32"/>
      <c r="P419" s="32"/>
      <c r="Q419" s="32"/>
      <c r="R419" s="32"/>
      <c r="S419" s="32"/>
      <c r="T419" s="32"/>
      <c r="U419" s="32"/>
      <c r="V419" s="32"/>
      <c r="W419" s="32"/>
      <c r="X419" s="32"/>
      <c r="Y419" s="32"/>
      <c r="Z419" s="32"/>
      <c r="AA419" s="32"/>
      <c r="AB419" s="32"/>
      <c r="AC419" s="28">
        <f t="shared" si="242"/>
        <v>0</v>
      </c>
      <c r="AD419" s="33"/>
      <c r="AE419" s="33"/>
      <c r="AF419" s="33"/>
      <c r="AG419" s="33"/>
      <c r="AH419" s="33"/>
      <c r="AI419" s="33"/>
      <c r="AJ419" s="33"/>
      <c r="AK419" s="33"/>
      <c r="AL419" s="33"/>
      <c r="AM419" s="33"/>
      <c r="AN419" s="33"/>
      <c r="AO419" s="33"/>
      <c r="AP419" s="33"/>
      <c r="AQ419" s="33"/>
      <c r="AR419" s="33"/>
      <c r="AS419" s="33"/>
      <c r="AT419" s="34"/>
      <c r="AU419" s="1679"/>
      <c r="AV419" s="2256">
        <f t="shared" si="243"/>
        <v>0</v>
      </c>
      <c r="AW419" s="2256">
        <f t="shared" si="244"/>
        <v>0</v>
      </c>
      <c r="AX419" s="2256">
        <f t="shared" si="245"/>
        <v>0</v>
      </c>
      <c r="AY419" s="2781">
        <f t="shared" si="246"/>
        <v>0</v>
      </c>
      <c r="AZ419" s="28">
        <f t="shared" si="247"/>
        <v>0</v>
      </c>
      <c r="BA419" s="28">
        <f t="shared" si="248"/>
        <v>0</v>
      </c>
      <c r="BB419" s="28">
        <f t="shared" si="249"/>
        <v>0</v>
      </c>
      <c r="BC419" s="28">
        <f t="shared" si="250"/>
        <v>0</v>
      </c>
      <c r="BD419" s="3439">
        <f t="shared" si="251"/>
        <v>0</v>
      </c>
      <c r="BE419" s="3439">
        <f t="shared" si="252"/>
        <v>0</v>
      </c>
      <c r="BF419" s="3439">
        <f t="shared" si="253"/>
        <v>0</v>
      </c>
      <c r="BG419" s="3439">
        <f t="shared" si="254"/>
        <v>0</v>
      </c>
      <c r="BH419" s="3439">
        <f t="shared" si="255"/>
        <v>0</v>
      </c>
      <c r="BI419" s="3439">
        <f t="shared" si="256"/>
        <v>0</v>
      </c>
      <c r="BJ419" s="3439">
        <f t="shared" si="257"/>
        <v>0</v>
      </c>
      <c r="BK419" s="3439">
        <f t="shared" si="258"/>
        <v>0</v>
      </c>
      <c r="BL419" s="28">
        <f t="shared" si="259"/>
        <v>0</v>
      </c>
      <c r="BM419" s="28">
        <f t="shared" si="260"/>
        <v>0</v>
      </c>
      <c r="BN419" s="28">
        <f t="shared" si="261"/>
        <v>0</v>
      </c>
      <c r="BO419" s="28">
        <f t="shared" si="262"/>
        <v>0</v>
      </c>
      <c r="BP419" s="28">
        <f t="shared" si="263"/>
        <v>0</v>
      </c>
      <c r="BQ419" s="3439">
        <f t="shared" si="264"/>
        <v>0</v>
      </c>
      <c r="BR419" s="3439">
        <f t="shared" si="265"/>
        <v>0</v>
      </c>
      <c r="BS419" s="3439">
        <f t="shared" si="266"/>
        <v>0</v>
      </c>
      <c r="BT419" s="3451">
        <f t="shared" si="267"/>
        <v>0</v>
      </c>
    </row>
    <row r="420" spans="1:72">
      <c r="A420" s="9"/>
      <c r="B420" s="27"/>
      <c r="C420" s="27"/>
      <c r="D420" s="1678"/>
      <c r="E420" s="28">
        <f t="shared" si="239"/>
        <v>0</v>
      </c>
      <c r="F420" s="29"/>
      <c r="G420" s="30">
        <f t="shared" si="240"/>
        <v>0</v>
      </c>
      <c r="H420" s="31">
        <f t="shared" si="241"/>
        <v>0</v>
      </c>
      <c r="I420" s="32"/>
      <c r="J420" s="32"/>
      <c r="K420" s="32"/>
      <c r="L420" s="32"/>
      <c r="M420" s="32"/>
      <c r="N420" s="32"/>
      <c r="O420" s="32"/>
      <c r="P420" s="32"/>
      <c r="Q420" s="32"/>
      <c r="R420" s="32"/>
      <c r="S420" s="32"/>
      <c r="T420" s="32"/>
      <c r="U420" s="32"/>
      <c r="V420" s="32"/>
      <c r="W420" s="32"/>
      <c r="X420" s="32"/>
      <c r="Y420" s="32"/>
      <c r="Z420" s="32"/>
      <c r="AA420" s="32"/>
      <c r="AB420" s="32"/>
      <c r="AC420" s="28">
        <f t="shared" si="242"/>
        <v>0</v>
      </c>
      <c r="AD420" s="33"/>
      <c r="AE420" s="33"/>
      <c r="AF420" s="33"/>
      <c r="AG420" s="33"/>
      <c r="AH420" s="33"/>
      <c r="AI420" s="33"/>
      <c r="AJ420" s="33"/>
      <c r="AK420" s="33"/>
      <c r="AL420" s="33"/>
      <c r="AM420" s="33"/>
      <c r="AN420" s="33"/>
      <c r="AO420" s="33"/>
      <c r="AP420" s="33"/>
      <c r="AQ420" s="33"/>
      <c r="AR420" s="33"/>
      <c r="AS420" s="33"/>
      <c r="AT420" s="34"/>
      <c r="AU420" s="1679"/>
      <c r="AV420" s="2256">
        <f t="shared" si="243"/>
        <v>0</v>
      </c>
      <c r="AW420" s="2256">
        <f t="shared" si="244"/>
        <v>0</v>
      </c>
      <c r="AX420" s="2256">
        <f t="shared" si="245"/>
        <v>0</v>
      </c>
      <c r="AY420" s="2781">
        <f t="shared" si="246"/>
        <v>0</v>
      </c>
      <c r="AZ420" s="28">
        <f t="shared" si="247"/>
        <v>0</v>
      </c>
      <c r="BA420" s="28">
        <f t="shared" si="248"/>
        <v>0</v>
      </c>
      <c r="BB420" s="28">
        <f t="shared" si="249"/>
        <v>0</v>
      </c>
      <c r="BC420" s="28">
        <f t="shared" si="250"/>
        <v>0</v>
      </c>
      <c r="BD420" s="3439">
        <f t="shared" si="251"/>
        <v>0</v>
      </c>
      <c r="BE420" s="3439">
        <f t="shared" si="252"/>
        <v>0</v>
      </c>
      <c r="BF420" s="3439">
        <f t="shared" si="253"/>
        <v>0</v>
      </c>
      <c r="BG420" s="3439">
        <f t="shared" si="254"/>
        <v>0</v>
      </c>
      <c r="BH420" s="3439">
        <f t="shared" si="255"/>
        <v>0</v>
      </c>
      <c r="BI420" s="3439">
        <f t="shared" si="256"/>
        <v>0</v>
      </c>
      <c r="BJ420" s="3439">
        <f t="shared" si="257"/>
        <v>0</v>
      </c>
      <c r="BK420" s="3439">
        <f t="shared" si="258"/>
        <v>0</v>
      </c>
      <c r="BL420" s="28">
        <f t="shared" si="259"/>
        <v>0</v>
      </c>
      <c r="BM420" s="28">
        <f t="shared" si="260"/>
        <v>0</v>
      </c>
      <c r="BN420" s="28">
        <f t="shared" si="261"/>
        <v>0</v>
      </c>
      <c r="BO420" s="28">
        <f t="shared" si="262"/>
        <v>0</v>
      </c>
      <c r="BP420" s="28">
        <f t="shared" si="263"/>
        <v>0</v>
      </c>
      <c r="BQ420" s="3439">
        <f t="shared" si="264"/>
        <v>0</v>
      </c>
      <c r="BR420" s="3439">
        <f t="shared" si="265"/>
        <v>0</v>
      </c>
      <c r="BS420" s="3439">
        <f t="shared" si="266"/>
        <v>0</v>
      </c>
      <c r="BT420" s="3451">
        <f t="shared" si="267"/>
        <v>0</v>
      </c>
    </row>
    <row r="421" spans="1:72">
      <c r="A421" s="9"/>
      <c r="B421" s="27"/>
      <c r="C421" s="27"/>
      <c r="D421" s="1678"/>
      <c r="E421" s="28">
        <f t="shared" si="239"/>
        <v>0</v>
      </c>
      <c r="F421" s="29"/>
      <c r="G421" s="30">
        <f t="shared" si="240"/>
        <v>0</v>
      </c>
      <c r="H421" s="31">
        <f t="shared" si="241"/>
        <v>0</v>
      </c>
      <c r="I421" s="32"/>
      <c r="J421" s="32"/>
      <c r="K421" s="32"/>
      <c r="L421" s="32"/>
      <c r="M421" s="32"/>
      <c r="N421" s="32"/>
      <c r="O421" s="32"/>
      <c r="P421" s="32"/>
      <c r="Q421" s="32"/>
      <c r="R421" s="32"/>
      <c r="S421" s="32"/>
      <c r="T421" s="32"/>
      <c r="U421" s="32"/>
      <c r="V421" s="32"/>
      <c r="W421" s="32"/>
      <c r="X421" s="32"/>
      <c r="Y421" s="32"/>
      <c r="Z421" s="32"/>
      <c r="AA421" s="32"/>
      <c r="AB421" s="32"/>
      <c r="AC421" s="28">
        <f t="shared" si="242"/>
        <v>0</v>
      </c>
      <c r="AD421" s="33"/>
      <c r="AE421" s="33"/>
      <c r="AF421" s="33"/>
      <c r="AG421" s="33"/>
      <c r="AH421" s="33"/>
      <c r="AI421" s="33"/>
      <c r="AJ421" s="33"/>
      <c r="AK421" s="33"/>
      <c r="AL421" s="33"/>
      <c r="AM421" s="33"/>
      <c r="AN421" s="33"/>
      <c r="AO421" s="33"/>
      <c r="AP421" s="33"/>
      <c r="AQ421" s="33"/>
      <c r="AR421" s="33"/>
      <c r="AS421" s="33"/>
      <c r="AT421" s="34"/>
      <c r="AU421" s="1679"/>
      <c r="AV421" s="2256">
        <f t="shared" si="243"/>
        <v>0</v>
      </c>
      <c r="AW421" s="2256">
        <f t="shared" si="244"/>
        <v>0</v>
      </c>
      <c r="AX421" s="2256">
        <f t="shared" si="245"/>
        <v>0</v>
      </c>
      <c r="AY421" s="2781">
        <f t="shared" si="246"/>
        <v>0</v>
      </c>
      <c r="AZ421" s="28">
        <f t="shared" si="247"/>
        <v>0</v>
      </c>
      <c r="BA421" s="28">
        <f t="shared" si="248"/>
        <v>0</v>
      </c>
      <c r="BB421" s="28">
        <f t="shared" si="249"/>
        <v>0</v>
      </c>
      <c r="BC421" s="28">
        <f t="shared" si="250"/>
        <v>0</v>
      </c>
      <c r="BD421" s="3439">
        <f t="shared" si="251"/>
        <v>0</v>
      </c>
      <c r="BE421" s="3439">
        <f t="shared" si="252"/>
        <v>0</v>
      </c>
      <c r="BF421" s="3439">
        <f t="shared" si="253"/>
        <v>0</v>
      </c>
      <c r="BG421" s="3439">
        <f t="shared" si="254"/>
        <v>0</v>
      </c>
      <c r="BH421" s="3439">
        <f t="shared" si="255"/>
        <v>0</v>
      </c>
      <c r="BI421" s="3439">
        <f t="shared" si="256"/>
        <v>0</v>
      </c>
      <c r="BJ421" s="3439">
        <f t="shared" si="257"/>
        <v>0</v>
      </c>
      <c r="BK421" s="3439">
        <f t="shared" si="258"/>
        <v>0</v>
      </c>
      <c r="BL421" s="28">
        <f t="shared" si="259"/>
        <v>0</v>
      </c>
      <c r="BM421" s="28">
        <f t="shared" si="260"/>
        <v>0</v>
      </c>
      <c r="BN421" s="28">
        <f t="shared" si="261"/>
        <v>0</v>
      </c>
      <c r="BO421" s="28">
        <f t="shared" si="262"/>
        <v>0</v>
      </c>
      <c r="BP421" s="28">
        <f t="shared" si="263"/>
        <v>0</v>
      </c>
      <c r="BQ421" s="3439">
        <f t="shared" si="264"/>
        <v>0</v>
      </c>
      <c r="BR421" s="3439">
        <f t="shared" si="265"/>
        <v>0</v>
      </c>
      <c r="BS421" s="3439">
        <f t="shared" si="266"/>
        <v>0</v>
      </c>
      <c r="BT421" s="3451">
        <f t="shared" si="267"/>
        <v>0</v>
      </c>
    </row>
    <row r="422" spans="1:72">
      <c r="A422" s="9"/>
      <c r="B422" s="27"/>
      <c r="C422" s="27"/>
      <c r="D422" s="1678"/>
      <c r="E422" s="28">
        <f t="shared" si="239"/>
        <v>0</v>
      </c>
      <c r="F422" s="29"/>
      <c r="G422" s="30">
        <f t="shared" si="240"/>
        <v>0</v>
      </c>
      <c r="H422" s="31">
        <f t="shared" si="241"/>
        <v>0</v>
      </c>
      <c r="I422" s="32"/>
      <c r="J422" s="32"/>
      <c r="K422" s="32"/>
      <c r="L422" s="32"/>
      <c r="M422" s="32"/>
      <c r="N422" s="32"/>
      <c r="O422" s="32"/>
      <c r="P422" s="32"/>
      <c r="Q422" s="32"/>
      <c r="R422" s="32"/>
      <c r="S422" s="32"/>
      <c r="T422" s="32"/>
      <c r="U422" s="32"/>
      <c r="V422" s="32"/>
      <c r="W422" s="32"/>
      <c r="X422" s="32"/>
      <c r="Y422" s="32"/>
      <c r="Z422" s="32"/>
      <c r="AA422" s="32"/>
      <c r="AB422" s="32"/>
      <c r="AC422" s="28">
        <f t="shared" si="242"/>
        <v>0</v>
      </c>
      <c r="AD422" s="33"/>
      <c r="AE422" s="33"/>
      <c r="AF422" s="33"/>
      <c r="AG422" s="33"/>
      <c r="AH422" s="33"/>
      <c r="AI422" s="33"/>
      <c r="AJ422" s="33"/>
      <c r="AK422" s="33"/>
      <c r="AL422" s="33"/>
      <c r="AM422" s="33"/>
      <c r="AN422" s="33"/>
      <c r="AO422" s="33"/>
      <c r="AP422" s="33"/>
      <c r="AQ422" s="33"/>
      <c r="AR422" s="33"/>
      <c r="AS422" s="33"/>
      <c r="AT422" s="34"/>
      <c r="AU422" s="1679"/>
      <c r="AV422" s="2256">
        <f t="shared" si="243"/>
        <v>0</v>
      </c>
      <c r="AW422" s="2256">
        <f t="shared" si="244"/>
        <v>0</v>
      </c>
      <c r="AX422" s="2256">
        <f t="shared" si="245"/>
        <v>0</v>
      </c>
      <c r="AY422" s="2781">
        <f t="shared" si="246"/>
        <v>0</v>
      </c>
      <c r="AZ422" s="28">
        <f t="shared" si="247"/>
        <v>0</v>
      </c>
      <c r="BA422" s="28">
        <f t="shared" si="248"/>
        <v>0</v>
      </c>
      <c r="BB422" s="28">
        <f t="shared" si="249"/>
        <v>0</v>
      </c>
      <c r="BC422" s="28">
        <f t="shared" si="250"/>
        <v>0</v>
      </c>
      <c r="BD422" s="3439">
        <f t="shared" si="251"/>
        <v>0</v>
      </c>
      <c r="BE422" s="3439">
        <f t="shared" si="252"/>
        <v>0</v>
      </c>
      <c r="BF422" s="3439">
        <f t="shared" si="253"/>
        <v>0</v>
      </c>
      <c r="BG422" s="3439">
        <f t="shared" si="254"/>
        <v>0</v>
      </c>
      <c r="BH422" s="3439">
        <f t="shared" si="255"/>
        <v>0</v>
      </c>
      <c r="BI422" s="3439">
        <f t="shared" si="256"/>
        <v>0</v>
      </c>
      <c r="BJ422" s="3439">
        <f t="shared" si="257"/>
        <v>0</v>
      </c>
      <c r="BK422" s="3439">
        <f t="shared" si="258"/>
        <v>0</v>
      </c>
      <c r="BL422" s="28">
        <f t="shared" si="259"/>
        <v>0</v>
      </c>
      <c r="BM422" s="28">
        <f t="shared" si="260"/>
        <v>0</v>
      </c>
      <c r="BN422" s="28">
        <f t="shared" si="261"/>
        <v>0</v>
      </c>
      <c r="BO422" s="28">
        <f t="shared" si="262"/>
        <v>0</v>
      </c>
      <c r="BP422" s="28">
        <f t="shared" si="263"/>
        <v>0</v>
      </c>
      <c r="BQ422" s="3439">
        <f t="shared" si="264"/>
        <v>0</v>
      </c>
      <c r="BR422" s="3439">
        <f t="shared" si="265"/>
        <v>0</v>
      </c>
      <c r="BS422" s="3439">
        <f t="shared" si="266"/>
        <v>0</v>
      </c>
      <c r="BT422" s="3451">
        <f t="shared" si="267"/>
        <v>0</v>
      </c>
    </row>
    <row r="423" spans="1:72">
      <c r="A423" s="9"/>
      <c r="B423" s="27"/>
      <c r="C423" s="27"/>
      <c r="D423" s="1678"/>
      <c r="E423" s="28">
        <f t="shared" si="239"/>
        <v>0</v>
      </c>
      <c r="F423" s="29"/>
      <c r="G423" s="30">
        <f t="shared" si="240"/>
        <v>0</v>
      </c>
      <c r="H423" s="31">
        <f t="shared" si="241"/>
        <v>0</v>
      </c>
      <c r="I423" s="32"/>
      <c r="J423" s="32"/>
      <c r="K423" s="32"/>
      <c r="L423" s="32"/>
      <c r="M423" s="32"/>
      <c r="N423" s="32"/>
      <c r="O423" s="32"/>
      <c r="P423" s="32"/>
      <c r="Q423" s="32"/>
      <c r="R423" s="32"/>
      <c r="S423" s="32"/>
      <c r="T423" s="32"/>
      <c r="U423" s="32"/>
      <c r="V423" s="32"/>
      <c r="W423" s="32"/>
      <c r="X423" s="32"/>
      <c r="Y423" s="32"/>
      <c r="Z423" s="32"/>
      <c r="AA423" s="32"/>
      <c r="AB423" s="32"/>
      <c r="AC423" s="28">
        <f t="shared" si="242"/>
        <v>0</v>
      </c>
      <c r="AD423" s="33"/>
      <c r="AE423" s="33"/>
      <c r="AF423" s="33"/>
      <c r="AG423" s="33"/>
      <c r="AH423" s="33"/>
      <c r="AI423" s="33"/>
      <c r="AJ423" s="33"/>
      <c r="AK423" s="33"/>
      <c r="AL423" s="33"/>
      <c r="AM423" s="33"/>
      <c r="AN423" s="33"/>
      <c r="AO423" s="33"/>
      <c r="AP423" s="33"/>
      <c r="AQ423" s="33"/>
      <c r="AR423" s="33"/>
      <c r="AS423" s="33"/>
      <c r="AT423" s="34"/>
      <c r="AU423" s="1679"/>
      <c r="AV423" s="2256">
        <f t="shared" si="243"/>
        <v>0</v>
      </c>
      <c r="AW423" s="2256">
        <f t="shared" si="244"/>
        <v>0</v>
      </c>
      <c r="AX423" s="2256">
        <f t="shared" si="245"/>
        <v>0</v>
      </c>
      <c r="AY423" s="2781">
        <f t="shared" si="246"/>
        <v>0</v>
      </c>
      <c r="AZ423" s="28">
        <f t="shared" si="247"/>
        <v>0</v>
      </c>
      <c r="BA423" s="28">
        <f t="shared" si="248"/>
        <v>0</v>
      </c>
      <c r="BB423" s="28">
        <f t="shared" si="249"/>
        <v>0</v>
      </c>
      <c r="BC423" s="28">
        <f t="shared" si="250"/>
        <v>0</v>
      </c>
      <c r="BD423" s="3439">
        <f t="shared" si="251"/>
        <v>0</v>
      </c>
      <c r="BE423" s="3439">
        <f t="shared" si="252"/>
        <v>0</v>
      </c>
      <c r="BF423" s="3439">
        <f t="shared" si="253"/>
        <v>0</v>
      </c>
      <c r="BG423" s="3439">
        <f t="shared" si="254"/>
        <v>0</v>
      </c>
      <c r="BH423" s="3439">
        <f t="shared" si="255"/>
        <v>0</v>
      </c>
      <c r="BI423" s="3439">
        <f t="shared" si="256"/>
        <v>0</v>
      </c>
      <c r="BJ423" s="3439">
        <f t="shared" si="257"/>
        <v>0</v>
      </c>
      <c r="BK423" s="3439">
        <f t="shared" si="258"/>
        <v>0</v>
      </c>
      <c r="BL423" s="28">
        <f t="shared" si="259"/>
        <v>0</v>
      </c>
      <c r="BM423" s="28">
        <f t="shared" si="260"/>
        <v>0</v>
      </c>
      <c r="BN423" s="28">
        <f t="shared" si="261"/>
        <v>0</v>
      </c>
      <c r="BO423" s="28">
        <f t="shared" si="262"/>
        <v>0</v>
      </c>
      <c r="BP423" s="28">
        <f t="shared" si="263"/>
        <v>0</v>
      </c>
      <c r="BQ423" s="3439">
        <f t="shared" si="264"/>
        <v>0</v>
      </c>
      <c r="BR423" s="3439">
        <f t="shared" si="265"/>
        <v>0</v>
      </c>
      <c r="BS423" s="3439">
        <f t="shared" si="266"/>
        <v>0</v>
      </c>
      <c r="BT423" s="3451">
        <f t="shared" si="267"/>
        <v>0</v>
      </c>
    </row>
    <row r="424" spans="1:72">
      <c r="A424" s="9"/>
      <c r="B424" s="27"/>
      <c r="C424" s="27"/>
      <c r="D424" s="1678"/>
      <c r="E424" s="28">
        <f t="shared" si="239"/>
        <v>0</v>
      </c>
      <c r="F424" s="29"/>
      <c r="G424" s="30">
        <f t="shared" si="240"/>
        <v>0</v>
      </c>
      <c r="H424" s="31">
        <f t="shared" si="241"/>
        <v>0</v>
      </c>
      <c r="I424" s="32"/>
      <c r="J424" s="32"/>
      <c r="K424" s="32"/>
      <c r="L424" s="32"/>
      <c r="M424" s="32"/>
      <c r="N424" s="32"/>
      <c r="O424" s="32"/>
      <c r="P424" s="32"/>
      <c r="Q424" s="32"/>
      <c r="R424" s="32"/>
      <c r="S424" s="32"/>
      <c r="T424" s="32"/>
      <c r="U424" s="32"/>
      <c r="V424" s="32"/>
      <c r="W424" s="32"/>
      <c r="X424" s="32"/>
      <c r="Y424" s="32"/>
      <c r="Z424" s="32"/>
      <c r="AA424" s="32"/>
      <c r="AB424" s="32"/>
      <c r="AC424" s="28">
        <f t="shared" si="242"/>
        <v>0</v>
      </c>
      <c r="AD424" s="33"/>
      <c r="AE424" s="33"/>
      <c r="AF424" s="33"/>
      <c r="AG424" s="33"/>
      <c r="AH424" s="33"/>
      <c r="AI424" s="33"/>
      <c r="AJ424" s="33"/>
      <c r="AK424" s="33"/>
      <c r="AL424" s="33"/>
      <c r="AM424" s="33"/>
      <c r="AN424" s="33"/>
      <c r="AO424" s="33"/>
      <c r="AP424" s="33"/>
      <c r="AQ424" s="33"/>
      <c r="AR424" s="33"/>
      <c r="AS424" s="33"/>
      <c r="AT424" s="34"/>
      <c r="AU424" s="1679"/>
      <c r="AV424" s="2256">
        <f t="shared" si="243"/>
        <v>0</v>
      </c>
      <c r="AW424" s="2256">
        <f t="shared" si="244"/>
        <v>0</v>
      </c>
      <c r="AX424" s="2256">
        <f t="shared" si="245"/>
        <v>0</v>
      </c>
      <c r="AY424" s="2781">
        <f t="shared" si="246"/>
        <v>0</v>
      </c>
      <c r="AZ424" s="28">
        <f t="shared" si="247"/>
        <v>0</v>
      </c>
      <c r="BA424" s="28">
        <f t="shared" si="248"/>
        <v>0</v>
      </c>
      <c r="BB424" s="28">
        <f t="shared" si="249"/>
        <v>0</v>
      </c>
      <c r="BC424" s="28">
        <f t="shared" si="250"/>
        <v>0</v>
      </c>
      <c r="BD424" s="3439">
        <f t="shared" si="251"/>
        <v>0</v>
      </c>
      <c r="BE424" s="3439">
        <f t="shared" si="252"/>
        <v>0</v>
      </c>
      <c r="BF424" s="3439">
        <f t="shared" si="253"/>
        <v>0</v>
      </c>
      <c r="BG424" s="3439">
        <f t="shared" si="254"/>
        <v>0</v>
      </c>
      <c r="BH424" s="3439">
        <f t="shared" si="255"/>
        <v>0</v>
      </c>
      <c r="BI424" s="3439">
        <f t="shared" si="256"/>
        <v>0</v>
      </c>
      <c r="BJ424" s="3439">
        <f t="shared" si="257"/>
        <v>0</v>
      </c>
      <c r="BK424" s="3439">
        <f t="shared" si="258"/>
        <v>0</v>
      </c>
      <c r="BL424" s="28">
        <f t="shared" si="259"/>
        <v>0</v>
      </c>
      <c r="BM424" s="28">
        <f t="shared" si="260"/>
        <v>0</v>
      </c>
      <c r="BN424" s="28">
        <f t="shared" si="261"/>
        <v>0</v>
      </c>
      <c r="BO424" s="28">
        <f t="shared" si="262"/>
        <v>0</v>
      </c>
      <c r="BP424" s="28">
        <f t="shared" si="263"/>
        <v>0</v>
      </c>
      <c r="BQ424" s="3439">
        <f t="shared" si="264"/>
        <v>0</v>
      </c>
      <c r="BR424" s="3439">
        <f t="shared" si="265"/>
        <v>0</v>
      </c>
      <c r="BS424" s="3439">
        <f t="shared" si="266"/>
        <v>0</v>
      </c>
      <c r="BT424" s="3451">
        <f t="shared" si="267"/>
        <v>0</v>
      </c>
    </row>
    <row r="425" spans="1:72">
      <c r="A425" s="9"/>
      <c r="B425" s="27"/>
      <c r="C425" s="27"/>
      <c r="D425" s="1678"/>
      <c r="E425" s="28">
        <f t="shared" si="239"/>
        <v>0</v>
      </c>
      <c r="F425" s="29"/>
      <c r="G425" s="30">
        <f t="shared" si="240"/>
        <v>0</v>
      </c>
      <c r="H425" s="31">
        <f t="shared" si="241"/>
        <v>0</v>
      </c>
      <c r="I425" s="32"/>
      <c r="J425" s="32"/>
      <c r="K425" s="32"/>
      <c r="L425" s="32"/>
      <c r="M425" s="32"/>
      <c r="N425" s="32"/>
      <c r="O425" s="32"/>
      <c r="P425" s="32"/>
      <c r="Q425" s="32"/>
      <c r="R425" s="32"/>
      <c r="S425" s="32"/>
      <c r="T425" s="32"/>
      <c r="U425" s="32"/>
      <c r="V425" s="32"/>
      <c r="W425" s="32"/>
      <c r="X425" s="32"/>
      <c r="Y425" s="32"/>
      <c r="Z425" s="32"/>
      <c r="AA425" s="32"/>
      <c r="AB425" s="32"/>
      <c r="AC425" s="28">
        <f t="shared" si="242"/>
        <v>0</v>
      </c>
      <c r="AD425" s="33"/>
      <c r="AE425" s="33"/>
      <c r="AF425" s="33"/>
      <c r="AG425" s="33"/>
      <c r="AH425" s="33"/>
      <c r="AI425" s="33"/>
      <c r="AJ425" s="33"/>
      <c r="AK425" s="33"/>
      <c r="AL425" s="33"/>
      <c r="AM425" s="33"/>
      <c r="AN425" s="33"/>
      <c r="AO425" s="33"/>
      <c r="AP425" s="33"/>
      <c r="AQ425" s="33"/>
      <c r="AR425" s="33"/>
      <c r="AS425" s="33"/>
      <c r="AT425" s="34"/>
      <c r="AU425" s="1679"/>
      <c r="AV425" s="2256">
        <f t="shared" si="243"/>
        <v>0</v>
      </c>
      <c r="AW425" s="2256">
        <f t="shared" si="244"/>
        <v>0</v>
      </c>
      <c r="AX425" s="2256">
        <f t="shared" si="245"/>
        <v>0</v>
      </c>
      <c r="AY425" s="2781">
        <f t="shared" si="246"/>
        <v>0</v>
      </c>
      <c r="AZ425" s="28">
        <f t="shared" si="247"/>
        <v>0</v>
      </c>
      <c r="BA425" s="28">
        <f t="shared" si="248"/>
        <v>0</v>
      </c>
      <c r="BB425" s="28">
        <f t="shared" si="249"/>
        <v>0</v>
      </c>
      <c r="BC425" s="28">
        <f t="shared" si="250"/>
        <v>0</v>
      </c>
      <c r="BD425" s="3439">
        <f t="shared" si="251"/>
        <v>0</v>
      </c>
      <c r="BE425" s="3439">
        <f t="shared" si="252"/>
        <v>0</v>
      </c>
      <c r="BF425" s="3439">
        <f t="shared" si="253"/>
        <v>0</v>
      </c>
      <c r="BG425" s="3439">
        <f t="shared" si="254"/>
        <v>0</v>
      </c>
      <c r="BH425" s="3439">
        <f t="shared" si="255"/>
        <v>0</v>
      </c>
      <c r="BI425" s="3439">
        <f t="shared" si="256"/>
        <v>0</v>
      </c>
      <c r="BJ425" s="3439">
        <f t="shared" si="257"/>
        <v>0</v>
      </c>
      <c r="BK425" s="3439">
        <f t="shared" si="258"/>
        <v>0</v>
      </c>
      <c r="BL425" s="28">
        <f t="shared" si="259"/>
        <v>0</v>
      </c>
      <c r="BM425" s="28">
        <f t="shared" si="260"/>
        <v>0</v>
      </c>
      <c r="BN425" s="28">
        <f t="shared" si="261"/>
        <v>0</v>
      </c>
      <c r="BO425" s="28">
        <f t="shared" si="262"/>
        <v>0</v>
      </c>
      <c r="BP425" s="28">
        <f t="shared" si="263"/>
        <v>0</v>
      </c>
      <c r="BQ425" s="3439">
        <f t="shared" si="264"/>
        <v>0</v>
      </c>
      <c r="BR425" s="3439">
        <f t="shared" si="265"/>
        <v>0</v>
      </c>
      <c r="BS425" s="3439">
        <f t="shared" si="266"/>
        <v>0</v>
      </c>
      <c r="BT425" s="3451">
        <f t="shared" si="267"/>
        <v>0</v>
      </c>
    </row>
    <row r="426" spans="1:72">
      <c r="A426" s="9"/>
      <c r="B426" s="27"/>
      <c r="C426" s="27"/>
      <c r="D426" s="1678"/>
      <c r="E426" s="28">
        <f t="shared" si="239"/>
        <v>0</v>
      </c>
      <c r="F426" s="29"/>
      <c r="G426" s="30">
        <f t="shared" si="240"/>
        <v>0</v>
      </c>
      <c r="H426" s="31">
        <f t="shared" si="241"/>
        <v>0</v>
      </c>
      <c r="I426" s="32"/>
      <c r="J426" s="32"/>
      <c r="K426" s="32"/>
      <c r="L426" s="32"/>
      <c r="M426" s="32"/>
      <c r="N426" s="32"/>
      <c r="O426" s="32"/>
      <c r="P426" s="32"/>
      <c r="Q426" s="32"/>
      <c r="R426" s="32"/>
      <c r="S426" s="32"/>
      <c r="T426" s="32"/>
      <c r="U426" s="32"/>
      <c r="V426" s="32"/>
      <c r="W426" s="32"/>
      <c r="X426" s="32"/>
      <c r="Y426" s="32"/>
      <c r="Z426" s="32"/>
      <c r="AA426" s="32"/>
      <c r="AB426" s="32"/>
      <c r="AC426" s="28">
        <f t="shared" si="242"/>
        <v>0</v>
      </c>
      <c r="AD426" s="33"/>
      <c r="AE426" s="33"/>
      <c r="AF426" s="33"/>
      <c r="AG426" s="33"/>
      <c r="AH426" s="33"/>
      <c r="AI426" s="33"/>
      <c r="AJ426" s="33"/>
      <c r="AK426" s="33"/>
      <c r="AL426" s="33"/>
      <c r="AM426" s="33"/>
      <c r="AN426" s="33"/>
      <c r="AO426" s="33"/>
      <c r="AP426" s="33"/>
      <c r="AQ426" s="33"/>
      <c r="AR426" s="33"/>
      <c r="AS426" s="33"/>
      <c r="AT426" s="34"/>
      <c r="AU426" s="1679"/>
      <c r="AV426" s="2256">
        <f t="shared" si="243"/>
        <v>0</v>
      </c>
      <c r="AW426" s="2256">
        <f t="shared" si="244"/>
        <v>0</v>
      </c>
      <c r="AX426" s="2256">
        <f t="shared" si="245"/>
        <v>0</v>
      </c>
      <c r="AY426" s="2781">
        <f t="shared" si="246"/>
        <v>0</v>
      </c>
      <c r="AZ426" s="28">
        <f t="shared" si="247"/>
        <v>0</v>
      </c>
      <c r="BA426" s="28">
        <f t="shared" si="248"/>
        <v>0</v>
      </c>
      <c r="BB426" s="28">
        <f t="shared" si="249"/>
        <v>0</v>
      </c>
      <c r="BC426" s="28">
        <f t="shared" si="250"/>
        <v>0</v>
      </c>
      <c r="BD426" s="3439">
        <f t="shared" si="251"/>
        <v>0</v>
      </c>
      <c r="BE426" s="3439">
        <f t="shared" si="252"/>
        <v>0</v>
      </c>
      <c r="BF426" s="3439">
        <f t="shared" si="253"/>
        <v>0</v>
      </c>
      <c r="BG426" s="3439">
        <f t="shared" si="254"/>
        <v>0</v>
      </c>
      <c r="BH426" s="3439">
        <f t="shared" si="255"/>
        <v>0</v>
      </c>
      <c r="BI426" s="3439">
        <f t="shared" si="256"/>
        <v>0</v>
      </c>
      <c r="BJ426" s="3439">
        <f t="shared" si="257"/>
        <v>0</v>
      </c>
      <c r="BK426" s="3439">
        <f t="shared" si="258"/>
        <v>0</v>
      </c>
      <c r="BL426" s="28">
        <f t="shared" si="259"/>
        <v>0</v>
      </c>
      <c r="BM426" s="28">
        <f t="shared" si="260"/>
        <v>0</v>
      </c>
      <c r="BN426" s="28">
        <f t="shared" si="261"/>
        <v>0</v>
      </c>
      <c r="BO426" s="28">
        <f t="shared" si="262"/>
        <v>0</v>
      </c>
      <c r="BP426" s="28">
        <f t="shared" si="263"/>
        <v>0</v>
      </c>
      <c r="BQ426" s="3439">
        <f t="shared" si="264"/>
        <v>0</v>
      </c>
      <c r="BR426" s="3439">
        <f t="shared" si="265"/>
        <v>0</v>
      </c>
      <c r="BS426" s="3439">
        <f t="shared" si="266"/>
        <v>0</v>
      </c>
      <c r="BT426" s="3451">
        <f t="shared" si="267"/>
        <v>0</v>
      </c>
    </row>
    <row r="427" spans="1:72">
      <c r="A427" s="9"/>
      <c r="B427" s="27"/>
      <c r="C427" s="27"/>
      <c r="D427" s="1678"/>
      <c r="E427" s="28">
        <f t="shared" si="239"/>
        <v>0</v>
      </c>
      <c r="F427" s="29"/>
      <c r="G427" s="30">
        <f t="shared" si="240"/>
        <v>0</v>
      </c>
      <c r="H427" s="31">
        <f t="shared" si="241"/>
        <v>0</v>
      </c>
      <c r="I427" s="32"/>
      <c r="J427" s="32"/>
      <c r="K427" s="32"/>
      <c r="L427" s="32"/>
      <c r="M427" s="32"/>
      <c r="N427" s="32"/>
      <c r="O427" s="32"/>
      <c r="P427" s="32"/>
      <c r="Q427" s="32"/>
      <c r="R427" s="32"/>
      <c r="S427" s="32"/>
      <c r="T427" s="32"/>
      <c r="U427" s="32"/>
      <c r="V427" s="32"/>
      <c r="W427" s="32"/>
      <c r="X427" s="32"/>
      <c r="Y427" s="32"/>
      <c r="Z427" s="32"/>
      <c r="AA427" s="32"/>
      <c r="AB427" s="32"/>
      <c r="AC427" s="28">
        <f t="shared" si="242"/>
        <v>0</v>
      </c>
      <c r="AD427" s="33"/>
      <c r="AE427" s="33"/>
      <c r="AF427" s="33"/>
      <c r="AG427" s="33"/>
      <c r="AH427" s="33"/>
      <c r="AI427" s="33"/>
      <c r="AJ427" s="33"/>
      <c r="AK427" s="33"/>
      <c r="AL427" s="33"/>
      <c r="AM427" s="33"/>
      <c r="AN427" s="33"/>
      <c r="AO427" s="33"/>
      <c r="AP427" s="33"/>
      <c r="AQ427" s="33"/>
      <c r="AR427" s="33"/>
      <c r="AS427" s="33"/>
      <c r="AT427" s="34"/>
      <c r="AU427" s="1679"/>
      <c r="AV427" s="2256">
        <f t="shared" si="243"/>
        <v>0</v>
      </c>
      <c r="AW427" s="2256">
        <f t="shared" si="244"/>
        <v>0</v>
      </c>
      <c r="AX427" s="2256">
        <f t="shared" si="245"/>
        <v>0</v>
      </c>
      <c r="AY427" s="2781">
        <f t="shared" si="246"/>
        <v>0</v>
      </c>
      <c r="AZ427" s="28">
        <f t="shared" si="247"/>
        <v>0</v>
      </c>
      <c r="BA427" s="28">
        <f t="shared" si="248"/>
        <v>0</v>
      </c>
      <c r="BB427" s="28">
        <f t="shared" si="249"/>
        <v>0</v>
      </c>
      <c r="BC427" s="28">
        <f t="shared" si="250"/>
        <v>0</v>
      </c>
      <c r="BD427" s="3439">
        <f t="shared" si="251"/>
        <v>0</v>
      </c>
      <c r="BE427" s="3439">
        <f t="shared" si="252"/>
        <v>0</v>
      </c>
      <c r="BF427" s="3439">
        <f t="shared" si="253"/>
        <v>0</v>
      </c>
      <c r="BG427" s="3439">
        <f t="shared" si="254"/>
        <v>0</v>
      </c>
      <c r="BH427" s="3439">
        <f t="shared" si="255"/>
        <v>0</v>
      </c>
      <c r="BI427" s="3439">
        <f t="shared" si="256"/>
        <v>0</v>
      </c>
      <c r="BJ427" s="3439">
        <f t="shared" si="257"/>
        <v>0</v>
      </c>
      <c r="BK427" s="3439">
        <f t="shared" si="258"/>
        <v>0</v>
      </c>
      <c r="BL427" s="28">
        <f t="shared" si="259"/>
        <v>0</v>
      </c>
      <c r="BM427" s="28">
        <f t="shared" si="260"/>
        <v>0</v>
      </c>
      <c r="BN427" s="28">
        <f t="shared" si="261"/>
        <v>0</v>
      </c>
      <c r="BO427" s="28">
        <f t="shared" si="262"/>
        <v>0</v>
      </c>
      <c r="BP427" s="28">
        <f t="shared" si="263"/>
        <v>0</v>
      </c>
      <c r="BQ427" s="3439">
        <f t="shared" si="264"/>
        <v>0</v>
      </c>
      <c r="BR427" s="3439">
        <f t="shared" si="265"/>
        <v>0</v>
      </c>
      <c r="BS427" s="3439">
        <f t="shared" si="266"/>
        <v>0</v>
      </c>
      <c r="BT427" s="3451">
        <f t="shared" si="267"/>
        <v>0</v>
      </c>
    </row>
    <row r="428" spans="1:72">
      <c r="A428" s="9"/>
      <c r="B428" s="27"/>
      <c r="C428" s="27"/>
      <c r="D428" s="1678"/>
      <c r="E428" s="28">
        <f t="shared" si="239"/>
        <v>0</v>
      </c>
      <c r="F428" s="29"/>
      <c r="G428" s="30">
        <f t="shared" si="240"/>
        <v>0</v>
      </c>
      <c r="H428" s="31">
        <f t="shared" si="241"/>
        <v>0</v>
      </c>
      <c r="I428" s="32"/>
      <c r="J428" s="32"/>
      <c r="K428" s="32"/>
      <c r="L428" s="32"/>
      <c r="M428" s="32"/>
      <c r="N428" s="32"/>
      <c r="O428" s="32"/>
      <c r="P428" s="32"/>
      <c r="Q428" s="32"/>
      <c r="R428" s="32"/>
      <c r="S428" s="32"/>
      <c r="T428" s="32"/>
      <c r="U428" s="32"/>
      <c r="V428" s="32"/>
      <c r="W428" s="32"/>
      <c r="X428" s="32"/>
      <c r="Y428" s="32"/>
      <c r="Z428" s="32"/>
      <c r="AA428" s="32"/>
      <c r="AB428" s="32"/>
      <c r="AC428" s="28">
        <f t="shared" si="242"/>
        <v>0</v>
      </c>
      <c r="AD428" s="33"/>
      <c r="AE428" s="33"/>
      <c r="AF428" s="33"/>
      <c r="AG428" s="33"/>
      <c r="AH428" s="33"/>
      <c r="AI428" s="33"/>
      <c r="AJ428" s="33"/>
      <c r="AK428" s="33"/>
      <c r="AL428" s="33"/>
      <c r="AM428" s="33"/>
      <c r="AN428" s="33"/>
      <c r="AO428" s="33"/>
      <c r="AP428" s="33"/>
      <c r="AQ428" s="33"/>
      <c r="AR428" s="33"/>
      <c r="AS428" s="33"/>
      <c r="AT428" s="34"/>
      <c r="AU428" s="1679"/>
      <c r="AV428" s="2256">
        <f t="shared" si="243"/>
        <v>0</v>
      </c>
      <c r="AW428" s="2256">
        <f t="shared" si="244"/>
        <v>0</v>
      </c>
      <c r="AX428" s="2256">
        <f t="shared" si="245"/>
        <v>0</v>
      </c>
      <c r="AY428" s="2781">
        <f t="shared" si="246"/>
        <v>0</v>
      </c>
      <c r="AZ428" s="28">
        <f t="shared" si="247"/>
        <v>0</v>
      </c>
      <c r="BA428" s="28">
        <f t="shared" si="248"/>
        <v>0</v>
      </c>
      <c r="BB428" s="28">
        <f t="shared" si="249"/>
        <v>0</v>
      </c>
      <c r="BC428" s="28">
        <f t="shared" si="250"/>
        <v>0</v>
      </c>
      <c r="BD428" s="3439">
        <f t="shared" si="251"/>
        <v>0</v>
      </c>
      <c r="BE428" s="3439">
        <f t="shared" si="252"/>
        <v>0</v>
      </c>
      <c r="BF428" s="3439">
        <f t="shared" si="253"/>
        <v>0</v>
      </c>
      <c r="BG428" s="3439">
        <f t="shared" si="254"/>
        <v>0</v>
      </c>
      <c r="BH428" s="3439">
        <f t="shared" si="255"/>
        <v>0</v>
      </c>
      <c r="BI428" s="3439">
        <f t="shared" si="256"/>
        <v>0</v>
      </c>
      <c r="BJ428" s="3439">
        <f t="shared" si="257"/>
        <v>0</v>
      </c>
      <c r="BK428" s="3439">
        <f t="shared" si="258"/>
        <v>0</v>
      </c>
      <c r="BL428" s="28">
        <f t="shared" si="259"/>
        <v>0</v>
      </c>
      <c r="BM428" s="28">
        <f t="shared" si="260"/>
        <v>0</v>
      </c>
      <c r="BN428" s="28">
        <f t="shared" si="261"/>
        <v>0</v>
      </c>
      <c r="BO428" s="28">
        <f t="shared" si="262"/>
        <v>0</v>
      </c>
      <c r="BP428" s="28">
        <f t="shared" si="263"/>
        <v>0</v>
      </c>
      <c r="BQ428" s="3439">
        <f t="shared" si="264"/>
        <v>0</v>
      </c>
      <c r="BR428" s="3439">
        <f t="shared" si="265"/>
        <v>0</v>
      </c>
      <c r="BS428" s="3439">
        <f t="shared" si="266"/>
        <v>0</v>
      </c>
      <c r="BT428" s="3451">
        <f t="shared" si="267"/>
        <v>0</v>
      </c>
    </row>
    <row r="429" spans="1:72">
      <c r="A429" s="9"/>
      <c r="B429" s="27"/>
      <c r="C429" s="27"/>
      <c r="D429" s="1678"/>
      <c r="E429" s="28">
        <f t="shared" si="239"/>
        <v>0</v>
      </c>
      <c r="F429" s="29"/>
      <c r="G429" s="30">
        <f t="shared" si="240"/>
        <v>0</v>
      </c>
      <c r="H429" s="31">
        <f t="shared" si="241"/>
        <v>0</v>
      </c>
      <c r="I429" s="32"/>
      <c r="J429" s="32"/>
      <c r="K429" s="32"/>
      <c r="L429" s="32"/>
      <c r="M429" s="32"/>
      <c r="N429" s="32"/>
      <c r="O429" s="32"/>
      <c r="P429" s="32"/>
      <c r="Q429" s="32"/>
      <c r="R429" s="32"/>
      <c r="S429" s="32"/>
      <c r="T429" s="32"/>
      <c r="U429" s="32"/>
      <c r="V429" s="32"/>
      <c r="W429" s="32"/>
      <c r="X429" s="32"/>
      <c r="Y429" s="32"/>
      <c r="Z429" s="32"/>
      <c r="AA429" s="32"/>
      <c r="AB429" s="32"/>
      <c r="AC429" s="28">
        <f t="shared" si="242"/>
        <v>0</v>
      </c>
      <c r="AD429" s="33"/>
      <c r="AE429" s="33"/>
      <c r="AF429" s="33"/>
      <c r="AG429" s="33"/>
      <c r="AH429" s="33"/>
      <c r="AI429" s="33"/>
      <c r="AJ429" s="33"/>
      <c r="AK429" s="33"/>
      <c r="AL429" s="33"/>
      <c r="AM429" s="33"/>
      <c r="AN429" s="33"/>
      <c r="AO429" s="33"/>
      <c r="AP429" s="33"/>
      <c r="AQ429" s="33"/>
      <c r="AR429" s="33"/>
      <c r="AS429" s="33"/>
      <c r="AT429" s="34"/>
      <c r="AU429" s="1679"/>
      <c r="AV429" s="2256">
        <f t="shared" si="243"/>
        <v>0</v>
      </c>
      <c r="AW429" s="2256">
        <f t="shared" si="244"/>
        <v>0</v>
      </c>
      <c r="AX429" s="2256">
        <f t="shared" si="245"/>
        <v>0</v>
      </c>
      <c r="AY429" s="2781">
        <f t="shared" si="246"/>
        <v>0</v>
      </c>
      <c r="AZ429" s="28">
        <f t="shared" si="247"/>
        <v>0</v>
      </c>
      <c r="BA429" s="28">
        <f t="shared" si="248"/>
        <v>0</v>
      </c>
      <c r="BB429" s="28">
        <f t="shared" si="249"/>
        <v>0</v>
      </c>
      <c r="BC429" s="28">
        <f t="shared" si="250"/>
        <v>0</v>
      </c>
      <c r="BD429" s="3439">
        <f t="shared" si="251"/>
        <v>0</v>
      </c>
      <c r="BE429" s="3439">
        <f t="shared" si="252"/>
        <v>0</v>
      </c>
      <c r="BF429" s="3439">
        <f t="shared" si="253"/>
        <v>0</v>
      </c>
      <c r="BG429" s="3439">
        <f t="shared" si="254"/>
        <v>0</v>
      </c>
      <c r="BH429" s="3439">
        <f t="shared" si="255"/>
        <v>0</v>
      </c>
      <c r="BI429" s="3439">
        <f t="shared" si="256"/>
        <v>0</v>
      </c>
      <c r="BJ429" s="3439">
        <f t="shared" si="257"/>
        <v>0</v>
      </c>
      <c r="BK429" s="3439">
        <f t="shared" si="258"/>
        <v>0</v>
      </c>
      <c r="BL429" s="28">
        <f t="shared" si="259"/>
        <v>0</v>
      </c>
      <c r="BM429" s="28">
        <f t="shared" si="260"/>
        <v>0</v>
      </c>
      <c r="BN429" s="28">
        <f t="shared" si="261"/>
        <v>0</v>
      </c>
      <c r="BO429" s="28">
        <f t="shared" si="262"/>
        <v>0</v>
      </c>
      <c r="BP429" s="28">
        <f t="shared" si="263"/>
        <v>0</v>
      </c>
      <c r="BQ429" s="3439">
        <f t="shared" si="264"/>
        <v>0</v>
      </c>
      <c r="BR429" s="3439">
        <f t="shared" si="265"/>
        <v>0</v>
      </c>
      <c r="BS429" s="3439">
        <f t="shared" si="266"/>
        <v>0</v>
      </c>
      <c r="BT429" s="3451">
        <f t="shared" si="267"/>
        <v>0</v>
      </c>
    </row>
    <row r="430" spans="1:72">
      <c r="A430" s="9"/>
      <c r="B430" s="27"/>
      <c r="C430" s="27"/>
      <c r="D430" s="1678"/>
      <c r="E430" s="28">
        <f t="shared" si="239"/>
        <v>0</v>
      </c>
      <c r="F430" s="29"/>
      <c r="G430" s="30">
        <f t="shared" si="240"/>
        <v>0</v>
      </c>
      <c r="H430" s="31">
        <f t="shared" si="241"/>
        <v>0</v>
      </c>
      <c r="I430" s="32"/>
      <c r="J430" s="32"/>
      <c r="K430" s="32"/>
      <c r="L430" s="32"/>
      <c r="M430" s="32"/>
      <c r="N430" s="32"/>
      <c r="O430" s="32"/>
      <c r="P430" s="32"/>
      <c r="Q430" s="32"/>
      <c r="R430" s="32"/>
      <c r="S430" s="32"/>
      <c r="T430" s="32"/>
      <c r="U430" s="32"/>
      <c r="V430" s="32"/>
      <c r="W430" s="32"/>
      <c r="X430" s="32"/>
      <c r="Y430" s="32"/>
      <c r="Z430" s="32"/>
      <c r="AA430" s="32"/>
      <c r="AB430" s="32"/>
      <c r="AC430" s="28">
        <f t="shared" si="242"/>
        <v>0</v>
      </c>
      <c r="AD430" s="33"/>
      <c r="AE430" s="33"/>
      <c r="AF430" s="33"/>
      <c r="AG430" s="33"/>
      <c r="AH430" s="33"/>
      <c r="AI430" s="33"/>
      <c r="AJ430" s="33"/>
      <c r="AK430" s="33"/>
      <c r="AL430" s="33"/>
      <c r="AM430" s="33"/>
      <c r="AN430" s="33"/>
      <c r="AO430" s="33"/>
      <c r="AP430" s="33"/>
      <c r="AQ430" s="33"/>
      <c r="AR430" s="33"/>
      <c r="AS430" s="33"/>
      <c r="AT430" s="34"/>
      <c r="AU430" s="1679"/>
      <c r="AV430" s="2256">
        <f t="shared" si="243"/>
        <v>0</v>
      </c>
      <c r="AW430" s="2256">
        <f t="shared" si="244"/>
        <v>0</v>
      </c>
      <c r="AX430" s="2256">
        <f t="shared" si="245"/>
        <v>0</v>
      </c>
      <c r="AY430" s="2781">
        <f t="shared" si="246"/>
        <v>0</v>
      </c>
      <c r="AZ430" s="28">
        <f t="shared" si="247"/>
        <v>0</v>
      </c>
      <c r="BA430" s="28">
        <f t="shared" si="248"/>
        <v>0</v>
      </c>
      <c r="BB430" s="28">
        <f t="shared" si="249"/>
        <v>0</v>
      </c>
      <c r="BC430" s="28">
        <f t="shared" si="250"/>
        <v>0</v>
      </c>
      <c r="BD430" s="3439">
        <f t="shared" si="251"/>
        <v>0</v>
      </c>
      <c r="BE430" s="3439">
        <f t="shared" si="252"/>
        <v>0</v>
      </c>
      <c r="BF430" s="3439">
        <f t="shared" si="253"/>
        <v>0</v>
      </c>
      <c r="BG430" s="3439">
        <f t="shared" si="254"/>
        <v>0</v>
      </c>
      <c r="BH430" s="3439">
        <f t="shared" si="255"/>
        <v>0</v>
      </c>
      <c r="BI430" s="3439">
        <f t="shared" si="256"/>
        <v>0</v>
      </c>
      <c r="BJ430" s="3439">
        <f t="shared" si="257"/>
        <v>0</v>
      </c>
      <c r="BK430" s="3439">
        <f t="shared" si="258"/>
        <v>0</v>
      </c>
      <c r="BL430" s="28">
        <f t="shared" si="259"/>
        <v>0</v>
      </c>
      <c r="BM430" s="28">
        <f t="shared" si="260"/>
        <v>0</v>
      </c>
      <c r="BN430" s="28">
        <f t="shared" si="261"/>
        <v>0</v>
      </c>
      <c r="BO430" s="28">
        <f t="shared" si="262"/>
        <v>0</v>
      </c>
      <c r="BP430" s="28">
        <f t="shared" si="263"/>
        <v>0</v>
      </c>
      <c r="BQ430" s="3439">
        <f t="shared" si="264"/>
        <v>0</v>
      </c>
      <c r="BR430" s="3439">
        <f t="shared" si="265"/>
        <v>0</v>
      </c>
      <c r="BS430" s="3439">
        <f t="shared" si="266"/>
        <v>0</v>
      </c>
      <c r="BT430" s="3451">
        <f t="shared" si="267"/>
        <v>0</v>
      </c>
    </row>
    <row r="431" spans="1:72">
      <c r="A431" s="9"/>
      <c r="B431" s="27"/>
      <c r="C431" s="27"/>
      <c r="D431" s="1678"/>
      <c r="E431" s="28">
        <f t="shared" si="239"/>
        <v>0</v>
      </c>
      <c r="F431" s="29"/>
      <c r="G431" s="30">
        <f t="shared" si="240"/>
        <v>0</v>
      </c>
      <c r="H431" s="31">
        <f t="shared" si="241"/>
        <v>0</v>
      </c>
      <c r="I431" s="32"/>
      <c r="J431" s="32"/>
      <c r="K431" s="32"/>
      <c r="L431" s="32"/>
      <c r="M431" s="32"/>
      <c r="N431" s="32"/>
      <c r="O431" s="32"/>
      <c r="P431" s="32"/>
      <c r="Q431" s="32"/>
      <c r="R431" s="32"/>
      <c r="S431" s="32"/>
      <c r="T431" s="32"/>
      <c r="U431" s="32"/>
      <c r="V431" s="32"/>
      <c r="W431" s="32"/>
      <c r="X431" s="32"/>
      <c r="Y431" s="32"/>
      <c r="Z431" s="32"/>
      <c r="AA431" s="32"/>
      <c r="AB431" s="32"/>
      <c r="AC431" s="28">
        <f t="shared" si="242"/>
        <v>0</v>
      </c>
      <c r="AD431" s="33"/>
      <c r="AE431" s="33"/>
      <c r="AF431" s="33"/>
      <c r="AG431" s="33"/>
      <c r="AH431" s="33"/>
      <c r="AI431" s="33"/>
      <c r="AJ431" s="33"/>
      <c r="AK431" s="33"/>
      <c r="AL431" s="33"/>
      <c r="AM431" s="33"/>
      <c r="AN431" s="33"/>
      <c r="AO431" s="33"/>
      <c r="AP431" s="33"/>
      <c r="AQ431" s="33"/>
      <c r="AR431" s="33"/>
      <c r="AS431" s="33"/>
      <c r="AT431" s="34"/>
      <c r="AU431" s="1679"/>
      <c r="AV431" s="2256">
        <f t="shared" si="243"/>
        <v>0</v>
      </c>
      <c r="AW431" s="2256">
        <f t="shared" si="244"/>
        <v>0</v>
      </c>
      <c r="AX431" s="2256">
        <f t="shared" si="245"/>
        <v>0</v>
      </c>
      <c r="AY431" s="2781">
        <f t="shared" si="246"/>
        <v>0</v>
      </c>
      <c r="AZ431" s="28">
        <f t="shared" si="247"/>
        <v>0</v>
      </c>
      <c r="BA431" s="28">
        <f t="shared" si="248"/>
        <v>0</v>
      </c>
      <c r="BB431" s="28">
        <f t="shared" si="249"/>
        <v>0</v>
      </c>
      <c r="BC431" s="28">
        <f t="shared" si="250"/>
        <v>0</v>
      </c>
      <c r="BD431" s="3439">
        <f t="shared" si="251"/>
        <v>0</v>
      </c>
      <c r="BE431" s="3439">
        <f t="shared" si="252"/>
        <v>0</v>
      </c>
      <c r="BF431" s="3439">
        <f t="shared" si="253"/>
        <v>0</v>
      </c>
      <c r="BG431" s="3439">
        <f t="shared" si="254"/>
        <v>0</v>
      </c>
      <c r="BH431" s="3439">
        <f t="shared" si="255"/>
        <v>0</v>
      </c>
      <c r="BI431" s="3439">
        <f t="shared" si="256"/>
        <v>0</v>
      </c>
      <c r="BJ431" s="3439">
        <f t="shared" si="257"/>
        <v>0</v>
      </c>
      <c r="BK431" s="3439">
        <f t="shared" si="258"/>
        <v>0</v>
      </c>
      <c r="BL431" s="28">
        <f t="shared" si="259"/>
        <v>0</v>
      </c>
      <c r="BM431" s="28">
        <f t="shared" si="260"/>
        <v>0</v>
      </c>
      <c r="BN431" s="28">
        <f t="shared" si="261"/>
        <v>0</v>
      </c>
      <c r="BO431" s="28">
        <f t="shared" si="262"/>
        <v>0</v>
      </c>
      <c r="BP431" s="28">
        <f t="shared" si="263"/>
        <v>0</v>
      </c>
      <c r="BQ431" s="3439">
        <f t="shared" si="264"/>
        <v>0</v>
      </c>
      <c r="BR431" s="3439">
        <f t="shared" si="265"/>
        <v>0</v>
      </c>
      <c r="BS431" s="3439">
        <f t="shared" si="266"/>
        <v>0</v>
      </c>
      <c r="BT431" s="3451">
        <f t="shared" si="267"/>
        <v>0</v>
      </c>
    </row>
    <row r="432" spans="1:72">
      <c r="A432" s="9"/>
      <c r="B432" s="27"/>
      <c r="C432" s="27"/>
      <c r="D432" s="1678"/>
      <c r="E432" s="28">
        <f t="shared" si="239"/>
        <v>0</v>
      </c>
      <c r="F432" s="29"/>
      <c r="G432" s="30">
        <f t="shared" si="240"/>
        <v>0</v>
      </c>
      <c r="H432" s="31">
        <f t="shared" si="241"/>
        <v>0</v>
      </c>
      <c r="I432" s="32"/>
      <c r="J432" s="32"/>
      <c r="K432" s="32"/>
      <c r="L432" s="32"/>
      <c r="M432" s="32"/>
      <c r="N432" s="32"/>
      <c r="O432" s="32"/>
      <c r="P432" s="32"/>
      <c r="Q432" s="32"/>
      <c r="R432" s="32"/>
      <c r="S432" s="32"/>
      <c r="T432" s="32"/>
      <c r="U432" s="32"/>
      <c r="V432" s="32"/>
      <c r="W432" s="32"/>
      <c r="X432" s="32"/>
      <c r="Y432" s="32"/>
      <c r="Z432" s="32"/>
      <c r="AA432" s="32"/>
      <c r="AB432" s="32"/>
      <c r="AC432" s="28">
        <f t="shared" si="242"/>
        <v>0</v>
      </c>
      <c r="AD432" s="33"/>
      <c r="AE432" s="33"/>
      <c r="AF432" s="33"/>
      <c r="AG432" s="33"/>
      <c r="AH432" s="33"/>
      <c r="AI432" s="33"/>
      <c r="AJ432" s="33"/>
      <c r="AK432" s="33"/>
      <c r="AL432" s="33"/>
      <c r="AM432" s="33"/>
      <c r="AN432" s="33"/>
      <c r="AO432" s="33"/>
      <c r="AP432" s="33"/>
      <c r="AQ432" s="33"/>
      <c r="AR432" s="33"/>
      <c r="AS432" s="33"/>
      <c r="AT432" s="34"/>
      <c r="AU432" s="1679"/>
      <c r="AV432" s="2256">
        <f t="shared" si="243"/>
        <v>0</v>
      </c>
      <c r="AW432" s="2256">
        <f t="shared" si="244"/>
        <v>0</v>
      </c>
      <c r="AX432" s="2256">
        <f t="shared" si="245"/>
        <v>0</v>
      </c>
      <c r="AY432" s="2781">
        <f t="shared" si="246"/>
        <v>0</v>
      </c>
      <c r="AZ432" s="28">
        <f t="shared" si="247"/>
        <v>0</v>
      </c>
      <c r="BA432" s="28">
        <f t="shared" si="248"/>
        <v>0</v>
      </c>
      <c r="BB432" s="28">
        <f t="shared" si="249"/>
        <v>0</v>
      </c>
      <c r="BC432" s="28">
        <f t="shared" si="250"/>
        <v>0</v>
      </c>
      <c r="BD432" s="3439">
        <f t="shared" si="251"/>
        <v>0</v>
      </c>
      <c r="BE432" s="3439">
        <f t="shared" si="252"/>
        <v>0</v>
      </c>
      <c r="BF432" s="3439">
        <f t="shared" si="253"/>
        <v>0</v>
      </c>
      <c r="BG432" s="3439">
        <f t="shared" si="254"/>
        <v>0</v>
      </c>
      <c r="BH432" s="3439">
        <f t="shared" si="255"/>
        <v>0</v>
      </c>
      <c r="BI432" s="3439">
        <f t="shared" si="256"/>
        <v>0</v>
      </c>
      <c r="BJ432" s="3439">
        <f t="shared" si="257"/>
        <v>0</v>
      </c>
      <c r="BK432" s="3439">
        <f t="shared" si="258"/>
        <v>0</v>
      </c>
      <c r="BL432" s="28">
        <f t="shared" si="259"/>
        <v>0</v>
      </c>
      <c r="BM432" s="28">
        <f t="shared" si="260"/>
        <v>0</v>
      </c>
      <c r="BN432" s="28">
        <f t="shared" si="261"/>
        <v>0</v>
      </c>
      <c r="BO432" s="28">
        <f t="shared" si="262"/>
        <v>0</v>
      </c>
      <c r="BP432" s="28">
        <f t="shared" si="263"/>
        <v>0</v>
      </c>
      <c r="BQ432" s="3439">
        <f t="shared" si="264"/>
        <v>0</v>
      </c>
      <c r="BR432" s="3439">
        <f t="shared" si="265"/>
        <v>0</v>
      </c>
      <c r="BS432" s="3439">
        <f t="shared" si="266"/>
        <v>0</v>
      </c>
      <c r="BT432" s="3451">
        <f t="shared" si="267"/>
        <v>0</v>
      </c>
    </row>
    <row r="433" spans="1:72">
      <c r="A433" s="9"/>
      <c r="B433" s="27"/>
      <c r="C433" s="27"/>
      <c r="D433" s="1678"/>
      <c r="E433" s="28">
        <f t="shared" si="239"/>
        <v>0</v>
      </c>
      <c r="F433" s="29"/>
      <c r="G433" s="30">
        <f t="shared" si="240"/>
        <v>0</v>
      </c>
      <c r="H433" s="31">
        <f t="shared" si="241"/>
        <v>0</v>
      </c>
      <c r="I433" s="32"/>
      <c r="J433" s="32"/>
      <c r="K433" s="32"/>
      <c r="L433" s="32"/>
      <c r="M433" s="32"/>
      <c r="N433" s="32"/>
      <c r="O433" s="32"/>
      <c r="P433" s="32"/>
      <c r="Q433" s="32"/>
      <c r="R433" s="32"/>
      <c r="S433" s="32"/>
      <c r="T433" s="32"/>
      <c r="U433" s="32"/>
      <c r="V433" s="32"/>
      <c r="W433" s="32"/>
      <c r="X433" s="32"/>
      <c r="Y433" s="32"/>
      <c r="Z433" s="32"/>
      <c r="AA433" s="32"/>
      <c r="AB433" s="32"/>
      <c r="AC433" s="28">
        <f t="shared" si="242"/>
        <v>0</v>
      </c>
      <c r="AD433" s="33"/>
      <c r="AE433" s="33"/>
      <c r="AF433" s="33"/>
      <c r="AG433" s="33"/>
      <c r="AH433" s="33"/>
      <c r="AI433" s="33"/>
      <c r="AJ433" s="33"/>
      <c r="AK433" s="33"/>
      <c r="AL433" s="33"/>
      <c r="AM433" s="33"/>
      <c r="AN433" s="33"/>
      <c r="AO433" s="33"/>
      <c r="AP433" s="33"/>
      <c r="AQ433" s="33"/>
      <c r="AR433" s="33"/>
      <c r="AS433" s="33"/>
      <c r="AT433" s="34"/>
      <c r="AU433" s="1679"/>
      <c r="AV433" s="2256">
        <f t="shared" si="243"/>
        <v>0</v>
      </c>
      <c r="AW433" s="2256">
        <f t="shared" si="244"/>
        <v>0</v>
      </c>
      <c r="AX433" s="2256">
        <f t="shared" si="245"/>
        <v>0</v>
      </c>
      <c r="AY433" s="2781">
        <f t="shared" si="246"/>
        <v>0</v>
      </c>
      <c r="AZ433" s="28">
        <f t="shared" si="247"/>
        <v>0</v>
      </c>
      <c r="BA433" s="28">
        <f t="shared" si="248"/>
        <v>0</v>
      </c>
      <c r="BB433" s="28">
        <f t="shared" si="249"/>
        <v>0</v>
      </c>
      <c r="BC433" s="28">
        <f t="shared" si="250"/>
        <v>0</v>
      </c>
      <c r="BD433" s="3439">
        <f t="shared" si="251"/>
        <v>0</v>
      </c>
      <c r="BE433" s="3439">
        <f t="shared" si="252"/>
        <v>0</v>
      </c>
      <c r="BF433" s="3439">
        <f t="shared" si="253"/>
        <v>0</v>
      </c>
      <c r="BG433" s="3439">
        <f t="shared" si="254"/>
        <v>0</v>
      </c>
      <c r="BH433" s="3439">
        <f t="shared" si="255"/>
        <v>0</v>
      </c>
      <c r="BI433" s="3439">
        <f t="shared" si="256"/>
        <v>0</v>
      </c>
      <c r="BJ433" s="3439">
        <f t="shared" si="257"/>
        <v>0</v>
      </c>
      <c r="BK433" s="3439">
        <f t="shared" si="258"/>
        <v>0</v>
      </c>
      <c r="BL433" s="28">
        <f t="shared" si="259"/>
        <v>0</v>
      </c>
      <c r="BM433" s="28">
        <f t="shared" si="260"/>
        <v>0</v>
      </c>
      <c r="BN433" s="28">
        <f t="shared" si="261"/>
        <v>0</v>
      </c>
      <c r="BO433" s="28">
        <f t="shared" si="262"/>
        <v>0</v>
      </c>
      <c r="BP433" s="28">
        <f t="shared" si="263"/>
        <v>0</v>
      </c>
      <c r="BQ433" s="3439">
        <f t="shared" si="264"/>
        <v>0</v>
      </c>
      <c r="BR433" s="3439">
        <f t="shared" si="265"/>
        <v>0</v>
      </c>
      <c r="BS433" s="3439">
        <f t="shared" si="266"/>
        <v>0</v>
      </c>
      <c r="BT433" s="3451">
        <f t="shared" si="267"/>
        <v>0</v>
      </c>
    </row>
    <row r="434" spans="1:72">
      <c r="A434" s="9"/>
      <c r="B434" s="27"/>
      <c r="C434" s="27"/>
      <c r="D434" s="1678"/>
      <c r="E434" s="28">
        <f t="shared" si="239"/>
        <v>0</v>
      </c>
      <c r="F434" s="29"/>
      <c r="G434" s="30">
        <f t="shared" si="240"/>
        <v>0</v>
      </c>
      <c r="H434" s="31">
        <f t="shared" si="241"/>
        <v>0</v>
      </c>
      <c r="I434" s="32"/>
      <c r="J434" s="32"/>
      <c r="K434" s="32"/>
      <c r="L434" s="32"/>
      <c r="M434" s="32"/>
      <c r="N434" s="32"/>
      <c r="O434" s="32"/>
      <c r="P434" s="32"/>
      <c r="Q434" s="32"/>
      <c r="R434" s="32"/>
      <c r="S434" s="32"/>
      <c r="T434" s="32"/>
      <c r="U434" s="32"/>
      <c r="V434" s="32"/>
      <c r="W434" s="32"/>
      <c r="X434" s="32"/>
      <c r="Y434" s="32"/>
      <c r="Z434" s="32"/>
      <c r="AA434" s="32"/>
      <c r="AB434" s="32"/>
      <c r="AC434" s="28">
        <f t="shared" si="242"/>
        <v>0</v>
      </c>
      <c r="AD434" s="33"/>
      <c r="AE434" s="33"/>
      <c r="AF434" s="33"/>
      <c r="AG434" s="33"/>
      <c r="AH434" s="33"/>
      <c r="AI434" s="33"/>
      <c r="AJ434" s="33"/>
      <c r="AK434" s="33"/>
      <c r="AL434" s="33"/>
      <c r="AM434" s="33"/>
      <c r="AN434" s="33"/>
      <c r="AO434" s="33"/>
      <c r="AP434" s="33"/>
      <c r="AQ434" s="33"/>
      <c r="AR434" s="33"/>
      <c r="AS434" s="33"/>
      <c r="AT434" s="34"/>
      <c r="AU434" s="1679"/>
      <c r="AV434" s="2256">
        <f t="shared" si="243"/>
        <v>0</v>
      </c>
      <c r="AW434" s="2256">
        <f t="shared" si="244"/>
        <v>0</v>
      </c>
      <c r="AX434" s="2256">
        <f t="shared" si="245"/>
        <v>0</v>
      </c>
      <c r="AY434" s="2781">
        <f t="shared" si="246"/>
        <v>0</v>
      </c>
      <c r="AZ434" s="28">
        <f t="shared" si="247"/>
        <v>0</v>
      </c>
      <c r="BA434" s="28">
        <f t="shared" si="248"/>
        <v>0</v>
      </c>
      <c r="BB434" s="28">
        <f t="shared" si="249"/>
        <v>0</v>
      </c>
      <c r="BC434" s="28">
        <f t="shared" si="250"/>
        <v>0</v>
      </c>
      <c r="BD434" s="3439">
        <f t="shared" si="251"/>
        <v>0</v>
      </c>
      <c r="BE434" s="3439">
        <f t="shared" si="252"/>
        <v>0</v>
      </c>
      <c r="BF434" s="3439">
        <f t="shared" si="253"/>
        <v>0</v>
      </c>
      <c r="BG434" s="3439">
        <f t="shared" si="254"/>
        <v>0</v>
      </c>
      <c r="BH434" s="3439">
        <f t="shared" si="255"/>
        <v>0</v>
      </c>
      <c r="BI434" s="3439">
        <f t="shared" si="256"/>
        <v>0</v>
      </c>
      <c r="BJ434" s="3439">
        <f t="shared" si="257"/>
        <v>0</v>
      </c>
      <c r="BK434" s="3439">
        <f t="shared" si="258"/>
        <v>0</v>
      </c>
      <c r="BL434" s="28">
        <f t="shared" si="259"/>
        <v>0</v>
      </c>
      <c r="BM434" s="28">
        <f t="shared" si="260"/>
        <v>0</v>
      </c>
      <c r="BN434" s="28">
        <f t="shared" si="261"/>
        <v>0</v>
      </c>
      <c r="BO434" s="28">
        <f t="shared" si="262"/>
        <v>0</v>
      </c>
      <c r="BP434" s="28">
        <f t="shared" si="263"/>
        <v>0</v>
      </c>
      <c r="BQ434" s="3439">
        <f t="shared" si="264"/>
        <v>0</v>
      </c>
      <c r="BR434" s="3439">
        <f t="shared" si="265"/>
        <v>0</v>
      </c>
      <c r="BS434" s="3439">
        <f t="shared" si="266"/>
        <v>0</v>
      </c>
      <c r="BT434" s="3451">
        <f t="shared" si="267"/>
        <v>0</v>
      </c>
    </row>
    <row r="435" spans="1:72">
      <c r="A435" s="9"/>
      <c r="B435" s="27"/>
      <c r="C435" s="27"/>
      <c r="D435" s="1678"/>
      <c r="E435" s="28">
        <f t="shared" si="239"/>
        <v>0</v>
      </c>
      <c r="F435" s="29"/>
      <c r="G435" s="30">
        <f t="shared" si="240"/>
        <v>0</v>
      </c>
      <c r="H435" s="31">
        <f t="shared" si="241"/>
        <v>0</v>
      </c>
      <c r="I435" s="32"/>
      <c r="J435" s="32"/>
      <c r="K435" s="32"/>
      <c r="L435" s="32"/>
      <c r="M435" s="32"/>
      <c r="N435" s="32"/>
      <c r="O435" s="32"/>
      <c r="P435" s="32"/>
      <c r="Q435" s="32"/>
      <c r="R435" s="32"/>
      <c r="S435" s="32"/>
      <c r="T435" s="32"/>
      <c r="U435" s="32"/>
      <c r="V435" s="32"/>
      <c r="W435" s="32"/>
      <c r="X435" s="32"/>
      <c r="Y435" s="32"/>
      <c r="Z435" s="32"/>
      <c r="AA435" s="32"/>
      <c r="AB435" s="32"/>
      <c r="AC435" s="28">
        <f t="shared" si="242"/>
        <v>0</v>
      </c>
      <c r="AD435" s="33"/>
      <c r="AE435" s="33"/>
      <c r="AF435" s="33"/>
      <c r="AG435" s="33"/>
      <c r="AH435" s="33"/>
      <c r="AI435" s="33"/>
      <c r="AJ435" s="33"/>
      <c r="AK435" s="33"/>
      <c r="AL435" s="33"/>
      <c r="AM435" s="33"/>
      <c r="AN435" s="33"/>
      <c r="AO435" s="33"/>
      <c r="AP435" s="33"/>
      <c r="AQ435" s="33"/>
      <c r="AR435" s="33"/>
      <c r="AS435" s="33"/>
      <c r="AT435" s="34"/>
      <c r="AU435" s="1679"/>
      <c r="AV435" s="2256">
        <f t="shared" si="243"/>
        <v>0</v>
      </c>
      <c r="AW435" s="2256">
        <f t="shared" si="244"/>
        <v>0</v>
      </c>
      <c r="AX435" s="2256">
        <f t="shared" si="245"/>
        <v>0</v>
      </c>
      <c r="AY435" s="2781">
        <f t="shared" si="246"/>
        <v>0</v>
      </c>
      <c r="AZ435" s="28">
        <f t="shared" si="247"/>
        <v>0</v>
      </c>
      <c r="BA435" s="28">
        <f t="shared" si="248"/>
        <v>0</v>
      </c>
      <c r="BB435" s="28">
        <f t="shared" si="249"/>
        <v>0</v>
      </c>
      <c r="BC435" s="28">
        <f t="shared" si="250"/>
        <v>0</v>
      </c>
      <c r="BD435" s="3439">
        <f t="shared" si="251"/>
        <v>0</v>
      </c>
      <c r="BE435" s="3439">
        <f t="shared" si="252"/>
        <v>0</v>
      </c>
      <c r="BF435" s="3439">
        <f t="shared" si="253"/>
        <v>0</v>
      </c>
      <c r="BG435" s="3439">
        <f t="shared" si="254"/>
        <v>0</v>
      </c>
      <c r="BH435" s="3439">
        <f t="shared" si="255"/>
        <v>0</v>
      </c>
      <c r="BI435" s="3439">
        <f t="shared" si="256"/>
        <v>0</v>
      </c>
      <c r="BJ435" s="3439">
        <f t="shared" si="257"/>
        <v>0</v>
      </c>
      <c r="BK435" s="3439">
        <f t="shared" si="258"/>
        <v>0</v>
      </c>
      <c r="BL435" s="28">
        <f t="shared" si="259"/>
        <v>0</v>
      </c>
      <c r="BM435" s="28">
        <f t="shared" si="260"/>
        <v>0</v>
      </c>
      <c r="BN435" s="28">
        <f t="shared" si="261"/>
        <v>0</v>
      </c>
      <c r="BO435" s="28">
        <f t="shared" si="262"/>
        <v>0</v>
      </c>
      <c r="BP435" s="28">
        <f t="shared" si="263"/>
        <v>0</v>
      </c>
      <c r="BQ435" s="3439">
        <f t="shared" si="264"/>
        <v>0</v>
      </c>
      <c r="BR435" s="3439">
        <f t="shared" si="265"/>
        <v>0</v>
      </c>
      <c r="BS435" s="3439">
        <f t="shared" si="266"/>
        <v>0</v>
      </c>
      <c r="BT435" s="3451">
        <f t="shared" si="267"/>
        <v>0</v>
      </c>
    </row>
    <row r="436" spans="1:72">
      <c r="A436" s="9"/>
      <c r="B436" s="27"/>
      <c r="C436" s="27"/>
      <c r="D436" s="1678"/>
      <c r="E436" s="28">
        <f t="shared" si="239"/>
        <v>0</v>
      </c>
      <c r="F436" s="29"/>
      <c r="G436" s="30">
        <f t="shared" si="240"/>
        <v>0</v>
      </c>
      <c r="H436" s="31">
        <f t="shared" si="241"/>
        <v>0</v>
      </c>
      <c r="I436" s="32"/>
      <c r="J436" s="32"/>
      <c r="K436" s="32"/>
      <c r="L436" s="32"/>
      <c r="M436" s="32"/>
      <c r="N436" s="32"/>
      <c r="O436" s="32"/>
      <c r="P436" s="32"/>
      <c r="Q436" s="32"/>
      <c r="R436" s="32"/>
      <c r="S436" s="32"/>
      <c r="T436" s="32"/>
      <c r="U436" s="32"/>
      <c r="V436" s="32"/>
      <c r="W436" s="32"/>
      <c r="X436" s="32"/>
      <c r="Y436" s="32"/>
      <c r="Z436" s="32"/>
      <c r="AA436" s="32"/>
      <c r="AB436" s="32"/>
      <c r="AC436" s="28">
        <f t="shared" si="242"/>
        <v>0</v>
      </c>
      <c r="AD436" s="33"/>
      <c r="AE436" s="33"/>
      <c r="AF436" s="33"/>
      <c r="AG436" s="33"/>
      <c r="AH436" s="33"/>
      <c r="AI436" s="33"/>
      <c r="AJ436" s="33"/>
      <c r="AK436" s="33"/>
      <c r="AL436" s="33"/>
      <c r="AM436" s="33"/>
      <c r="AN436" s="33"/>
      <c r="AO436" s="33"/>
      <c r="AP436" s="33"/>
      <c r="AQ436" s="33"/>
      <c r="AR436" s="33"/>
      <c r="AS436" s="33"/>
      <c r="AT436" s="34"/>
      <c r="AU436" s="1679"/>
      <c r="AV436" s="2256">
        <f t="shared" si="243"/>
        <v>0</v>
      </c>
      <c r="AW436" s="2256">
        <f t="shared" si="244"/>
        <v>0</v>
      </c>
      <c r="AX436" s="2256">
        <f t="shared" si="245"/>
        <v>0</v>
      </c>
      <c r="AY436" s="2781">
        <f t="shared" si="246"/>
        <v>0</v>
      </c>
      <c r="AZ436" s="28">
        <f t="shared" si="247"/>
        <v>0</v>
      </c>
      <c r="BA436" s="28">
        <f t="shared" si="248"/>
        <v>0</v>
      </c>
      <c r="BB436" s="28">
        <f t="shared" si="249"/>
        <v>0</v>
      </c>
      <c r="BC436" s="28">
        <f t="shared" si="250"/>
        <v>0</v>
      </c>
      <c r="BD436" s="3439">
        <f t="shared" si="251"/>
        <v>0</v>
      </c>
      <c r="BE436" s="3439">
        <f t="shared" si="252"/>
        <v>0</v>
      </c>
      <c r="BF436" s="3439">
        <f t="shared" si="253"/>
        <v>0</v>
      </c>
      <c r="BG436" s="3439">
        <f t="shared" si="254"/>
        <v>0</v>
      </c>
      <c r="BH436" s="3439">
        <f t="shared" si="255"/>
        <v>0</v>
      </c>
      <c r="BI436" s="3439">
        <f t="shared" si="256"/>
        <v>0</v>
      </c>
      <c r="BJ436" s="3439">
        <f t="shared" si="257"/>
        <v>0</v>
      </c>
      <c r="BK436" s="3439">
        <f t="shared" si="258"/>
        <v>0</v>
      </c>
      <c r="BL436" s="28">
        <f t="shared" si="259"/>
        <v>0</v>
      </c>
      <c r="BM436" s="28">
        <f t="shared" si="260"/>
        <v>0</v>
      </c>
      <c r="BN436" s="28">
        <f t="shared" si="261"/>
        <v>0</v>
      </c>
      <c r="BO436" s="28">
        <f t="shared" si="262"/>
        <v>0</v>
      </c>
      <c r="BP436" s="28">
        <f t="shared" si="263"/>
        <v>0</v>
      </c>
      <c r="BQ436" s="3439">
        <f t="shared" si="264"/>
        <v>0</v>
      </c>
      <c r="BR436" s="3439">
        <f t="shared" si="265"/>
        <v>0</v>
      </c>
      <c r="BS436" s="3439">
        <f t="shared" si="266"/>
        <v>0</v>
      </c>
      <c r="BT436" s="3451">
        <f t="shared" si="267"/>
        <v>0</v>
      </c>
    </row>
    <row r="437" spans="1:72">
      <c r="A437" s="9"/>
      <c r="B437" s="27"/>
      <c r="C437" s="27"/>
      <c r="D437" s="1678"/>
      <c r="E437" s="28">
        <f t="shared" si="239"/>
        <v>0</v>
      </c>
      <c r="F437" s="29"/>
      <c r="G437" s="30">
        <f t="shared" si="240"/>
        <v>0</v>
      </c>
      <c r="H437" s="31">
        <f t="shared" si="241"/>
        <v>0</v>
      </c>
      <c r="I437" s="32"/>
      <c r="J437" s="32"/>
      <c r="K437" s="32"/>
      <c r="L437" s="32"/>
      <c r="M437" s="32"/>
      <c r="N437" s="32"/>
      <c r="O437" s="32"/>
      <c r="P437" s="32"/>
      <c r="Q437" s="32"/>
      <c r="R437" s="32"/>
      <c r="S437" s="32"/>
      <c r="T437" s="32"/>
      <c r="U437" s="32"/>
      <c r="V437" s="32"/>
      <c r="W437" s="32"/>
      <c r="X437" s="32"/>
      <c r="Y437" s="32"/>
      <c r="Z437" s="32"/>
      <c r="AA437" s="32"/>
      <c r="AB437" s="32"/>
      <c r="AC437" s="28">
        <f t="shared" si="242"/>
        <v>0</v>
      </c>
      <c r="AD437" s="33"/>
      <c r="AE437" s="33"/>
      <c r="AF437" s="33"/>
      <c r="AG437" s="33"/>
      <c r="AH437" s="33"/>
      <c r="AI437" s="33"/>
      <c r="AJ437" s="33"/>
      <c r="AK437" s="33"/>
      <c r="AL437" s="33"/>
      <c r="AM437" s="33"/>
      <c r="AN437" s="33"/>
      <c r="AO437" s="33"/>
      <c r="AP437" s="33"/>
      <c r="AQ437" s="33"/>
      <c r="AR437" s="33"/>
      <c r="AS437" s="33"/>
      <c r="AT437" s="34"/>
      <c r="AU437" s="1679"/>
      <c r="AV437" s="2256">
        <f t="shared" si="243"/>
        <v>0</v>
      </c>
      <c r="AW437" s="2256">
        <f t="shared" si="244"/>
        <v>0</v>
      </c>
      <c r="AX437" s="2256">
        <f t="shared" si="245"/>
        <v>0</v>
      </c>
      <c r="AY437" s="2781">
        <f t="shared" si="246"/>
        <v>0</v>
      </c>
      <c r="AZ437" s="28">
        <f t="shared" si="247"/>
        <v>0</v>
      </c>
      <c r="BA437" s="28">
        <f t="shared" si="248"/>
        <v>0</v>
      </c>
      <c r="BB437" s="28">
        <f t="shared" si="249"/>
        <v>0</v>
      </c>
      <c r="BC437" s="28">
        <f t="shared" si="250"/>
        <v>0</v>
      </c>
      <c r="BD437" s="3439">
        <f t="shared" si="251"/>
        <v>0</v>
      </c>
      <c r="BE437" s="3439">
        <f t="shared" si="252"/>
        <v>0</v>
      </c>
      <c r="BF437" s="3439">
        <f t="shared" si="253"/>
        <v>0</v>
      </c>
      <c r="BG437" s="3439">
        <f t="shared" si="254"/>
        <v>0</v>
      </c>
      <c r="BH437" s="3439">
        <f t="shared" si="255"/>
        <v>0</v>
      </c>
      <c r="BI437" s="3439">
        <f t="shared" si="256"/>
        <v>0</v>
      </c>
      <c r="BJ437" s="3439">
        <f t="shared" si="257"/>
        <v>0</v>
      </c>
      <c r="BK437" s="3439">
        <f t="shared" si="258"/>
        <v>0</v>
      </c>
      <c r="BL437" s="28">
        <f t="shared" si="259"/>
        <v>0</v>
      </c>
      <c r="BM437" s="28">
        <f t="shared" si="260"/>
        <v>0</v>
      </c>
      <c r="BN437" s="28">
        <f t="shared" si="261"/>
        <v>0</v>
      </c>
      <c r="BO437" s="28">
        <f t="shared" si="262"/>
        <v>0</v>
      </c>
      <c r="BP437" s="28">
        <f t="shared" si="263"/>
        <v>0</v>
      </c>
      <c r="BQ437" s="3439">
        <f t="shared" si="264"/>
        <v>0</v>
      </c>
      <c r="BR437" s="3439">
        <f t="shared" si="265"/>
        <v>0</v>
      </c>
      <c r="BS437" s="3439">
        <f t="shared" si="266"/>
        <v>0</v>
      </c>
      <c r="BT437" s="3451">
        <f t="shared" si="267"/>
        <v>0</v>
      </c>
    </row>
    <row r="438" spans="1:72">
      <c r="A438" s="9"/>
      <c r="B438" s="27"/>
      <c r="C438" s="27"/>
      <c r="D438" s="1678"/>
      <c r="E438" s="28">
        <f t="shared" si="239"/>
        <v>0</v>
      </c>
      <c r="F438" s="29"/>
      <c r="G438" s="30">
        <f t="shared" si="240"/>
        <v>0</v>
      </c>
      <c r="H438" s="31">
        <f t="shared" si="241"/>
        <v>0</v>
      </c>
      <c r="I438" s="32"/>
      <c r="J438" s="32"/>
      <c r="K438" s="32"/>
      <c r="L438" s="32"/>
      <c r="M438" s="32"/>
      <c r="N438" s="32"/>
      <c r="O438" s="32"/>
      <c r="P438" s="32"/>
      <c r="Q438" s="32"/>
      <c r="R438" s="32"/>
      <c r="S438" s="32"/>
      <c r="T438" s="32"/>
      <c r="U438" s="32"/>
      <c r="V438" s="32"/>
      <c r="W438" s="32"/>
      <c r="X438" s="32"/>
      <c r="Y438" s="32"/>
      <c r="Z438" s="32"/>
      <c r="AA438" s="32"/>
      <c r="AB438" s="32"/>
      <c r="AC438" s="28">
        <f t="shared" si="242"/>
        <v>0</v>
      </c>
      <c r="AD438" s="33"/>
      <c r="AE438" s="33"/>
      <c r="AF438" s="33"/>
      <c r="AG438" s="33"/>
      <c r="AH438" s="33"/>
      <c r="AI438" s="33"/>
      <c r="AJ438" s="33"/>
      <c r="AK438" s="33"/>
      <c r="AL438" s="33"/>
      <c r="AM438" s="33"/>
      <c r="AN438" s="33"/>
      <c r="AO438" s="33"/>
      <c r="AP438" s="33"/>
      <c r="AQ438" s="33"/>
      <c r="AR438" s="33"/>
      <c r="AS438" s="33"/>
      <c r="AT438" s="34"/>
      <c r="AU438" s="1679"/>
      <c r="AV438" s="2256">
        <f t="shared" si="243"/>
        <v>0</v>
      </c>
      <c r="AW438" s="2256">
        <f t="shared" si="244"/>
        <v>0</v>
      </c>
      <c r="AX438" s="2256">
        <f t="shared" si="245"/>
        <v>0</v>
      </c>
      <c r="AY438" s="2781">
        <f t="shared" si="246"/>
        <v>0</v>
      </c>
      <c r="AZ438" s="28">
        <f t="shared" si="247"/>
        <v>0</v>
      </c>
      <c r="BA438" s="28">
        <f t="shared" si="248"/>
        <v>0</v>
      </c>
      <c r="BB438" s="28">
        <f t="shared" si="249"/>
        <v>0</v>
      </c>
      <c r="BC438" s="28">
        <f t="shared" si="250"/>
        <v>0</v>
      </c>
      <c r="BD438" s="3439">
        <f t="shared" si="251"/>
        <v>0</v>
      </c>
      <c r="BE438" s="3439">
        <f t="shared" si="252"/>
        <v>0</v>
      </c>
      <c r="BF438" s="3439">
        <f t="shared" si="253"/>
        <v>0</v>
      </c>
      <c r="BG438" s="3439">
        <f t="shared" si="254"/>
        <v>0</v>
      </c>
      <c r="BH438" s="3439">
        <f t="shared" si="255"/>
        <v>0</v>
      </c>
      <c r="BI438" s="3439">
        <f t="shared" si="256"/>
        <v>0</v>
      </c>
      <c r="BJ438" s="3439">
        <f t="shared" si="257"/>
        <v>0</v>
      </c>
      <c r="BK438" s="3439">
        <f t="shared" si="258"/>
        <v>0</v>
      </c>
      <c r="BL438" s="28">
        <f t="shared" si="259"/>
        <v>0</v>
      </c>
      <c r="BM438" s="28">
        <f t="shared" si="260"/>
        <v>0</v>
      </c>
      <c r="BN438" s="28">
        <f t="shared" si="261"/>
        <v>0</v>
      </c>
      <c r="BO438" s="28">
        <f t="shared" si="262"/>
        <v>0</v>
      </c>
      <c r="BP438" s="28">
        <f t="shared" si="263"/>
        <v>0</v>
      </c>
      <c r="BQ438" s="3439">
        <f t="shared" si="264"/>
        <v>0</v>
      </c>
      <c r="BR438" s="3439">
        <f t="shared" si="265"/>
        <v>0</v>
      </c>
      <c r="BS438" s="3439">
        <f t="shared" si="266"/>
        <v>0</v>
      </c>
      <c r="BT438" s="3451">
        <f t="shared" si="267"/>
        <v>0</v>
      </c>
    </row>
    <row r="439" spans="1:72">
      <c r="A439" s="9"/>
      <c r="B439" s="27"/>
      <c r="C439" s="27"/>
      <c r="D439" s="1678"/>
      <c r="E439" s="28">
        <f t="shared" si="239"/>
        <v>0</v>
      </c>
      <c r="F439" s="29"/>
      <c r="G439" s="30">
        <f t="shared" si="240"/>
        <v>0</v>
      </c>
      <c r="H439" s="31">
        <f t="shared" si="241"/>
        <v>0</v>
      </c>
      <c r="I439" s="32"/>
      <c r="J439" s="32"/>
      <c r="K439" s="32"/>
      <c r="L439" s="32"/>
      <c r="M439" s="32"/>
      <c r="N439" s="32"/>
      <c r="O439" s="32"/>
      <c r="P439" s="32"/>
      <c r="Q439" s="32"/>
      <c r="R439" s="32"/>
      <c r="S439" s="32"/>
      <c r="T439" s="32"/>
      <c r="U439" s="32"/>
      <c r="V439" s="32"/>
      <c r="W439" s="32"/>
      <c r="X439" s="32"/>
      <c r="Y439" s="32"/>
      <c r="Z439" s="32"/>
      <c r="AA439" s="32"/>
      <c r="AB439" s="32"/>
      <c r="AC439" s="28">
        <f t="shared" si="242"/>
        <v>0</v>
      </c>
      <c r="AD439" s="33"/>
      <c r="AE439" s="33"/>
      <c r="AF439" s="33"/>
      <c r="AG439" s="33"/>
      <c r="AH439" s="33"/>
      <c r="AI439" s="33"/>
      <c r="AJ439" s="33"/>
      <c r="AK439" s="33"/>
      <c r="AL439" s="33"/>
      <c r="AM439" s="33"/>
      <c r="AN439" s="33"/>
      <c r="AO439" s="33"/>
      <c r="AP439" s="33"/>
      <c r="AQ439" s="33"/>
      <c r="AR439" s="33"/>
      <c r="AS439" s="33"/>
      <c r="AT439" s="34"/>
      <c r="AU439" s="1679"/>
      <c r="AV439" s="2256">
        <f t="shared" si="243"/>
        <v>0</v>
      </c>
      <c r="AW439" s="2256">
        <f t="shared" si="244"/>
        <v>0</v>
      </c>
      <c r="AX439" s="2256">
        <f t="shared" si="245"/>
        <v>0</v>
      </c>
      <c r="AY439" s="2781">
        <f t="shared" si="246"/>
        <v>0</v>
      </c>
      <c r="AZ439" s="28">
        <f t="shared" si="247"/>
        <v>0</v>
      </c>
      <c r="BA439" s="28">
        <f t="shared" si="248"/>
        <v>0</v>
      </c>
      <c r="BB439" s="28">
        <f t="shared" si="249"/>
        <v>0</v>
      </c>
      <c r="BC439" s="28">
        <f t="shared" si="250"/>
        <v>0</v>
      </c>
      <c r="BD439" s="3439">
        <f t="shared" si="251"/>
        <v>0</v>
      </c>
      <c r="BE439" s="3439">
        <f t="shared" si="252"/>
        <v>0</v>
      </c>
      <c r="BF439" s="3439">
        <f t="shared" si="253"/>
        <v>0</v>
      </c>
      <c r="BG439" s="3439">
        <f t="shared" si="254"/>
        <v>0</v>
      </c>
      <c r="BH439" s="3439">
        <f t="shared" si="255"/>
        <v>0</v>
      </c>
      <c r="BI439" s="3439">
        <f t="shared" si="256"/>
        <v>0</v>
      </c>
      <c r="BJ439" s="3439">
        <f t="shared" si="257"/>
        <v>0</v>
      </c>
      <c r="BK439" s="3439">
        <f t="shared" si="258"/>
        <v>0</v>
      </c>
      <c r="BL439" s="28">
        <f t="shared" si="259"/>
        <v>0</v>
      </c>
      <c r="BM439" s="28">
        <f t="shared" si="260"/>
        <v>0</v>
      </c>
      <c r="BN439" s="28">
        <f t="shared" si="261"/>
        <v>0</v>
      </c>
      <c r="BO439" s="28">
        <f t="shared" si="262"/>
        <v>0</v>
      </c>
      <c r="BP439" s="28">
        <f t="shared" si="263"/>
        <v>0</v>
      </c>
      <c r="BQ439" s="3439">
        <f t="shared" si="264"/>
        <v>0</v>
      </c>
      <c r="BR439" s="3439">
        <f t="shared" si="265"/>
        <v>0</v>
      </c>
      <c r="BS439" s="3439">
        <f t="shared" si="266"/>
        <v>0</v>
      </c>
      <c r="BT439" s="3451">
        <f t="shared" si="267"/>
        <v>0</v>
      </c>
    </row>
    <row r="440" spans="1:72">
      <c r="A440" s="9"/>
      <c r="B440" s="27"/>
      <c r="C440" s="27"/>
      <c r="D440" s="1678"/>
      <c r="E440" s="28">
        <f t="shared" si="239"/>
        <v>0</v>
      </c>
      <c r="F440" s="29"/>
      <c r="G440" s="30">
        <f t="shared" si="240"/>
        <v>0</v>
      </c>
      <c r="H440" s="31">
        <f t="shared" si="241"/>
        <v>0</v>
      </c>
      <c r="I440" s="32"/>
      <c r="J440" s="32"/>
      <c r="K440" s="32"/>
      <c r="L440" s="32"/>
      <c r="M440" s="32"/>
      <c r="N440" s="32"/>
      <c r="O440" s="32"/>
      <c r="P440" s="32"/>
      <c r="Q440" s="32"/>
      <c r="R440" s="32"/>
      <c r="S440" s="32"/>
      <c r="T440" s="32"/>
      <c r="U440" s="32"/>
      <c r="V440" s="32"/>
      <c r="W440" s="32"/>
      <c r="X440" s="32"/>
      <c r="Y440" s="32"/>
      <c r="Z440" s="32"/>
      <c r="AA440" s="32"/>
      <c r="AB440" s="32"/>
      <c r="AC440" s="28">
        <f t="shared" si="242"/>
        <v>0</v>
      </c>
      <c r="AD440" s="33"/>
      <c r="AE440" s="33"/>
      <c r="AF440" s="33"/>
      <c r="AG440" s="33"/>
      <c r="AH440" s="33"/>
      <c r="AI440" s="33"/>
      <c r="AJ440" s="33"/>
      <c r="AK440" s="33"/>
      <c r="AL440" s="33"/>
      <c r="AM440" s="33"/>
      <c r="AN440" s="33"/>
      <c r="AO440" s="33"/>
      <c r="AP440" s="33"/>
      <c r="AQ440" s="33"/>
      <c r="AR440" s="33"/>
      <c r="AS440" s="33"/>
      <c r="AT440" s="34"/>
      <c r="AU440" s="1679"/>
      <c r="AV440" s="2256">
        <f t="shared" si="243"/>
        <v>0</v>
      </c>
      <c r="AW440" s="2256">
        <f t="shared" si="244"/>
        <v>0</v>
      </c>
      <c r="AX440" s="2256">
        <f t="shared" si="245"/>
        <v>0</v>
      </c>
      <c r="AY440" s="2781">
        <f t="shared" si="246"/>
        <v>0</v>
      </c>
      <c r="AZ440" s="28">
        <f t="shared" si="247"/>
        <v>0</v>
      </c>
      <c r="BA440" s="28">
        <f t="shared" si="248"/>
        <v>0</v>
      </c>
      <c r="BB440" s="28">
        <f t="shared" si="249"/>
        <v>0</v>
      </c>
      <c r="BC440" s="28">
        <f t="shared" si="250"/>
        <v>0</v>
      </c>
      <c r="BD440" s="3439">
        <f t="shared" si="251"/>
        <v>0</v>
      </c>
      <c r="BE440" s="3439">
        <f t="shared" si="252"/>
        <v>0</v>
      </c>
      <c r="BF440" s="3439">
        <f t="shared" si="253"/>
        <v>0</v>
      </c>
      <c r="BG440" s="3439">
        <f t="shared" si="254"/>
        <v>0</v>
      </c>
      <c r="BH440" s="3439">
        <f t="shared" si="255"/>
        <v>0</v>
      </c>
      <c r="BI440" s="3439">
        <f t="shared" si="256"/>
        <v>0</v>
      </c>
      <c r="BJ440" s="3439">
        <f t="shared" si="257"/>
        <v>0</v>
      </c>
      <c r="BK440" s="3439">
        <f t="shared" si="258"/>
        <v>0</v>
      </c>
      <c r="BL440" s="28">
        <f t="shared" si="259"/>
        <v>0</v>
      </c>
      <c r="BM440" s="28">
        <f t="shared" si="260"/>
        <v>0</v>
      </c>
      <c r="BN440" s="28">
        <f t="shared" si="261"/>
        <v>0</v>
      </c>
      <c r="BO440" s="28">
        <f t="shared" si="262"/>
        <v>0</v>
      </c>
      <c r="BP440" s="28">
        <f t="shared" si="263"/>
        <v>0</v>
      </c>
      <c r="BQ440" s="3439">
        <f t="shared" si="264"/>
        <v>0</v>
      </c>
      <c r="BR440" s="3439">
        <f t="shared" si="265"/>
        <v>0</v>
      </c>
      <c r="BS440" s="3439">
        <f t="shared" si="266"/>
        <v>0</v>
      </c>
      <c r="BT440" s="3451">
        <f t="shared" si="267"/>
        <v>0</v>
      </c>
    </row>
    <row r="441" spans="1:72">
      <c r="A441" s="9"/>
      <c r="B441" s="27"/>
      <c r="C441" s="27"/>
      <c r="D441" s="1678"/>
      <c r="E441" s="28">
        <f t="shared" si="239"/>
        <v>0</v>
      </c>
      <c r="F441" s="29"/>
      <c r="G441" s="30">
        <f t="shared" si="240"/>
        <v>0</v>
      </c>
      <c r="H441" s="31">
        <f t="shared" si="241"/>
        <v>0</v>
      </c>
      <c r="I441" s="32"/>
      <c r="J441" s="32"/>
      <c r="K441" s="32"/>
      <c r="L441" s="32"/>
      <c r="M441" s="32"/>
      <c r="N441" s="32"/>
      <c r="O441" s="32"/>
      <c r="P441" s="32"/>
      <c r="Q441" s="32"/>
      <c r="R441" s="32"/>
      <c r="S441" s="32"/>
      <c r="T441" s="32"/>
      <c r="U441" s="32"/>
      <c r="V441" s="32"/>
      <c r="W441" s="32"/>
      <c r="X441" s="32"/>
      <c r="Y441" s="32"/>
      <c r="Z441" s="32"/>
      <c r="AA441" s="32"/>
      <c r="AB441" s="32"/>
      <c r="AC441" s="28">
        <f t="shared" si="242"/>
        <v>0</v>
      </c>
      <c r="AD441" s="33"/>
      <c r="AE441" s="33"/>
      <c r="AF441" s="33"/>
      <c r="AG441" s="33"/>
      <c r="AH441" s="33"/>
      <c r="AI441" s="33"/>
      <c r="AJ441" s="33"/>
      <c r="AK441" s="33"/>
      <c r="AL441" s="33"/>
      <c r="AM441" s="33"/>
      <c r="AN441" s="33"/>
      <c r="AO441" s="33"/>
      <c r="AP441" s="33"/>
      <c r="AQ441" s="33"/>
      <c r="AR441" s="33"/>
      <c r="AS441" s="33"/>
      <c r="AT441" s="34"/>
      <c r="AU441" s="1679"/>
      <c r="AV441" s="2256">
        <f t="shared" si="243"/>
        <v>0</v>
      </c>
      <c r="AW441" s="2256">
        <f t="shared" si="244"/>
        <v>0</v>
      </c>
      <c r="AX441" s="2256">
        <f t="shared" si="245"/>
        <v>0</v>
      </c>
      <c r="AY441" s="2781">
        <f t="shared" si="246"/>
        <v>0</v>
      </c>
      <c r="AZ441" s="28">
        <f t="shared" si="247"/>
        <v>0</v>
      </c>
      <c r="BA441" s="28">
        <f t="shared" si="248"/>
        <v>0</v>
      </c>
      <c r="BB441" s="28">
        <f t="shared" si="249"/>
        <v>0</v>
      </c>
      <c r="BC441" s="28">
        <f t="shared" si="250"/>
        <v>0</v>
      </c>
      <c r="BD441" s="3439">
        <f t="shared" si="251"/>
        <v>0</v>
      </c>
      <c r="BE441" s="3439">
        <f t="shared" si="252"/>
        <v>0</v>
      </c>
      <c r="BF441" s="3439">
        <f t="shared" si="253"/>
        <v>0</v>
      </c>
      <c r="BG441" s="3439">
        <f t="shared" si="254"/>
        <v>0</v>
      </c>
      <c r="BH441" s="3439">
        <f t="shared" si="255"/>
        <v>0</v>
      </c>
      <c r="BI441" s="3439">
        <f t="shared" si="256"/>
        <v>0</v>
      </c>
      <c r="BJ441" s="3439">
        <f t="shared" si="257"/>
        <v>0</v>
      </c>
      <c r="BK441" s="3439">
        <f t="shared" si="258"/>
        <v>0</v>
      </c>
      <c r="BL441" s="28">
        <f t="shared" si="259"/>
        <v>0</v>
      </c>
      <c r="BM441" s="28">
        <f t="shared" si="260"/>
        <v>0</v>
      </c>
      <c r="BN441" s="28">
        <f t="shared" si="261"/>
        <v>0</v>
      </c>
      <c r="BO441" s="28">
        <f t="shared" si="262"/>
        <v>0</v>
      </c>
      <c r="BP441" s="28">
        <f t="shared" si="263"/>
        <v>0</v>
      </c>
      <c r="BQ441" s="3439">
        <f t="shared" si="264"/>
        <v>0</v>
      </c>
      <c r="BR441" s="3439">
        <f t="shared" si="265"/>
        <v>0</v>
      </c>
      <c r="BS441" s="3439">
        <f t="shared" si="266"/>
        <v>0</v>
      </c>
      <c r="BT441" s="3451">
        <f t="shared" si="267"/>
        <v>0</v>
      </c>
    </row>
    <row r="442" spans="1:72">
      <c r="A442" s="9"/>
      <c r="B442" s="27"/>
      <c r="C442" s="27"/>
      <c r="D442" s="1678"/>
      <c r="E442" s="28">
        <f t="shared" si="239"/>
        <v>0</v>
      </c>
      <c r="F442" s="29"/>
      <c r="G442" s="30">
        <f t="shared" si="240"/>
        <v>0</v>
      </c>
      <c r="H442" s="31">
        <f t="shared" si="241"/>
        <v>0</v>
      </c>
      <c r="I442" s="32"/>
      <c r="J442" s="32"/>
      <c r="K442" s="32"/>
      <c r="L442" s="32"/>
      <c r="M442" s="32"/>
      <c r="N442" s="32"/>
      <c r="O442" s="32"/>
      <c r="P442" s="32"/>
      <c r="Q442" s="32"/>
      <c r="R442" s="32"/>
      <c r="S442" s="32"/>
      <c r="T442" s="32"/>
      <c r="U442" s="32"/>
      <c r="V442" s="32"/>
      <c r="W442" s="32"/>
      <c r="X442" s="32"/>
      <c r="Y442" s="32"/>
      <c r="Z442" s="32"/>
      <c r="AA442" s="32"/>
      <c r="AB442" s="32"/>
      <c r="AC442" s="28">
        <f t="shared" si="242"/>
        <v>0</v>
      </c>
      <c r="AD442" s="33"/>
      <c r="AE442" s="33"/>
      <c r="AF442" s="33"/>
      <c r="AG442" s="33"/>
      <c r="AH442" s="33"/>
      <c r="AI442" s="33"/>
      <c r="AJ442" s="33"/>
      <c r="AK442" s="33"/>
      <c r="AL442" s="33"/>
      <c r="AM442" s="33"/>
      <c r="AN442" s="33"/>
      <c r="AO442" s="33"/>
      <c r="AP442" s="33"/>
      <c r="AQ442" s="33"/>
      <c r="AR442" s="33"/>
      <c r="AS442" s="33"/>
      <c r="AT442" s="34"/>
      <c r="AU442" s="1679"/>
      <c r="AV442" s="2256">
        <f t="shared" si="243"/>
        <v>0</v>
      </c>
      <c r="AW442" s="2256">
        <f t="shared" si="244"/>
        <v>0</v>
      </c>
      <c r="AX442" s="2256">
        <f t="shared" si="245"/>
        <v>0</v>
      </c>
      <c r="AY442" s="2781">
        <f t="shared" si="246"/>
        <v>0</v>
      </c>
      <c r="AZ442" s="28">
        <f t="shared" si="247"/>
        <v>0</v>
      </c>
      <c r="BA442" s="28">
        <f t="shared" si="248"/>
        <v>0</v>
      </c>
      <c r="BB442" s="28">
        <f t="shared" si="249"/>
        <v>0</v>
      </c>
      <c r="BC442" s="28">
        <f t="shared" si="250"/>
        <v>0</v>
      </c>
      <c r="BD442" s="3439">
        <f t="shared" si="251"/>
        <v>0</v>
      </c>
      <c r="BE442" s="3439">
        <f t="shared" si="252"/>
        <v>0</v>
      </c>
      <c r="BF442" s="3439">
        <f t="shared" si="253"/>
        <v>0</v>
      </c>
      <c r="BG442" s="3439">
        <f t="shared" si="254"/>
        <v>0</v>
      </c>
      <c r="BH442" s="3439">
        <f t="shared" si="255"/>
        <v>0</v>
      </c>
      <c r="BI442" s="3439">
        <f t="shared" si="256"/>
        <v>0</v>
      </c>
      <c r="BJ442" s="3439">
        <f t="shared" si="257"/>
        <v>0</v>
      </c>
      <c r="BK442" s="3439">
        <f t="shared" si="258"/>
        <v>0</v>
      </c>
      <c r="BL442" s="28">
        <f t="shared" si="259"/>
        <v>0</v>
      </c>
      <c r="BM442" s="28">
        <f t="shared" si="260"/>
        <v>0</v>
      </c>
      <c r="BN442" s="28">
        <f t="shared" si="261"/>
        <v>0</v>
      </c>
      <c r="BO442" s="28">
        <f t="shared" si="262"/>
        <v>0</v>
      </c>
      <c r="BP442" s="28">
        <f t="shared" si="263"/>
        <v>0</v>
      </c>
      <c r="BQ442" s="3439">
        <f t="shared" si="264"/>
        <v>0</v>
      </c>
      <c r="BR442" s="3439">
        <f t="shared" si="265"/>
        <v>0</v>
      </c>
      <c r="BS442" s="3439">
        <f t="shared" si="266"/>
        <v>0</v>
      </c>
      <c r="BT442" s="3451">
        <f t="shared" si="267"/>
        <v>0</v>
      </c>
    </row>
    <row r="443" spans="1:72">
      <c r="A443" s="9"/>
      <c r="B443" s="27"/>
      <c r="C443" s="27"/>
      <c r="D443" s="1678"/>
      <c r="E443" s="28">
        <f t="shared" si="239"/>
        <v>0</v>
      </c>
      <c r="F443" s="29"/>
      <c r="G443" s="30">
        <f t="shared" si="240"/>
        <v>0</v>
      </c>
      <c r="H443" s="31">
        <f t="shared" si="241"/>
        <v>0</v>
      </c>
      <c r="I443" s="32"/>
      <c r="J443" s="32"/>
      <c r="K443" s="32"/>
      <c r="L443" s="32"/>
      <c r="M443" s="32"/>
      <c r="N443" s="32"/>
      <c r="O443" s="32"/>
      <c r="P443" s="32"/>
      <c r="Q443" s="32"/>
      <c r="R443" s="32"/>
      <c r="S443" s="32"/>
      <c r="T443" s="32"/>
      <c r="U443" s="32"/>
      <c r="V443" s="32"/>
      <c r="W443" s="32"/>
      <c r="X443" s="32"/>
      <c r="Y443" s="32"/>
      <c r="Z443" s="32"/>
      <c r="AA443" s="32"/>
      <c r="AB443" s="32"/>
      <c r="AC443" s="28">
        <f t="shared" si="242"/>
        <v>0</v>
      </c>
      <c r="AD443" s="33"/>
      <c r="AE443" s="33"/>
      <c r="AF443" s="33"/>
      <c r="AG443" s="33"/>
      <c r="AH443" s="33"/>
      <c r="AI443" s="33"/>
      <c r="AJ443" s="33"/>
      <c r="AK443" s="33"/>
      <c r="AL443" s="33"/>
      <c r="AM443" s="33"/>
      <c r="AN443" s="33"/>
      <c r="AO443" s="33"/>
      <c r="AP443" s="33"/>
      <c r="AQ443" s="33"/>
      <c r="AR443" s="33"/>
      <c r="AS443" s="33"/>
      <c r="AT443" s="34"/>
      <c r="AU443" s="1679"/>
      <c r="AV443" s="2256">
        <f t="shared" si="243"/>
        <v>0</v>
      </c>
      <c r="AW443" s="2256">
        <f t="shared" si="244"/>
        <v>0</v>
      </c>
      <c r="AX443" s="2256">
        <f t="shared" si="245"/>
        <v>0</v>
      </c>
      <c r="AY443" s="2781">
        <f t="shared" si="246"/>
        <v>0</v>
      </c>
      <c r="AZ443" s="28">
        <f t="shared" si="247"/>
        <v>0</v>
      </c>
      <c r="BA443" s="28">
        <f t="shared" si="248"/>
        <v>0</v>
      </c>
      <c r="BB443" s="28">
        <f t="shared" si="249"/>
        <v>0</v>
      </c>
      <c r="BC443" s="28">
        <f t="shared" si="250"/>
        <v>0</v>
      </c>
      <c r="BD443" s="3439">
        <f t="shared" si="251"/>
        <v>0</v>
      </c>
      <c r="BE443" s="3439">
        <f t="shared" si="252"/>
        <v>0</v>
      </c>
      <c r="BF443" s="3439">
        <f t="shared" si="253"/>
        <v>0</v>
      </c>
      <c r="BG443" s="3439">
        <f t="shared" si="254"/>
        <v>0</v>
      </c>
      <c r="BH443" s="3439">
        <f t="shared" si="255"/>
        <v>0</v>
      </c>
      <c r="BI443" s="3439">
        <f t="shared" si="256"/>
        <v>0</v>
      </c>
      <c r="BJ443" s="3439">
        <f t="shared" si="257"/>
        <v>0</v>
      </c>
      <c r="BK443" s="3439">
        <f t="shared" si="258"/>
        <v>0</v>
      </c>
      <c r="BL443" s="28">
        <f t="shared" si="259"/>
        <v>0</v>
      </c>
      <c r="BM443" s="28">
        <f t="shared" si="260"/>
        <v>0</v>
      </c>
      <c r="BN443" s="28">
        <f t="shared" si="261"/>
        <v>0</v>
      </c>
      <c r="BO443" s="28">
        <f t="shared" si="262"/>
        <v>0</v>
      </c>
      <c r="BP443" s="28">
        <f t="shared" si="263"/>
        <v>0</v>
      </c>
      <c r="BQ443" s="3439">
        <f t="shared" si="264"/>
        <v>0</v>
      </c>
      <c r="BR443" s="3439">
        <f t="shared" si="265"/>
        <v>0</v>
      </c>
      <c r="BS443" s="3439">
        <f t="shared" si="266"/>
        <v>0</v>
      </c>
      <c r="BT443" s="3451">
        <f t="shared" si="267"/>
        <v>0</v>
      </c>
    </row>
    <row r="444" spans="1:72">
      <c r="A444" s="9"/>
      <c r="B444" s="27"/>
      <c r="C444" s="27"/>
      <c r="D444" s="1678"/>
      <c r="E444" s="28">
        <f t="shared" si="239"/>
        <v>0</v>
      </c>
      <c r="F444" s="29"/>
      <c r="G444" s="30">
        <f t="shared" si="240"/>
        <v>0</v>
      </c>
      <c r="H444" s="31">
        <f t="shared" si="241"/>
        <v>0</v>
      </c>
      <c r="I444" s="32"/>
      <c r="J444" s="32"/>
      <c r="K444" s="32"/>
      <c r="L444" s="32"/>
      <c r="M444" s="32"/>
      <c r="N444" s="32"/>
      <c r="O444" s="32"/>
      <c r="P444" s="32"/>
      <c r="Q444" s="32"/>
      <c r="R444" s="32"/>
      <c r="S444" s="32"/>
      <c r="T444" s="32"/>
      <c r="U444" s="32"/>
      <c r="V444" s="32"/>
      <c r="W444" s="32"/>
      <c r="X444" s="32"/>
      <c r="Y444" s="32"/>
      <c r="Z444" s="32"/>
      <c r="AA444" s="32"/>
      <c r="AB444" s="32"/>
      <c r="AC444" s="28">
        <f t="shared" si="242"/>
        <v>0</v>
      </c>
      <c r="AD444" s="33"/>
      <c r="AE444" s="33"/>
      <c r="AF444" s="33"/>
      <c r="AG444" s="33"/>
      <c r="AH444" s="33"/>
      <c r="AI444" s="33"/>
      <c r="AJ444" s="33"/>
      <c r="AK444" s="33"/>
      <c r="AL444" s="33"/>
      <c r="AM444" s="33"/>
      <c r="AN444" s="33"/>
      <c r="AO444" s="33"/>
      <c r="AP444" s="33"/>
      <c r="AQ444" s="33"/>
      <c r="AR444" s="33"/>
      <c r="AS444" s="33"/>
      <c r="AT444" s="34"/>
      <c r="AU444" s="1679"/>
      <c r="AV444" s="2256">
        <f t="shared" si="243"/>
        <v>0</v>
      </c>
      <c r="AW444" s="2256">
        <f t="shared" si="244"/>
        <v>0</v>
      </c>
      <c r="AX444" s="2256">
        <f t="shared" si="245"/>
        <v>0</v>
      </c>
      <c r="AY444" s="2781">
        <f t="shared" si="246"/>
        <v>0</v>
      </c>
      <c r="AZ444" s="28">
        <f t="shared" si="247"/>
        <v>0</v>
      </c>
      <c r="BA444" s="28">
        <f t="shared" si="248"/>
        <v>0</v>
      </c>
      <c r="BB444" s="28">
        <f t="shared" si="249"/>
        <v>0</v>
      </c>
      <c r="BC444" s="28">
        <f t="shared" si="250"/>
        <v>0</v>
      </c>
      <c r="BD444" s="3439">
        <f t="shared" si="251"/>
        <v>0</v>
      </c>
      <c r="BE444" s="3439">
        <f t="shared" si="252"/>
        <v>0</v>
      </c>
      <c r="BF444" s="3439">
        <f t="shared" si="253"/>
        <v>0</v>
      </c>
      <c r="BG444" s="3439">
        <f t="shared" si="254"/>
        <v>0</v>
      </c>
      <c r="BH444" s="3439">
        <f t="shared" si="255"/>
        <v>0</v>
      </c>
      <c r="BI444" s="3439">
        <f t="shared" si="256"/>
        <v>0</v>
      </c>
      <c r="BJ444" s="3439">
        <f t="shared" si="257"/>
        <v>0</v>
      </c>
      <c r="BK444" s="3439">
        <f t="shared" si="258"/>
        <v>0</v>
      </c>
      <c r="BL444" s="28">
        <f t="shared" si="259"/>
        <v>0</v>
      </c>
      <c r="BM444" s="28">
        <f t="shared" si="260"/>
        <v>0</v>
      </c>
      <c r="BN444" s="28">
        <f t="shared" si="261"/>
        <v>0</v>
      </c>
      <c r="BO444" s="28">
        <f t="shared" si="262"/>
        <v>0</v>
      </c>
      <c r="BP444" s="28">
        <f t="shared" si="263"/>
        <v>0</v>
      </c>
      <c r="BQ444" s="3439">
        <f t="shared" si="264"/>
        <v>0</v>
      </c>
      <c r="BR444" s="3439">
        <f t="shared" si="265"/>
        <v>0</v>
      </c>
      <c r="BS444" s="3439">
        <f t="shared" si="266"/>
        <v>0</v>
      </c>
      <c r="BT444" s="3451">
        <f t="shared" si="267"/>
        <v>0</v>
      </c>
    </row>
    <row r="445" spans="1:72">
      <c r="A445" s="9"/>
      <c r="B445" s="27"/>
      <c r="C445" s="27"/>
      <c r="D445" s="1678"/>
      <c r="E445" s="28">
        <f t="shared" si="239"/>
        <v>0</v>
      </c>
      <c r="F445" s="29"/>
      <c r="G445" s="30">
        <f t="shared" si="240"/>
        <v>0</v>
      </c>
      <c r="H445" s="31">
        <f t="shared" si="241"/>
        <v>0</v>
      </c>
      <c r="I445" s="32"/>
      <c r="J445" s="32"/>
      <c r="K445" s="32"/>
      <c r="L445" s="32"/>
      <c r="M445" s="32"/>
      <c r="N445" s="32"/>
      <c r="O445" s="32"/>
      <c r="P445" s="32"/>
      <c r="Q445" s="32"/>
      <c r="R445" s="32"/>
      <c r="S445" s="32"/>
      <c r="T445" s="32"/>
      <c r="U445" s="32"/>
      <c r="V445" s="32"/>
      <c r="W445" s="32"/>
      <c r="X445" s="32"/>
      <c r="Y445" s="32"/>
      <c r="Z445" s="32"/>
      <c r="AA445" s="32"/>
      <c r="AB445" s="32"/>
      <c r="AC445" s="28">
        <f t="shared" si="242"/>
        <v>0</v>
      </c>
      <c r="AD445" s="33"/>
      <c r="AE445" s="33"/>
      <c r="AF445" s="33"/>
      <c r="AG445" s="33"/>
      <c r="AH445" s="33"/>
      <c r="AI445" s="33"/>
      <c r="AJ445" s="33"/>
      <c r="AK445" s="33"/>
      <c r="AL445" s="33"/>
      <c r="AM445" s="33"/>
      <c r="AN445" s="33"/>
      <c r="AO445" s="33"/>
      <c r="AP445" s="33"/>
      <c r="AQ445" s="33"/>
      <c r="AR445" s="33"/>
      <c r="AS445" s="33"/>
      <c r="AT445" s="34"/>
      <c r="AU445" s="1679"/>
      <c r="AV445" s="2256">
        <f t="shared" si="243"/>
        <v>0</v>
      </c>
      <c r="AW445" s="2256">
        <f t="shared" si="244"/>
        <v>0</v>
      </c>
      <c r="AX445" s="2256">
        <f t="shared" si="245"/>
        <v>0</v>
      </c>
      <c r="AY445" s="2781">
        <f t="shared" si="246"/>
        <v>0</v>
      </c>
      <c r="AZ445" s="28">
        <f t="shared" si="247"/>
        <v>0</v>
      </c>
      <c r="BA445" s="28">
        <f t="shared" si="248"/>
        <v>0</v>
      </c>
      <c r="BB445" s="28">
        <f t="shared" si="249"/>
        <v>0</v>
      </c>
      <c r="BC445" s="28">
        <f t="shared" si="250"/>
        <v>0</v>
      </c>
      <c r="BD445" s="3439">
        <f t="shared" si="251"/>
        <v>0</v>
      </c>
      <c r="BE445" s="3439">
        <f t="shared" si="252"/>
        <v>0</v>
      </c>
      <c r="BF445" s="3439">
        <f t="shared" si="253"/>
        <v>0</v>
      </c>
      <c r="BG445" s="3439">
        <f t="shared" si="254"/>
        <v>0</v>
      </c>
      <c r="BH445" s="3439">
        <f t="shared" si="255"/>
        <v>0</v>
      </c>
      <c r="BI445" s="3439">
        <f t="shared" si="256"/>
        <v>0</v>
      </c>
      <c r="BJ445" s="3439">
        <f t="shared" si="257"/>
        <v>0</v>
      </c>
      <c r="BK445" s="3439">
        <f t="shared" si="258"/>
        <v>0</v>
      </c>
      <c r="BL445" s="28">
        <f t="shared" si="259"/>
        <v>0</v>
      </c>
      <c r="BM445" s="28">
        <f t="shared" si="260"/>
        <v>0</v>
      </c>
      <c r="BN445" s="28">
        <f t="shared" si="261"/>
        <v>0</v>
      </c>
      <c r="BO445" s="28">
        <f t="shared" si="262"/>
        <v>0</v>
      </c>
      <c r="BP445" s="28">
        <f t="shared" si="263"/>
        <v>0</v>
      </c>
      <c r="BQ445" s="3439">
        <f t="shared" si="264"/>
        <v>0</v>
      </c>
      <c r="BR445" s="3439">
        <f t="shared" si="265"/>
        <v>0</v>
      </c>
      <c r="BS445" s="3439">
        <f t="shared" si="266"/>
        <v>0</v>
      </c>
      <c r="BT445" s="3451">
        <f t="shared" si="267"/>
        <v>0</v>
      </c>
    </row>
    <row r="446" spans="1:72">
      <c r="A446" s="9"/>
      <c r="B446" s="27"/>
      <c r="C446" s="27"/>
      <c r="D446" s="1678"/>
      <c r="E446" s="28">
        <f t="shared" si="239"/>
        <v>0</v>
      </c>
      <c r="F446" s="29"/>
      <c r="G446" s="30">
        <f t="shared" si="240"/>
        <v>0</v>
      </c>
      <c r="H446" s="31">
        <f t="shared" si="241"/>
        <v>0</v>
      </c>
      <c r="I446" s="32"/>
      <c r="J446" s="32"/>
      <c r="K446" s="32"/>
      <c r="L446" s="32"/>
      <c r="M446" s="32"/>
      <c r="N446" s="32"/>
      <c r="O446" s="32"/>
      <c r="P446" s="32"/>
      <c r="Q446" s="32"/>
      <c r="R446" s="32"/>
      <c r="S446" s="32"/>
      <c r="T446" s="32"/>
      <c r="U446" s="32"/>
      <c r="V446" s="32"/>
      <c r="W446" s="32"/>
      <c r="X446" s="32"/>
      <c r="Y446" s="32"/>
      <c r="Z446" s="32"/>
      <c r="AA446" s="32"/>
      <c r="AB446" s="32"/>
      <c r="AC446" s="28">
        <f t="shared" si="242"/>
        <v>0</v>
      </c>
      <c r="AD446" s="33"/>
      <c r="AE446" s="33"/>
      <c r="AF446" s="33"/>
      <c r="AG446" s="33"/>
      <c r="AH446" s="33"/>
      <c r="AI446" s="33"/>
      <c r="AJ446" s="33"/>
      <c r="AK446" s="33"/>
      <c r="AL446" s="33"/>
      <c r="AM446" s="33"/>
      <c r="AN446" s="33"/>
      <c r="AO446" s="33"/>
      <c r="AP446" s="33"/>
      <c r="AQ446" s="33"/>
      <c r="AR446" s="33"/>
      <c r="AS446" s="33"/>
      <c r="AT446" s="34"/>
      <c r="AU446" s="1679"/>
      <c r="AV446" s="2256">
        <f t="shared" si="243"/>
        <v>0</v>
      </c>
      <c r="AW446" s="2256">
        <f t="shared" si="244"/>
        <v>0</v>
      </c>
      <c r="AX446" s="2256">
        <f t="shared" si="245"/>
        <v>0</v>
      </c>
      <c r="AY446" s="2781">
        <f t="shared" si="246"/>
        <v>0</v>
      </c>
      <c r="AZ446" s="28">
        <f t="shared" si="247"/>
        <v>0</v>
      </c>
      <c r="BA446" s="28">
        <f t="shared" si="248"/>
        <v>0</v>
      </c>
      <c r="BB446" s="28">
        <f t="shared" si="249"/>
        <v>0</v>
      </c>
      <c r="BC446" s="28">
        <f t="shared" si="250"/>
        <v>0</v>
      </c>
      <c r="BD446" s="3439">
        <f t="shared" si="251"/>
        <v>0</v>
      </c>
      <c r="BE446" s="3439">
        <f t="shared" si="252"/>
        <v>0</v>
      </c>
      <c r="BF446" s="3439">
        <f t="shared" si="253"/>
        <v>0</v>
      </c>
      <c r="BG446" s="3439">
        <f t="shared" si="254"/>
        <v>0</v>
      </c>
      <c r="BH446" s="3439">
        <f t="shared" si="255"/>
        <v>0</v>
      </c>
      <c r="BI446" s="3439">
        <f t="shared" si="256"/>
        <v>0</v>
      </c>
      <c r="BJ446" s="3439">
        <f t="shared" si="257"/>
        <v>0</v>
      </c>
      <c r="BK446" s="3439">
        <f t="shared" si="258"/>
        <v>0</v>
      </c>
      <c r="BL446" s="28">
        <f t="shared" si="259"/>
        <v>0</v>
      </c>
      <c r="BM446" s="28">
        <f t="shared" si="260"/>
        <v>0</v>
      </c>
      <c r="BN446" s="28">
        <f t="shared" si="261"/>
        <v>0</v>
      </c>
      <c r="BO446" s="28">
        <f t="shared" si="262"/>
        <v>0</v>
      </c>
      <c r="BP446" s="28">
        <f t="shared" si="263"/>
        <v>0</v>
      </c>
      <c r="BQ446" s="3439">
        <f t="shared" si="264"/>
        <v>0</v>
      </c>
      <c r="BR446" s="3439">
        <f t="shared" si="265"/>
        <v>0</v>
      </c>
      <c r="BS446" s="3439">
        <f t="shared" si="266"/>
        <v>0</v>
      </c>
      <c r="BT446" s="3451">
        <f t="shared" si="267"/>
        <v>0</v>
      </c>
    </row>
    <row r="447" spans="1:72">
      <c r="A447" s="9"/>
      <c r="B447" s="27"/>
      <c r="C447" s="27"/>
      <c r="D447" s="1678"/>
      <c r="E447" s="28">
        <f t="shared" si="239"/>
        <v>0</v>
      </c>
      <c r="F447" s="29"/>
      <c r="G447" s="30">
        <f t="shared" si="240"/>
        <v>0</v>
      </c>
      <c r="H447" s="31">
        <f t="shared" si="241"/>
        <v>0</v>
      </c>
      <c r="I447" s="32"/>
      <c r="J447" s="32"/>
      <c r="K447" s="32"/>
      <c r="L447" s="32"/>
      <c r="M447" s="32"/>
      <c r="N447" s="32"/>
      <c r="O447" s="32"/>
      <c r="P447" s="32"/>
      <c r="Q447" s="32"/>
      <c r="R447" s="32"/>
      <c r="S447" s="32"/>
      <c r="T447" s="32"/>
      <c r="U447" s="32"/>
      <c r="V447" s="32"/>
      <c r="W447" s="32"/>
      <c r="X447" s="32"/>
      <c r="Y447" s="32"/>
      <c r="Z447" s="32"/>
      <c r="AA447" s="32"/>
      <c r="AB447" s="32"/>
      <c r="AC447" s="28">
        <f t="shared" si="242"/>
        <v>0</v>
      </c>
      <c r="AD447" s="33"/>
      <c r="AE447" s="33"/>
      <c r="AF447" s="33"/>
      <c r="AG447" s="33"/>
      <c r="AH447" s="33"/>
      <c r="AI447" s="33"/>
      <c r="AJ447" s="33"/>
      <c r="AK447" s="33"/>
      <c r="AL447" s="33"/>
      <c r="AM447" s="33"/>
      <c r="AN447" s="33"/>
      <c r="AO447" s="33"/>
      <c r="AP447" s="33"/>
      <c r="AQ447" s="33"/>
      <c r="AR447" s="33"/>
      <c r="AS447" s="33"/>
      <c r="AT447" s="34"/>
      <c r="AU447" s="1679"/>
      <c r="AV447" s="2256">
        <f t="shared" si="243"/>
        <v>0</v>
      </c>
      <c r="AW447" s="2256">
        <f t="shared" si="244"/>
        <v>0</v>
      </c>
      <c r="AX447" s="2256">
        <f t="shared" si="245"/>
        <v>0</v>
      </c>
      <c r="AY447" s="2781">
        <f t="shared" si="246"/>
        <v>0</v>
      </c>
      <c r="AZ447" s="28">
        <f t="shared" si="247"/>
        <v>0</v>
      </c>
      <c r="BA447" s="28">
        <f t="shared" si="248"/>
        <v>0</v>
      </c>
      <c r="BB447" s="28">
        <f t="shared" si="249"/>
        <v>0</v>
      </c>
      <c r="BC447" s="28">
        <f t="shared" si="250"/>
        <v>0</v>
      </c>
      <c r="BD447" s="3439">
        <f t="shared" si="251"/>
        <v>0</v>
      </c>
      <c r="BE447" s="3439">
        <f t="shared" si="252"/>
        <v>0</v>
      </c>
      <c r="BF447" s="3439">
        <f t="shared" si="253"/>
        <v>0</v>
      </c>
      <c r="BG447" s="3439">
        <f t="shared" si="254"/>
        <v>0</v>
      </c>
      <c r="BH447" s="3439">
        <f t="shared" si="255"/>
        <v>0</v>
      </c>
      <c r="BI447" s="3439">
        <f t="shared" si="256"/>
        <v>0</v>
      </c>
      <c r="BJ447" s="3439">
        <f t="shared" si="257"/>
        <v>0</v>
      </c>
      <c r="BK447" s="3439">
        <f t="shared" si="258"/>
        <v>0</v>
      </c>
      <c r="BL447" s="28">
        <f t="shared" si="259"/>
        <v>0</v>
      </c>
      <c r="BM447" s="28">
        <f t="shared" si="260"/>
        <v>0</v>
      </c>
      <c r="BN447" s="28">
        <f t="shared" si="261"/>
        <v>0</v>
      </c>
      <c r="BO447" s="28">
        <f t="shared" si="262"/>
        <v>0</v>
      </c>
      <c r="BP447" s="28">
        <f t="shared" si="263"/>
        <v>0</v>
      </c>
      <c r="BQ447" s="3439">
        <f t="shared" si="264"/>
        <v>0</v>
      </c>
      <c r="BR447" s="3439">
        <f t="shared" si="265"/>
        <v>0</v>
      </c>
      <c r="BS447" s="3439">
        <f t="shared" si="266"/>
        <v>0</v>
      </c>
      <c r="BT447" s="3451">
        <f t="shared" si="267"/>
        <v>0</v>
      </c>
    </row>
    <row r="448" spans="1:72">
      <c r="A448" s="9"/>
      <c r="B448" s="27"/>
      <c r="C448" s="27"/>
      <c r="D448" s="1678"/>
      <c r="E448" s="28">
        <f t="shared" si="239"/>
        <v>0</v>
      </c>
      <c r="F448" s="29"/>
      <c r="G448" s="30">
        <f t="shared" si="240"/>
        <v>0</v>
      </c>
      <c r="H448" s="31">
        <f t="shared" si="241"/>
        <v>0</v>
      </c>
      <c r="I448" s="32"/>
      <c r="J448" s="32"/>
      <c r="K448" s="32"/>
      <c r="L448" s="32"/>
      <c r="M448" s="32"/>
      <c r="N448" s="32"/>
      <c r="O448" s="32"/>
      <c r="P448" s="32"/>
      <c r="Q448" s="32"/>
      <c r="R448" s="32"/>
      <c r="S448" s="32"/>
      <c r="T448" s="32"/>
      <c r="U448" s="32"/>
      <c r="V448" s="32"/>
      <c r="W448" s="32"/>
      <c r="X448" s="32"/>
      <c r="Y448" s="32"/>
      <c r="Z448" s="32"/>
      <c r="AA448" s="32"/>
      <c r="AB448" s="32"/>
      <c r="AC448" s="28">
        <f t="shared" si="242"/>
        <v>0</v>
      </c>
      <c r="AD448" s="33"/>
      <c r="AE448" s="33"/>
      <c r="AF448" s="33"/>
      <c r="AG448" s="33"/>
      <c r="AH448" s="33"/>
      <c r="AI448" s="33"/>
      <c r="AJ448" s="33"/>
      <c r="AK448" s="33"/>
      <c r="AL448" s="33"/>
      <c r="AM448" s="33"/>
      <c r="AN448" s="33"/>
      <c r="AO448" s="33"/>
      <c r="AP448" s="33"/>
      <c r="AQ448" s="33"/>
      <c r="AR448" s="33"/>
      <c r="AS448" s="33"/>
      <c r="AT448" s="34"/>
      <c r="AU448" s="1679"/>
      <c r="AV448" s="2256">
        <f t="shared" si="243"/>
        <v>0</v>
      </c>
      <c r="AW448" s="2256">
        <f t="shared" si="244"/>
        <v>0</v>
      </c>
      <c r="AX448" s="2256">
        <f t="shared" si="245"/>
        <v>0</v>
      </c>
      <c r="AY448" s="2781">
        <f t="shared" si="246"/>
        <v>0</v>
      </c>
      <c r="AZ448" s="28">
        <f t="shared" si="247"/>
        <v>0</v>
      </c>
      <c r="BA448" s="28">
        <f t="shared" si="248"/>
        <v>0</v>
      </c>
      <c r="BB448" s="28">
        <f t="shared" si="249"/>
        <v>0</v>
      </c>
      <c r="BC448" s="28">
        <f t="shared" si="250"/>
        <v>0</v>
      </c>
      <c r="BD448" s="3439">
        <f t="shared" si="251"/>
        <v>0</v>
      </c>
      <c r="BE448" s="3439">
        <f t="shared" si="252"/>
        <v>0</v>
      </c>
      <c r="BF448" s="3439">
        <f t="shared" si="253"/>
        <v>0</v>
      </c>
      <c r="BG448" s="3439">
        <f t="shared" si="254"/>
        <v>0</v>
      </c>
      <c r="BH448" s="3439">
        <f t="shared" si="255"/>
        <v>0</v>
      </c>
      <c r="BI448" s="3439">
        <f t="shared" si="256"/>
        <v>0</v>
      </c>
      <c r="BJ448" s="3439">
        <f t="shared" si="257"/>
        <v>0</v>
      </c>
      <c r="BK448" s="3439">
        <f t="shared" si="258"/>
        <v>0</v>
      </c>
      <c r="BL448" s="28">
        <f t="shared" si="259"/>
        <v>0</v>
      </c>
      <c r="BM448" s="28">
        <f t="shared" si="260"/>
        <v>0</v>
      </c>
      <c r="BN448" s="28">
        <f t="shared" si="261"/>
        <v>0</v>
      </c>
      <c r="BO448" s="28">
        <f t="shared" si="262"/>
        <v>0</v>
      </c>
      <c r="BP448" s="28">
        <f t="shared" si="263"/>
        <v>0</v>
      </c>
      <c r="BQ448" s="3439">
        <f t="shared" si="264"/>
        <v>0</v>
      </c>
      <c r="BR448" s="3439">
        <f t="shared" si="265"/>
        <v>0</v>
      </c>
      <c r="BS448" s="3439">
        <f t="shared" si="266"/>
        <v>0</v>
      </c>
      <c r="BT448" s="3451">
        <f t="shared" si="267"/>
        <v>0</v>
      </c>
    </row>
    <row r="449" spans="1:72">
      <c r="A449" s="9"/>
      <c r="B449" s="27"/>
      <c r="C449" s="27"/>
      <c r="D449" s="1678"/>
      <c r="E449" s="28">
        <f t="shared" si="239"/>
        <v>0</v>
      </c>
      <c r="F449" s="29"/>
      <c r="G449" s="30">
        <f t="shared" si="240"/>
        <v>0</v>
      </c>
      <c r="H449" s="31">
        <f t="shared" si="241"/>
        <v>0</v>
      </c>
      <c r="I449" s="32"/>
      <c r="J449" s="32"/>
      <c r="K449" s="32"/>
      <c r="L449" s="32"/>
      <c r="M449" s="32"/>
      <c r="N449" s="32"/>
      <c r="O449" s="32"/>
      <c r="P449" s="32"/>
      <c r="Q449" s="32"/>
      <c r="R449" s="32"/>
      <c r="S449" s="32"/>
      <c r="T449" s="32"/>
      <c r="U449" s="32"/>
      <c r="V449" s="32"/>
      <c r="W449" s="32"/>
      <c r="X449" s="32"/>
      <c r="Y449" s="32"/>
      <c r="Z449" s="32"/>
      <c r="AA449" s="32"/>
      <c r="AB449" s="32"/>
      <c r="AC449" s="28">
        <f t="shared" si="242"/>
        <v>0</v>
      </c>
      <c r="AD449" s="33"/>
      <c r="AE449" s="33"/>
      <c r="AF449" s="33"/>
      <c r="AG449" s="33"/>
      <c r="AH449" s="33"/>
      <c r="AI449" s="33"/>
      <c r="AJ449" s="33"/>
      <c r="AK449" s="33"/>
      <c r="AL449" s="33"/>
      <c r="AM449" s="33"/>
      <c r="AN449" s="33"/>
      <c r="AO449" s="33"/>
      <c r="AP449" s="33"/>
      <c r="AQ449" s="33"/>
      <c r="AR449" s="33"/>
      <c r="AS449" s="33"/>
      <c r="AT449" s="34"/>
      <c r="AU449" s="1679"/>
      <c r="AV449" s="2256">
        <f t="shared" si="243"/>
        <v>0</v>
      </c>
      <c r="AW449" s="2256">
        <f t="shared" si="244"/>
        <v>0</v>
      </c>
      <c r="AX449" s="2256">
        <f t="shared" si="245"/>
        <v>0</v>
      </c>
      <c r="AY449" s="2781">
        <f t="shared" si="246"/>
        <v>0</v>
      </c>
      <c r="AZ449" s="28">
        <f t="shared" si="247"/>
        <v>0</v>
      </c>
      <c r="BA449" s="28">
        <f t="shared" si="248"/>
        <v>0</v>
      </c>
      <c r="BB449" s="28">
        <f t="shared" si="249"/>
        <v>0</v>
      </c>
      <c r="BC449" s="28">
        <f t="shared" si="250"/>
        <v>0</v>
      </c>
      <c r="BD449" s="3439">
        <f t="shared" si="251"/>
        <v>0</v>
      </c>
      <c r="BE449" s="3439">
        <f t="shared" si="252"/>
        <v>0</v>
      </c>
      <c r="BF449" s="3439">
        <f t="shared" si="253"/>
        <v>0</v>
      </c>
      <c r="BG449" s="3439">
        <f t="shared" si="254"/>
        <v>0</v>
      </c>
      <c r="BH449" s="3439">
        <f t="shared" si="255"/>
        <v>0</v>
      </c>
      <c r="BI449" s="3439">
        <f t="shared" si="256"/>
        <v>0</v>
      </c>
      <c r="BJ449" s="3439">
        <f t="shared" si="257"/>
        <v>0</v>
      </c>
      <c r="BK449" s="3439">
        <f t="shared" si="258"/>
        <v>0</v>
      </c>
      <c r="BL449" s="28">
        <f t="shared" si="259"/>
        <v>0</v>
      </c>
      <c r="BM449" s="28">
        <f t="shared" si="260"/>
        <v>0</v>
      </c>
      <c r="BN449" s="28">
        <f t="shared" si="261"/>
        <v>0</v>
      </c>
      <c r="BO449" s="28">
        <f t="shared" si="262"/>
        <v>0</v>
      </c>
      <c r="BP449" s="28">
        <f t="shared" si="263"/>
        <v>0</v>
      </c>
      <c r="BQ449" s="3439">
        <f t="shared" si="264"/>
        <v>0</v>
      </c>
      <c r="BR449" s="3439">
        <f t="shared" si="265"/>
        <v>0</v>
      </c>
      <c r="BS449" s="3439">
        <f t="shared" si="266"/>
        <v>0</v>
      </c>
      <c r="BT449" s="3451">
        <f t="shared" si="267"/>
        <v>0</v>
      </c>
    </row>
    <row r="450" spans="1:72">
      <c r="A450" s="9"/>
      <c r="B450" s="27"/>
      <c r="C450" s="27"/>
      <c r="D450" s="1678"/>
      <c r="E450" s="28">
        <f t="shared" si="239"/>
        <v>0</v>
      </c>
      <c r="F450" s="29"/>
      <c r="G450" s="30">
        <f t="shared" si="240"/>
        <v>0</v>
      </c>
      <c r="H450" s="31">
        <f t="shared" si="241"/>
        <v>0</v>
      </c>
      <c r="I450" s="32"/>
      <c r="J450" s="32"/>
      <c r="K450" s="32"/>
      <c r="L450" s="32"/>
      <c r="M450" s="32"/>
      <c r="N450" s="32"/>
      <c r="O450" s="32"/>
      <c r="P450" s="32"/>
      <c r="Q450" s="32"/>
      <c r="R450" s="32"/>
      <c r="S450" s="32"/>
      <c r="T450" s="32"/>
      <c r="U450" s="32"/>
      <c r="V450" s="32"/>
      <c r="W450" s="32"/>
      <c r="X450" s="32"/>
      <c r="Y450" s="32"/>
      <c r="Z450" s="32"/>
      <c r="AA450" s="32"/>
      <c r="AB450" s="32"/>
      <c r="AC450" s="28">
        <f t="shared" si="242"/>
        <v>0</v>
      </c>
      <c r="AD450" s="33"/>
      <c r="AE450" s="33"/>
      <c r="AF450" s="33"/>
      <c r="AG450" s="33"/>
      <c r="AH450" s="33"/>
      <c r="AI450" s="33"/>
      <c r="AJ450" s="33"/>
      <c r="AK450" s="33"/>
      <c r="AL450" s="33"/>
      <c r="AM450" s="33"/>
      <c r="AN450" s="33"/>
      <c r="AO450" s="33"/>
      <c r="AP450" s="33"/>
      <c r="AQ450" s="33"/>
      <c r="AR450" s="33"/>
      <c r="AS450" s="33"/>
      <c r="AT450" s="34"/>
      <c r="AU450" s="1679"/>
      <c r="AV450" s="2256">
        <f t="shared" si="243"/>
        <v>0</v>
      </c>
      <c r="AW450" s="2256">
        <f t="shared" si="244"/>
        <v>0</v>
      </c>
      <c r="AX450" s="2256">
        <f t="shared" si="245"/>
        <v>0</v>
      </c>
      <c r="AY450" s="2781">
        <f t="shared" si="246"/>
        <v>0</v>
      </c>
      <c r="AZ450" s="28">
        <f t="shared" si="247"/>
        <v>0</v>
      </c>
      <c r="BA450" s="28">
        <f t="shared" si="248"/>
        <v>0</v>
      </c>
      <c r="BB450" s="28">
        <f t="shared" si="249"/>
        <v>0</v>
      </c>
      <c r="BC450" s="28">
        <f t="shared" si="250"/>
        <v>0</v>
      </c>
      <c r="BD450" s="3439">
        <f t="shared" si="251"/>
        <v>0</v>
      </c>
      <c r="BE450" s="3439">
        <f t="shared" si="252"/>
        <v>0</v>
      </c>
      <c r="BF450" s="3439">
        <f t="shared" si="253"/>
        <v>0</v>
      </c>
      <c r="BG450" s="3439">
        <f t="shared" si="254"/>
        <v>0</v>
      </c>
      <c r="BH450" s="3439">
        <f t="shared" si="255"/>
        <v>0</v>
      </c>
      <c r="BI450" s="3439">
        <f t="shared" si="256"/>
        <v>0</v>
      </c>
      <c r="BJ450" s="3439">
        <f t="shared" si="257"/>
        <v>0</v>
      </c>
      <c r="BK450" s="3439">
        <f t="shared" si="258"/>
        <v>0</v>
      </c>
      <c r="BL450" s="28">
        <f t="shared" si="259"/>
        <v>0</v>
      </c>
      <c r="BM450" s="28">
        <f t="shared" si="260"/>
        <v>0</v>
      </c>
      <c r="BN450" s="28">
        <f t="shared" si="261"/>
        <v>0</v>
      </c>
      <c r="BO450" s="28">
        <f t="shared" si="262"/>
        <v>0</v>
      </c>
      <c r="BP450" s="28">
        <f t="shared" si="263"/>
        <v>0</v>
      </c>
      <c r="BQ450" s="3439">
        <f t="shared" si="264"/>
        <v>0</v>
      </c>
      <c r="BR450" s="3439">
        <f t="shared" si="265"/>
        <v>0</v>
      </c>
      <c r="BS450" s="3439">
        <f t="shared" si="266"/>
        <v>0</v>
      </c>
      <c r="BT450" s="3451">
        <f t="shared" si="267"/>
        <v>0</v>
      </c>
    </row>
    <row r="451" spans="1:72">
      <c r="A451" s="9"/>
      <c r="B451" s="27"/>
      <c r="C451" s="27"/>
      <c r="D451" s="1678"/>
      <c r="E451" s="28">
        <f t="shared" si="239"/>
        <v>0</v>
      </c>
      <c r="F451" s="29"/>
      <c r="G451" s="30">
        <f t="shared" si="240"/>
        <v>0</v>
      </c>
      <c r="H451" s="31">
        <f t="shared" si="241"/>
        <v>0</v>
      </c>
      <c r="I451" s="32"/>
      <c r="J451" s="32"/>
      <c r="K451" s="32"/>
      <c r="L451" s="32"/>
      <c r="M451" s="32"/>
      <c r="N451" s="32"/>
      <c r="O451" s="32"/>
      <c r="P451" s="32"/>
      <c r="Q451" s="32"/>
      <c r="R451" s="32"/>
      <c r="S451" s="32"/>
      <c r="T451" s="32"/>
      <c r="U451" s="32"/>
      <c r="V451" s="32"/>
      <c r="W451" s="32"/>
      <c r="X451" s="32"/>
      <c r="Y451" s="32"/>
      <c r="Z451" s="32"/>
      <c r="AA451" s="32"/>
      <c r="AB451" s="32"/>
      <c r="AC451" s="28">
        <f t="shared" si="242"/>
        <v>0</v>
      </c>
      <c r="AD451" s="33"/>
      <c r="AE451" s="33"/>
      <c r="AF451" s="33"/>
      <c r="AG451" s="33"/>
      <c r="AH451" s="33"/>
      <c r="AI451" s="33"/>
      <c r="AJ451" s="33"/>
      <c r="AK451" s="33"/>
      <c r="AL451" s="33"/>
      <c r="AM451" s="33"/>
      <c r="AN451" s="33"/>
      <c r="AO451" s="33"/>
      <c r="AP451" s="33"/>
      <c r="AQ451" s="33"/>
      <c r="AR451" s="33"/>
      <c r="AS451" s="33"/>
      <c r="AT451" s="34"/>
      <c r="AU451" s="1679"/>
      <c r="AV451" s="2256">
        <f t="shared" si="243"/>
        <v>0</v>
      </c>
      <c r="AW451" s="2256">
        <f t="shared" si="244"/>
        <v>0</v>
      </c>
      <c r="AX451" s="2256">
        <f t="shared" si="245"/>
        <v>0</v>
      </c>
      <c r="AY451" s="2781">
        <f t="shared" si="246"/>
        <v>0</v>
      </c>
      <c r="AZ451" s="28">
        <f t="shared" si="247"/>
        <v>0</v>
      </c>
      <c r="BA451" s="28">
        <f t="shared" si="248"/>
        <v>0</v>
      </c>
      <c r="BB451" s="28">
        <f t="shared" si="249"/>
        <v>0</v>
      </c>
      <c r="BC451" s="28">
        <f t="shared" si="250"/>
        <v>0</v>
      </c>
      <c r="BD451" s="3439">
        <f t="shared" si="251"/>
        <v>0</v>
      </c>
      <c r="BE451" s="3439">
        <f t="shared" si="252"/>
        <v>0</v>
      </c>
      <c r="BF451" s="3439">
        <f t="shared" si="253"/>
        <v>0</v>
      </c>
      <c r="BG451" s="3439">
        <f t="shared" si="254"/>
        <v>0</v>
      </c>
      <c r="BH451" s="3439">
        <f t="shared" si="255"/>
        <v>0</v>
      </c>
      <c r="BI451" s="3439">
        <f t="shared" si="256"/>
        <v>0</v>
      </c>
      <c r="BJ451" s="3439">
        <f t="shared" si="257"/>
        <v>0</v>
      </c>
      <c r="BK451" s="3439">
        <f t="shared" si="258"/>
        <v>0</v>
      </c>
      <c r="BL451" s="28">
        <f t="shared" si="259"/>
        <v>0</v>
      </c>
      <c r="BM451" s="28">
        <f t="shared" si="260"/>
        <v>0</v>
      </c>
      <c r="BN451" s="28">
        <f t="shared" si="261"/>
        <v>0</v>
      </c>
      <c r="BO451" s="28">
        <f t="shared" si="262"/>
        <v>0</v>
      </c>
      <c r="BP451" s="28">
        <f t="shared" si="263"/>
        <v>0</v>
      </c>
      <c r="BQ451" s="3439">
        <f t="shared" si="264"/>
        <v>0</v>
      </c>
      <c r="BR451" s="3439">
        <f t="shared" si="265"/>
        <v>0</v>
      </c>
      <c r="BS451" s="3439">
        <f t="shared" si="266"/>
        <v>0</v>
      </c>
      <c r="BT451" s="3451">
        <f t="shared" si="267"/>
        <v>0</v>
      </c>
    </row>
    <row r="452" spans="1:72">
      <c r="A452" s="9"/>
      <c r="B452" s="27"/>
      <c r="C452" s="27"/>
      <c r="D452" s="1678"/>
      <c r="E452" s="28">
        <f t="shared" si="239"/>
        <v>0</v>
      </c>
      <c r="F452" s="29"/>
      <c r="G452" s="30">
        <f t="shared" si="240"/>
        <v>0</v>
      </c>
      <c r="H452" s="31">
        <f t="shared" si="241"/>
        <v>0</v>
      </c>
      <c r="I452" s="32"/>
      <c r="J452" s="32"/>
      <c r="K452" s="32"/>
      <c r="L452" s="32"/>
      <c r="M452" s="32"/>
      <c r="N452" s="32"/>
      <c r="O452" s="32"/>
      <c r="P452" s="32"/>
      <c r="Q452" s="32"/>
      <c r="R452" s="32"/>
      <c r="S452" s="32"/>
      <c r="T452" s="32"/>
      <c r="U452" s="32"/>
      <c r="V452" s="32"/>
      <c r="W452" s="32"/>
      <c r="X452" s="32"/>
      <c r="Y452" s="32"/>
      <c r="Z452" s="32"/>
      <c r="AA452" s="32"/>
      <c r="AB452" s="32"/>
      <c r="AC452" s="28">
        <f t="shared" si="242"/>
        <v>0</v>
      </c>
      <c r="AD452" s="33"/>
      <c r="AE452" s="33"/>
      <c r="AF452" s="33"/>
      <c r="AG452" s="33"/>
      <c r="AH452" s="33"/>
      <c r="AI452" s="33"/>
      <c r="AJ452" s="33"/>
      <c r="AK452" s="33"/>
      <c r="AL452" s="33"/>
      <c r="AM452" s="33"/>
      <c r="AN452" s="33"/>
      <c r="AO452" s="33"/>
      <c r="AP452" s="33"/>
      <c r="AQ452" s="33"/>
      <c r="AR452" s="33"/>
      <c r="AS452" s="33"/>
      <c r="AT452" s="34"/>
      <c r="AU452" s="1679"/>
      <c r="AV452" s="2256">
        <f t="shared" si="243"/>
        <v>0</v>
      </c>
      <c r="AW452" s="2256">
        <f t="shared" si="244"/>
        <v>0</v>
      </c>
      <c r="AX452" s="2256">
        <f t="shared" si="245"/>
        <v>0</v>
      </c>
      <c r="AY452" s="2781">
        <f t="shared" si="246"/>
        <v>0</v>
      </c>
      <c r="AZ452" s="28">
        <f t="shared" si="247"/>
        <v>0</v>
      </c>
      <c r="BA452" s="28">
        <f t="shared" si="248"/>
        <v>0</v>
      </c>
      <c r="BB452" s="28">
        <f t="shared" si="249"/>
        <v>0</v>
      </c>
      <c r="BC452" s="28">
        <f t="shared" si="250"/>
        <v>0</v>
      </c>
      <c r="BD452" s="3439">
        <f t="shared" si="251"/>
        <v>0</v>
      </c>
      <c r="BE452" s="3439">
        <f t="shared" si="252"/>
        <v>0</v>
      </c>
      <c r="BF452" s="3439">
        <f t="shared" si="253"/>
        <v>0</v>
      </c>
      <c r="BG452" s="3439">
        <f t="shared" si="254"/>
        <v>0</v>
      </c>
      <c r="BH452" s="3439">
        <f t="shared" si="255"/>
        <v>0</v>
      </c>
      <c r="BI452" s="3439">
        <f t="shared" si="256"/>
        <v>0</v>
      </c>
      <c r="BJ452" s="3439">
        <f t="shared" si="257"/>
        <v>0</v>
      </c>
      <c r="BK452" s="3439">
        <f t="shared" si="258"/>
        <v>0</v>
      </c>
      <c r="BL452" s="28">
        <f t="shared" si="259"/>
        <v>0</v>
      </c>
      <c r="BM452" s="28">
        <f t="shared" si="260"/>
        <v>0</v>
      </c>
      <c r="BN452" s="28">
        <f t="shared" si="261"/>
        <v>0</v>
      </c>
      <c r="BO452" s="28">
        <f t="shared" si="262"/>
        <v>0</v>
      </c>
      <c r="BP452" s="28">
        <f t="shared" si="263"/>
        <v>0</v>
      </c>
      <c r="BQ452" s="3439">
        <f t="shared" si="264"/>
        <v>0</v>
      </c>
      <c r="BR452" s="3439">
        <f t="shared" si="265"/>
        <v>0</v>
      </c>
      <c r="BS452" s="3439">
        <f t="shared" si="266"/>
        <v>0</v>
      </c>
      <c r="BT452" s="3451">
        <f t="shared" si="267"/>
        <v>0</v>
      </c>
    </row>
    <row r="453" spans="1:72">
      <c r="A453" s="9"/>
      <c r="B453" s="27"/>
      <c r="C453" s="27"/>
      <c r="D453" s="1678"/>
      <c r="E453" s="28">
        <f t="shared" si="239"/>
        <v>0</v>
      </c>
      <c r="F453" s="29"/>
      <c r="G453" s="30">
        <f t="shared" si="240"/>
        <v>0</v>
      </c>
      <c r="H453" s="31">
        <f t="shared" si="241"/>
        <v>0</v>
      </c>
      <c r="I453" s="32"/>
      <c r="J453" s="32"/>
      <c r="K453" s="32"/>
      <c r="L453" s="32"/>
      <c r="M453" s="32"/>
      <c r="N453" s="32"/>
      <c r="O453" s="32"/>
      <c r="P453" s="32"/>
      <c r="Q453" s="32"/>
      <c r="R453" s="32"/>
      <c r="S453" s="32"/>
      <c r="T453" s="32"/>
      <c r="U453" s="32"/>
      <c r="V453" s="32"/>
      <c r="W453" s="32"/>
      <c r="X453" s="32"/>
      <c r="Y453" s="32"/>
      <c r="Z453" s="32"/>
      <c r="AA453" s="32"/>
      <c r="AB453" s="32"/>
      <c r="AC453" s="28">
        <f t="shared" si="242"/>
        <v>0</v>
      </c>
      <c r="AD453" s="33"/>
      <c r="AE453" s="33"/>
      <c r="AF453" s="33"/>
      <c r="AG453" s="33"/>
      <c r="AH453" s="33"/>
      <c r="AI453" s="33"/>
      <c r="AJ453" s="33"/>
      <c r="AK453" s="33"/>
      <c r="AL453" s="33"/>
      <c r="AM453" s="33"/>
      <c r="AN453" s="33"/>
      <c r="AO453" s="33"/>
      <c r="AP453" s="33"/>
      <c r="AQ453" s="33"/>
      <c r="AR453" s="33"/>
      <c r="AS453" s="33"/>
      <c r="AT453" s="34"/>
      <c r="AU453" s="1679"/>
      <c r="AV453" s="2256">
        <f t="shared" si="243"/>
        <v>0</v>
      </c>
      <c r="AW453" s="2256">
        <f t="shared" si="244"/>
        <v>0</v>
      </c>
      <c r="AX453" s="2256">
        <f t="shared" si="245"/>
        <v>0</v>
      </c>
      <c r="AY453" s="2781">
        <f t="shared" si="246"/>
        <v>0</v>
      </c>
      <c r="AZ453" s="28">
        <f t="shared" si="247"/>
        <v>0</v>
      </c>
      <c r="BA453" s="28">
        <f t="shared" si="248"/>
        <v>0</v>
      </c>
      <c r="BB453" s="28">
        <f t="shared" si="249"/>
        <v>0</v>
      </c>
      <c r="BC453" s="28">
        <f t="shared" si="250"/>
        <v>0</v>
      </c>
      <c r="BD453" s="3439">
        <f t="shared" si="251"/>
        <v>0</v>
      </c>
      <c r="BE453" s="3439">
        <f t="shared" si="252"/>
        <v>0</v>
      </c>
      <c r="BF453" s="3439">
        <f t="shared" si="253"/>
        <v>0</v>
      </c>
      <c r="BG453" s="3439">
        <f t="shared" si="254"/>
        <v>0</v>
      </c>
      <c r="BH453" s="3439">
        <f t="shared" si="255"/>
        <v>0</v>
      </c>
      <c r="BI453" s="3439">
        <f t="shared" si="256"/>
        <v>0</v>
      </c>
      <c r="BJ453" s="3439">
        <f t="shared" si="257"/>
        <v>0</v>
      </c>
      <c r="BK453" s="3439">
        <f t="shared" si="258"/>
        <v>0</v>
      </c>
      <c r="BL453" s="28">
        <f t="shared" si="259"/>
        <v>0</v>
      </c>
      <c r="BM453" s="28">
        <f t="shared" si="260"/>
        <v>0</v>
      </c>
      <c r="BN453" s="28">
        <f t="shared" si="261"/>
        <v>0</v>
      </c>
      <c r="BO453" s="28">
        <f t="shared" si="262"/>
        <v>0</v>
      </c>
      <c r="BP453" s="28">
        <f t="shared" si="263"/>
        <v>0</v>
      </c>
      <c r="BQ453" s="3439">
        <f t="shared" si="264"/>
        <v>0</v>
      </c>
      <c r="BR453" s="3439">
        <f t="shared" si="265"/>
        <v>0</v>
      </c>
      <c r="BS453" s="3439">
        <f t="shared" si="266"/>
        <v>0</v>
      </c>
      <c r="BT453" s="3451">
        <f t="shared" si="267"/>
        <v>0</v>
      </c>
    </row>
    <row r="454" spans="1:72">
      <c r="A454" s="9"/>
      <c r="B454" s="27"/>
      <c r="C454" s="27"/>
      <c r="D454" s="1678"/>
      <c r="E454" s="28">
        <f t="shared" si="239"/>
        <v>0</v>
      </c>
      <c r="F454" s="29"/>
      <c r="G454" s="30">
        <f t="shared" si="240"/>
        <v>0</v>
      </c>
      <c r="H454" s="31">
        <f t="shared" si="241"/>
        <v>0</v>
      </c>
      <c r="I454" s="32"/>
      <c r="J454" s="32"/>
      <c r="K454" s="32"/>
      <c r="L454" s="32"/>
      <c r="M454" s="32"/>
      <c r="N454" s="32"/>
      <c r="O454" s="32"/>
      <c r="P454" s="32"/>
      <c r="Q454" s="32"/>
      <c r="R454" s="32"/>
      <c r="S454" s="32"/>
      <c r="T454" s="32"/>
      <c r="U454" s="32"/>
      <c r="V454" s="32"/>
      <c r="W454" s="32"/>
      <c r="X454" s="32"/>
      <c r="Y454" s="32"/>
      <c r="Z454" s="32"/>
      <c r="AA454" s="32"/>
      <c r="AB454" s="32"/>
      <c r="AC454" s="28">
        <f t="shared" si="242"/>
        <v>0</v>
      </c>
      <c r="AD454" s="33"/>
      <c r="AE454" s="33"/>
      <c r="AF454" s="33"/>
      <c r="AG454" s="33"/>
      <c r="AH454" s="33"/>
      <c r="AI454" s="33"/>
      <c r="AJ454" s="33"/>
      <c r="AK454" s="33"/>
      <c r="AL454" s="33"/>
      <c r="AM454" s="33"/>
      <c r="AN454" s="33"/>
      <c r="AO454" s="33"/>
      <c r="AP454" s="33"/>
      <c r="AQ454" s="33"/>
      <c r="AR454" s="33"/>
      <c r="AS454" s="33"/>
      <c r="AT454" s="34"/>
      <c r="AU454" s="1679"/>
      <c r="AV454" s="2256">
        <f t="shared" si="243"/>
        <v>0</v>
      </c>
      <c r="AW454" s="2256">
        <f t="shared" si="244"/>
        <v>0</v>
      </c>
      <c r="AX454" s="2256">
        <f t="shared" si="245"/>
        <v>0</v>
      </c>
      <c r="AY454" s="2781">
        <f t="shared" si="246"/>
        <v>0</v>
      </c>
      <c r="AZ454" s="28">
        <f t="shared" si="247"/>
        <v>0</v>
      </c>
      <c r="BA454" s="28">
        <f t="shared" si="248"/>
        <v>0</v>
      </c>
      <c r="BB454" s="28">
        <f t="shared" si="249"/>
        <v>0</v>
      </c>
      <c r="BC454" s="28">
        <f t="shared" si="250"/>
        <v>0</v>
      </c>
      <c r="BD454" s="3439">
        <f t="shared" si="251"/>
        <v>0</v>
      </c>
      <c r="BE454" s="3439">
        <f t="shared" si="252"/>
        <v>0</v>
      </c>
      <c r="BF454" s="3439">
        <f t="shared" si="253"/>
        <v>0</v>
      </c>
      <c r="BG454" s="3439">
        <f t="shared" si="254"/>
        <v>0</v>
      </c>
      <c r="BH454" s="3439">
        <f t="shared" si="255"/>
        <v>0</v>
      </c>
      <c r="BI454" s="3439">
        <f t="shared" si="256"/>
        <v>0</v>
      </c>
      <c r="BJ454" s="3439">
        <f t="shared" si="257"/>
        <v>0</v>
      </c>
      <c r="BK454" s="3439">
        <f t="shared" si="258"/>
        <v>0</v>
      </c>
      <c r="BL454" s="28">
        <f t="shared" si="259"/>
        <v>0</v>
      </c>
      <c r="BM454" s="28">
        <f t="shared" si="260"/>
        <v>0</v>
      </c>
      <c r="BN454" s="28">
        <f t="shared" si="261"/>
        <v>0</v>
      </c>
      <c r="BO454" s="28">
        <f t="shared" si="262"/>
        <v>0</v>
      </c>
      <c r="BP454" s="28">
        <f t="shared" si="263"/>
        <v>0</v>
      </c>
      <c r="BQ454" s="3439">
        <f t="shared" si="264"/>
        <v>0</v>
      </c>
      <c r="BR454" s="3439">
        <f t="shared" si="265"/>
        <v>0</v>
      </c>
      <c r="BS454" s="3439">
        <f t="shared" si="266"/>
        <v>0</v>
      </c>
      <c r="BT454" s="3451">
        <f t="shared" si="267"/>
        <v>0</v>
      </c>
    </row>
    <row r="455" spans="1:72">
      <c r="A455" s="9"/>
      <c r="B455" s="27"/>
      <c r="C455" s="27"/>
      <c r="D455" s="1678"/>
      <c r="E455" s="28">
        <f t="shared" si="239"/>
        <v>0</v>
      </c>
      <c r="F455" s="29"/>
      <c r="G455" s="30">
        <f t="shared" si="240"/>
        <v>0</v>
      </c>
      <c r="H455" s="31">
        <f t="shared" si="241"/>
        <v>0</v>
      </c>
      <c r="I455" s="32"/>
      <c r="J455" s="32"/>
      <c r="K455" s="32"/>
      <c r="L455" s="32"/>
      <c r="M455" s="32"/>
      <c r="N455" s="32"/>
      <c r="O455" s="32"/>
      <c r="P455" s="32"/>
      <c r="Q455" s="32"/>
      <c r="R455" s="32"/>
      <c r="S455" s="32"/>
      <c r="T455" s="32"/>
      <c r="U455" s="32"/>
      <c r="V455" s="32"/>
      <c r="W455" s="32"/>
      <c r="X455" s="32"/>
      <c r="Y455" s="32"/>
      <c r="Z455" s="32"/>
      <c r="AA455" s="32"/>
      <c r="AB455" s="32"/>
      <c r="AC455" s="28">
        <f t="shared" si="242"/>
        <v>0</v>
      </c>
      <c r="AD455" s="33"/>
      <c r="AE455" s="33"/>
      <c r="AF455" s="33"/>
      <c r="AG455" s="33"/>
      <c r="AH455" s="33"/>
      <c r="AI455" s="33"/>
      <c r="AJ455" s="33"/>
      <c r="AK455" s="33"/>
      <c r="AL455" s="33"/>
      <c r="AM455" s="33"/>
      <c r="AN455" s="33"/>
      <c r="AO455" s="33"/>
      <c r="AP455" s="33"/>
      <c r="AQ455" s="33"/>
      <c r="AR455" s="33"/>
      <c r="AS455" s="33"/>
      <c r="AT455" s="34"/>
      <c r="AU455" s="1679"/>
      <c r="AV455" s="2256">
        <f t="shared" si="243"/>
        <v>0</v>
      </c>
      <c r="AW455" s="2256">
        <f t="shared" si="244"/>
        <v>0</v>
      </c>
      <c r="AX455" s="2256">
        <f t="shared" si="245"/>
        <v>0</v>
      </c>
      <c r="AY455" s="2781">
        <f t="shared" si="246"/>
        <v>0</v>
      </c>
      <c r="AZ455" s="28">
        <f t="shared" si="247"/>
        <v>0</v>
      </c>
      <c r="BA455" s="28">
        <f t="shared" si="248"/>
        <v>0</v>
      </c>
      <c r="BB455" s="28">
        <f t="shared" si="249"/>
        <v>0</v>
      </c>
      <c r="BC455" s="28">
        <f t="shared" si="250"/>
        <v>0</v>
      </c>
      <c r="BD455" s="3439">
        <f t="shared" si="251"/>
        <v>0</v>
      </c>
      <c r="BE455" s="3439">
        <f t="shared" si="252"/>
        <v>0</v>
      </c>
      <c r="BF455" s="3439">
        <f t="shared" si="253"/>
        <v>0</v>
      </c>
      <c r="BG455" s="3439">
        <f t="shared" si="254"/>
        <v>0</v>
      </c>
      <c r="BH455" s="3439">
        <f t="shared" si="255"/>
        <v>0</v>
      </c>
      <c r="BI455" s="3439">
        <f t="shared" si="256"/>
        <v>0</v>
      </c>
      <c r="BJ455" s="3439">
        <f t="shared" si="257"/>
        <v>0</v>
      </c>
      <c r="BK455" s="3439">
        <f t="shared" si="258"/>
        <v>0</v>
      </c>
      <c r="BL455" s="28">
        <f t="shared" si="259"/>
        <v>0</v>
      </c>
      <c r="BM455" s="28">
        <f t="shared" si="260"/>
        <v>0</v>
      </c>
      <c r="BN455" s="28">
        <f t="shared" si="261"/>
        <v>0</v>
      </c>
      <c r="BO455" s="28">
        <f t="shared" si="262"/>
        <v>0</v>
      </c>
      <c r="BP455" s="28">
        <f t="shared" si="263"/>
        <v>0</v>
      </c>
      <c r="BQ455" s="3439">
        <f t="shared" si="264"/>
        <v>0</v>
      </c>
      <c r="BR455" s="3439">
        <f t="shared" si="265"/>
        <v>0</v>
      </c>
      <c r="BS455" s="3439">
        <f t="shared" si="266"/>
        <v>0</v>
      </c>
      <c r="BT455" s="3451">
        <f t="shared" si="267"/>
        <v>0</v>
      </c>
    </row>
    <row r="456" spans="1:72">
      <c r="A456" s="9"/>
      <c r="B456" s="27"/>
      <c r="C456" s="27"/>
      <c r="D456" s="1678"/>
      <c r="E456" s="28">
        <f t="shared" si="239"/>
        <v>0</v>
      </c>
      <c r="F456" s="29"/>
      <c r="G456" s="30">
        <f t="shared" si="240"/>
        <v>0</v>
      </c>
      <c r="H456" s="31">
        <f t="shared" si="241"/>
        <v>0</v>
      </c>
      <c r="I456" s="32"/>
      <c r="J456" s="32"/>
      <c r="K456" s="32"/>
      <c r="L456" s="32"/>
      <c r="M456" s="32"/>
      <c r="N456" s="32"/>
      <c r="O456" s="32"/>
      <c r="P456" s="32"/>
      <c r="Q456" s="32"/>
      <c r="R456" s="32"/>
      <c r="S456" s="32"/>
      <c r="T456" s="32"/>
      <c r="U456" s="32"/>
      <c r="V456" s="32"/>
      <c r="W456" s="32"/>
      <c r="X456" s="32"/>
      <c r="Y456" s="32"/>
      <c r="Z456" s="32"/>
      <c r="AA456" s="32"/>
      <c r="AB456" s="32"/>
      <c r="AC456" s="28">
        <f t="shared" si="242"/>
        <v>0</v>
      </c>
      <c r="AD456" s="33"/>
      <c r="AE456" s="33"/>
      <c r="AF456" s="33"/>
      <c r="AG456" s="33"/>
      <c r="AH456" s="33"/>
      <c r="AI456" s="33"/>
      <c r="AJ456" s="33"/>
      <c r="AK456" s="33"/>
      <c r="AL456" s="33"/>
      <c r="AM456" s="33"/>
      <c r="AN456" s="33"/>
      <c r="AO456" s="33"/>
      <c r="AP456" s="33"/>
      <c r="AQ456" s="33"/>
      <c r="AR456" s="33"/>
      <c r="AS456" s="33"/>
      <c r="AT456" s="34"/>
      <c r="AU456" s="1679"/>
      <c r="AV456" s="2256">
        <f t="shared" si="243"/>
        <v>0</v>
      </c>
      <c r="AW456" s="2256">
        <f t="shared" si="244"/>
        <v>0</v>
      </c>
      <c r="AX456" s="2256">
        <f t="shared" si="245"/>
        <v>0</v>
      </c>
      <c r="AY456" s="2781">
        <f t="shared" si="246"/>
        <v>0</v>
      </c>
      <c r="AZ456" s="28">
        <f t="shared" si="247"/>
        <v>0</v>
      </c>
      <c r="BA456" s="28">
        <f t="shared" si="248"/>
        <v>0</v>
      </c>
      <c r="BB456" s="28">
        <f t="shared" si="249"/>
        <v>0</v>
      </c>
      <c r="BC456" s="28">
        <f t="shared" si="250"/>
        <v>0</v>
      </c>
      <c r="BD456" s="3439">
        <f t="shared" si="251"/>
        <v>0</v>
      </c>
      <c r="BE456" s="3439">
        <f t="shared" si="252"/>
        <v>0</v>
      </c>
      <c r="BF456" s="3439">
        <f t="shared" si="253"/>
        <v>0</v>
      </c>
      <c r="BG456" s="3439">
        <f t="shared" si="254"/>
        <v>0</v>
      </c>
      <c r="BH456" s="3439">
        <f t="shared" si="255"/>
        <v>0</v>
      </c>
      <c r="BI456" s="3439">
        <f t="shared" si="256"/>
        <v>0</v>
      </c>
      <c r="BJ456" s="3439">
        <f t="shared" si="257"/>
        <v>0</v>
      </c>
      <c r="BK456" s="3439">
        <f t="shared" si="258"/>
        <v>0</v>
      </c>
      <c r="BL456" s="28">
        <f t="shared" si="259"/>
        <v>0</v>
      </c>
      <c r="BM456" s="28">
        <f t="shared" si="260"/>
        <v>0</v>
      </c>
      <c r="BN456" s="28">
        <f t="shared" si="261"/>
        <v>0</v>
      </c>
      <c r="BO456" s="28">
        <f t="shared" si="262"/>
        <v>0</v>
      </c>
      <c r="BP456" s="28">
        <f t="shared" si="263"/>
        <v>0</v>
      </c>
      <c r="BQ456" s="3439">
        <f t="shared" si="264"/>
        <v>0</v>
      </c>
      <c r="BR456" s="3439">
        <f t="shared" si="265"/>
        <v>0</v>
      </c>
      <c r="BS456" s="3439">
        <f t="shared" si="266"/>
        <v>0</v>
      </c>
      <c r="BT456" s="3451">
        <f t="shared" si="267"/>
        <v>0</v>
      </c>
    </row>
    <row r="457" spans="1:72">
      <c r="A457" s="9"/>
      <c r="B457" s="27"/>
      <c r="C457" s="27"/>
      <c r="D457" s="1678"/>
      <c r="E457" s="28">
        <f t="shared" si="239"/>
        <v>0</v>
      </c>
      <c r="F457" s="29"/>
      <c r="G457" s="30">
        <f t="shared" si="240"/>
        <v>0</v>
      </c>
      <c r="H457" s="31">
        <f t="shared" si="241"/>
        <v>0</v>
      </c>
      <c r="I457" s="32"/>
      <c r="J457" s="32"/>
      <c r="K457" s="32"/>
      <c r="L457" s="32"/>
      <c r="M457" s="32"/>
      <c r="N457" s="32"/>
      <c r="O457" s="32"/>
      <c r="P457" s="32"/>
      <c r="Q457" s="32"/>
      <c r="R457" s="32"/>
      <c r="S457" s="32"/>
      <c r="T457" s="32"/>
      <c r="U457" s="32"/>
      <c r="V457" s="32"/>
      <c r="W457" s="32"/>
      <c r="X457" s="32"/>
      <c r="Y457" s="32"/>
      <c r="Z457" s="32"/>
      <c r="AA457" s="32"/>
      <c r="AB457" s="32"/>
      <c r="AC457" s="28">
        <f t="shared" si="242"/>
        <v>0</v>
      </c>
      <c r="AD457" s="33"/>
      <c r="AE457" s="33"/>
      <c r="AF457" s="33"/>
      <c r="AG457" s="33"/>
      <c r="AH457" s="33"/>
      <c r="AI457" s="33"/>
      <c r="AJ457" s="33"/>
      <c r="AK457" s="33"/>
      <c r="AL457" s="33"/>
      <c r="AM457" s="33"/>
      <c r="AN457" s="33"/>
      <c r="AO457" s="33"/>
      <c r="AP457" s="33"/>
      <c r="AQ457" s="33"/>
      <c r="AR457" s="33"/>
      <c r="AS457" s="33"/>
      <c r="AT457" s="34"/>
      <c r="AU457" s="1679"/>
      <c r="AV457" s="2256">
        <f t="shared" si="243"/>
        <v>0</v>
      </c>
      <c r="AW457" s="2256">
        <f t="shared" si="244"/>
        <v>0</v>
      </c>
      <c r="AX457" s="2256">
        <f t="shared" si="245"/>
        <v>0</v>
      </c>
      <c r="AY457" s="2781">
        <f t="shared" si="246"/>
        <v>0</v>
      </c>
      <c r="AZ457" s="28">
        <f t="shared" si="247"/>
        <v>0</v>
      </c>
      <c r="BA457" s="28">
        <f t="shared" si="248"/>
        <v>0</v>
      </c>
      <c r="BB457" s="28">
        <f t="shared" si="249"/>
        <v>0</v>
      </c>
      <c r="BC457" s="28">
        <f t="shared" si="250"/>
        <v>0</v>
      </c>
      <c r="BD457" s="3439">
        <f t="shared" si="251"/>
        <v>0</v>
      </c>
      <c r="BE457" s="3439">
        <f t="shared" si="252"/>
        <v>0</v>
      </c>
      <c r="BF457" s="3439">
        <f t="shared" si="253"/>
        <v>0</v>
      </c>
      <c r="BG457" s="3439">
        <f t="shared" si="254"/>
        <v>0</v>
      </c>
      <c r="BH457" s="3439">
        <f t="shared" si="255"/>
        <v>0</v>
      </c>
      <c r="BI457" s="3439">
        <f t="shared" si="256"/>
        <v>0</v>
      </c>
      <c r="BJ457" s="3439">
        <f t="shared" si="257"/>
        <v>0</v>
      </c>
      <c r="BK457" s="3439">
        <f t="shared" si="258"/>
        <v>0</v>
      </c>
      <c r="BL457" s="28">
        <f t="shared" si="259"/>
        <v>0</v>
      </c>
      <c r="BM457" s="28">
        <f t="shared" si="260"/>
        <v>0</v>
      </c>
      <c r="BN457" s="28">
        <f t="shared" si="261"/>
        <v>0</v>
      </c>
      <c r="BO457" s="28">
        <f t="shared" si="262"/>
        <v>0</v>
      </c>
      <c r="BP457" s="28">
        <f t="shared" si="263"/>
        <v>0</v>
      </c>
      <c r="BQ457" s="3439">
        <f t="shared" si="264"/>
        <v>0</v>
      </c>
      <c r="BR457" s="3439">
        <f t="shared" si="265"/>
        <v>0</v>
      </c>
      <c r="BS457" s="3439">
        <f t="shared" si="266"/>
        <v>0</v>
      </c>
      <c r="BT457" s="3451">
        <f t="shared" si="267"/>
        <v>0</v>
      </c>
    </row>
    <row r="458" spans="1:72">
      <c r="A458" s="9"/>
      <c r="B458" s="27"/>
      <c r="C458" s="27"/>
      <c r="D458" s="1678"/>
      <c r="E458" s="28">
        <f t="shared" si="239"/>
        <v>0</v>
      </c>
      <c r="F458" s="29"/>
      <c r="G458" s="30">
        <f t="shared" si="240"/>
        <v>0</v>
      </c>
      <c r="H458" s="31">
        <f t="shared" si="241"/>
        <v>0</v>
      </c>
      <c r="I458" s="32"/>
      <c r="J458" s="32"/>
      <c r="K458" s="32"/>
      <c r="L458" s="32"/>
      <c r="M458" s="32"/>
      <c r="N458" s="32"/>
      <c r="O458" s="32"/>
      <c r="P458" s="32"/>
      <c r="Q458" s="32"/>
      <c r="R458" s="32"/>
      <c r="S458" s="32"/>
      <c r="T458" s="32"/>
      <c r="U458" s="32"/>
      <c r="V458" s="32"/>
      <c r="W458" s="32"/>
      <c r="X458" s="32"/>
      <c r="Y458" s="32"/>
      <c r="Z458" s="32"/>
      <c r="AA458" s="32"/>
      <c r="AB458" s="32"/>
      <c r="AC458" s="28">
        <f t="shared" si="242"/>
        <v>0</v>
      </c>
      <c r="AD458" s="33"/>
      <c r="AE458" s="33"/>
      <c r="AF458" s="33"/>
      <c r="AG458" s="33"/>
      <c r="AH458" s="33"/>
      <c r="AI458" s="33"/>
      <c r="AJ458" s="33"/>
      <c r="AK458" s="33"/>
      <c r="AL458" s="33"/>
      <c r="AM458" s="33"/>
      <c r="AN458" s="33"/>
      <c r="AO458" s="33"/>
      <c r="AP458" s="33"/>
      <c r="AQ458" s="33"/>
      <c r="AR458" s="33"/>
      <c r="AS458" s="33"/>
      <c r="AT458" s="34"/>
      <c r="AU458" s="1679"/>
      <c r="AV458" s="2256">
        <f t="shared" si="243"/>
        <v>0</v>
      </c>
      <c r="AW458" s="2256">
        <f t="shared" si="244"/>
        <v>0</v>
      </c>
      <c r="AX458" s="2256">
        <f t="shared" si="245"/>
        <v>0</v>
      </c>
      <c r="AY458" s="2781">
        <f t="shared" si="246"/>
        <v>0</v>
      </c>
      <c r="AZ458" s="28">
        <f t="shared" si="247"/>
        <v>0</v>
      </c>
      <c r="BA458" s="28">
        <f t="shared" si="248"/>
        <v>0</v>
      </c>
      <c r="BB458" s="28">
        <f t="shared" si="249"/>
        <v>0</v>
      </c>
      <c r="BC458" s="28">
        <f t="shared" si="250"/>
        <v>0</v>
      </c>
      <c r="BD458" s="3439">
        <f t="shared" si="251"/>
        <v>0</v>
      </c>
      <c r="BE458" s="3439">
        <f t="shared" si="252"/>
        <v>0</v>
      </c>
      <c r="BF458" s="3439">
        <f t="shared" si="253"/>
        <v>0</v>
      </c>
      <c r="BG458" s="3439">
        <f t="shared" si="254"/>
        <v>0</v>
      </c>
      <c r="BH458" s="3439">
        <f t="shared" si="255"/>
        <v>0</v>
      </c>
      <c r="BI458" s="3439">
        <f t="shared" si="256"/>
        <v>0</v>
      </c>
      <c r="BJ458" s="3439">
        <f t="shared" si="257"/>
        <v>0</v>
      </c>
      <c r="BK458" s="3439">
        <f t="shared" si="258"/>
        <v>0</v>
      </c>
      <c r="BL458" s="28">
        <f t="shared" si="259"/>
        <v>0</v>
      </c>
      <c r="BM458" s="28">
        <f t="shared" si="260"/>
        <v>0</v>
      </c>
      <c r="BN458" s="28">
        <f t="shared" si="261"/>
        <v>0</v>
      </c>
      <c r="BO458" s="28">
        <f t="shared" si="262"/>
        <v>0</v>
      </c>
      <c r="BP458" s="28">
        <f t="shared" si="263"/>
        <v>0</v>
      </c>
      <c r="BQ458" s="3439">
        <f t="shared" si="264"/>
        <v>0</v>
      </c>
      <c r="BR458" s="3439">
        <f t="shared" si="265"/>
        <v>0</v>
      </c>
      <c r="BS458" s="3439">
        <f t="shared" si="266"/>
        <v>0</v>
      </c>
      <c r="BT458" s="3451">
        <f t="shared" si="267"/>
        <v>0</v>
      </c>
    </row>
    <row r="459" spans="1:72">
      <c r="A459" s="9"/>
      <c r="B459" s="27"/>
      <c r="C459" s="27"/>
      <c r="D459" s="1678"/>
      <c r="E459" s="28">
        <f t="shared" si="239"/>
        <v>0</v>
      </c>
      <c r="F459" s="29"/>
      <c r="G459" s="30">
        <f t="shared" si="240"/>
        <v>0</v>
      </c>
      <c r="H459" s="31">
        <f t="shared" si="241"/>
        <v>0</v>
      </c>
      <c r="I459" s="32"/>
      <c r="J459" s="32"/>
      <c r="K459" s="32"/>
      <c r="L459" s="32"/>
      <c r="M459" s="32"/>
      <c r="N459" s="32"/>
      <c r="O459" s="32"/>
      <c r="P459" s="32"/>
      <c r="Q459" s="32"/>
      <c r="R459" s="32"/>
      <c r="S459" s="32"/>
      <c r="T459" s="32"/>
      <c r="U459" s="32"/>
      <c r="V459" s="32"/>
      <c r="W459" s="32"/>
      <c r="X459" s="32"/>
      <c r="Y459" s="32"/>
      <c r="Z459" s="32"/>
      <c r="AA459" s="32"/>
      <c r="AB459" s="32"/>
      <c r="AC459" s="28">
        <f t="shared" si="242"/>
        <v>0</v>
      </c>
      <c r="AD459" s="33"/>
      <c r="AE459" s="33"/>
      <c r="AF459" s="33"/>
      <c r="AG459" s="33"/>
      <c r="AH459" s="33"/>
      <c r="AI459" s="33"/>
      <c r="AJ459" s="33"/>
      <c r="AK459" s="33"/>
      <c r="AL459" s="33"/>
      <c r="AM459" s="33"/>
      <c r="AN459" s="33"/>
      <c r="AO459" s="33"/>
      <c r="AP459" s="33"/>
      <c r="AQ459" s="33"/>
      <c r="AR459" s="33"/>
      <c r="AS459" s="33"/>
      <c r="AT459" s="34"/>
      <c r="AU459" s="1679"/>
      <c r="AV459" s="2256">
        <f t="shared" si="243"/>
        <v>0</v>
      </c>
      <c r="AW459" s="2256">
        <f t="shared" si="244"/>
        <v>0</v>
      </c>
      <c r="AX459" s="2256">
        <f t="shared" si="245"/>
        <v>0</v>
      </c>
      <c r="AY459" s="2781">
        <f t="shared" si="246"/>
        <v>0</v>
      </c>
      <c r="AZ459" s="28">
        <f t="shared" si="247"/>
        <v>0</v>
      </c>
      <c r="BA459" s="28">
        <f t="shared" si="248"/>
        <v>0</v>
      </c>
      <c r="BB459" s="28">
        <f t="shared" si="249"/>
        <v>0</v>
      </c>
      <c r="BC459" s="28">
        <f t="shared" si="250"/>
        <v>0</v>
      </c>
      <c r="BD459" s="3439">
        <f t="shared" si="251"/>
        <v>0</v>
      </c>
      <c r="BE459" s="3439">
        <f t="shared" si="252"/>
        <v>0</v>
      </c>
      <c r="BF459" s="3439">
        <f t="shared" si="253"/>
        <v>0</v>
      </c>
      <c r="BG459" s="3439">
        <f t="shared" si="254"/>
        <v>0</v>
      </c>
      <c r="BH459" s="3439">
        <f t="shared" si="255"/>
        <v>0</v>
      </c>
      <c r="BI459" s="3439">
        <f t="shared" si="256"/>
        <v>0</v>
      </c>
      <c r="BJ459" s="3439">
        <f t="shared" si="257"/>
        <v>0</v>
      </c>
      <c r="BK459" s="3439">
        <f t="shared" si="258"/>
        <v>0</v>
      </c>
      <c r="BL459" s="28">
        <f t="shared" si="259"/>
        <v>0</v>
      </c>
      <c r="BM459" s="28">
        <f t="shared" si="260"/>
        <v>0</v>
      </c>
      <c r="BN459" s="28">
        <f t="shared" si="261"/>
        <v>0</v>
      </c>
      <c r="BO459" s="28">
        <f t="shared" si="262"/>
        <v>0</v>
      </c>
      <c r="BP459" s="28">
        <f t="shared" si="263"/>
        <v>0</v>
      </c>
      <c r="BQ459" s="3439">
        <f t="shared" si="264"/>
        <v>0</v>
      </c>
      <c r="BR459" s="3439">
        <f t="shared" si="265"/>
        <v>0</v>
      </c>
      <c r="BS459" s="3439">
        <f t="shared" si="266"/>
        <v>0</v>
      </c>
      <c r="BT459" s="3451">
        <f t="shared" si="267"/>
        <v>0</v>
      </c>
    </row>
    <row r="460" spans="1:72">
      <c r="A460" s="9"/>
      <c r="B460" s="27"/>
      <c r="C460" s="27"/>
      <c r="D460" s="1678"/>
      <c r="E460" s="28">
        <f t="shared" si="239"/>
        <v>0</v>
      </c>
      <c r="F460" s="29"/>
      <c r="G460" s="30">
        <f t="shared" si="240"/>
        <v>0</v>
      </c>
      <c r="H460" s="31">
        <f t="shared" si="241"/>
        <v>0</v>
      </c>
      <c r="I460" s="32"/>
      <c r="J460" s="32"/>
      <c r="K460" s="32"/>
      <c r="L460" s="32"/>
      <c r="M460" s="32"/>
      <c r="N460" s="32"/>
      <c r="O460" s="32"/>
      <c r="P460" s="32"/>
      <c r="Q460" s="32"/>
      <c r="R460" s="32"/>
      <c r="S460" s="32"/>
      <c r="T460" s="32"/>
      <c r="U460" s="32"/>
      <c r="V460" s="32"/>
      <c r="W460" s="32"/>
      <c r="X460" s="32"/>
      <c r="Y460" s="32"/>
      <c r="Z460" s="32"/>
      <c r="AA460" s="32"/>
      <c r="AB460" s="32"/>
      <c r="AC460" s="28">
        <f t="shared" si="242"/>
        <v>0</v>
      </c>
      <c r="AD460" s="33"/>
      <c r="AE460" s="33"/>
      <c r="AF460" s="33"/>
      <c r="AG460" s="33"/>
      <c r="AH460" s="33"/>
      <c r="AI460" s="33"/>
      <c r="AJ460" s="33"/>
      <c r="AK460" s="33"/>
      <c r="AL460" s="33"/>
      <c r="AM460" s="33"/>
      <c r="AN460" s="33"/>
      <c r="AO460" s="33"/>
      <c r="AP460" s="33"/>
      <c r="AQ460" s="33"/>
      <c r="AR460" s="33"/>
      <c r="AS460" s="33"/>
      <c r="AT460" s="34"/>
      <c r="AU460" s="1679"/>
      <c r="AV460" s="2256">
        <f t="shared" si="243"/>
        <v>0</v>
      </c>
      <c r="AW460" s="2256">
        <f t="shared" si="244"/>
        <v>0</v>
      </c>
      <c r="AX460" s="2256">
        <f t="shared" si="245"/>
        <v>0</v>
      </c>
      <c r="AY460" s="2781">
        <f t="shared" si="246"/>
        <v>0</v>
      </c>
      <c r="AZ460" s="28">
        <f t="shared" si="247"/>
        <v>0</v>
      </c>
      <c r="BA460" s="28">
        <f t="shared" si="248"/>
        <v>0</v>
      </c>
      <c r="BB460" s="28">
        <f t="shared" si="249"/>
        <v>0</v>
      </c>
      <c r="BC460" s="28">
        <f t="shared" si="250"/>
        <v>0</v>
      </c>
      <c r="BD460" s="3439">
        <f t="shared" si="251"/>
        <v>0</v>
      </c>
      <c r="BE460" s="3439">
        <f t="shared" si="252"/>
        <v>0</v>
      </c>
      <c r="BF460" s="3439">
        <f t="shared" si="253"/>
        <v>0</v>
      </c>
      <c r="BG460" s="3439">
        <f t="shared" si="254"/>
        <v>0</v>
      </c>
      <c r="BH460" s="3439">
        <f t="shared" si="255"/>
        <v>0</v>
      </c>
      <c r="BI460" s="3439">
        <f t="shared" si="256"/>
        <v>0</v>
      </c>
      <c r="BJ460" s="3439">
        <f t="shared" si="257"/>
        <v>0</v>
      </c>
      <c r="BK460" s="3439">
        <f t="shared" si="258"/>
        <v>0</v>
      </c>
      <c r="BL460" s="28">
        <f t="shared" si="259"/>
        <v>0</v>
      </c>
      <c r="BM460" s="28">
        <f t="shared" si="260"/>
        <v>0</v>
      </c>
      <c r="BN460" s="28">
        <f t="shared" si="261"/>
        <v>0</v>
      </c>
      <c r="BO460" s="28">
        <f t="shared" si="262"/>
        <v>0</v>
      </c>
      <c r="BP460" s="28">
        <f t="shared" si="263"/>
        <v>0</v>
      </c>
      <c r="BQ460" s="3439">
        <f t="shared" si="264"/>
        <v>0</v>
      </c>
      <c r="BR460" s="3439">
        <f t="shared" si="265"/>
        <v>0</v>
      </c>
      <c r="BS460" s="3439">
        <f t="shared" si="266"/>
        <v>0</v>
      </c>
      <c r="BT460" s="3451">
        <f t="shared" si="267"/>
        <v>0</v>
      </c>
    </row>
    <row r="461" spans="1:72">
      <c r="A461" s="9"/>
      <c r="B461" s="27"/>
      <c r="C461" s="27"/>
      <c r="D461" s="1678"/>
      <c r="E461" s="28">
        <f t="shared" si="239"/>
        <v>0</v>
      </c>
      <c r="F461" s="29"/>
      <c r="G461" s="30">
        <f t="shared" si="240"/>
        <v>0</v>
      </c>
      <c r="H461" s="31">
        <f t="shared" si="241"/>
        <v>0</v>
      </c>
      <c r="I461" s="32"/>
      <c r="J461" s="32"/>
      <c r="K461" s="32"/>
      <c r="L461" s="32"/>
      <c r="M461" s="32"/>
      <c r="N461" s="32"/>
      <c r="O461" s="32"/>
      <c r="P461" s="32"/>
      <c r="Q461" s="32"/>
      <c r="R461" s="32"/>
      <c r="S461" s="32"/>
      <c r="T461" s="32"/>
      <c r="U461" s="32"/>
      <c r="V461" s="32"/>
      <c r="W461" s="32"/>
      <c r="X461" s="32"/>
      <c r="Y461" s="32"/>
      <c r="Z461" s="32"/>
      <c r="AA461" s="32"/>
      <c r="AB461" s="32"/>
      <c r="AC461" s="28">
        <f t="shared" si="242"/>
        <v>0</v>
      </c>
      <c r="AD461" s="33"/>
      <c r="AE461" s="33"/>
      <c r="AF461" s="33"/>
      <c r="AG461" s="33"/>
      <c r="AH461" s="33"/>
      <c r="AI461" s="33"/>
      <c r="AJ461" s="33"/>
      <c r="AK461" s="33"/>
      <c r="AL461" s="33"/>
      <c r="AM461" s="33"/>
      <c r="AN461" s="33"/>
      <c r="AO461" s="33"/>
      <c r="AP461" s="33"/>
      <c r="AQ461" s="33"/>
      <c r="AR461" s="33"/>
      <c r="AS461" s="33"/>
      <c r="AT461" s="34"/>
      <c r="AU461" s="1679"/>
      <c r="AV461" s="2256">
        <f t="shared" si="243"/>
        <v>0</v>
      </c>
      <c r="AW461" s="2256">
        <f t="shared" si="244"/>
        <v>0</v>
      </c>
      <c r="AX461" s="2256">
        <f t="shared" si="245"/>
        <v>0</v>
      </c>
      <c r="AY461" s="2781">
        <f t="shared" si="246"/>
        <v>0</v>
      </c>
      <c r="AZ461" s="28">
        <f t="shared" si="247"/>
        <v>0</v>
      </c>
      <c r="BA461" s="28">
        <f t="shared" si="248"/>
        <v>0</v>
      </c>
      <c r="BB461" s="28">
        <f t="shared" si="249"/>
        <v>0</v>
      </c>
      <c r="BC461" s="28">
        <f t="shared" si="250"/>
        <v>0</v>
      </c>
      <c r="BD461" s="3439">
        <f t="shared" si="251"/>
        <v>0</v>
      </c>
      <c r="BE461" s="3439">
        <f t="shared" si="252"/>
        <v>0</v>
      </c>
      <c r="BF461" s="3439">
        <f t="shared" si="253"/>
        <v>0</v>
      </c>
      <c r="BG461" s="3439">
        <f t="shared" si="254"/>
        <v>0</v>
      </c>
      <c r="BH461" s="3439">
        <f t="shared" si="255"/>
        <v>0</v>
      </c>
      <c r="BI461" s="3439">
        <f t="shared" si="256"/>
        <v>0</v>
      </c>
      <c r="BJ461" s="3439">
        <f t="shared" si="257"/>
        <v>0</v>
      </c>
      <c r="BK461" s="3439">
        <f t="shared" si="258"/>
        <v>0</v>
      </c>
      <c r="BL461" s="28">
        <f t="shared" si="259"/>
        <v>0</v>
      </c>
      <c r="BM461" s="28">
        <f t="shared" si="260"/>
        <v>0</v>
      </c>
      <c r="BN461" s="28">
        <f t="shared" si="261"/>
        <v>0</v>
      </c>
      <c r="BO461" s="28">
        <f t="shared" si="262"/>
        <v>0</v>
      </c>
      <c r="BP461" s="28">
        <f t="shared" si="263"/>
        <v>0</v>
      </c>
      <c r="BQ461" s="3439">
        <f t="shared" si="264"/>
        <v>0</v>
      </c>
      <c r="BR461" s="3439">
        <f t="shared" si="265"/>
        <v>0</v>
      </c>
      <c r="BS461" s="3439">
        <f t="shared" si="266"/>
        <v>0</v>
      </c>
      <c r="BT461" s="3451">
        <f t="shared" si="267"/>
        <v>0</v>
      </c>
    </row>
    <row r="462" spans="1:72">
      <c r="A462" s="9"/>
      <c r="B462" s="27"/>
      <c r="C462" s="27"/>
      <c r="D462" s="1678"/>
      <c r="E462" s="28">
        <f t="shared" si="239"/>
        <v>0</v>
      </c>
      <c r="F462" s="29"/>
      <c r="G462" s="30">
        <f t="shared" si="240"/>
        <v>0</v>
      </c>
      <c r="H462" s="31">
        <f t="shared" si="241"/>
        <v>0</v>
      </c>
      <c r="I462" s="32"/>
      <c r="J462" s="32"/>
      <c r="K462" s="32"/>
      <c r="L462" s="32"/>
      <c r="M462" s="32"/>
      <c r="N462" s="32"/>
      <c r="O462" s="32"/>
      <c r="P462" s="32"/>
      <c r="Q462" s="32"/>
      <c r="R462" s="32"/>
      <c r="S462" s="32"/>
      <c r="T462" s="32"/>
      <c r="U462" s="32"/>
      <c r="V462" s="32"/>
      <c r="W462" s="32"/>
      <c r="X462" s="32"/>
      <c r="Y462" s="32"/>
      <c r="Z462" s="32"/>
      <c r="AA462" s="32"/>
      <c r="AB462" s="32"/>
      <c r="AC462" s="28">
        <f t="shared" si="242"/>
        <v>0</v>
      </c>
      <c r="AD462" s="33"/>
      <c r="AE462" s="33"/>
      <c r="AF462" s="33"/>
      <c r="AG462" s="33"/>
      <c r="AH462" s="33"/>
      <c r="AI462" s="33"/>
      <c r="AJ462" s="33"/>
      <c r="AK462" s="33"/>
      <c r="AL462" s="33"/>
      <c r="AM462" s="33"/>
      <c r="AN462" s="33"/>
      <c r="AO462" s="33"/>
      <c r="AP462" s="33"/>
      <c r="AQ462" s="33"/>
      <c r="AR462" s="33"/>
      <c r="AS462" s="33"/>
      <c r="AT462" s="34"/>
      <c r="AU462" s="1679"/>
      <c r="AV462" s="2256">
        <f t="shared" si="243"/>
        <v>0</v>
      </c>
      <c r="AW462" s="2256">
        <f t="shared" si="244"/>
        <v>0</v>
      </c>
      <c r="AX462" s="2256">
        <f t="shared" si="245"/>
        <v>0</v>
      </c>
      <c r="AY462" s="2781">
        <f t="shared" si="246"/>
        <v>0</v>
      </c>
      <c r="AZ462" s="28">
        <f t="shared" si="247"/>
        <v>0</v>
      </c>
      <c r="BA462" s="28">
        <f t="shared" si="248"/>
        <v>0</v>
      </c>
      <c r="BB462" s="28">
        <f t="shared" si="249"/>
        <v>0</v>
      </c>
      <c r="BC462" s="28">
        <f t="shared" si="250"/>
        <v>0</v>
      </c>
      <c r="BD462" s="3439">
        <f t="shared" si="251"/>
        <v>0</v>
      </c>
      <c r="BE462" s="3439">
        <f t="shared" si="252"/>
        <v>0</v>
      </c>
      <c r="BF462" s="3439">
        <f t="shared" si="253"/>
        <v>0</v>
      </c>
      <c r="BG462" s="3439">
        <f t="shared" si="254"/>
        <v>0</v>
      </c>
      <c r="BH462" s="3439">
        <f t="shared" si="255"/>
        <v>0</v>
      </c>
      <c r="BI462" s="3439">
        <f t="shared" si="256"/>
        <v>0</v>
      </c>
      <c r="BJ462" s="3439">
        <f t="shared" si="257"/>
        <v>0</v>
      </c>
      <c r="BK462" s="3439">
        <f t="shared" si="258"/>
        <v>0</v>
      </c>
      <c r="BL462" s="28">
        <f t="shared" si="259"/>
        <v>0</v>
      </c>
      <c r="BM462" s="28">
        <f t="shared" si="260"/>
        <v>0</v>
      </c>
      <c r="BN462" s="28">
        <f t="shared" si="261"/>
        <v>0</v>
      </c>
      <c r="BO462" s="28">
        <f t="shared" si="262"/>
        <v>0</v>
      </c>
      <c r="BP462" s="28">
        <f t="shared" si="263"/>
        <v>0</v>
      </c>
      <c r="BQ462" s="3439">
        <f t="shared" si="264"/>
        <v>0</v>
      </c>
      <c r="BR462" s="3439">
        <f t="shared" si="265"/>
        <v>0</v>
      </c>
      <c r="BS462" s="3439">
        <f t="shared" si="266"/>
        <v>0</v>
      </c>
      <c r="BT462" s="3451">
        <f t="shared" si="267"/>
        <v>0</v>
      </c>
    </row>
    <row r="463" spans="1:72">
      <c r="A463" s="9"/>
      <c r="B463" s="27"/>
      <c r="C463" s="27"/>
      <c r="D463" s="1678"/>
      <c r="E463" s="28">
        <f t="shared" si="239"/>
        <v>0</v>
      </c>
      <c r="F463" s="29"/>
      <c r="G463" s="30">
        <f t="shared" si="240"/>
        <v>0</v>
      </c>
      <c r="H463" s="31">
        <f t="shared" si="241"/>
        <v>0</v>
      </c>
      <c r="I463" s="32"/>
      <c r="J463" s="32"/>
      <c r="K463" s="32"/>
      <c r="L463" s="32"/>
      <c r="M463" s="32"/>
      <c r="N463" s="32"/>
      <c r="O463" s="32"/>
      <c r="P463" s="32"/>
      <c r="Q463" s="32"/>
      <c r="R463" s="32"/>
      <c r="S463" s="32"/>
      <c r="T463" s="32"/>
      <c r="U463" s="32"/>
      <c r="V463" s="32"/>
      <c r="W463" s="32"/>
      <c r="X463" s="32"/>
      <c r="Y463" s="32"/>
      <c r="Z463" s="32"/>
      <c r="AA463" s="32"/>
      <c r="AB463" s="32"/>
      <c r="AC463" s="28">
        <f t="shared" si="242"/>
        <v>0</v>
      </c>
      <c r="AD463" s="33"/>
      <c r="AE463" s="33"/>
      <c r="AF463" s="33"/>
      <c r="AG463" s="33"/>
      <c r="AH463" s="33"/>
      <c r="AI463" s="33"/>
      <c r="AJ463" s="33"/>
      <c r="AK463" s="33"/>
      <c r="AL463" s="33"/>
      <c r="AM463" s="33"/>
      <c r="AN463" s="33"/>
      <c r="AO463" s="33"/>
      <c r="AP463" s="33"/>
      <c r="AQ463" s="33"/>
      <c r="AR463" s="33"/>
      <c r="AS463" s="33"/>
      <c r="AT463" s="34"/>
      <c r="AU463" s="1679"/>
      <c r="AV463" s="2256">
        <f t="shared" si="243"/>
        <v>0</v>
      </c>
      <c r="AW463" s="2256">
        <f t="shared" si="244"/>
        <v>0</v>
      </c>
      <c r="AX463" s="2256">
        <f t="shared" si="245"/>
        <v>0</v>
      </c>
      <c r="AY463" s="2781">
        <f t="shared" si="246"/>
        <v>0</v>
      </c>
      <c r="AZ463" s="28">
        <f t="shared" si="247"/>
        <v>0</v>
      </c>
      <c r="BA463" s="28">
        <f t="shared" si="248"/>
        <v>0</v>
      </c>
      <c r="BB463" s="28">
        <f t="shared" si="249"/>
        <v>0</v>
      </c>
      <c r="BC463" s="28">
        <f t="shared" si="250"/>
        <v>0</v>
      </c>
      <c r="BD463" s="3439">
        <f t="shared" si="251"/>
        <v>0</v>
      </c>
      <c r="BE463" s="3439">
        <f t="shared" si="252"/>
        <v>0</v>
      </c>
      <c r="BF463" s="3439">
        <f t="shared" si="253"/>
        <v>0</v>
      </c>
      <c r="BG463" s="3439">
        <f t="shared" si="254"/>
        <v>0</v>
      </c>
      <c r="BH463" s="3439">
        <f t="shared" si="255"/>
        <v>0</v>
      </c>
      <c r="BI463" s="3439">
        <f t="shared" si="256"/>
        <v>0</v>
      </c>
      <c r="BJ463" s="3439">
        <f t="shared" si="257"/>
        <v>0</v>
      </c>
      <c r="BK463" s="3439">
        <f t="shared" si="258"/>
        <v>0</v>
      </c>
      <c r="BL463" s="28">
        <f t="shared" si="259"/>
        <v>0</v>
      </c>
      <c r="BM463" s="28">
        <f t="shared" si="260"/>
        <v>0</v>
      </c>
      <c r="BN463" s="28">
        <f t="shared" si="261"/>
        <v>0</v>
      </c>
      <c r="BO463" s="28">
        <f t="shared" si="262"/>
        <v>0</v>
      </c>
      <c r="BP463" s="28">
        <f t="shared" si="263"/>
        <v>0</v>
      </c>
      <c r="BQ463" s="3439">
        <f t="shared" si="264"/>
        <v>0</v>
      </c>
      <c r="BR463" s="3439">
        <f t="shared" si="265"/>
        <v>0</v>
      </c>
      <c r="BS463" s="3439">
        <f t="shared" si="266"/>
        <v>0</v>
      </c>
      <c r="BT463" s="3451">
        <f t="shared" si="267"/>
        <v>0</v>
      </c>
    </row>
    <row r="464" spans="1:72">
      <c r="A464" s="9"/>
      <c r="B464" s="27"/>
      <c r="C464" s="27"/>
      <c r="D464" s="1678"/>
      <c r="E464" s="28">
        <f t="shared" si="239"/>
        <v>0</v>
      </c>
      <c r="F464" s="29"/>
      <c r="G464" s="30">
        <f t="shared" si="240"/>
        <v>0</v>
      </c>
      <c r="H464" s="31">
        <f t="shared" si="241"/>
        <v>0</v>
      </c>
      <c r="I464" s="32"/>
      <c r="J464" s="32"/>
      <c r="K464" s="32"/>
      <c r="L464" s="32"/>
      <c r="M464" s="32"/>
      <c r="N464" s="32"/>
      <c r="O464" s="32"/>
      <c r="P464" s="32"/>
      <c r="Q464" s="32"/>
      <c r="R464" s="32"/>
      <c r="S464" s="32"/>
      <c r="T464" s="32"/>
      <c r="U464" s="32"/>
      <c r="V464" s="32"/>
      <c r="W464" s="32"/>
      <c r="X464" s="32"/>
      <c r="Y464" s="32"/>
      <c r="Z464" s="32"/>
      <c r="AA464" s="32"/>
      <c r="AB464" s="32"/>
      <c r="AC464" s="28">
        <f t="shared" si="242"/>
        <v>0</v>
      </c>
      <c r="AD464" s="33"/>
      <c r="AE464" s="33"/>
      <c r="AF464" s="33"/>
      <c r="AG464" s="33"/>
      <c r="AH464" s="33"/>
      <c r="AI464" s="33"/>
      <c r="AJ464" s="33"/>
      <c r="AK464" s="33"/>
      <c r="AL464" s="33"/>
      <c r="AM464" s="33"/>
      <c r="AN464" s="33"/>
      <c r="AO464" s="33"/>
      <c r="AP464" s="33"/>
      <c r="AQ464" s="33"/>
      <c r="AR464" s="33"/>
      <c r="AS464" s="33"/>
      <c r="AT464" s="34"/>
      <c r="AU464" s="1679"/>
      <c r="AV464" s="2256">
        <f t="shared" si="243"/>
        <v>0</v>
      </c>
      <c r="AW464" s="2256">
        <f t="shared" si="244"/>
        <v>0</v>
      </c>
      <c r="AX464" s="2256">
        <f t="shared" si="245"/>
        <v>0</v>
      </c>
      <c r="AY464" s="2781">
        <f t="shared" si="246"/>
        <v>0</v>
      </c>
      <c r="AZ464" s="28">
        <f t="shared" si="247"/>
        <v>0</v>
      </c>
      <c r="BA464" s="28">
        <f t="shared" si="248"/>
        <v>0</v>
      </c>
      <c r="BB464" s="28">
        <f t="shared" si="249"/>
        <v>0</v>
      </c>
      <c r="BC464" s="28">
        <f t="shared" si="250"/>
        <v>0</v>
      </c>
      <c r="BD464" s="3439">
        <f t="shared" si="251"/>
        <v>0</v>
      </c>
      <c r="BE464" s="3439">
        <f t="shared" si="252"/>
        <v>0</v>
      </c>
      <c r="BF464" s="3439">
        <f t="shared" si="253"/>
        <v>0</v>
      </c>
      <c r="BG464" s="3439">
        <f t="shared" si="254"/>
        <v>0</v>
      </c>
      <c r="BH464" s="3439">
        <f t="shared" si="255"/>
        <v>0</v>
      </c>
      <c r="BI464" s="3439">
        <f t="shared" si="256"/>
        <v>0</v>
      </c>
      <c r="BJ464" s="3439">
        <f t="shared" si="257"/>
        <v>0</v>
      </c>
      <c r="BK464" s="3439">
        <f t="shared" si="258"/>
        <v>0</v>
      </c>
      <c r="BL464" s="28">
        <f t="shared" si="259"/>
        <v>0</v>
      </c>
      <c r="BM464" s="28">
        <f t="shared" si="260"/>
        <v>0</v>
      </c>
      <c r="BN464" s="28">
        <f t="shared" si="261"/>
        <v>0</v>
      </c>
      <c r="BO464" s="28">
        <f t="shared" si="262"/>
        <v>0</v>
      </c>
      <c r="BP464" s="28">
        <f t="shared" si="263"/>
        <v>0</v>
      </c>
      <c r="BQ464" s="3439">
        <f t="shared" si="264"/>
        <v>0</v>
      </c>
      <c r="BR464" s="3439">
        <f t="shared" si="265"/>
        <v>0</v>
      </c>
      <c r="BS464" s="3439">
        <f t="shared" si="266"/>
        <v>0</v>
      </c>
      <c r="BT464" s="3451">
        <f t="shared" si="267"/>
        <v>0</v>
      </c>
    </row>
    <row r="465" spans="1:72">
      <c r="A465" s="9"/>
      <c r="B465" s="27"/>
      <c r="C465" s="27"/>
      <c r="D465" s="1678"/>
      <c r="E465" s="28">
        <f t="shared" si="239"/>
        <v>0</v>
      </c>
      <c r="F465" s="29"/>
      <c r="G465" s="30">
        <f t="shared" si="240"/>
        <v>0</v>
      </c>
      <c r="H465" s="31">
        <f t="shared" si="241"/>
        <v>0</v>
      </c>
      <c r="I465" s="32"/>
      <c r="J465" s="32"/>
      <c r="K465" s="32"/>
      <c r="L465" s="32"/>
      <c r="M465" s="32"/>
      <c r="N465" s="32"/>
      <c r="O465" s="32"/>
      <c r="P465" s="32"/>
      <c r="Q465" s="32"/>
      <c r="R465" s="32"/>
      <c r="S465" s="32"/>
      <c r="T465" s="32"/>
      <c r="U465" s="32"/>
      <c r="V465" s="32"/>
      <c r="W465" s="32"/>
      <c r="X465" s="32"/>
      <c r="Y465" s="32"/>
      <c r="Z465" s="32"/>
      <c r="AA465" s="32"/>
      <c r="AB465" s="32"/>
      <c r="AC465" s="28">
        <f t="shared" si="242"/>
        <v>0</v>
      </c>
      <c r="AD465" s="33"/>
      <c r="AE465" s="33"/>
      <c r="AF465" s="33"/>
      <c r="AG465" s="33"/>
      <c r="AH465" s="33"/>
      <c r="AI465" s="33"/>
      <c r="AJ465" s="33"/>
      <c r="AK465" s="33"/>
      <c r="AL465" s="33"/>
      <c r="AM465" s="33"/>
      <c r="AN465" s="33"/>
      <c r="AO465" s="33"/>
      <c r="AP465" s="33"/>
      <c r="AQ465" s="33"/>
      <c r="AR465" s="33"/>
      <c r="AS465" s="33"/>
      <c r="AT465" s="34"/>
      <c r="AU465" s="1679"/>
      <c r="AV465" s="2256">
        <f t="shared" si="243"/>
        <v>0</v>
      </c>
      <c r="AW465" s="2256">
        <f t="shared" si="244"/>
        <v>0</v>
      </c>
      <c r="AX465" s="2256">
        <f t="shared" si="245"/>
        <v>0</v>
      </c>
      <c r="AY465" s="2781">
        <f t="shared" si="246"/>
        <v>0</v>
      </c>
      <c r="AZ465" s="28">
        <f t="shared" si="247"/>
        <v>0</v>
      </c>
      <c r="BA465" s="28">
        <f t="shared" si="248"/>
        <v>0</v>
      </c>
      <c r="BB465" s="28">
        <f t="shared" si="249"/>
        <v>0</v>
      </c>
      <c r="BC465" s="28">
        <f t="shared" si="250"/>
        <v>0</v>
      </c>
      <c r="BD465" s="3439">
        <f t="shared" si="251"/>
        <v>0</v>
      </c>
      <c r="BE465" s="3439">
        <f t="shared" si="252"/>
        <v>0</v>
      </c>
      <c r="BF465" s="3439">
        <f t="shared" si="253"/>
        <v>0</v>
      </c>
      <c r="BG465" s="3439">
        <f t="shared" si="254"/>
        <v>0</v>
      </c>
      <c r="BH465" s="3439">
        <f t="shared" si="255"/>
        <v>0</v>
      </c>
      <c r="BI465" s="3439">
        <f t="shared" si="256"/>
        <v>0</v>
      </c>
      <c r="BJ465" s="3439">
        <f t="shared" si="257"/>
        <v>0</v>
      </c>
      <c r="BK465" s="3439">
        <f t="shared" si="258"/>
        <v>0</v>
      </c>
      <c r="BL465" s="28">
        <f t="shared" si="259"/>
        <v>0</v>
      </c>
      <c r="BM465" s="28">
        <f t="shared" si="260"/>
        <v>0</v>
      </c>
      <c r="BN465" s="28">
        <f t="shared" si="261"/>
        <v>0</v>
      </c>
      <c r="BO465" s="28">
        <f t="shared" si="262"/>
        <v>0</v>
      </c>
      <c r="BP465" s="28">
        <f t="shared" si="263"/>
        <v>0</v>
      </c>
      <c r="BQ465" s="3439">
        <f t="shared" si="264"/>
        <v>0</v>
      </c>
      <c r="BR465" s="3439">
        <f t="shared" si="265"/>
        <v>0</v>
      </c>
      <c r="BS465" s="3439">
        <f t="shared" si="266"/>
        <v>0</v>
      </c>
      <c r="BT465" s="3451">
        <f t="shared" si="267"/>
        <v>0</v>
      </c>
    </row>
    <row r="466" spans="1:72">
      <c r="A466" s="9"/>
      <c r="B466" s="27"/>
      <c r="C466" s="27"/>
      <c r="D466" s="1678"/>
      <c r="E466" s="28">
        <f t="shared" si="239"/>
        <v>0</v>
      </c>
      <c r="F466" s="29"/>
      <c r="G466" s="30">
        <f t="shared" si="240"/>
        <v>0</v>
      </c>
      <c r="H466" s="31">
        <f t="shared" si="241"/>
        <v>0</v>
      </c>
      <c r="I466" s="32"/>
      <c r="J466" s="32"/>
      <c r="K466" s="32"/>
      <c r="L466" s="32"/>
      <c r="M466" s="32"/>
      <c r="N466" s="32"/>
      <c r="O466" s="32"/>
      <c r="P466" s="32"/>
      <c r="Q466" s="32"/>
      <c r="R466" s="32"/>
      <c r="S466" s="32"/>
      <c r="T466" s="32"/>
      <c r="U466" s="32"/>
      <c r="V466" s="32"/>
      <c r="W466" s="32"/>
      <c r="X466" s="32"/>
      <c r="Y466" s="32"/>
      <c r="Z466" s="32"/>
      <c r="AA466" s="32"/>
      <c r="AB466" s="32"/>
      <c r="AC466" s="28">
        <f t="shared" si="242"/>
        <v>0</v>
      </c>
      <c r="AD466" s="33"/>
      <c r="AE466" s="33"/>
      <c r="AF466" s="33"/>
      <c r="AG466" s="33"/>
      <c r="AH466" s="33"/>
      <c r="AI466" s="33"/>
      <c r="AJ466" s="33"/>
      <c r="AK466" s="33"/>
      <c r="AL466" s="33"/>
      <c r="AM466" s="33"/>
      <c r="AN466" s="33"/>
      <c r="AO466" s="33"/>
      <c r="AP466" s="33"/>
      <c r="AQ466" s="33"/>
      <c r="AR466" s="33"/>
      <c r="AS466" s="33"/>
      <c r="AT466" s="34"/>
      <c r="AU466" s="1679"/>
      <c r="AV466" s="2256">
        <f t="shared" si="243"/>
        <v>0</v>
      </c>
      <c r="AW466" s="2256">
        <f t="shared" si="244"/>
        <v>0</v>
      </c>
      <c r="AX466" s="2256">
        <f t="shared" si="245"/>
        <v>0</v>
      </c>
      <c r="AY466" s="2781">
        <f t="shared" si="246"/>
        <v>0</v>
      </c>
      <c r="AZ466" s="28">
        <f t="shared" si="247"/>
        <v>0</v>
      </c>
      <c r="BA466" s="28">
        <f t="shared" si="248"/>
        <v>0</v>
      </c>
      <c r="BB466" s="28">
        <f t="shared" si="249"/>
        <v>0</v>
      </c>
      <c r="BC466" s="28">
        <f t="shared" si="250"/>
        <v>0</v>
      </c>
      <c r="BD466" s="3439">
        <f t="shared" si="251"/>
        <v>0</v>
      </c>
      <c r="BE466" s="3439">
        <f t="shared" si="252"/>
        <v>0</v>
      </c>
      <c r="BF466" s="3439">
        <f t="shared" si="253"/>
        <v>0</v>
      </c>
      <c r="BG466" s="3439">
        <f t="shared" si="254"/>
        <v>0</v>
      </c>
      <c r="BH466" s="3439">
        <f t="shared" si="255"/>
        <v>0</v>
      </c>
      <c r="BI466" s="3439">
        <f t="shared" si="256"/>
        <v>0</v>
      </c>
      <c r="BJ466" s="3439">
        <f t="shared" si="257"/>
        <v>0</v>
      </c>
      <c r="BK466" s="3439">
        <f t="shared" si="258"/>
        <v>0</v>
      </c>
      <c r="BL466" s="28">
        <f t="shared" si="259"/>
        <v>0</v>
      </c>
      <c r="BM466" s="28">
        <f t="shared" si="260"/>
        <v>0</v>
      </c>
      <c r="BN466" s="28">
        <f t="shared" si="261"/>
        <v>0</v>
      </c>
      <c r="BO466" s="28">
        <f t="shared" si="262"/>
        <v>0</v>
      </c>
      <c r="BP466" s="28">
        <f t="shared" si="263"/>
        <v>0</v>
      </c>
      <c r="BQ466" s="3439">
        <f t="shared" si="264"/>
        <v>0</v>
      </c>
      <c r="BR466" s="3439">
        <f t="shared" si="265"/>
        <v>0</v>
      </c>
      <c r="BS466" s="3439">
        <f t="shared" si="266"/>
        <v>0</v>
      </c>
      <c r="BT466" s="3451">
        <f t="shared" si="267"/>
        <v>0</v>
      </c>
    </row>
    <row r="467" spans="1:72">
      <c r="A467" s="9"/>
      <c r="B467" s="27"/>
      <c r="C467" s="27"/>
      <c r="D467" s="1678"/>
      <c r="E467" s="28">
        <f t="shared" si="239"/>
        <v>0</v>
      </c>
      <c r="F467" s="29"/>
      <c r="G467" s="30">
        <f t="shared" si="240"/>
        <v>0</v>
      </c>
      <c r="H467" s="31">
        <f t="shared" si="241"/>
        <v>0</v>
      </c>
      <c r="I467" s="32"/>
      <c r="J467" s="32"/>
      <c r="K467" s="32"/>
      <c r="L467" s="32"/>
      <c r="M467" s="32"/>
      <c r="N467" s="32"/>
      <c r="O467" s="32"/>
      <c r="P467" s="32"/>
      <c r="Q467" s="32"/>
      <c r="R467" s="32"/>
      <c r="S467" s="32"/>
      <c r="T467" s="32"/>
      <c r="U467" s="32"/>
      <c r="V467" s="32"/>
      <c r="W467" s="32"/>
      <c r="X467" s="32"/>
      <c r="Y467" s="32"/>
      <c r="Z467" s="32"/>
      <c r="AA467" s="32"/>
      <c r="AB467" s="32"/>
      <c r="AC467" s="28">
        <f t="shared" si="242"/>
        <v>0</v>
      </c>
      <c r="AD467" s="33"/>
      <c r="AE467" s="33"/>
      <c r="AF467" s="33"/>
      <c r="AG467" s="33"/>
      <c r="AH467" s="33"/>
      <c r="AI467" s="33"/>
      <c r="AJ467" s="33"/>
      <c r="AK467" s="33"/>
      <c r="AL467" s="33"/>
      <c r="AM467" s="33"/>
      <c r="AN467" s="33"/>
      <c r="AO467" s="33"/>
      <c r="AP467" s="33"/>
      <c r="AQ467" s="33"/>
      <c r="AR467" s="33"/>
      <c r="AS467" s="33"/>
      <c r="AT467" s="34"/>
      <c r="AU467" s="1679"/>
      <c r="AV467" s="2256">
        <f t="shared" si="243"/>
        <v>0</v>
      </c>
      <c r="AW467" s="2256">
        <f t="shared" si="244"/>
        <v>0</v>
      </c>
      <c r="AX467" s="2256">
        <f t="shared" si="245"/>
        <v>0</v>
      </c>
      <c r="AY467" s="2781">
        <f t="shared" si="246"/>
        <v>0</v>
      </c>
      <c r="AZ467" s="28">
        <f t="shared" si="247"/>
        <v>0</v>
      </c>
      <c r="BA467" s="28">
        <f t="shared" si="248"/>
        <v>0</v>
      </c>
      <c r="BB467" s="28">
        <f t="shared" si="249"/>
        <v>0</v>
      </c>
      <c r="BC467" s="28">
        <f t="shared" si="250"/>
        <v>0</v>
      </c>
      <c r="BD467" s="3439">
        <f t="shared" si="251"/>
        <v>0</v>
      </c>
      <c r="BE467" s="3439">
        <f t="shared" si="252"/>
        <v>0</v>
      </c>
      <c r="BF467" s="3439">
        <f t="shared" si="253"/>
        <v>0</v>
      </c>
      <c r="BG467" s="3439">
        <f t="shared" si="254"/>
        <v>0</v>
      </c>
      <c r="BH467" s="3439">
        <f t="shared" si="255"/>
        <v>0</v>
      </c>
      <c r="BI467" s="3439">
        <f t="shared" si="256"/>
        <v>0</v>
      </c>
      <c r="BJ467" s="3439">
        <f t="shared" si="257"/>
        <v>0</v>
      </c>
      <c r="BK467" s="3439">
        <f t="shared" si="258"/>
        <v>0</v>
      </c>
      <c r="BL467" s="28">
        <f t="shared" si="259"/>
        <v>0</v>
      </c>
      <c r="BM467" s="28">
        <f t="shared" si="260"/>
        <v>0</v>
      </c>
      <c r="BN467" s="28">
        <f t="shared" si="261"/>
        <v>0</v>
      </c>
      <c r="BO467" s="28">
        <f t="shared" si="262"/>
        <v>0</v>
      </c>
      <c r="BP467" s="28">
        <f t="shared" si="263"/>
        <v>0</v>
      </c>
      <c r="BQ467" s="3439">
        <f t="shared" si="264"/>
        <v>0</v>
      </c>
      <c r="BR467" s="3439">
        <f t="shared" si="265"/>
        <v>0</v>
      </c>
      <c r="BS467" s="3439">
        <f t="shared" si="266"/>
        <v>0</v>
      </c>
      <c r="BT467" s="3451">
        <f t="shared" si="267"/>
        <v>0</v>
      </c>
    </row>
    <row r="468" spans="1:72">
      <c r="A468" s="9"/>
      <c r="B468" s="27"/>
      <c r="C468" s="27"/>
      <c r="D468" s="1678"/>
      <c r="E468" s="28">
        <f t="shared" si="239"/>
        <v>0</v>
      </c>
      <c r="F468" s="29"/>
      <c r="G468" s="30">
        <f t="shared" si="240"/>
        <v>0</v>
      </c>
      <c r="H468" s="31">
        <f t="shared" si="241"/>
        <v>0</v>
      </c>
      <c r="I468" s="32"/>
      <c r="J468" s="32"/>
      <c r="K468" s="32"/>
      <c r="L468" s="32"/>
      <c r="M468" s="32"/>
      <c r="N468" s="32"/>
      <c r="O468" s="32"/>
      <c r="P468" s="32"/>
      <c r="Q468" s="32"/>
      <c r="R468" s="32"/>
      <c r="S468" s="32"/>
      <c r="T468" s="32"/>
      <c r="U468" s="32"/>
      <c r="V468" s="32"/>
      <c r="W468" s="32"/>
      <c r="X468" s="32"/>
      <c r="Y468" s="32"/>
      <c r="Z468" s="32"/>
      <c r="AA468" s="32"/>
      <c r="AB468" s="32"/>
      <c r="AC468" s="28">
        <f t="shared" si="242"/>
        <v>0</v>
      </c>
      <c r="AD468" s="33"/>
      <c r="AE468" s="33"/>
      <c r="AF468" s="33"/>
      <c r="AG468" s="33"/>
      <c r="AH468" s="33"/>
      <c r="AI468" s="33"/>
      <c r="AJ468" s="33"/>
      <c r="AK468" s="33"/>
      <c r="AL468" s="33"/>
      <c r="AM468" s="33"/>
      <c r="AN468" s="33"/>
      <c r="AO468" s="33"/>
      <c r="AP468" s="33"/>
      <c r="AQ468" s="33"/>
      <c r="AR468" s="33"/>
      <c r="AS468" s="33"/>
      <c r="AT468" s="34"/>
      <c r="AU468" s="1679"/>
      <c r="AV468" s="2256">
        <f t="shared" si="243"/>
        <v>0</v>
      </c>
      <c r="AW468" s="2256">
        <f t="shared" si="244"/>
        <v>0</v>
      </c>
      <c r="AX468" s="2256">
        <f t="shared" si="245"/>
        <v>0</v>
      </c>
      <c r="AY468" s="2781">
        <f t="shared" si="246"/>
        <v>0</v>
      </c>
      <c r="AZ468" s="28">
        <f t="shared" si="247"/>
        <v>0</v>
      </c>
      <c r="BA468" s="28">
        <f t="shared" si="248"/>
        <v>0</v>
      </c>
      <c r="BB468" s="28">
        <f t="shared" si="249"/>
        <v>0</v>
      </c>
      <c r="BC468" s="28">
        <f t="shared" si="250"/>
        <v>0</v>
      </c>
      <c r="BD468" s="3439">
        <f t="shared" si="251"/>
        <v>0</v>
      </c>
      <c r="BE468" s="3439">
        <f t="shared" si="252"/>
        <v>0</v>
      </c>
      <c r="BF468" s="3439">
        <f t="shared" si="253"/>
        <v>0</v>
      </c>
      <c r="BG468" s="3439">
        <f t="shared" si="254"/>
        <v>0</v>
      </c>
      <c r="BH468" s="3439">
        <f t="shared" si="255"/>
        <v>0</v>
      </c>
      <c r="BI468" s="3439">
        <f t="shared" si="256"/>
        <v>0</v>
      </c>
      <c r="BJ468" s="3439">
        <f t="shared" si="257"/>
        <v>0</v>
      </c>
      <c r="BK468" s="3439">
        <f t="shared" si="258"/>
        <v>0</v>
      </c>
      <c r="BL468" s="28">
        <f t="shared" si="259"/>
        <v>0</v>
      </c>
      <c r="BM468" s="28">
        <f t="shared" si="260"/>
        <v>0</v>
      </c>
      <c r="BN468" s="28">
        <f t="shared" si="261"/>
        <v>0</v>
      </c>
      <c r="BO468" s="28">
        <f t="shared" si="262"/>
        <v>0</v>
      </c>
      <c r="BP468" s="28">
        <f t="shared" si="263"/>
        <v>0</v>
      </c>
      <c r="BQ468" s="3439">
        <f t="shared" si="264"/>
        <v>0</v>
      </c>
      <c r="BR468" s="3439">
        <f t="shared" si="265"/>
        <v>0</v>
      </c>
      <c r="BS468" s="3439">
        <f t="shared" si="266"/>
        <v>0</v>
      </c>
      <c r="BT468" s="3451">
        <f t="shared" si="267"/>
        <v>0</v>
      </c>
    </row>
    <row r="469" spans="1:72">
      <c r="A469" s="9"/>
      <c r="B469" s="27"/>
      <c r="C469" s="27"/>
      <c r="D469" s="1678"/>
      <c r="E469" s="28">
        <f t="shared" si="239"/>
        <v>0</v>
      </c>
      <c r="F469" s="29"/>
      <c r="G469" s="30">
        <f t="shared" si="240"/>
        <v>0</v>
      </c>
      <c r="H469" s="31">
        <f t="shared" si="241"/>
        <v>0</v>
      </c>
      <c r="I469" s="32"/>
      <c r="J469" s="32"/>
      <c r="K469" s="32"/>
      <c r="L469" s="32"/>
      <c r="M469" s="32"/>
      <c r="N469" s="32"/>
      <c r="O469" s="32"/>
      <c r="P469" s="32"/>
      <c r="Q469" s="32"/>
      <c r="R469" s="32"/>
      <c r="S469" s="32"/>
      <c r="T469" s="32"/>
      <c r="U469" s="32"/>
      <c r="V469" s="32"/>
      <c r="W469" s="32"/>
      <c r="X469" s="32"/>
      <c r="Y469" s="32"/>
      <c r="Z469" s="32"/>
      <c r="AA469" s="32"/>
      <c r="AB469" s="32"/>
      <c r="AC469" s="28">
        <f t="shared" si="242"/>
        <v>0</v>
      </c>
      <c r="AD469" s="33"/>
      <c r="AE469" s="33"/>
      <c r="AF469" s="33"/>
      <c r="AG469" s="33"/>
      <c r="AH469" s="33"/>
      <c r="AI469" s="33"/>
      <c r="AJ469" s="33"/>
      <c r="AK469" s="33"/>
      <c r="AL469" s="33"/>
      <c r="AM469" s="33"/>
      <c r="AN469" s="33"/>
      <c r="AO469" s="33"/>
      <c r="AP469" s="33"/>
      <c r="AQ469" s="33"/>
      <c r="AR469" s="33"/>
      <c r="AS469" s="33"/>
      <c r="AT469" s="34"/>
      <c r="AU469" s="1679"/>
      <c r="AV469" s="2256">
        <f t="shared" si="243"/>
        <v>0</v>
      </c>
      <c r="AW469" s="2256">
        <f t="shared" si="244"/>
        <v>0</v>
      </c>
      <c r="AX469" s="2256">
        <f t="shared" si="245"/>
        <v>0</v>
      </c>
      <c r="AY469" s="2781">
        <f t="shared" si="246"/>
        <v>0</v>
      </c>
      <c r="AZ469" s="28">
        <f t="shared" si="247"/>
        <v>0</v>
      </c>
      <c r="BA469" s="28">
        <f t="shared" si="248"/>
        <v>0</v>
      </c>
      <c r="BB469" s="28">
        <f t="shared" si="249"/>
        <v>0</v>
      </c>
      <c r="BC469" s="28">
        <f t="shared" si="250"/>
        <v>0</v>
      </c>
      <c r="BD469" s="3439">
        <f t="shared" si="251"/>
        <v>0</v>
      </c>
      <c r="BE469" s="3439">
        <f t="shared" si="252"/>
        <v>0</v>
      </c>
      <c r="BF469" s="3439">
        <f t="shared" si="253"/>
        <v>0</v>
      </c>
      <c r="BG469" s="3439">
        <f t="shared" si="254"/>
        <v>0</v>
      </c>
      <c r="BH469" s="3439">
        <f t="shared" si="255"/>
        <v>0</v>
      </c>
      <c r="BI469" s="3439">
        <f t="shared" si="256"/>
        <v>0</v>
      </c>
      <c r="BJ469" s="3439">
        <f t="shared" si="257"/>
        <v>0</v>
      </c>
      <c r="BK469" s="3439">
        <f t="shared" si="258"/>
        <v>0</v>
      </c>
      <c r="BL469" s="28">
        <f t="shared" si="259"/>
        <v>0</v>
      </c>
      <c r="BM469" s="28">
        <f t="shared" si="260"/>
        <v>0</v>
      </c>
      <c r="BN469" s="28">
        <f t="shared" si="261"/>
        <v>0</v>
      </c>
      <c r="BO469" s="28">
        <f t="shared" si="262"/>
        <v>0</v>
      </c>
      <c r="BP469" s="28">
        <f t="shared" si="263"/>
        <v>0</v>
      </c>
      <c r="BQ469" s="3439">
        <f t="shared" si="264"/>
        <v>0</v>
      </c>
      <c r="BR469" s="3439">
        <f t="shared" si="265"/>
        <v>0</v>
      </c>
      <c r="BS469" s="3439">
        <f t="shared" si="266"/>
        <v>0</v>
      </c>
      <c r="BT469" s="3451">
        <f t="shared" si="267"/>
        <v>0</v>
      </c>
    </row>
    <row r="470" spans="1:72">
      <c r="A470" s="9"/>
      <c r="B470" s="27"/>
      <c r="C470" s="27"/>
      <c r="D470" s="1678"/>
      <c r="E470" s="28">
        <f t="shared" si="239"/>
        <v>0</v>
      </c>
      <c r="F470" s="29"/>
      <c r="G470" s="30">
        <f t="shared" si="240"/>
        <v>0</v>
      </c>
      <c r="H470" s="31">
        <f t="shared" si="241"/>
        <v>0</v>
      </c>
      <c r="I470" s="32"/>
      <c r="J470" s="32"/>
      <c r="K470" s="32"/>
      <c r="L470" s="32"/>
      <c r="M470" s="32"/>
      <c r="N470" s="32"/>
      <c r="O470" s="32"/>
      <c r="P470" s="32"/>
      <c r="Q470" s="32"/>
      <c r="R470" s="32"/>
      <c r="S470" s="32"/>
      <c r="T470" s="32"/>
      <c r="U470" s="32"/>
      <c r="V470" s="32"/>
      <c r="W470" s="32"/>
      <c r="X470" s="32"/>
      <c r="Y470" s="32"/>
      <c r="Z470" s="32"/>
      <c r="AA470" s="32"/>
      <c r="AB470" s="32"/>
      <c r="AC470" s="28">
        <f t="shared" si="242"/>
        <v>0</v>
      </c>
      <c r="AD470" s="33"/>
      <c r="AE470" s="33"/>
      <c r="AF470" s="33"/>
      <c r="AG470" s="33"/>
      <c r="AH470" s="33"/>
      <c r="AI470" s="33"/>
      <c r="AJ470" s="33"/>
      <c r="AK470" s="33"/>
      <c r="AL470" s="33"/>
      <c r="AM470" s="33"/>
      <c r="AN470" s="33"/>
      <c r="AO470" s="33"/>
      <c r="AP470" s="33"/>
      <c r="AQ470" s="33"/>
      <c r="AR470" s="33"/>
      <c r="AS470" s="33"/>
      <c r="AT470" s="34"/>
      <c r="AU470" s="1679"/>
      <c r="AV470" s="2256">
        <f t="shared" si="243"/>
        <v>0</v>
      </c>
      <c r="AW470" s="2256">
        <f t="shared" si="244"/>
        <v>0</v>
      </c>
      <c r="AX470" s="2256">
        <f t="shared" si="245"/>
        <v>0</v>
      </c>
      <c r="AY470" s="2781">
        <f t="shared" si="246"/>
        <v>0</v>
      </c>
      <c r="AZ470" s="28">
        <f t="shared" si="247"/>
        <v>0</v>
      </c>
      <c r="BA470" s="28">
        <f t="shared" si="248"/>
        <v>0</v>
      </c>
      <c r="BB470" s="28">
        <f t="shared" si="249"/>
        <v>0</v>
      </c>
      <c r="BC470" s="28">
        <f t="shared" si="250"/>
        <v>0</v>
      </c>
      <c r="BD470" s="3439">
        <f t="shared" si="251"/>
        <v>0</v>
      </c>
      <c r="BE470" s="3439">
        <f t="shared" si="252"/>
        <v>0</v>
      </c>
      <c r="BF470" s="3439">
        <f t="shared" si="253"/>
        <v>0</v>
      </c>
      <c r="BG470" s="3439">
        <f t="shared" si="254"/>
        <v>0</v>
      </c>
      <c r="BH470" s="3439">
        <f t="shared" si="255"/>
        <v>0</v>
      </c>
      <c r="BI470" s="3439">
        <f t="shared" si="256"/>
        <v>0</v>
      </c>
      <c r="BJ470" s="3439">
        <f t="shared" si="257"/>
        <v>0</v>
      </c>
      <c r="BK470" s="3439">
        <f t="shared" si="258"/>
        <v>0</v>
      </c>
      <c r="BL470" s="28">
        <f t="shared" si="259"/>
        <v>0</v>
      </c>
      <c r="BM470" s="28">
        <f t="shared" si="260"/>
        <v>0</v>
      </c>
      <c r="BN470" s="28">
        <f t="shared" si="261"/>
        <v>0</v>
      </c>
      <c r="BO470" s="28">
        <f t="shared" si="262"/>
        <v>0</v>
      </c>
      <c r="BP470" s="28">
        <f t="shared" si="263"/>
        <v>0</v>
      </c>
      <c r="BQ470" s="3439">
        <f t="shared" si="264"/>
        <v>0</v>
      </c>
      <c r="BR470" s="3439">
        <f t="shared" si="265"/>
        <v>0</v>
      </c>
      <c r="BS470" s="3439">
        <f t="shared" si="266"/>
        <v>0</v>
      </c>
      <c r="BT470" s="3451">
        <f t="shared" si="267"/>
        <v>0</v>
      </c>
    </row>
    <row r="471" spans="1:72">
      <c r="A471" s="9"/>
      <c r="B471" s="27"/>
      <c r="C471" s="27"/>
      <c r="D471" s="1678"/>
      <c r="E471" s="28">
        <f t="shared" si="239"/>
        <v>0</v>
      </c>
      <c r="F471" s="29"/>
      <c r="G471" s="30">
        <f t="shared" si="240"/>
        <v>0</v>
      </c>
      <c r="H471" s="31">
        <f t="shared" si="241"/>
        <v>0</v>
      </c>
      <c r="I471" s="32"/>
      <c r="J471" s="32"/>
      <c r="K471" s="32"/>
      <c r="L471" s="32"/>
      <c r="M471" s="32"/>
      <c r="N471" s="32"/>
      <c r="O471" s="32"/>
      <c r="P471" s="32"/>
      <c r="Q471" s="32"/>
      <c r="R471" s="32"/>
      <c r="S471" s="32"/>
      <c r="T471" s="32"/>
      <c r="U471" s="32"/>
      <c r="V471" s="32"/>
      <c r="W471" s="32"/>
      <c r="X471" s="32"/>
      <c r="Y471" s="32"/>
      <c r="Z471" s="32"/>
      <c r="AA471" s="32"/>
      <c r="AB471" s="32"/>
      <c r="AC471" s="28">
        <f t="shared" si="242"/>
        <v>0</v>
      </c>
      <c r="AD471" s="33"/>
      <c r="AE471" s="33"/>
      <c r="AF471" s="33"/>
      <c r="AG471" s="33"/>
      <c r="AH471" s="33"/>
      <c r="AI471" s="33"/>
      <c r="AJ471" s="33"/>
      <c r="AK471" s="33"/>
      <c r="AL471" s="33"/>
      <c r="AM471" s="33"/>
      <c r="AN471" s="33"/>
      <c r="AO471" s="33"/>
      <c r="AP471" s="33"/>
      <c r="AQ471" s="33"/>
      <c r="AR471" s="33"/>
      <c r="AS471" s="33"/>
      <c r="AT471" s="34"/>
      <c r="AU471" s="1679"/>
      <c r="AV471" s="2256">
        <f t="shared" si="243"/>
        <v>0</v>
      </c>
      <c r="AW471" s="2256">
        <f t="shared" si="244"/>
        <v>0</v>
      </c>
      <c r="AX471" s="2256">
        <f t="shared" si="245"/>
        <v>0</v>
      </c>
      <c r="AY471" s="2781">
        <f t="shared" si="246"/>
        <v>0</v>
      </c>
      <c r="AZ471" s="28">
        <f t="shared" si="247"/>
        <v>0</v>
      </c>
      <c r="BA471" s="28">
        <f t="shared" si="248"/>
        <v>0</v>
      </c>
      <c r="BB471" s="28">
        <f t="shared" si="249"/>
        <v>0</v>
      </c>
      <c r="BC471" s="28">
        <f t="shared" si="250"/>
        <v>0</v>
      </c>
      <c r="BD471" s="3439">
        <f t="shared" si="251"/>
        <v>0</v>
      </c>
      <c r="BE471" s="3439">
        <f t="shared" si="252"/>
        <v>0</v>
      </c>
      <c r="BF471" s="3439">
        <f t="shared" si="253"/>
        <v>0</v>
      </c>
      <c r="BG471" s="3439">
        <f t="shared" si="254"/>
        <v>0</v>
      </c>
      <c r="BH471" s="3439">
        <f t="shared" si="255"/>
        <v>0</v>
      </c>
      <c r="BI471" s="3439">
        <f t="shared" si="256"/>
        <v>0</v>
      </c>
      <c r="BJ471" s="3439">
        <f t="shared" si="257"/>
        <v>0</v>
      </c>
      <c r="BK471" s="3439">
        <f t="shared" si="258"/>
        <v>0</v>
      </c>
      <c r="BL471" s="28">
        <f t="shared" si="259"/>
        <v>0</v>
      </c>
      <c r="BM471" s="28">
        <f t="shared" si="260"/>
        <v>0</v>
      </c>
      <c r="BN471" s="28">
        <f t="shared" si="261"/>
        <v>0</v>
      </c>
      <c r="BO471" s="28">
        <f t="shared" si="262"/>
        <v>0</v>
      </c>
      <c r="BP471" s="28">
        <f t="shared" si="263"/>
        <v>0</v>
      </c>
      <c r="BQ471" s="3439">
        <f t="shared" si="264"/>
        <v>0</v>
      </c>
      <c r="BR471" s="3439">
        <f t="shared" si="265"/>
        <v>0</v>
      </c>
      <c r="BS471" s="3439">
        <f t="shared" si="266"/>
        <v>0</v>
      </c>
      <c r="BT471" s="3451">
        <f t="shared" si="267"/>
        <v>0</v>
      </c>
    </row>
    <row r="472" spans="1:72">
      <c r="A472" s="9"/>
      <c r="B472" s="27"/>
      <c r="C472" s="27"/>
      <c r="D472" s="1678"/>
      <c r="E472" s="28">
        <f t="shared" si="239"/>
        <v>0</v>
      </c>
      <c r="F472" s="29"/>
      <c r="G472" s="30">
        <f t="shared" si="240"/>
        <v>0</v>
      </c>
      <c r="H472" s="31">
        <f t="shared" si="241"/>
        <v>0</v>
      </c>
      <c r="I472" s="32"/>
      <c r="J472" s="32"/>
      <c r="K472" s="32"/>
      <c r="L472" s="32"/>
      <c r="M472" s="32"/>
      <c r="N472" s="32"/>
      <c r="O472" s="32"/>
      <c r="P472" s="32"/>
      <c r="Q472" s="32"/>
      <c r="R472" s="32"/>
      <c r="S472" s="32"/>
      <c r="T472" s="32"/>
      <c r="U472" s="32"/>
      <c r="V472" s="32"/>
      <c r="W472" s="32"/>
      <c r="X472" s="32"/>
      <c r="Y472" s="32"/>
      <c r="Z472" s="32"/>
      <c r="AA472" s="32"/>
      <c r="AB472" s="32"/>
      <c r="AC472" s="28">
        <f t="shared" si="242"/>
        <v>0</v>
      </c>
      <c r="AD472" s="33"/>
      <c r="AE472" s="33"/>
      <c r="AF472" s="33"/>
      <c r="AG472" s="33"/>
      <c r="AH472" s="33"/>
      <c r="AI472" s="33"/>
      <c r="AJ472" s="33"/>
      <c r="AK472" s="33"/>
      <c r="AL472" s="33"/>
      <c r="AM472" s="33"/>
      <c r="AN472" s="33"/>
      <c r="AO472" s="33"/>
      <c r="AP472" s="33"/>
      <c r="AQ472" s="33"/>
      <c r="AR472" s="33"/>
      <c r="AS472" s="33"/>
      <c r="AT472" s="34"/>
      <c r="AU472" s="1679"/>
      <c r="AV472" s="2256">
        <f t="shared" si="243"/>
        <v>0</v>
      </c>
      <c r="AW472" s="2256">
        <f t="shared" si="244"/>
        <v>0</v>
      </c>
      <c r="AX472" s="2256">
        <f t="shared" si="245"/>
        <v>0</v>
      </c>
      <c r="AY472" s="2781">
        <f t="shared" si="246"/>
        <v>0</v>
      </c>
      <c r="AZ472" s="28">
        <f t="shared" si="247"/>
        <v>0</v>
      </c>
      <c r="BA472" s="28">
        <f t="shared" si="248"/>
        <v>0</v>
      </c>
      <c r="BB472" s="28">
        <f t="shared" si="249"/>
        <v>0</v>
      </c>
      <c r="BC472" s="28">
        <f t="shared" si="250"/>
        <v>0</v>
      </c>
      <c r="BD472" s="3439">
        <f t="shared" si="251"/>
        <v>0</v>
      </c>
      <c r="BE472" s="3439">
        <f t="shared" si="252"/>
        <v>0</v>
      </c>
      <c r="BF472" s="3439">
        <f t="shared" si="253"/>
        <v>0</v>
      </c>
      <c r="BG472" s="3439">
        <f t="shared" si="254"/>
        <v>0</v>
      </c>
      <c r="BH472" s="3439">
        <f t="shared" si="255"/>
        <v>0</v>
      </c>
      <c r="BI472" s="3439">
        <f t="shared" si="256"/>
        <v>0</v>
      </c>
      <c r="BJ472" s="3439">
        <f t="shared" si="257"/>
        <v>0</v>
      </c>
      <c r="BK472" s="3439">
        <f t="shared" si="258"/>
        <v>0</v>
      </c>
      <c r="BL472" s="28">
        <f t="shared" si="259"/>
        <v>0</v>
      </c>
      <c r="BM472" s="28">
        <f t="shared" si="260"/>
        <v>0</v>
      </c>
      <c r="BN472" s="28">
        <f t="shared" si="261"/>
        <v>0</v>
      </c>
      <c r="BO472" s="28">
        <f t="shared" si="262"/>
        <v>0</v>
      </c>
      <c r="BP472" s="28">
        <f t="shared" si="263"/>
        <v>0</v>
      </c>
      <c r="BQ472" s="3439">
        <f t="shared" si="264"/>
        <v>0</v>
      </c>
      <c r="BR472" s="3439">
        <f t="shared" si="265"/>
        <v>0</v>
      </c>
      <c r="BS472" s="3439">
        <f t="shared" si="266"/>
        <v>0</v>
      </c>
      <c r="BT472" s="3451">
        <f t="shared" si="267"/>
        <v>0</v>
      </c>
    </row>
    <row r="473" spans="1:72">
      <c r="A473" s="9"/>
      <c r="B473" s="27"/>
      <c r="C473" s="27"/>
      <c r="D473" s="1678"/>
      <c r="E473" s="28">
        <f t="shared" si="239"/>
        <v>0</v>
      </c>
      <c r="F473" s="29"/>
      <c r="G473" s="30">
        <f t="shared" si="240"/>
        <v>0</v>
      </c>
      <c r="H473" s="31">
        <f t="shared" si="241"/>
        <v>0</v>
      </c>
      <c r="I473" s="32"/>
      <c r="J473" s="32"/>
      <c r="K473" s="32"/>
      <c r="L473" s="32"/>
      <c r="M473" s="32"/>
      <c r="N473" s="32"/>
      <c r="O473" s="32"/>
      <c r="P473" s="32"/>
      <c r="Q473" s="32"/>
      <c r="R473" s="32"/>
      <c r="S473" s="32"/>
      <c r="T473" s="32"/>
      <c r="U473" s="32"/>
      <c r="V473" s="32"/>
      <c r="W473" s="32"/>
      <c r="X473" s="32"/>
      <c r="Y473" s="32"/>
      <c r="Z473" s="32"/>
      <c r="AA473" s="32"/>
      <c r="AB473" s="32"/>
      <c r="AC473" s="28">
        <f t="shared" si="242"/>
        <v>0</v>
      </c>
      <c r="AD473" s="33"/>
      <c r="AE473" s="33"/>
      <c r="AF473" s="33"/>
      <c r="AG473" s="33"/>
      <c r="AH473" s="33"/>
      <c r="AI473" s="33"/>
      <c r="AJ473" s="33"/>
      <c r="AK473" s="33"/>
      <c r="AL473" s="33"/>
      <c r="AM473" s="33"/>
      <c r="AN473" s="33"/>
      <c r="AO473" s="33"/>
      <c r="AP473" s="33"/>
      <c r="AQ473" s="33"/>
      <c r="AR473" s="33"/>
      <c r="AS473" s="33"/>
      <c r="AT473" s="34"/>
      <c r="AU473" s="1679"/>
      <c r="AV473" s="2256">
        <f t="shared" si="243"/>
        <v>0</v>
      </c>
      <c r="AW473" s="2256">
        <f t="shared" si="244"/>
        <v>0</v>
      </c>
      <c r="AX473" s="2256">
        <f t="shared" si="245"/>
        <v>0</v>
      </c>
      <c r="AY473" s="2781">
        <f t="shared" si="246"/>
        <v>0</v>
      </c>
      <c r="AZ473" s="28">
        <f t="shared" si="247"/>
        <v>0</v>
      </c>
      <c r="BA473" s="28">
        <f t="shared" si="248"/>
        <v>0</v>
      </c>
      <c r="BB473" s="28">
        <f t="shared" si="249"/>
        <v>0</v>
      </c>
      <c r="BC473" s="28">
        <f t="shared" si="250"/>
        <v>0</v>
      </c>
      <c r="BD473" s="3439">
        <f t="shared" si="251"/>
        <v>0</v>
      </c>
      <c r="BE473" s="3439">
        <f t="shared" si="252"/>
        <v>0</v>
      </c>
      <c r="BF473" s="3439">
        <f t="shared" si="253"/>
        <v>0</v>
      </c>
      <c r="BG473" s="3439">
        <f t="shared" si="254"/>
        <v>0</v>
      </c>
      <c r="BH473" s="3439">
        <f t="shared" si="255"/>
        <v>0</v>
      </c>
      <c r="BI473" s="3439">
        <f t="shared" si="256"/>
        <v>0</v>
      </c>
      <c r="BJ473" s="3439">
        <f t="shared" si="257"/>
        <v>0</v>
      </c>
      <c r="BK473" s="3439">
        <f t="shared" si="258"/>
        <v>0</v>
      </c>
      <c r="BL473" s="28">
        <f t="shared" si="259"/>
        <v>0</v>
      </c>
      <c r="BM473" s="28">
        <f t="shared" si="260"/>
        <v>0</v>
      </c>
      <c r="BN473" s="28">
        <f t="shared" si="261"/>
        <v>0</v>
      </c>
      <c r="BO473" s="28">
        <f t="shared" si="262"/>
        <v>0</v>
      </c>
      <c r="BP473" s="28">
        <f t="shared" si="263"/>
        <v>0</v>
      </c>
      <c r="BQ473" s="3439">
        <f t="shared" si="264"/>
        <v>0</v>
      </c>
      <c r="BR473" s="3439">
        <f t="shared" si="265"/>
        <v>0</v>
      </c>
      <c r="BS473" s="3439">
        <f t="shared" si="266"/>
        <v>0</v>
      </c>
      <c r="BT473" s="3451">
        <f t="shared" si="267"/>
        <v>0</v>
      </c>
    </row>
    <row r="474" spans="1:72">
      <c r="A474" s="9"/>
      <c r="B474" s="27"/>
      <c r="C474" s="27"/>
      <c r="D474" s="1678"/>
      <c r="E474" s="28">
        <f t="shared" si="239"/>
        <v>0</v>
      </c>
      <c r="F474" s="29"/>
      <c r="G474" s="30">
        <f t="shared" si="240"/>
        <v>0</v>
      </c>
      <c r="H474" s="31">
        <f t="shared" si="241"/>
        <v>0</v>
      </c>
      <c r="I474" s="32"/>
      <c r="J474" s="32"/>
      <c r="K474" s="32"/>
      <c r="L474" s="32"/>
      <c r="M474" s="32"/>
      <c r="N474" s="32"/>
      <c r="O474" s="32"/>
      <c r="P474" s="32"/>
      <c r="Q474" s="32"/>
      <c r="R474" s="32"/>
      <c r="S474" s="32"/>
      <c r="T474" s="32"/>
      <c r="U474" s="32"/>
      <c r="V474" s="32"/>
      <c r="W474" s="32"/>
      <c r="X474" s="32"/>
      <c r="Y474" s="32"/>
      <c r="Z474" s="32"/>
      <c r="AA474" s="32"/>
      <c r="AB474" s="32"/>
      <c r="AC474" s="28">
        <f t="shared" si="242"/>
        <v>0</v>
      </c>
      <c r="AD474" s="33"/>
      <c r="AE474" s="33"/>
      <c r="AF474" s="33"/>
      <c r="AG474" s="33"/>
      <c r="AH474" s="33"/>
      <c r="AI474" s="33"/>
      <c r="AJ474" s="33"/>
      <c r="AK474" s="33"/>
      <c r="AL474" s="33"/>
      <c r="AM474" s="33"/>
      <c r="AN474" s="33"/>
      <c r="AO474" s="33"/>
      <c r="AP474" s="33"/>
      <c r="AQ474" s="33"/>
      <c r="AR474" s="33"/>
      <c r="AS474" s="33"/>
      <c r="AT474" s="34"/>
      <c r="AU474" s="1679"/>
      <c r="AV474" s="2256">
        <f t="shared" si="243"/>
        <v>0</v>
      </c>
      <c r="AW474" s="2256">
        <f t="shared" si="244"/>
        <v>0</v>
      </c>
      <c r="AX474" s="2256">
        <f t="shared" si="245"/>
        <v>0</v>
      </c>
      <c r="AY474" s="2781">
        <f t="shared" si="246"/>
        <v>0</v>
      </c>
      <c r="AZ474" s="28">
        <f t="shared" si="247"/>
        <v>0</v>
      </c>
      <c r="BA474" s="28">
        <f t="shared" si="248"/>
        <v>0</v>
      </c>
      <c r="BB474" s="28">
        <f t="shared" si="249"/>
        <v>0</v>
      </c>
      <c r="BC474" s="28">
        <f t="shared" si="250"/>
        <v>0</v>
      </c>
      <c r="BD474" s="3439">
        <f t="shared" si="251"/>
        <v>0</v>
      </c>
      <c r="BE474" s="3439">
        <f t="shared" si="252"/>
        <v>0</v>
      </c>
      <c r="BF474" s="3439">
        <f t="shared" si="253"/>
        <v>0</v>
      </c>
      <c r="BG474" s="3439">
        <f t="shared" si="254"/>
        <v>0</v>
      </c>
      <c r="BH474" s="3439">
        <f t="shared" si="255"/>
        <v>0</v>
      </c>
      <c r="BI474" s="3439">
        <f t="shared" si="256"/>
        <v>0</v>
      </c>
      <c r="BJ474" s="3439">
        <f t="shared" si="257"/>
        <v>0</v>
      </c>
      <c r="BK474" s="3439">
        <f t="shared" si="258"/>
        <v>0</v>
      </c>
      <c r="BL474" s="28">
        <f t="shared" si="259"/>
        <v>0</v>
      </c>
      <c r="BM474" s="28">
        <f t="shared" si="260"/>
        <v>0</v>
      </c>
      <c r="BN474" s="28">
        <f t="shared" si="261"/>
        <v>0</v>
      </c>
      <c r="BO474" s="28">
        <f t="shared" si="262"/>
        <v>0</v>
      </c>
      <c r="BP474" s="28">
        <f t="shared" si="263"/>
        <v>0</v>
      </c>
      <c r="BQ474" s="3439">
        <f t="shared" si="264"/>
        <v>0</v>
      </c>
      <c r="BR474" s="3439">
        <f t="shared" si="265"/>
        <v>0</v>
      </c>
      <c r="BS474" s="3439">
        <f t="shared" si="266"/>
        <v>0</v>
      </c>
      <c r="BT474" s="3451">
        <f t="shared" si="267"/>
        <v>0</v>
      </c>
    </row>
    <row r="475" spans="1:72">
      <c r="A475" s="9"/>
      <c r="B475" s="27"/>
      <c r="C475" s="27"/>
      <c r="D475" s="1678"/>
      <c r="E475" s="28">
        <f t="shared" si="239"/>
        <v>0</v>
      </c>
      <c r="F475" s="29"/>
      <c r="G475" s="30">
        <f t="shared" si="240"/>
        <v>0</v>
      </c>
      <c r="H475" s="31">
        <f t="shared" si="241"/>
        <v>0</v>
      </c>
      <c r="I475" s="32"/>
      <c r="J475" s="32"/>
      <c r="K475" s="32"/>
      <c r="L475" s="32"/>
      <c r="M475" s="32"/>
      <c r="N475" s="32"/>
      <c r="O475" s="32"/>
      <c r="P475" s="32"/>
      <c r="Q475" s="32"/>
      <c r="R475" s="32"/>
      <c r="S475" s="32"/>
      <c r="T475" s="32"/>
      <c r="U475" s="32"/>
      <c r="V475" s="32"/>
      <c r="W475" s="32"/>
      <c r="X475" s="32"/>
      <c r="Y475" s="32"/>
      <c r="Z475" s="32"/>
      <c r="AA475" s="32"/>
      <c r="AB475" s="32"/>
      <c r="AC475" s="28">
        <f t="shared" si="242"/>
        <v>0</v>
      </c>
      <c r="AD475" s="33"/>
      <c r="AE475" s="33"/>
      <c r="AF475" s="33"/>
      <c r="AG475" s="33"/>
      <c r="AH475" s="33"/>
      <c r="AI475" s="33"/>
      <c r="AJ475" s="33"/>
      <c r="AK475" s="33"/>
      <c r="AL475" s="33"/>
      <c r="AM475" s="33"/>
      <c r="AN475" s="33"/>
      <c r="AO475" s="33"/>
      <c r="AP475" s="33"/>
      <c r="AQ475" s="33"/>
      <c r="AR475" s="33"/>
      <c r="AS475" s="33"/>
      <c r="AT475" s="34"/>
      <c r="AU475" s="1679"/>
      <c r="AV475" s="2256">
        <f t="shared" si="243"/>
        <v>0</v>
      </c>
      <c r="AW475" s="2256">
        <f t="shared" si="244"/>
        <v>0</v>
      </c>
      <c r="AX475" s="2256">
        <f t="shared" si="245"/>
        <v>0</v>
      </c>
      <c r="AY475" s="2781">
        <f t="shared" si="246"/>
        <v>0</v>
      </c>
      <c r="AZ475" s="28">
        <f t="shared" si="247"/>
        <v>0</v>
      </c>
      <c r="BA475" s="28">
        <f t="shared" si="248"/>
        <v>0</v>
      </c>
      <c r="BB475" s="28">
        <f t="shared" si="249"/>
        <v>0</v>
      </c>
      <c r="BC475" s="28">
        <f t="shared" si="250"/>
        <v>0</v>
      </c>
      <c r="BD475" s="3439">
        <f t="shared" si="251"/>
        <v>0</v>
      </c>
      <c r="BE475" s="3439">
        <f t="shared" si="252"/>
        <v>0</v>
      </c>
      <c r="BF475" s="3439">
        <f t="shared" si="253"/>
        <v>0</v>
      </c>
      <c r="BG475" s="3439">
        <f t="shared" si="254"/>
        <v>0</v>
      </c>
      <c r="BH475" s="3439">
        <f t="shared" si="255"/>
        <v>0</v>
      </c>
      <c r="BI475" s="3439">
        <f t="shared" si="256"/>
        <v>0</v>
      </c>
      <c r="BJ475" s="3439">
        <f t="shared" si="257"/>
        <v>0</v>
      </c>
      <c r="BK475" s="3439">
        <f t="shared" si="258"/>
        <v>0</v>
      </c>
      <c r="BL475" s="28">
        <f t="shared" si="259"/>
        <v>0</v>
      </c>
      <c r="BM475" s="28">
        <f t="shared" si="260"/>
        <v>0</v>
      </c>
      <c r="BN475" s="28">
        <f t="shared" si="261"/>
        <v>0</v>
      </c>
      <c r="BO475" s="28">
        <f t="shared" si="262"/>
        <v>0</v>
      </c>
      <c r="BP475" s="28">
        <f t="shared" si="263"/>
        <v>0</v>
      </c>
      <c r="BQ475" s="3439">
        <f t="shared" si="264"/>
        <v>0</v>
      </c>
      <c r="BR475" s="3439">
        <f t="shared" si="265"/>
        <v>0</v>
      </c>
      <c r="BS475" s="3439">
        <f t="shared" si="266"/>
        <v>0</v>
      </c>
      <c r="BT475" s="3451">
        <f t="shared" si="267"/>
        <v>0</v>
      </c>
    </row>
    <row r="476" spans="1:72">
      <c r="A476" s="9"/>
      <c r="B476" s="27"/>
      <c r="C476" s="27"/>
      <c r="D476" s="1678"/>
      <c r="E476" s="28">
        <f t="shared" si="239"/>
        <v>0</v>
      </c>
      <c r="F476" s="29"/>
      <c r="G476" s="30">
        <f t="shared" si="240"/>
        <v>0</v>
      </c>
      <c r="H476" s="31">
        <f t="shared" si="241"/>
        <v>0</v>
      </c>
      <c r="I476" s="32"/>
      <c r="J476" s="32"/>
      <c r="K476" s="32"/>
      <c r="L476" s="32"/>
      <c r="M476" s="32"/>
      <c r="N476" s="32"/>
      <c r="O476" s="32"/>
      <c r="P476" s="32"/>
      <c r="Q476" s="32"/>
      <c r="R476" s="32"/>
      <c r="S476" s="32"/>
      <c r="T476" s="32"/>
      <c r="U476" s="32"/>
      <c r="V476" s="32"/>
      <c r="W476" s="32"/>
      <c r="X476" s="32"/>
      <c r="Y476" s="32"/>
      <c r="Z476" s="32"/>
      <c r="AA476" s="32"/>
      <c r="AB476" s="32"/>
      <c r="AC476" s="28">
        <f t="shared" si="242"/>
        <v>0</v>
      </c>
      <c r="AD476" s="33"/>
      <c r="AE476" s="33"/>
      <c r="AF476" s="33"/>
      <c r="AG476" s="33"/>
      <c r="AH476" s="33"/>
      <c r="AI476" s="33"/>
      <c r="AJ476" s="33"/>
      <c r="AK476" s="33"/>
      <c r="AL476" s="33"/>
      <c r="AM476" s="33"/>
      <c r="AN476" s="33"/>
      <c r="AO476" s="33"/>
      <c r="AP476" s="33"/>
      <c r="AQ476" s="33"/>
      <c r="AR476" s="33"/>
      <c r="AS476" s="33"/>
      <c r="AT476" s="34"/>
      <c r="AU476" s="1679"/>
      <c r="AV476" s="2256">
        <f t="shared" si="243"/>
        <v>0</v>
      </c>
      <c r="AW476" s="2256">
        <f t="shared" si="244"/>
        <v>0</v>
      </c>
      <c r="AX476" s="2256">
        <f t="shared" si="245"/>
        <v>0</v>
      </c>
      <c r="AY476" s="2781">
        <f t="shared" si="246"/>
        <v>0</v>
      </c>
      <c r="AZ476" s="28">
        <f t="shared" si="247"/>
        <v>0</v>
      </c>
      <c r="BA476" s="28">
        <f t="shared" si="248"/>
        <v>0</v>
      </c>
      <c r="BB476" s="28">
        <f t="shared" si="249"/>
        <v>0</v>
      </c>
      <c r="BC476" s="28">
        <f t="shared" si="250"/>
        <v>0</v>
      </c>
      <c r="BD476" s="3439">
        <f t="shared" si="251"/>
        <v>0</v>
      </c>
      <c r="BE476" s="3439">
        <f t="shared" si="252"/>
        <v>0</v>
      </c>
      <c r="BF476" s="3439">
        <f t="shared" si="253"/>
        <v>0</v>
      </c>
      <c r="BG476" s="3439">
        <f t="shared" si="254"/>
        <v>0</v>
      </c>
      <c r="BH476" s="3439">
        <f t="shared" si="255"/>
        <v>0</v>
      </c>
      <c r="BI476" s="3439">
        <f t="shared" si="256"/>
        <v>0</v>
      </c>
      <c r="BJ476" s="3439">
        <f t="shared" si="257"/>
        <v>0</v>
      </c>
      <c r="BK476" s="3439">
        <f t="shared" si="258"/>
        <v>0</v>
      </c>
      <c r="BL476" s="28">
        <f t="shared" si="259"/>
        <v>0</v>
      </c>
      <c r="BM476" s="28">
        <f t="shared" si="260"/>
        <v>0</v>
      </c>
      <c r="BN476" s="28">
        <f t="shared" si="261"/>
        <v>0</v>
      </c>
      <c r="BO476" s="28">
        <f t="shared" si="262"/>
        <v>0</v>
      </c>
      <c r="BP476" s="28">
        <f t="shared" si="263"/>
        <v>0</v>
      </c>
      <c r="BQ476" s="3439">
        <f t="shared" si="264"/>
        <v>0</v>
      </c>
      <c r="BR476" s="3439">
        <f t="shared" si="265"/>
        <v>0</v>
      </c>
      <c r="BS476" s="3439">
        <f t="shared" si="266"/>
        <v>0</v>
      </c>
      <c r="BT476" s="3451">
        <f t="shared" si="267"/>
        <v>0</v>
      </c>
    </row>
    <row r="477" spans="1:72">
      <c r="A477" s="9"/>
      <c r="B477" s="27"/>
      <c r="C477" s="27"/>
      <c r="D477" s="1678"/>
      <c r="E477" s="28">
        <f t="shared" si="239"/>
        <v>0</v>
      </c>
      <c r="F477" s="29"/>
      <c r="G477" s="30">
        <f t="shared" si="240"/>
        <v>0</v>
      </c>
      <c r="H477" s="31">
        <f t="shared" si="241"/>
        <v>0</v>
      </c>
      <c r="I477" s="32"/>
      <c r="J477" s="32"/>
      <c r="K477" s="32"/>
      <c r="L477" s="32"/>
      <c r="M477" s="32"/>
      <c r="N477" s="32"/>
      <c r="O477" s="32"/>
      <c r="P477" s="32"/>
      <c r="Q477" s="32"/>
      <c r="R477" s="32"/>
      <c r="S477" s="32"/>
      <c r="T477" s="32"/>
      <c r="U477" s="32"/>
      <c r="V477" s="32"/>
      <c r="W477" s="32"/>
      <c r="X477" s="32"/>
      <c r="Y477" s="32"/>
      <c r="Z477" s="32"/>
      <c r="AA477" s="32"/>
      <c r="AB477" s="32"/>
      <c r="AC477" s="28">
        <f t="shared" si="242"/>
        <v>0</v>
      </c>
      <c r="AD477" s="33"/>
      <c r="AE477" s="33"/>
      <c r="AF477" s="33"/>
      <c r="AG477" s="33"/>
      <c r="AH477" s="33"/>
      <c r="AI477" s="33"/>
      <c r="AJ477" s="33"/>
      <c r="AK477" s="33"/>
      <c r="AL477" s="33"/>
      <c r="AM477" s="33"/>
      <c r="AN477" s="33"/>
      <c r="AO477" s="33"/>
      <c r="AP477" s="33"/>
      <c r="AQ477" s="33"/>
      <c r="AR477" s="33"/>
      <c r="AS477" s="33"/>
      <c r="AT477" s="34"/>
      <c r="AU477" s="1679"/>
      <c r="AV477" s="2256">
        <f t="shared" si="243"/>
        <v>0</v>
      </c>
      <c r="AW477" s="2256">
        <f t="shared" si="244"/>
        <v>0</v>
      </c>
      <c r="AX477" s="2256">
        <f t="shared" si="245"/>
        <v>0</v>
      </c>
      <c r="AY477" s="2781">
        <f t="shared" si="246"/>
        <v>0</v>
      </c>
      <c r="AZ477" s="28">
        <f t="shared" si="247"/>
        <v>0</v>
      </c>
      <c r="BA477" s="28">
        <f t="shared" si="248"/>
        <v>0</v>
      </c>
      <c r="BB477" s="28">
        <f t="shared" si="249"/>
        <v>0</v>
      </c>
      <c r="BC477" s="28">
        <f t="shared" si="250"/>
        <v>0</v>
      </c>
      <c r="BD477" s="3439">
        <f t="shared" si="251"/>
        <v>0</v>
      </c>
      <c r="BE477" s="3439">
        <f t="shared" si="252"/>
        <v>0</v>
      </c>
      <c r="BF477" s="3439">
        <f t="shared" si="253"/>
        <v>0</v>
      </c>
      <c r="BG477" s="3439">
        <f t="shared" si="254"/>
        <v>0</v>
      </c>
      <c r="BH477" s="3439">
        <f t="shared" si="255"/>
        <v>0</v>
      </c>
      <c r="BI477" s="3439">
        <f t="shared" si="256"/>
        <v>0</v>
      </c>
      <c r="BJ477" s="3439">
        <f t="shared" si="257"/>
        <v>0</v>
      </c>
      <c r="BK477" s="3439">
        <f t="shared" si="258"/>
        <v>0</v>
      </c>
      <c r="BL477" s="28">
        <f t="shared" si="259"/>
        <v>0</v>
      </c>
      <c r="BM477" s="28">
        <f t="shared" si="260"/>
        <v>0</v>
      </c>
      <c r="BN477" s="28">
        <f t="shared" si="261"/>
        <v>0</v>
      </c>
      <c r="BO477" s="28">
        <f t="shared" si="262"/>
        <v>0</v>
      </c>
      <c r="BP477" s="28">
        <f t="shared" si="263"/>
        <v>0</v>
      </c>
      <c r="BQ477" s="3439">
        <f t="shared" si="264"/>
        <v>0</v>
      </c>
      <c r="BR477" s="3439">
        <f t="shared" si="265"/>
        <v>0</v>
      </c>
      <c r="BS477" s="3439">
        <f t="shared" si="266"/>
        <v>0</v>
      </c>
      <c r="BT477" s="3451">
        <f t="shared" si="267"/>
        <v>0</v>
      </c>
    </row>
    <row r="478" spans="1:72">
      <c r="A478" s="9"/>
      <c r="B478" s="27"/>
      <c r="C478" s="27"/>
      <c r="D478" s="1678"/>
      <c r="E478" s="28">
        <f t="shared" si="239"/>
        <v>0</v>
      </c>
      <c r="F478" s="29"/>
      <c r="G478" s="30">
        <f t="shared" si="240"/>
        <v>0</v>
      </c>
      <c r="H478" s="31">
        <f t="shared" si="241"/>
        <v>0</v>
      </c>
      <c r="I478" s="32"/>
      <c r="J478" s="32"/>
      <c r="K478" s="32"/>
      <c r="L478" s="32"/>
      <c r="M478" s="32"/>
      <c r="N478" s="32"/>
      <c r="O478" s="32"/>
      <c r="P478" s="32"/>
      <c r="Q478" s="32"/>
      <c r="R478" s="32"/>
      <c r="S478" s="32"/>
      <c r="T478" s="32"/>
      <c r="U478" s="32"/>
      <c r="V478" s="32"/>
      <c r="W478" s="32"/>
      <c r="X478" s="32"/>
      <c r="Y478" s="32"/>
      <c r="Z478" s="32"/>
      <c r="AA478" s="32"/>
      <c r="AB478" s="32"/>
      <c r="AC478" s="28">
        <f t="shared" si="242"/>
        <v>0</v>
      </c>
      <c r="AD478" s="33"/>
      <c r="AE478" s="33"/>
      <c r="AF478" s="33"/>
      <c r="AG478" s="33"/>
      <c r="AH478" s="33"/>
      <c r="AI478" s="33"/>
      <c r="AJ478" s="33"/>
      <c r="AK478" s="33"/>
      <c r="AL478" s="33"/>
      <c r="AM478" s="33"/>
      <c r="AN478" s="33"/>
      <c r="AO478" s="33"/>
      <c r="AP478" s="33"/>
      <c r="AQ478" s="33"/>
      <c r="AR478" s="33"/>
      <c r="AS478" s="33"/>
      <c r="AT478" s="34"/>
      <c r="AU478" s="1679"/>
      <c r="AV478" s="2256">
        <f t="shared" si="243"/>
        <v>0</v>
      </c>
      <c r="AW478" s="2256">
        <f t="shared" si="244"/>
        <v>0</v>
      </c>
      <c r="AX478" s="2256">
        <f t="shared" si="245"/>
        <v>0</v>
      </c>
      <c r="AY478" s="2781">
        <f t="shared" si="246"/>
        <v>0</v>
      </c>
      <c r="AZ478" s="28">
        <f t="shared" si="247"/>
        <v>0</v>
      </c>
      <c r="BA478" s="28">
        <f t="shared" si="248"/>
        <v>0</v>
      </c>
      <c r="BB478" s="28">
        <f t="shared" si="249"/>
        <v>0</v>
      </c>
      <c r="BC478" s="28">
        <f t="shared" si="250"/>
        <v>0</v>
      </c>
      <c r="BD478" s="3439">
        <f t="shared" si="251"/>
        <v>0</v>
      </c>
      <c r="BE478" s="3439">
        <f t="shared" si="252"/>
        <v>0</v>
      </c>
      <c r="BF478" s="3439">
        <f t="shared" si="253"/>
        <v>0</v>
      </c>
      <c r="BG478" s="3439">
        <f t="shared" si="254"/>
        <v>0</v>
      </c>
      <c r="BH478" s="3439">
        <f t="shared" si="255"/>
        <v>0</v>
      </c>
      <c r="BI478" s="3439">
        <f t="shared" si="256"/>
        <v>0</v>
      </c>
      <c r="BJ478" s="3439">
        <f t="shared" si="257"/>
        <v>0</v>
      </c>
      <c r="BK478" s="3439">
        <f t="shared" si="258"/>
        <v>0</v>
      </c>
      <c r="BL478" s="28">
        <f t="shared" si="259"/>
        <v>0</v>
      </c>
      <c r="BM478" s="28">
        <f t="shared" si="260"/>
        <v>0</v>
      </c>
      <c r="BN478" s="28">
        <f t="shared" si="261"/>
        <v>0</v>
      </c>
      <c r="BO478" s="28">
        <f t="shared" si="262"/>
        <v>0</v>
      </c>
      <c r="BP478" s="28">
        <f t="shared" si="263"/>
        <v>0</v>
      </c>
      <c r="BQ478" s="3439">
        <f t="shared" si="264"/>
        <v>0</v>
      </c>
      <c r="BR478" s="3439">
        <f t="shared" si="265"/>
        <v>0</v>
      </c>
      <c r="BS478" s="3439">
        <f t="shared" si="266"/>
        <v>0</v>
      </c>
      <c r="BT478" s="3451">
        <f t="shared" si="267"/>
        <v>0</v>
      </c>
    </row>
    <row r="479" spans="1:72">
      <c r="A479" s="9"/>
      <c r="B479" s="27"/>
      <c r="C479" s="27"/>
      <c r="D479" s="1678"/>
      <c r="E479" s="28">
        <f t="shared" si="239"/>
        <v>0</v>
      </c>
      <c r="F479" s="29"/>
      <c r="G479" s="30">
        <f t="shared" si="240"/>
        <v>0</v>
      </c>
      <c r="H479" s="31">
        <f t="shared" si="241"/>
        <v>0</v>
      </c>
      <c r="I479" s="32"/>
      <c r="J479" s="32"/>
      <c r="K479" s="32"/>
      <c r="L479" s="32"/>
      <c r="M479" s="32"/>
      <c r="N479" s="32"/>
      <c r="O479" s="32"/>
      <c r="P479" s="32"/>
      <c r="Q479" s="32"/>
      <c r="R479" s="32"/>
      <c r="S479" s="32"/>
      <c r="T479" s="32"/>
      <c r="U479" s="32"/>
      <c r="V479" s="32"/>
      <c r="W479" s="32"/>
      <c r="X479" s="32"/>
      <c r="Y479" s="32"/>
      <c r="Z479" s="32"/>
      <c r="AA479" s="32"/>
      <c r="AB479" s="32"/>
      <c r="AC479" s="28">
        <f t="shared" si="242"/>
        <v>0</v>
      </c>
      <c r="AD479" s="33"/>
      <c r="AE479" s="33"/>
      <c r="AF479" s="33"/>
      <c r="AG479" s="33"/>
      <c r="AH479" s="33"/>
      <c r="AI479" s="33"/>
      <c r="AJ479" s="33"/>
      <c r="AK479" s="33"/>
      <c r="AL479" s="33"/>
      <c r="AM479" s="33"/>
      <c r="AN479" s="33"/>
      <c r="AO479" s="33"/>
      <c r="AP479" s="33"/>
      <c r="AQ479" s="33"/>
      <c r="AR479" s="33"/>
      <c r="AS479" s="33"/>
      <c r="AT479" s="34"/>
      <c r="AU479" s="1679"/>
      <c r="AV479" s="2256">
        <f t="shared" si="243"/>
        <v>0</v>
      </c>
      <c r="AW479" s="2256">
        <f t="shared" si="244"/>
        <v>0</v>
      </c>
      <c r="AX479" s="2256">
        <f t="shared" si="245"/>
        <v>0</v>
      </c>
      <c r="AY479" s="2781">
        <f t="shared" si="246"/>
        <v>0</v>
      </c>
      <c r="AZ479" s="28">
        <f t="shared" si="247"/>
        <v>0</v>
      </c>
      <c r="BA479" s="28">
        <f t="shared" si="248"/>
        <v>0</v>
      </c>
      <c r="BB479" s="28">
        <f t="shared" si="249"/>
        <v>0</v>
      </c>
      <c r="BC479" s="28">
        <f t="shared" si="250"/>
        <v>0</v>
      </c>
      <c r="BD479" s="3439">
        <f t="shared" si="251"/>
        <v>0</v>
      </c>
      <c r="BE479" s="3439">
        <f t="shared" si="252"/>
        <v>0</v>
      </c>
      <c r="BF479" s="3439">
        <f t="shared" si="253"/>
        <v>0</v>
      </c>
      <c r="BG479" s="3439">
        <f t="shared" si="254"/>
        <v>0</v>
      </c>
      <c r="BH479" s="3439">
        <f t="shared" si="255"/>
        <v>0</v>
      </c>
      <c r="BI479" s="3439">
        <f t="shared" si="256"/>
        <v>0</v>
      </c>
      <c r="BJ479" s="3439">
        <f t="shared" si="257"/>
        <v>0</v>
      </c>
      <c r="BK479" s="3439">
        <f t="shared" si="258"/>
        <v>0</v>
      </c>
      <c r="BL479" s="28">
        <f t="shared" si="259"/>
        <v>0</v>
      </c>
      <c r="BM479" s="28">
        <f t="shared" si="260"/>
        <v>0</v>
      </c>
      <c r="BN479" s="28">
        <f t="shared" si="261"/>
        <v>0</v>
      </c>
      <c r="BO479" s="28">
        <f t="shared" si="262"/>
        <v>0</v>
      </c>
      <c r="BP479" s="28">
        <f t="shared" si="263"/>
        <v>0</v>
      </c>
      <c r="BQ479" s="3439">
        <f t="shared" si="264"/>
        <v>0</v>
      </c>
      <c r="BR479" s="3439">
        <f t="shared" si="265"/>
        <v>0</v>
      </c>
      <c r="BS479" s="3439">
        <f t="shared" si="266"/>
        <v>0</v>
      </c>
      <c r="BT479" s="3451">
        <f t="shared" si="267"/>
        <v>0</v>
      </c>
    </row>
    <row r="480" spans="1:72">
      <c r="A480" s="9"/>
      <c r="B480" s="27"/>
      <c r="C480" s="27"/>
      <c r="D480" s="1678"/>
      <c r="E480" s="28">
        <f t="shared" si="239"/>
        <v>0</v>
      </c>
      <c r="F480" s="29"/>
      <c r="G480" s="30">
        <f t="shared" si="240"/>
        <v>0</v>
      </c>
      <c r="H480" s="31">
        <f t="shared" si="241"/>
        <v>0</v>
      </c>
      <c r="I480" s="32"/>
      <c r="J480" s="32"/>
      <c r="K480" s="32"/>
      <c r="L480" s="32"/>
      <c r="M480" s="32"/>
      <c r="N480" s="32"/>
      <c r="O480" s="32"/>
      <c r="P480" s="32"/>
      <c r="Q480" s="32"/>
      <c r="R480" s="32"/>
      <c r="S480" s="32"/>
      <c r="T480" s="32"/>
      <c r="U480" s="32"/>
      <c r="V480" s="32"/>
      <c r="W480" s="32"/>
      <c r="X480" s="32"/>
      <c r="Y480" s="32"/>
      <c r="Z480" s="32"/>
      <c r="AA480" s="32"/>
      <c r="AB480" s="32"/>
      <c r="AC480" s="28">
        <f t="shared" si="242"/>
        <v>0</v>
      </c>
      <c r="AD480" s="33"/>
      <c r="AE480" s="33"/>
      <c r="AF480" s="33"/>
      <c r="AG480" s="33"/>
      <c r="AH480" s="33"/>
      <c r="AI480" s="33"/>
      <c r="AJ480" s="33"/>
      <c r="AK480" s="33"/>
      <c r="AL480" s="33"/>
      <c r="AM480" s="33"/>
      <c r="AN480" s="33"/>
      <c r="AO480" s="33"/>
      <c r="AP480" s="33"/>
      <c r="AQ480" s="33"/>
      <c r="AR480" s="33"/>
      <c r="AS480" s="33"/>
      <c r="AT480" s="34"/>
      <c r="AU480" s="1679"/>
      <c r="AV480" s="2256">
        <f t="shared" si="243"/>
        <v>0</v>
      </c>
      <c r="AW480" s="2256">
        <f t="shared" si="244"/>
        <v>0</v>
      </c>
      <c r="AX480" s="2256">
        <f t="shared" si="245"/>
        <v>0</v>
      </c>
      <c r="AY480" s="2781">
        <f t="shared" si="246"/>
        <v>0</v>
      </c>
      <c r="AZ480" s="28">
        <f t="shared" si="247"/>
        <v>0</v>
      </c>
      <c r="BA480" s="28">
        <f t="shared" si="248"/>
        <v>0</v>
      </c>
      <c r="BB480" s="28">
        <f t="shared" si="249"/>
        <v>0</v>
      </c>
      <c r="BC480" s="28">
        <f t="shared" si="250"/>
        <v>0</v>
      </c>
      <c r="BD480" s="3439">
        <f t="shared" si="251"/>
        <v>0</v>
      </c>
      <c r="BE480" s="3439">
        <f t="shared" si="252"/>
        <v>0</v>
      </c>
      <c r="BF480" s="3439">
        <f t="shared" si="253"/>
        <v>0</v>
      </c>
      <c r="BG480" s="3439">
        <f t="shared" si="254"/>
        <v>0</v>
      </c>
      <c r="BH480" s="3439">
        <f t="shared" si="255"/>
        <v>0</v>
      </c>
      <c r="BI480" s="3439">
        <f t="shared" si="256"/>
        <v>0</v>
      </c>
      <c r="BJ480" s="3439">
        <f t="shared" si="257"/>
        <v>0</v>
      </c>
      <c r="BK480" s="3439">
        <f t="shared" si="258"/>
        <v>0</v>
      </c>
      <c r="BL480" s="28">
        <f t="shared" si="259"/>
        <v>0</v>
      </c>
      <c r="BM480" s="28">
        <f t="shared" si="260"/>
        <v>0</v>
      </c>
      <c r="BN480" s="28">
        <f t="shared" si="261"/>
        <v>0</v>
      </c>
      <c r="BO480" s="28">
        <f t="shared" si="262"/>
        <v>0</v>
      </c>
      <c r="BP480" s="28">
        <f t="shared" si="263"/>
        <v>0</v>
      </c>
      <c r="BQ480" s="3439">
        <f t="shared" si="264"/>
        <v>0</v>
      </c>
      <c r="BR480" s="3439">
        <f t="shared" si="265"/>
        <v>0</v>
      </c>
      <c r="BS480" s="3439">
        <f t="shared" si="266"/>
        <v>0</v>
      </c>
      <c r="BT480" s="3451">
        <f t="shared" si="267"/>
        <v>0</v>
      </c>
    </row>
    <row r="481" spans="1:72">
      <c r="A481" s="9"/>
      <c r="B481" s="27"/>
      <c r="C481" s="27"/>
      <c r="D481" s="1678"/>
      <c r="E481" s="28">
        <f t="shared" si="239"/>
        <v>0</v>
      </c>
      <c r="F481" s="29"/>
      <c r="G481" s="30">
        <f t="shared" si="240"/>
        <v>0</v>
      </c>
      <c r="H481" s="31">
        <f t="shared" si="241"/>
        <v>0</v>
      </c>
      <c r="I481" s="32"/>
      <c r="J481" s="32"/>
      <c r="K481" s="32"/>
      <c r="L481" s="32"/>
      <c r="M481" s="32"/>
      <c r="N481" s="32"/>
      <c r="O481" s="32"/>
      <c r="P481" s="32"/>
      <c r="Q481" s="32"/>
      <c r="R481" s="32"/>
      <c r="S481" s="32"/>
      <c r="T481" s="32"/>
      <c r="U481" s="32"/>
      <c r="V481" s="32"/>
      <c r="W481" s="32"/>
      <c r="X481" s="32"/>
      <c r="Y481" s="32"/>
      <c r="Z481" s="32"/>
      <c r="AA481" s="32"/>
      <c r="AB481" s="32"/>
      <c r="AC481" s="28">
        <f t="shared" si="242"/>
        <v>0</v>
      </c>
      <c r="AD481" s="33"/>
      <c r="AE481" s="33"/>
      <c r="AF481" s="33"/>
      <c r="AG481" s="33"/>
      <c r="AH481" s="33"/>
      <c r="AI481" s="33"/>
      <c r="AJ481" s="33"/>
      <c r="AK481" s="33"/>
      <c r="AL481" s="33"/>
      <c r="AM481" s="33"/>
      <c r="AN481" s="33"/>
      <c r="AO481" s="33"/>
      <c r="AP481" s="33"/>
      <c r="AQ481" s="33"/>
      <c r="AR481" s="33"/>
      <c r="AS481" s="33"/>
      <c r="AT481" s="34"/>
      <c r="AU481" s="1679"/>
      <c r="AV481" s="2256">
        <f t="shared" si="243"/>
        <v>0</v>
      </c>
      <c r="AW481" s="2256">
        <f t="shared" si="244"/>
        <v>0</v>
      </c>
      <c r="AX481" s="2256">
        <f t="shared" si="245"/>
        <v>0</v>
      </c>
      <c r="AY481" s="2781">
        <f t="shared" si="246"/>
        <v>0</v>
      </c>
      <c r="AZ481" s="28">
        <f t="shared" si="247"/>
        <v>0</v>
      </c>
      <c r="BA481" s="28">
        <f t="shared" si="248"/>
        <v>0</v>
      </c>
      <c r="BB481" s="28">
        <f t="shared" si="249"/>
        <v>0</v>
      </c>
      <c r="BC481" s="28">
        <f t="shared" si="250"/>
        <v>0</v>
      </c>
      <c r="BD481" s="3439">
        <f t="shared" si="251"/>
        <v>0</v>
      </c>
      <c r="BE481" s="3439">
        <f t="shared" si="252"/>
        <v>0</v>
      </c>
      <c r="BF481" s="3439">
        <f t="shared" si="253"/>
        <v>0</v>
      </c>
      <c r="BG481" s="3439">
        <f t="shared" si="254"/>
        <v>0</v>
      </c>
      <c r="BH481" s="3439">
        <f t="shared" si="255"/>
        <v>0</v>
      </c>
      <c r="BI481" s="3439">
        <f t="shared" si="256"/>
        <v>0</v>
      </c>
      <c r="BJ481" s="3439">
        <f t="shared" si="257"/>
        <v>0</v>
      </c>
      <c r="BK481" s="3439">
        <f t="shared" si="258"/>
        <v>0</v>
      </c>
      <c r="BL481" s="28">
        <f t="shared" si="259"/>
        <v>0</v>
      </c>
      <c r="BM481" s="28">
        <f t="shared" si="260"/>
        <v>0</v>
      </c>
      <c r="BN481" s="28">
        <f t="shared" si="261"/>
        <v>0</v>
      </c>
      <c r="BO481" s="28">
        <f t="shared" si="262"/>
        <v>0</v>
      </c>
      <c r="BP481" s="28">
        <f t="shared" si="263"/>
        <v>0</v>
      </c>
      <c r="BQ481" s="3439">
        <f t="shared" si="264"/>
        <v>0</v>
      </c>
      <c r="BR481" s="3439">
        <f t="shared" si="265"/>
        <v>0</v>
      </c>
      <c r="BS481" s="3439">
        <f t="shared" si="266"/>
        <v>0</v>
      </c>
      <c r="BT481" s="3451">
        <f t="shared" si="267"/>
        <v>0</v>
      </c>
    </row>
    <row r="482" spans="1:72">
      <c r="A482" s="9"/>
      <c r="B482" s="27"/>
      <c r="C482" s="27"/>
      <c r="D482" s="1678"/>
      <c r="E482" s="28">
        <f t="shared" si="239"/>
        <v>0</v>
      </c>
      <c r="F482" s="29"/>
      <c r="G482" s="30">
        <f t="shared" si="240"/>
        <v>0</v>
      </c>
      <c r="H482" s="31">
        <f t="shared" si="241"/>
        <v>0</v>
      </c>
      <c r="I482" s="32"/>
      <c r="J482" s="32"/>
      <c r="K482" s="32"/>
      <c r="L482" s="32"/>
      <c r="M482" s="32"/>
      <c r="N482" s="32"/>
      <c r="O482" s="32"/>
      <c r="P482" s="32"/>
      <c r="Q482" s="32"/>
      <c r="R482" s="32"/>
      <c r="S482" s="32"/>
      <c r="T482" s="32"/>
      <c r="U482" s="32"/>
      <c r="V482" s="32"/>
      <c r="W482" s="32"/>
      <c r="X482" s="32"/>
      <c r="Y482" s="32"/>
      <c r="Z482" s="32"/>
      <c r="AA482" s="32"/>
      <c r="AB482" s="32"/>
      <c r="AC482" s="28">
        <f t="shared" si="242"/>
        <v>0</v>
      </c>
      <c r="AD482" s="33"/>
      <c r="AE482" s="33"/>
      <c r="AF482" s="33"/>
      <c r="AG482" s="33"/>
      <c r="AH482" s="33"/>
      <c r="AI482" s="33"/>
      <c r="AJ482" s="33"/>
      <c r="AK482" s="33"/>
      <c r="AL482" s="33"/>
      <c r="AM482" s="33"/>
      <c r="AN482" s="33"/>
      <c r="AO482" s="33"/>
      <c r="AP482" s="33"/>
      <c r="AQ482" s="33"/>
      <c r="AR482" s="33"/>
      <c r="AS482" s="33"/>
      <c r="AT482" s="34"/>
      <c r="AU482" s="1679"/>
      <c r="AV482" s="2256">
        <f t="shared" si="243"/>
        <v>0</v>
      </c>
      <c r="AW482" s="2256">
        <f t="shared" si="244"/>
        <v>0</v>
      </c>
      <c r="AX482" s="2256">
        <f t="shared" si="245"/>
        <v>0</v>
      </c>
      <c r="AY482" s="2781">
        <f t="shared" si="246"/>
        <v>0</v>
      </c>
      <c r="AZ482" s="28">
        <f t="shared" si="247"/>
        <v>0</v>
      </c>
      <c r="BA482" s="28">
        <f t="shared" si="248"/>
        <v>0</v>
      </c>
      <c r="BB482" s="28">
        <f t="shared" si="249"/>
        <v>0</v>
      </c>
      <c r="BC482" s="28">
        <f t="shared" si="250"/>
        <v>0</v>
      </c>
      <c r="BD482" s="3439">
        <f t="shared" si="251"/>
        <v>0</v>
      </c>
      <c r="BE482" s="3439">
        <f t="shared" si="252"/>
        <v>0</v>
      </c>
      <c r="BF482" s="3439">
        <f t="shared" si="253"/>
        <v>0</v>
      </c>
      <c r="BG482" s="3439">
        <f t="shared" si="254"/>
        <v>0</v>
      </c>
      <c r="BH482" s="3439">
        <f t="shared" si="255"/>
        <v>0</v>
      </c>
      <c r="BI482" s="3439">
        <f t="shared" si="256"/>
        <v>0</v>
      </c>
      <c r="BJ482" s="3439">
        <f t="shared" si="257"/>
        <v>0</v>
      </c>
      <c r="BK482" s="3439">
        <f t="shared" si="258"/>
        <v>0</v>
      </c>
      <c r="BL482" s="28">
        <f t="shared" si="259"/>
        <v>0</v>
      </c>
      <c r="BM482" s="28">
        <f t="shared" si="260"/>
        <v>0</v>
      </c>
      <c r="BN482" s="28">
        <f t="shared" si="261"/>
        <v>0</v>
      </c>
      <c r="BO482" s="28">
        <f t="shared" si="262"/>
        <v>0</v>
      </c>
      <c r="BP482" s="28">
        <f t="shared" si="263"/>
        <v>0</v>
      </c>
      <c r="BQ482" s="3439">
        <f t="shared" si="264"/>
        <v>0</v>
      </c>
      <c r="BR482" s="3439">
        <f t="shared" si="265"/>
        <v>0</v>
      </c>
      <c r="BS482" s="3439">
        <f t="shared" si="266"/>
        <v>0</v>
      </c>
      <c r="BT482" s="3451">
        <f t="shared" si="267"/>
        <v>0</v>
      </c>
    </row>
    <row r="483" spans="1:72">
      <c r="A483" s="9"/>
      <c r="B483" s="27"/>
      <c r="C483" s="27"/>
      <c r="D483" s="1678"/>
      <c r="E483" s="28">
        <f t="shared" si="239"/>
        <v>0</v>
      </c>
      <c r="F483" s="29"/>
      <c r="G483" s="30">
        <f t="shared" si="240"/>
        <v>0</v>
      </c>
      <c r="H483" s="31">
        <f t="shared" si="241"/>
        <v>0</v>
      </c>
      <c r="I483" s="32"/>
      <c r="J483" s="32"/>
      <c r="K483" s="32"/>
      <c r="L483" s="32"/>
      <c r="M483" s="32"/>
      <c r="N483" s="32"/>
      <c r="O483" s="32"/>
      <c r="P483" s="32"/>
      <c r="Q483" s="32"/>
      <c r="R483" s="32"/>
      <c r="S483" s="32"/>
      <c r="T483" s="32"/>
      <c r="U483" s="32"/>
      <c r="V483" s="32"/>
      <c r="W483" s="32"/>
      <c r="X483" s="32"/>
      <c r="Y483" s="32"/>
      <c r="Z483" s="32"/>
      <c r="AA483" s="32"/>
      <c r="AB483" s="32"/>
      <c r="AC483" s="28">
        <f t="shared" si="242"/>
        <v>0</v>
      </c>
      <c r="AD483" s="33"/>
      <c r="AE483" s="33"/>
      <c r="AF483" s="33"/>
      <c r="AG483" s="33"/>
      <c r="AH483" s="33"/>
      <c r="AI483" s="33"/>
      <c r="AJ483" s="33"/>
      <c r="AK483" s="33"/>
      <c r="AL483" s="33"/>
      <c r="AM483" s="33"/>
      <c r="AN483" s="33"/>
      <c r="AO483" s="33"/>
      <c r="AP483" s="33"/>
      <c r="AQ483" s="33"/>
      <c r="AR483" s="33"/>
      <c r="AS483" s="33"/>
      <c r="AT483" s="34"/>
      <c r="AU483" s="1679"/>
      <c r="AV483" s="2256">
        <f t="shared" si="243"/>
        <v>0</v>
      </c>
      <c r="AW483" s="2256">
        <f t="shared" si="244"/>
        <v>0</v>
      </c>
      <c r="AX483" s="2256">
        <f t="shared" si="245"/>
        <v>0</v>
      </c>
      <c r="AY483" s="2781">
        <f t="shared" si="246"/>
        <v>0</v>
      </c>
      <c r="AZ483" s="28">
        <f t="shared" si="247"/>
        <v>0</v>
      </c>
      <c r="BA483" s="28">
        <f t="shared" si="248"/>
        <v>0</v>
      </c>
      <c r="BB483" s="28">
        <f t="shared" si="249"/>
        <v>0</v>
      </c>
      <c r="BC483" s="28">
        <f t="shared" si="250"/>
        <v>0</v>
      </c>
      <c r="BD483" s="3439">
        <f t="shared" si="251"/>
        <v>0</v>
      </c>
      <c r="BE483" s="3439">
        <f t="shared" si="252"/>
        <v>0</v>
      </c>
      <c r="BF483" s="3439">
        <f t="shared" si="253"/>
        <v>0</v>
      </c>
      <c r="BG483" s="3439">
        <f t="shared" si="254"/>
        <v>0</v>
      </c>
      <c r="BH483" s="3439">
        <f t="shared" si="255"/>
        <v>0</v>
      </c>
      <c r="BI483" s="3439">
        <f t="shared" si="256"/>
        <v>0</v>
      </c>
      <c r="BJ483" s="3439">
        <f t="shared" si="257"/>
        <v>0</v>
      </c>
      <c r="BK483" s="3439">
        <f t="shared" si="258"/>
        <v>0</v>
      </c>
      <c r="BL483" s="28">
        <f t="shared" si="259"/>
        <v>0</v>
      </c>
      <c r="BM483" s="28">
        <f t="shared" si="260"/>
        <v>0</v>
      </c>
      <c r="BN483" s="28">
        <f t="shared" si="261"/>
        <v>0</v>
      </c>
      <c r="BO483" s="28">
        <f t="shared" si="262"/>
        <v>0</v>
      </c>
      <c r="BP483" s="28">
        <f t="shared" si="263"/>
        <v>0</v>
      </c>
      <c r="BQ483" s="3439">
        <f t="shared" si="264"/>
        <v>0</v>
      </c>
      <c r="BR483" s="3439">
        <f t="shared" si="265"/>
        <v>0</v>
      </c>
      <c r="BS483" s="3439">
        <f t="shared" si="266"/>
        <v>0</v>
      </c>
      <c r="BT483" s="3451">
        <f t="shared" si="267"/>
        <v>0</v>
      </c>
    </row>
    <row r="484" spans="1:72">
      <c r="A484" s="9"/>
      <c r="B484" s="27"/>
      <c r="C484" s="27"/>
      <c r="D484" s="1678"/>
      <c r="E484" s="28">
        <f t="shared" si="239"/>
        <v>0</v>
      </c>
      <c r="F484" s="29"/>
      <c r="G484" s="30">
        <f t="shared" si="240"/>
        <v>0</v>
      </c>
      <c r="H484" s="31">
        <f t="shared" si="241"/>
        <v>0</v>
      </c>
      <c r="I484" s="32"/>
      <c r="J484" s="32"/>
      <c r="K484" s="32"/>
      <c r="L484" s="32"/>
      <c r="M484" s="32"/>
      <c r="N484" s="32"/>
      <c r="O484" s="32"/>
      <c r="P484" s="32"/>
      <c r="Q484" s="32"/>
      <c r="R484" s="32"/>
      <c r="S484" s="32"/>
      <c r="T484" s="32"/>
      <c r="U484" s="32"/>
      <c r="V484" s="32"/>
      <c r="W484" s="32"/>
      <c r="X484" s="32"/>
      <c r="Y484" s="32"/>
      <c r="Z484" s="32"/>
      <c r="AA484" s="32"/>
      <c r="AB484" s="32"/>
      <c r="AC484" s="28">
        <f t="shared" si="242"/>
        <v>0</v>
      </c>
      <c r="AD484" s="33"/>
      <c r="AE484" s="33"/>
      <c r="AF484" s="33"/>
      <c r="AG484" s="33"/>
      <c r="AH484" s="33"/>
      <c r="AI484" s="33"/>
      <c r="AJ484" s="33"/>
      <c r="AK484" s="33"/>
      <c r="AL484" s="33"/>
      <c r="AM484" s="33"/>
      <c r="AN484" s="33"/>
      <c r="AO484" s="33"/>
      <c r="AP484" s="33"/>
      <c r="AQ484" s="33"/>
      <c r="AR484" s="33"/>
      <c r="AS484" s="33"/>
      <c r="AT484" s="34"/>
      <c r="AU484" s="1679"/>
      <c r="AV484" s="2256">
        <f t="shared" si="243"/>
        <v>0</v>
      </c>
      <c r="AW484" s="2256">
        <f t="shared" si="244"/>
        <v>0</v>
      </c>
      <c r="AX484" s="2256">
        <f t="shared" si="245"/>
        <v>0</v>
      </c>
      <c r="AY484" s="2781">
        <f t="shared" si="246"/>
        <v>0</v>
      </c>
      <c r="AZ484" s="28">
        <f t="shared" si="247"/>
        <v>0</v>
      </c>
      <c r="BA484" s="28">
        <f t="shared" si="248"/>
        <v>0</v>
      </c>
      <c r="BB484" s="28">
        <f t="shared" si="249"/>
        <v>0</v>
      </c>
      <c r="BC484" s="28">
        <f t="shared" si="250"/>
        <v>0</v>
      </c>
      <c r="BD484" s="3439">
        <f t="shared" si="251"/>
        <v>0</v>
      </c>
      <c r="BE484" s="3439">
        <f t="shared" si="252"/>
        <v>0</v>
      </c>
      <c r="BF484" s="3439">
        <f t="shared" si="253"/>
        <v>0</v>
      </c>
      <c r="BG484" s="3439">
        <f t="shared" si="254"/>
        <v>0</v>
      </c>
      <c r="BH484" s="3439">
        <f t="shared" si="255"/>
        <v>0</v>
      </c>
      <c r="BI484" s="3439">
        <f t="shared" si="256"/>
        <v>0</v>
      </c>
      <c r="BJ484" s="3439">
        <f t="shared" si="257"/>
        <v>0</v>
      </c>
      <c r="BK484" s="3439">
        <f t="shared" si="258"/>
        <v>0</v>
      </c>
      <c r="BL484" s="28">
        <f t="shared" si="259"/>
        <v>0</v>
      </c>
      <c r="BM484" s="28">
        <f t="shared" si="260"/>
        <v>0</v>
      </c>
      <c r="BN484" s="28">
        <f t="shared" si="261"/>
        <v>0</v>
      </c>
      <c r="BO484" s="28">
        <f t="shared" si="262"/>
        <v>0</v>
      </c>
      <c r="BP484" s="28">
        <f t="shared" si="263"/>
        <v>0</v>
      </c>
      <c r="BQ484" s="3439">
        <f t="shared" si="264"/>
        <v>0</v>
      </c>
      <c r="BR484" s="3439">
        <f t="shared" si="265"/>
        <v>0</v>
      </c>
      <c r="BS484" s="3439">
        <f t="shared" si="266"/>
        <v>0</v>
      </c>
      <c r="BT484" s="3451">
        <f t="shared" si="267"/>
        <v>0</v>
      </c>
    </row>
    <row r="485" spans="1:72">
      <c r="A485" s="9"/>
      <c r="B485" s="27"/>
      <c r="C485" s="27"/>
      <c r="D485" s="1678"/>
      <c r="E485" s="28">
        <f t="shared" si="239"/>
        <v>0</v>
      </c>
      <c r="F485" s="29"/>
      <c r="G485" s="30">
        <f t="shared" si="240"/>
        <v>0</v>
      </c>
      <c r="H485" s="31">
        <f t="shared" si="241"/>
        <v>0</v>
      </c>
      <c r="I485" s="32"/>
      <c r="J485" s="32"/>
      <c r="K485" s="32"/>
      <c r="L485" s="32"/>
      <c r="M485" s="32"/>
      <c r="N485" s="32"/>
      <c r="O485" s="32"/>
      <c r="P485" s="32"/>
      <c r="Q485" s="32"/>
      <c r="R485" s="32"/>
      <c r="S485" s="32"/>
      <c r="T485" s="32"/>
      <c r="U485" s="32"/>
      <c r="V485" s="32"/>
      <c r="W485" s="32"/>
      <c r="X485" s="32"/>
      <c r="Y485" s="32"/>
      <c r="Z485" s="32"/>
      <c r="AA485" s="32"/>
      <c r="AB485" s="32"/>
      <c r="AC485" s="28">
        <f t="shared" si="242"/>
        <v>0</v>
      </c>
      <c r="AD485" s="33"/>
      <c r="AE485" s="33"/>
      <c r="AF485" s="33"/>
      <c r="AG485" s="33"/>
      <c r="AH485" s="33"/>
      <c r="AI485" s="33"/>
      <c r="AJ485" s="33"/>
      <c r="AK485" s="33"/>
      <c r="AL485" s="33"/>
      <c r="AM485" s="33"/>
      <c r="AN485" s="33"/>
      <c r="AO485" s="33"/>
      <c r="AP485" s="33"/>
      <c r="AQ485" s="33"/>
      <c r="AR485" s="33"/>
      <c r="AS485" s="33"/>
      <c r="AT485" s="34"/>
      <c r="AU485" s="1679"/>
      <c r="AV485" s="2256">
        <f t="shared" si="243"/>
        <v>0</v>
      </c>
      <c r="AW485" s="2256">
        <f t="shared" si="244"/>
        <v>0</v>
      </c>
      <c r="AX485" s="2256">
        <f t="shared" si="245"/>
        <v>0</v>
      </c>
      <c r="AY485" s="2781">
        <f t="shared" si="246"/>
        <v>0</v>
      </c>
      <c r="AZ485" s="28">
        <f t="shared" si="247"/>
        <v>0</v>
      </c>
      <c r="BA485" s="28">
        <f t="shared" si="248"/>
        <v>0</v>
      </c>
      <c r="BB485" s="28">
        <f t="shared" si="249"/>
        <v>0</v>
      </c>
      <c r="BC485" s="28">
        <f t="shared" si="250"/>
        <v>0</v>
      </c>
      <c r="BD485" s="3439">
        <f t="shared" si="251"/>
        <v>0</v>
      </c>
      <c r="BE485" s="3439">
        <f t="shared" si="252"/>
        <v>0</v>
      </c>
      <c r="BF485" s="3439">
        <f t="shared" si="253"/>
        <v>0</v>
      </c>
      <c r="BG485" s="3439">
        <f t="shared" si="254"/>
        <v>0</v>
      </c>
      <c r="BH485" s="3439">
        <f t="shared" si="255"/>
        <v>0</v>
      </c>
      <c r="BI485" s="3439">
        <f t="shared" si="256"/>
        <v>0</v>
      </c>
      <c r="BJ485" s="3439">
        <f t="shared" si="257"/>
        <v>0</v>
      </c>
      <c r="BK485" s="3439">
        <f t="shared" si="258"/>
        <v>0</v>
      </c>
      <c r="BL485" s="28">
        <f t="shared" si="259"/>
        <v>0</v>
      </c>
      <c r="BM485" s="28">
        <f t="shared" si="260"/>
        <v>0</v>
      </c>
      <c r="BN485" s="28">
        <f t="shared" si="261"/>
        <v>0</v>
      </c>
      <c r="BO485" s="28">
        <f t="shared" si="262"/>
        <v>0</v>
      </c>
      <c r="BP485" s="28">
        <f t="shared" si="263"/>
        <v>0</v>
      </c>
      <c r="BQ485" s="3439">
        <f t="shared" si="264"/>
        <v>0</v>
      </c>
      <c r="BR485" s="3439">
        <f t="shared" si="265"/>
        <v>0</v>
      </c>
      <c r="BS485" s="3439">
        <f t="shared" si="266"/>
        <v>0</v>
      </c>
      <c r="BT485" s="3451">
        <f t="shared" si="267"/>
        <v>0</v>
      </c>
    </row>
    <row r="486" spans="1:72">
      <c r="A486" s="9"/>
      <c r="B486" s="27"/>
      <c r="C486" s="27"/>
      <c r="D486" s="1678"/>
      <c r="E486" s="28">
        <f t="shared" si="239"/>
        <v>0</v>
      </c>
      <c r="F486" s="29"/>
      <c r="G486" s="30">
        <f t="shared" si="240"/>
        <v>0</v>
      </c>
      <c r="H486" s="31">
        <f t="shared" si="241"/>
        <v>0</v>
      </c>
      <c r="I486" s="32"/>
      <c r="J486" s="32"/>
      <c r="K486" s="32"/>
      <c r="L486" s="32"/>
      <c r="M486" s="32"/>
      <c r="N486" s="32"/>
      <c r="O486" s="32"/>
      <c r="P486" s="32"/>
      <c r="Q486" s="32"/>
      <c r="R486" s="32"/>
      <c r="S486" s="32"/>
      <c r="T486" s="32"/>
      <c r="U486" s="32"/>
      <c r="V486" s="32"/>
      <c r="W486" s="32"/>
      <c r="X486" s="32"/>
      <c r="Y486" s="32"/>
      <c r="Z486" s="32"/>
      <c r="AA486" s="32"/>
      <c r="AB486" s="32"/>
      <c r="AC486" s="28">
        <f t="shared" si="242"/>
        <v>0</v>
      </c>
      <c r="AD486" s="33"/>
      <c r="AE486" s="33"/>
      <c r="AF486" s="33"/>
      <c r="AG486" s="33"/>
      <c r="AH486" s="33"/>
      <c r="AI486" s="33"/>
      <c r="AJ486" s="33"/>
      <c r="AK486" s="33"/>
      <c r="AL486" s="33"/>
      <c r="AM486" s="33"/>
      <c r="AN486" s="33"/>
      <c r="AO486" s="33"/>
      <c r="AP486" s="33"/>
      <c r="AQ486" s="33"/>
      <c r="AR486" s="33"/>
      <c r="AS486" s="33"/>
      <c r="AT486" s="34"/>
      <c r="AU486" s="1679"/>
      <c r="AV486" s="2256">
        <f t="shared" si="243"/>
        <v>0</v>
      </c>
      <c r="AW486" s="2256">
        <f t="shared" si="244"/>
        <v>0</v>
      </c>
      <c r="AX486" s="2256">
        <f t="shared" si="245"/>
        <v>0</v>
      </c>
      <c r="AY486" s="2781">
        <f t="shared" si="246"/>
        <v>0</v>
      </c>
      <c r="AZ486" s="28">
        <f t="shared" si="247"/>
        <v>0</v>
      </c>
      <c r="BA486" s="28">
        <f t="shared" si="248"/>
        <v>0</v>
      </c>
      <c r="BB486" s="28">
        <f t="shared" si="249"/>
        <v>0</v>
      </c>
      <c r="BC486" s="28">
        <f t="shared" si="250"/>
        <v>0</v>
      </c>
      <c r="BD486" s="3439">
        <f t="shared" si="251"/>
        <v>0</v>
      </c>
      <c r="BE486" s="3439">
        <f t="shared" si="252"/>
        <v>0</v>
      </c>
      <c r="BF486" s="3439">
        <f t="shared" si="253"/>
        <v>0</v>
      </c>
      <c r="BG486" s="3439">
        <f t="shared" si="254"/>
        <v>0</v>
      </c>
      <c r="BH486" s="3439">
        <f t="shared" si="255"/>
        <v>0</v>
      </c>
      <c r="BI486" s="3439">
        <f t="shared" si="256"/>
        <v>0</v>
      </c>
      <c r="BJ486" s="3439">
        <f t="shared" si="257"/>
        <v>0</v>
      </c>
      <c r="BK486" s="3439">
        <f t="shared" si="258"/>
        <v>0</v>
      </c>
      <c r="BL486" s="28">
        <f t="shared" si="259"/>
        <v>0</v>
      </c>
      <c r="BM486" s="28">
        <f t="shared" si="260"/>
        <v>0</v>
      </c>
      <c r="BN486" s="28">
        <f t="shared" si="261"/>
        <v>0</v>
      </c>
      <c r="BO486" s="28">
        <f t="shared" si="262"/>
        <v>0</v>
      </c>
      <c r="BP486" s="28">
        <f t="shared" si="263"/>
        <v>0</v>
      </c>
      <c r="BQ486" s="3439">
        <f t="shared" si="264"/>
        <v>0</v>
      </c>
      <c r="BR486" s="3439">
        <f t="shared" si="265"/>
        <v>0</v>
      </c>
      <c r="BS486" s="3439">
        <f t="shared" si="266"/>
        <v>0</v>
      </c>
      <c r="BT486" s="3451">
        <f t="shared" si="267"/>
        <v>0</v>
      </c>
    </row>
    <row r="487" spans="1:72">
      <c r="A487" s="9"/>
      <c r="B487" s="27"/>
      <c r="C487" s="27"/>
      <c r="D487" s="1678"/>
      <c r="E487" s="28">
        <f t="shared" si="239"/>
        <v>0</v>
      </c>
      <c r="F487" s="29"/>
      <c r="G487" s="30">
        <f t="shared" si="240"/>
        <v>0</v>
      </c>
      <c r="H487" s="31">
        <f t="shared" si="241"/>
        <v>0</v>
      </c>
      <c r="I487" s="32"/>
      <c r="J487" s="32"/>
      <c r="K487" s="32"/>
      <c r="L487" s="32"/>
      <c r="M487" s="32"/>
      <c r="N487" s="32"/>
      <c r="O487" s="32"/>
      <c r="P487" s="32"/>
      <c r="Q487" s="32"/>
      <c r="R487" s="32"/>
      <c r="S487" s="32"/>
      <c r="T487" s="32"/>
      <c r="U487" s="32"/>
      <c r="V487" s="32"/>
      <c r="W487" s="32"/>
      <c r="X487" s="32"/>
      <c r="Y487" s="32"/>
      <c r="Z487" s="32"/>
      <c r="AA487" s="32"/>
      <c r="AB487" s="32"/>
      <c r="AC487" s="28">
        <f t="shared" si="242"/>
        <v>0</v>
      </c>
      <c r="AD487" s="33"/>
      <c r="AE487" s="33"/>
      <c r="AF487" s="33"/>
      <c r="AG487" s="33"/>
      <c r="AH487" s="33"/>
      <c r="AI487" s="33"/>
      <c r="AJ487" s="33"/>
      <c r="AK487" s="33"/>
      <c r="AL487" s="33"/>
      <c r="AM487" s="33"/>
      <c r="AN487" s="33"/>
      <c r="AO487" s="33"/>
      <c r="AP487" s="33"/>
      <c r="AQ487" s="33"/>
      <c r="AR487" s="33"/>
      <c r="AS487" s="33"/>
      <c r="AT487" s="34"/>
      <c r="AU487" s="1679"/>
      <c r="AV487" s="2256">
        <f t="shared" si="243"/>
        <v>0</v>
      </c>
      <c r="AW487" s="2256">
        <f t="shared" si="244"/>
        <v>0</v>
      </c>
      <c r="AX487" s="2256">
        <f t="shared" si="245"/>
        <v>0</v>
      </c>
      <c r="AY487" s="2781">
        <f t="shared" si="246"/>
        <v>0</v>
      </c>
      <c r="AZ487" s="28">
        <f t="shared" si="247"/>
        <v>0</v>
      </c>
      <c r="BA487" s="28">
        <f t="shared" si="248"/>
        <v>0</v>
      </c>
      <c r="BB487" s="28">
        <f t="shared" si="249"/>
        <v>0</v>
      </c>
      <c r="BC487" s="28">
        <f t="shared" si="250"/>
        <v>0</v>
      </c>
      <c r="BD487" s="3439">
        <f t="shared" si="251"/>
        <v>0</v>
      </c>
      <c r="BE487" s="3439">
        <f t="shared" si="252"/>
        <v>0</v>
      </c>
      <c r="BF487" s="3439">
        <f t="shared" si="253"/>
        <v>0</v>
      </c>
      <c r="BG487" s="3439">
        <f t="shared" si="254"/>
        <v>0</v>
      </c>
      <c r="BH487" s="3439">
        <f t="shared" si="255"/>
        <v>0</v>
      </c>
      <c r="BI487" s="3439">
        <f t="shared" si="256"/>
        <v>0</v>
      </c>
      <c r="BJ487" s="3439">
        <f t="shared" si="257"/>
        <v>0</v>
      </c>
      <c r="BK487" s="3439">
        <f t="shared" si="258"/>
        <v>0</v>
      </c>
      <c r="BL487" s="28">
        <f t="shared" si="259"/>
        <v>0</v>
      </c>
      <c r="BM487" s="28">
        <f t="shared" si="260"/>
        <v>0</v>
      </c>
      <c r="BN487" s="28">
        <f t="shared" si="261"/>
        <v>0</v>
      </c>
      <c r="BO487" s="28">
        <f t="shared" si="262"/>
        <v>0</v>
      </c>
      <c r="BP487" s="28">
        <f t="shared" si="263"/>
        <v>0</v>
      </c>
      <c r="BQ487" s="3439">
        <f t="shared" si="264"/>
        <v>0</v>
      </c>
      <c r="BR487" s="3439">
        <f t="shared" si="265"/>
        <v>0</v>
      </c>
      <c r="BS487" s="3439">
        <f t="shared" si="266"/>
        <v>0</v>
      </c>
      <c r="BT487" s="3451">
        <f t="shared" si="267"/>
        <v>0</v>
      </c>
    </row>
    <row r="488" spans="1:72">
      <c r="A488" s="9"/>
      <c r="B488" s="27"/>
      <c r="C488" s="27"/>
      <c r="D488" s="1678"/>
      <c r="E488" s="28">
        <f t="shared" si="239"/>
        <v>0</v>
      </c>
      <c r="F488" s="29"/>
      <c r="G488" s="30">
        <f t="shared" si="240"/>
        <v>0</v>
      </c>
      <c r="H488" s="31">
        <f t="shared" si="241"/>
        <v>0</v>
      </c>
      <c r="I488" s="32"/>
      <c r="J488" s="32"/>
      <c r="K488" s="32"/>
      <c r="L488" s="32"/>
      <c r="M488" s="32"/>
      <c r="N488" s="32"/>
      <c r="O488" s="32"/>
      <c r="P488" s="32"/>
      <c r="Q488" s="32"/>
      <c r="R488" s="32"/>
      <c r="S488" s="32"/>
      <c r="T488" s="32"/>
      <c r="U488" s="32"/>
      <c r="V488" s="32"/>
      <c r="W488" s="32"/>
      <c r="X488" s="32"/>
      <c r="Y488" s="32"/>
      <c r="Z488" s="32"/>
      <c r="AA488" s="32"/>
      <c r="AB488" s="32"/>
      <c r="AC488" s="28">
        <f t="shared" si="242"/>
        <v>0</v>
      </c>
      <c r="AD488" s="33"/>
      <c r="AE488" s="33"/>
      <c r="AF488" s="33"/>
      <c r="AG488" s="33"/>
      <c r="AH488" s="33"/>
      <c r="AI488" s="33"/>
      <c r="AJ488" s="33"/>
      <c r="AK488" s="33"/>
      <c r="AL488" s="33"/>
      <c r="AM488" s="33"/>
      <c r="AN488" s="33"/>
      <c r="AO488" s="33"/>
      <c r="AP488" s="33"/>
      <c r="AQ488" s="33"/>
      <c r="AR488" s="33"/>
      <c r="AS488" s="33"/>
      <c r="AT488" s="34"/>
      <c r="AU488" s="1679"/>
      <c r="AV488" s="2256">
        <f t="shared" si="243"/>
        <v>0</v>
      </c>
      <c r="AW488" s="2256">
        <f t="shared" si="244"/>
        <v>0</v>
      </c>
      <c r="AX488" s="2256">
        <f t="shared" si="245"/>
        <v>0</v>
      </c>
      <c r="AY488" s="2781">
        <f t="shared" si="246"/>
        <v>0</v>
      </c>
      <c r="AZ488" s="28">
        <f t="shared" si="247"/>
        <v>0</v>
      </c>
      <c r="BA488" s="28">
        <f t="shared" si="248"/>
        <v>0</v>
      </c>
      <c r="BB488" s="28">
        <f t="shared" si="249"/>
        <v>0</v>
      </c>
      <c r="BC488" s="28">
        <f t="shared" si="250"/>
        <v>0</v>
      </c>
      <c r="BD488" s="3439">
        <f t="shared" si="251"/>
        <v>0</v>
      </c>
      <c r="BE488" s="3439">
        <f t="shared" si="252"/>
        <v>0</v>
      </c>
      <c r="BF488" s="3439">
        <f t="shared" si="253"/>
        <v>0</v>
      </c>
      <c r="BG488" s="3439">
        <f t="shared" si="254"/>
        <v>0</v>
      </c>
      <c r="BH488" s="3439">
        <f t="shared" si="255"/>
        <v>0</v>
      </c>
      <c r="BI488" s="3439">
        <f t="shared" si="256"/>
        <v>0</v>
      </c>
      <c r="BJ488" s="3439">
        <f t="shared" si="257"/>
        <v>0</v>
      </c>
      <c r="BK488" s="3439">
        <f t="shared" si="258"/>
        <v>0</v>
      </c>
      <c r="BL488" s="28">
        <f t="shared" si="259"/>
        <v>0</v>
      </c>
      <c r="BM488" s="28">
        <f t="shared" si="260"/>
        <v>0</v>
      </c>
      <c r="BN488" s="28">
        <f t="shared" si="261"/>
        <v>0</v>
      </c>
      <c r="BO488" s="28">
        <f t="shared" si="262"/>
        <v>0</v>
      </c>
      <c r="BP488" s="28">
        <f t="shared" si="263"/>
        <v>0</v>
      </c>
      <c r="BQ488" s="3439">
        <f t="shared" si="264"/>
        <v>0</v>
      </c>
      <c r="BR488" s="3439">
        <f t="shared" si="265"/>
        <v>0</v>
      </c>
      <c r="BS488" s="3439">
        <f t="shared" si="266"/>
        <v>0</v>
      </c>
      <c r="BT488" s="3451">
        <f t="shared" si="267"/>
        <v>0</v>
      </c>
    </row>
    <row r="489" spans="1:72">
      <c r="A489" s="9"/>
      <c r="B489" s="27"/>
      <c r="C489" s="27"/>
      <c r="D489" s="1678"/>
      <c r="E489" s="28">
        <f t="shared" si="239"/>
        <v>0</v>
      </c>
      <c r="F489" s="29"/>
      <c r="G489" s="30">
        <f t="shared" si="240"/>
        <v>0</v>
      </c>
      <c r="H489" s="31">
        <f t="shared" si="241"/>
        <v>0</v>
      </c>
      <c r="I489" s="32"/>
      <c r="J489" s="32"/>
      <c r="K489" s="32"/>
      <c r="L489" s="32"/>
      <c r="M489" s="32"/>
      <c r="N489" s="32"/>
      <c r="O489" s="32"/>
      <c r="P489" s="32"/>
      <c r="Q489" s="32"/>
      <c r="R489" s="32"/>
      <c r="S489" s="32"/>
      <c r="T489" s="32"/>
      <c r="U489" s="32"/>
      <c r="V489" s="32"/>
      <c r="W489" s="32"/>
      <c r="X489" s="32"/>
      <c r="Y489" s="32"/>
      <c r="Z489" s="32"/>
      <c r="AA489" s="32"/>
      <c r="AB489" s="32"/>
      <c r="AC489" s="28">
        <f t="shared" si="242"/>
        <v>0</v>
      </c>
      <c r="AD489" s="33"/>
      <c r="AE489" s="33"/>
      <c r="AF489" s="33"/>
      <c r="AG489" s="33"/>
      <c r="AH489" s="33"/>
      <c r="AI489" s="33"/>
      <c r="AJ489" s="33"/>
      <c r="AK489" s="33"/>
      <c r="AL489" s="33"/>
      <c r="AM489" s="33"/>
      <c r="AN489" s="33"/>
      <c r="AO489" s="33"/>
      <c r="AP489" s="33"/>
      <c r="AQ489" s="33"/>
      <c r="AR489" s="33"/>
      <c r="AS489" s="33"/>
      <c r="AT489" s="34"/>
      <c r="AU489" s="1679"/>
      <c r="AV489" s="2256">
        <f t="shared" si="243"/>
        <v>0</v>
      </c>
      <c r="AW489" s="2256">
        <f t="shared" si="244"/>
        <v>0</v>
      </c>
      <c r="AX489" s="2256">
        <f t="shared" si="245"/>
        <v>0</v>
      </c>
      <c r="AY489" s="2781">
        <f t="shared" si="246"/>
        <v>0</v>
      </c>
      <c r="AZ489" s="28">
        <f t="shared" si="247"/>
        <v>0</v>
      </c>
      <c r="BA489" s="28">
        <f t="shared" si="248"/>
        <v>0</v>
      </c>
      <c r="BB489" s="28">
        <f t="shared" si="249"/>
        <v>0</v>
      </c>
      <c r="BC489" s="28">
        <f t="shared" si="250"/>
        <v>0</v>
      </c>
      <c r="BD489" s="3439">
        <f t="shared" si="251"/>
        <v>0</v>
      </c>
      <c r="BE489" s="3439">
        <f t="shared" si="252"/>
        <v>0</v>
      </c>
      <c r="BF489" s="3439">
        <f t="shared" si="253"/>
        <v>0</v>
      </c>
      <c r="BG489" s="3439">
        <f t="shared" si="254"/>
        <v>0</v>
      </c>
      <c r="BH489" s="3439">
        <f t="shared" si="255"/>
        <v>0</v>
      </c>
      <c r="BI489" s="3439">
        <f t="shared" si="256"/>
        <v>0</v>
      </c>
      <c r="BJ489" s="3439">
        <f t="shared" si="257"/>
        <v>0</v>
      </c>
      <c r="BK489" s="3439">
        <f t="shared" si="258"/>
        <v>0</v>
      </c>
      <c r="BL489" s="28">
        <f t="shared" si="259"/>
        <v>0</v>
      </c>
      <c r="BM489" s="28">
        <f t="shared" si="260"/>
        <v>0</v>
      </c>
      <c r="BN489" s="28">
        <f t="shared" si="261"/>
        <v>0</v>
      </c>
      <c r="BO489" s="28">
        <f t="shared" si="262"/>
        <v>0</v>
      </c>
      <c r="BP489" s="28">
        <f t="shared" si="263"/>
        <v>0</v>
      </c>
      <c r="BQ489" s="3439">
        <f t="shared" si="264"/>
        <v>0</v>
      </c>
      <c r="BR489" s="3439">
        <f t="shared" si="265"/>
        <v>0</v>
      </c>
      <c r="BS489" s="3439">
        <f t="shared" si="266"/>
        <v>0</v>
      </c>
      <c r="BT489" s="3451">
        <f t="shared" si="267"/>
        <v>0</v>
      </c>
    </row>
    <row r="490" spans="1:72">
      <c r="A490" s="9"/>
      <c r="B490" s="9"/>
      <c r="C490" s="9"/>
      <c r="D490" s="1678"/>
      <c r="E490" s="28">
        <f t="shared" si="239"/>
        <v>0</v>
      </c>
      <c r="F490" s="37"/>
      <c r="G490" s="30">
        <f t="shared" ref="G490:G521" si="268">H490+AC490+AT490</f>
        <v>0</v>
      </c>
      <c r="H490" s="31">
        <f t="shared" ref="H490:H521" si="269">SUMIF(I$12:AB$12,"总值",I490:AB490)</f>
        <v>0</v>
      </c>
      <c r="I490" s="10"/>
      <c r="J490" s="10"/>
      <c r="K490" s="32"/>
      <c r="L490" s="32"/>
      <c r="M490" s="32"/>
      <c r="N490" s="32"/>
      <c r="O490" s="32"/>
      <c r="P490" s="32"/>
      <c r="Q490" s="32"/>
      <c r="R490" s="32"/>
      <c r="S490" s="32"/>
      <c r="T490" s="32"/>
      <c r="U490" s="32"/>
      <c r="V490" s="32"/>
      <c r="W490" s="32"/>
      <c r="X490" s="32"/>
      <c r="Y490" s="32"/>
      <c r="Z490" s="32"/>
      <c r="AA490" s="32"/>
      <c r="AB490" s="32"/>
      <c r="AC490" s="28">
        <f t="shared" ref="AC490:AC521" si="270">SUMIF(AD$12:AS$12,"总值",AD490:AS490)</f>
        <v>0</v>
      </c>
      <c r="AD490" s="33"/>
      <c r="AE490" s="33"/>
      <c r="AF490" s="33"/>
      <c r="AG490" s="33"/>
      <c r="AH490" s="33"/>
      <c r="AI490" s="33"/>
      <c r="AJ490" s="33"/>
      <c r="AK490" s="33"/>
      <c r="AL490" s="33"/>
      <c r="AM490" s="33"/>
      <c r="AN490" s="33"/>
      <c r="AO490" s="33"/>
      <c r="AP490" s="33"/>
      <c r="AQ490" s="33"/>
      <c r="AR490" s="33"/>
      <c r="AS490" s="33"/>
      <c r="AT490" s="33"/>
      <c r="AU490" s="1626"/>
      <c r="AV490" s="2256">
        <f t="shared" si="243"/>
        <v>0</v>
      </c>
      <c r="AW490" s="2256">
        <f t="shared" si="244"/>
        <v>0</v>
      </c>
      <c r="AX490" s="2256">
        <f t="shared" si="245"/>
        <v>0</v>
      </c>
      <c r="AY490" s="2781">
        <f t="shared" ref="AY490:AY521" si="271">ROUND($AY$6*AZ490/$AZ$5,2)</f>
        <v>0</v>
      </c>
      <c r="AZ490" s="28">
        <f t="shared" ref="AZ490:AZ521" si="272">BA490+BL490</f>
        <v>0</v>
      </c>
      <c r="BA490" s="28">
        <f t="shared" ref="BA490:BA521" si="273">SUM(BB490:BK490)</f>
        <v>0</v>
      </c>
      <c r="BB490" s="28">
        <f t="shared" ref="BB490:BB521" si="274">IF($D490="是",I490-J490,0)</f>
        <v>0</v>
      </c>
      <c r="BC490" s="28">
        <f t="shared" ref="BC490:BC521" si="275">IF($D490="是",K490-L490,0)</f>
        <v>0</v>
      </c>
      <c r="BD490" s="3439">
        <f t="shared" ref="BD490:BD521" si="276">IF($D490="是",M490-N490,0)</f>
        <v>0</v>
      </c>
      <c r="BE490" s="3439">
        <f t="shared" ref="BE490:BE521" si="277">IF($D490="是",O490-P490,0)</f>
        <v>0</v>
      </c>
      <c r="BF490" s="3439">
        <f t="shared" ref="BF490:BF521" si="278">IF($D490="是",Q490-R490,0)</f>
        <v>0</v>
      </c>
      <c r="BG490" s="3439">
        <f t="shared" ref="BG490:BG521" si="279">IF($D490="是",S490-T490,0)</f>
        <v>0</v>
      </c>
      <c r="BH490" s="3439">
        <f t="shared" ref="BH490:BH521" si="280">IF($D490="是",U490-V490,0)</f>
        <v>0</v>
      </c>
      <c r="BI490" s="3439">
        <f t="shared" ref="BI490:BI521" si="281">IF($D490="是",W490-X490,0)</f>
        <v>0</v>
      </c>
      <c r="BJ490" s="3439">
        <f t="shared" ref="BJ490:BJ521" si="282">IF($D490="是",Y490-Z490,0)</f>
        <v>0</v>
      </c>
      <c r="BK490" s="3439">
        <f t="shared" ref="BK490:BK521" si="283">IF($D490="是",AA490-AB490,0)</f>
        <v>0</v>
      </c>
      <c r="BL490" s="28">
        <f t="shared" ref="BL490:BL521" si="284">SUM(BM490:BT490)</f>
        <v>0</v>
      </c>
      <c r="BM490" s="28">
        <f t="shared" ref="BM490:BM521" si="285">IF($D490="是",AD490-AE490,0)</f>
        <v>0</v>
      </c>
      <c r="BN490" s="28">
        <f t="shared" ref="BN490:BN521" si="286">IF($D490="是",AF490-AG490,0)</f>
        <v>0</v>
      </c>
      <c r="BO490" s="28">
        <f t="shared" ref="BO490:BO521" si="287">IF($D490="是",AH490-AI490,0)</f>
        <v>0</v>
      </c>
      <c r="BP490" s="28">
        <f t="shared" ref="BP490:BP521" si="288">IF($D490="是",AJ490-AK490,0)</f>
        <v>0</v>
      </c>
      <c r="BQ490" s="3439">
        <f t="shared" ref="BQ490:BQ521" si="289">IF($D490="是",AL490-AM490,0)</f>
        <v>0</v>
      </c>
      <c r="BR490" s="3439">
        <f t="shared" ref="BR490:BR521" si="290">IF($D490="是",AN490-AO490,0)</f>
        <v>0</v>
      </c>
      <c r="BS490" s="3439">
        <f t="shared" ref="BS490:BS521" si="291">IF($D490="是",AP490-AQ490,0)</f>
        <v>0</v>
      </c>
      <c r="BT490" s="3451">
        <f t="shared" ref="BT490:BT521" si="292">IF($D490="是",AR490-AS490,0)</f>
        <v>0</v>
      </c>
    </row>
    <row r="491" spans="1:72">
      <c r="A491" s="9"/>
      <c r="B491" s="9"/>
      <c r="C491" s="9"/>
      <c r="D491" s="1678"/>
      <c r="E491" s="28">
        <f t="shared" si="239"/>
        <v>0</v>
      </c>
      <c r="F491" s="37"/>
      <c r="G491" s="30">
        <f t="shared" si="268"/>
        <v>0</v>
      </c>
      <c r="H491" s="31">
        <f t="shared" si="269"/>
        <v>0</v>
      </c>
      <c r="I491" s="32"/>
      <c r="J491" s="32"/>
      <c r="K491" s="32"/>
      <c r="L491" s="32"/>
      <c r="M491" s="32"/>
      <c r="N491" s="32"/>
      <c r="O491" s="32"/>
      <c r="P491" s="32"/>
      <c r="Q491" s="32"/>
      <c r="R491" s="32"/>
      <c r="S491" s="32"/>
      <c r="T491" s="32"/>
      <c r="U491" s="32"/>
      <c r="V491" s="32"/>
      <c r="W491" s="32"/>
      <c r="X491" s="32"/>
      <c r="Y491" s="32"/>
      <c r="Z491" s="32"/>
      <c r="AA491" s="32"/>
      <c r="AB491" s="32"/>
      <c r="AC491" s="28">
        <f t="shared" si="270"/>
        <v>0</v>
      </c>
      <c r="AD491" s="33"/>
      <c r="AE491" s="33"/>
      <c r="AF491" s="33"/>
      <c r="AG491" s="33"/>
      <c r="AH491" s="33"/>
      <c r="AI491" s="33"/>
      <c r="AJ491" s="33"/>
      <c r="AK491" s="33"/>
      <c r="AL491" s="33"/>
      <c r="AM491" s="33"/>
      <c r="AN491" s="33"/>
      <c r="AO491" s="33"/>
      <c r="AP491" s="33"/>
      <c r="AQ491" s="33"/>
      <c r="AR491" s="33"/>
      <c r="AS491" s="33"/>
      <c r="AT491" s="33"/>
      <c r="AU491" s="1626"/>
      <c r="AV491" s="2256">
        <f t="shared" si="243"/>
        <v>0</v>
      </c>
      <c r="AW491" s="2256">
        <f t="shared" si="244"/>
        <v>0</v>
      </c>
      <c r="AX491" s="2256">
        <f t="shared" si="245"/>
        <v>0</v>
      </c>
      <c r="AY491" s="2781">
        <f t="shared" si="271"/>
        <v>0</v>
      </c>
      <c r="AZ491" s="28">
        <f t="shared" si="272"/>
        <v>0</v>
      </c>
      <c r="BA491" s="28">
        <f t="shared" si="273"/>
        <v>0</v>
      </c>
      <c r="BB491" s="28">
        <f t="shared" si="274"/>
        <v>0</v>
      </c>
      <c r="BC491" s="28">
        <f t="shared" si="275"/>
        <v>0</v>
      </c>
      <c r="BD491" s="3439">
        <f t="shared" si="276"/>
        <v>0</v>
      </c>
      <c r="BE491" s="3439">
        <f t="shared" si="277"/>
        <v>0</v>
      </c>
      <c r="BF491" s="3439">
        <f t="shared" si="278"/>
        <v>0</v>
      </c>
      <c r="BG491" s="3439">
        <f t="shared" si="279"/>
        <v>0</v>
      </c>
      <c r="BH491" s="3439">
        <f t="shared" si="280"/>
        <v>0</v>
      </c>
      <c r="BI491" s="3439">
        <f t="shared" si="281"/>
        <v>0</v>
      </c>
      <c r="BJ491" s="3439">
        <f t="shared" si="282"/>
        <v>0</v>
      </c>
      <c r="BK491" s="3439">
        <f t="shared" si="283"/>
        <v>0</v>
      </c>
      <c r="BL491" s="28">
        <f t="shared" si="284"/>
        <v>0</v>
      </c>
      <c r="BM491" s="28">
        <f t="shared" si="285"/>
        <v>0</v>
      </c>
      <c r="BN491" s="28">
        <f t="shared" si="286"/>
        <v>0</v>
      </c>
      <c r="BO491" s="28">
        <f t="shared" si="287"/>
        <v>0</v>
      </c>
      <c r="BP491" s="28">
        <f t="shared" si="288"/>
        <v>0</v>
      </c>
      <c r="BQ491" s="3439">
        <f t="shared" si="289"/>
        <v>0</v>
      </c>
      <c r="BR491" s="3439">
        <f t="shared" si="290"/>
        <v>0</v>
      </c>
      <c r="BS491" s="3439">
        <f t="shared" si="291"/>
        <v>0</v>
      </c>
      <c r="BT491" s="3451">
        <f t="shared" si="292"/>
        <v>0</v>
      </c>
    </row>
    <row r="492" spans="1:72">
      <c r="A492" s="9"/>
      <c r="B492" s="9"/>
      <c r="C492" s="9"/>
      <c r="D492" s="1678"/>
      <c r="E492" s="28">
        <f t="shared" si="239"/>
        <v>0</v>
      </c>
      <c r="F492" s="37"/>
      <c r="G492" s="30">
        <f t="shared" si="268"/>
        <v>0</v>
      </c>
      <c r="H492" s="31">
        <f t="shared" si="269"/>
        <v>0</v>
      </c>
      <c r="I492" s="32"/>
      <c r="J492" s="32"/>
      <c r="K492" s="32"/>
      <c r="L492" s="32"/>
      <c r="M492" s="32"/>
      <c r="N492" s="32"/>
      <c r="O492" s="32"/>
      <c r="P492" s="32"/>
      <c r="Q492" s="32"/>
      <c r="R492" s="32"/>
      <c r="S492" s="32"/>
      <c r="T492" s="32"/>
      <c r="U492" s="32"/>
      <c r="V492" s="32"/>
      <c r="W492" s="32"/>
      <c r="X492" s="32"/>
      <c r="Y492" s="32"/>
      <c r="Z492" s="32"/>
      <c r="AA492" s="32"/>
      <c r="AB492" s="32"/>
      <c r="AC492" s="28">
        <f t="shared" si="270"/>
        <v>0</v>
      </c>
      <c r="AD492" s="33"/>
      <c r="AE492" s="33"/>
      <c r="AF492" s="33"/>
      <c r="AG492" s="33"/>
      <c r="AH492" s="33"/>
      <c r="AI492" s="33"/>
      <c r="AJ492" s="33"/>
      <c r="AK492" s="33"/>
      <c r="AL492" s="33"/>
      <c r="AM492" s="33"/>
      <c r="AN492" s="33"/>
      <c r="AO492" s="33"/>
      <c r="AP492" s="33"/>
      <c r="AQ492" s="33"/>
      <c r="AR492" s="33"/>
      <c r="AS492" s="33"/>
      <c r="AT492" s="33"/>
      <c r="AU492" s="1626"/>
      <c r="AV492" s="2256">
        <f t="shared" si="243"/>
        <v>0</v>
      </c>
      <c r="AW492" s="2256">
        <f t="shared" si="244"/>
        <v>0</v>
      </c>
      <c r="AX492" s="2256">
        <f t="shared" si="245"/>
        <v>0</v>
      </c>
      <c r="AY492" s="2781">
        <f t="shared" si="271"/>
        <v>0</v>
      </c>
      <c r="AZ492" s="28">
        <f t="shared" si="272"/>
        <v>0</v>
      </c>
      <c r="BA492" s="28">
        <f t="shared" si="273"/>
        <v>0</v>
      </c>
      <c r="BB492" s="28">
        <f t="shared" si="274"/>
        <v>0</v>
      </c>
      <c r="BC492" s="28">
        <f t="shared" si="275"/>
        <v>0</v>
      </c>
      <c r="BD492" s="3439">
        <f t="shared" si="276"/>
        <v>0</v>
      </c>
      <c r="BE492" s="3439">
        <f t="shared" si="277"/>
        <v>0</v>
      </c>
      <c r="BF492" s="3439">
        <f t="shared" si="278"/>
        <v>0</v>
      </c>
      <c r="BG492" s="3439">
        <f t="shared" si="279"/>
        <v>0</v>
      </c>
      <c r="BH492" s="3439">
        <f t="shared" si="280"/>
        <v>0</v>
      </c>
      <c r="BI492" s="3439">
        <f t="shared" si="281"/>
        <v>0</v>
      </c>
      <c r="BJ492" s="3439">
        <f t="shared" si="282"/>
        <v>0</v>
      </c>
      <c r="BK492" s="3439">
        <f t="shared" si="283"/>
        <v>0</v>
      </c>
      <c r="BL492" s="28">
        <f t="shared" si="284"/>
        <v>0</v>
      </c>
      <c r="BM492" s="28">
        <f t="shared" si="285"/>
        <v>0</v>
      </c>
      <c r="BN492" s="28">
        <f t="shared" si="286"/>
        <v>0</v>
      </c>
      <c r="BO492" s="28">
        <f t="shared" si="287"/>
        <v>0</v>
      </c>
      <c r="BP492" s="28">
        <f t="shared" si="288"/>
        <v>0</v>
      </c>
      <c r="BQ492" s="3439">
        <f t="shared" si="289"/>
        <v>0</v>
      </c>
      <c r="BR492" s="3439">
        <f t="shared" si="290"/>
        <v>0</v>
      </c>
      <c r="BS492" s="3439">
        <f t="shared" si="291"/>
        <v>0</v>
      </c>
      <c r="BT492" s="3451">
        <f t="shared" si="292"/>
        <v>0</v>
      </c>
    </row>
    <row r="493" spans="1:72">
      <c r="A493" s="9"/>
      <c r="B493" s="27"/>
      <c r="C493" s="27"/>
      <c r="D493" s="1678"/>
      <c r="E493" s="28">
        <f t="shared" ref="E493:E519" si="293">IF($C$3="是",ROUND($A$3*G493/$B$3,2),ROUND($A$3*(G493-AT493)/$B$3,2))</f>
        <v>0</v>
      </c>
      <c r="F493" s="29"/>
      <c r="G493" s="30">
        <f t="shared" si="268"/>
        <v>0</v>
      </c>
      <c r="H493" s="31">
        <f t="shared" si="269"/>
        <v>0</v>
      </c>
      <c r="I493" s="32"/>
      <c r="J493" s="32"/>
      <c r="K493" s="32"/>
      <c r="L493" s="32"/>
      <c r="M493" s="32"/>
      <c r="N493" s="32"/>
      <c r="O493" s="32"/>
      <c r="P493" s="32"/>
      <c r="Q493" s="32"/>
      <c r="R493" s="32"/>
      <c r="S493" s="32"/>
      <c r="T493" s="32"/>
      <c r="U493" s="32"/>
      <c r="V493" s="32"/>
      <c r="W493" s="32"/>
      <c r="X493" s="32"/>
      <c r="Y493" s="32"/>
      <c r="Z493" s="32"/>
      <c r="AA493" s="32"/>
      <c r="AB493" s="32"/>
      <c r="AC493" s="28">
        <f t="shared" si="270"/>
        <v>0</v>
      </c>
      <c r="AD493" s="33"/>
      <c r="AE493" s="33"/>
      <c r="AF493" s="33"/>
      <c r="AG493" s="33"/>
      <c r="AH493" s="33"/>
      <c r="AI493" s="33"/>
      <c r="AJ493" s="33"/>
      <c r="AK493" s="33"/>
      <c r="AL493" s="33"/>
      <c r="AM493" s="33"/>
      <c r="AN493" s="33"/>
      <c r="AO493" s="33"/>
      <c r="AP493" s="33"/>
      <c r="AQ493" s="33"/>
      <c r="AR493" s="33"/>
      <c r="AS493" s="33"/>
      <c r="AT493" s="34"/>
      <c r="AU493" s="1679"/>
      <c r="AV493" s="2256">
        <f t="shared" ref="AV493:AV520" si="294">A493</f>
        <v>0</v>
      </c>
      <c r="AW493" s="2256">
        <f t="shared" ref="AW493:AW520" si="295">B493</f>
        <v>0</v>
      </c>
      <c r="AX493" s="2256">
        <f t="shared" ref="AX493:AX520" si="296">C493</f>
        <v>0</v>
      </c>
      <c r="AY493" s="2781">
        <f t="shared" si="271"/>
        <v>0</v>
      </c>
      <c r="AZ493" s="28">
        <f t="shared" si="272"/>
        <v>0</v>
      </c>
      <c r="BA493" s="28">
        <f t="shared" si="273"/>
        <v>0</v>
      </c>
      <c r="BB493" s="28">
        <f t="shared" si="274"/>
        <v>0</v>
      </c>
      <c r="BC493" s="28">
        <f t="shared" si="275"/>
        <v>0</v>
      </c>
      <c r="BD493" s="3439">
        <f t="shared" si="276"/>
        <v>0</v>
      </c>
      <c r="BE493" s="3439">
        <f t="shared" si="277"/>
        <v>0</v>
      </c>
      <c r="BF493" s="3439">
        <f t="shared" si="278"/>
        <v>0</v>
      </c>
      <c r="BG493" s="3439">
        <f t="shared" si="279"/>
        <v>0</v>
      </c>
      <c r="BH493" s="3439">
        <f t="shared" si="280"/>
        <v>0</v>
      </c>
      <c r="BI493" s="3439">
        <f t="shared" si="281"/>
        <v>0</v>
      </c>
      <c r="BJ493" s="3439">
        <f t="shared" si="282"/>
        <v>0</v>
      </c>
      <c r="BK493" s="3439">
        <f t="shared" si="283"/>
        <v>0</v>
      </c>
      <c r="BL493" s="28">
        <f t="shared" si="284"/>
        <v>0</v>
      </c>
      <c r="BM493" s="28">
        <f t="shared" si="285"/>
        <v>0</v>
      </c>
      <c r="BN493" s="28">
        <f t="shared" si="286"/>
        <v>0</v>
      </c>
      <c r="BO493" s="28">
        <f t="shared" si="287"/>
        <v>0</v>
      </c>
      <c r="BP493" s="28">
        <f t="shared" si="288"/>
        <v>0</v>
      </c>
      <c r="BQ493" s="3439">
        <f t="shared" si="289"/>
        <v>0</v>
      </c>
      <c r="BR493" s="3439">
        <f t="shared" si="290"/>
        <v>0</v>
      </c>
      <c r="BS493" s="3439">
        <f t="shared" si="291"/>
        <v>0</v>
      </c>
      <c r="BT493" s="3451">
        <f t="shared" si="292"/>
        <v>0</v>
      </c>
    </row>
    <row r="494" spans="1:72">
      <c r="A494" s="9"/>
      <c r="B494" s="27"/>
      <c r="C494" s="27"/>
      <c r="D494" s="1678"/>
      <c r="E494" s="28">
        <f t="shared" si="293"/>
        <v>0</v>
      </c>
      <c r="F494" s="29"/>
      <c r="G494" s="30">
        <f t="shared" si="268"/>
        <v>0</v>
      </c>
      <c r="H494" s="31">
        <f t="shared" si="269"/>
        <v>0</v>
      </c>
      <c r="I494" s="32"/>
      <c r="J494" s="32"/>
      <c r="K494" s="32"/>
      <c r="L494" s="32"/>
      <c r="M494" s="32"/>
      <c r="N494" s="32"/>
      <c r="O494" s="32"/>
      <c r="P494" s="32"/>
      <c r="Q494" s="32"/>
      <c r="R494" s="32"/>
      <c r="S494" s="32"/>
      <c r="T494" s="32"/>
      <c r="U494" s="32"/>
      <c r="V494" s="32"/>
      <c r="W494" s="32"/>
      <c r="X494" s="32"/>
      <c r="Y494" s="32"/>
      <c r="Z494" s="32"/>
      <c r="AA494" s="32"/>
      <c r="AB494" s="32"/>
      <c r="AC494" s="28">
        <f t="shared" si="270"/>
        <v>0</v>
      </c>
      <c r="AD494" s="33"/>
      <c r="AE494" s="33"/>
      <c r="AF494" s="33"/>
      <c r="AG494" s="33"/>
      <c r="AH494" s="33"/>
      <c r="AI494" s="33"/>
      <c r="AJ494" s="33"/>
      <c r="AK494" s="33"/>
      <c r="AL494" s="33"/>
      <c r="AM494" s="33"/>
      <c r="AN494" s="33"/>
      <c r="AO494" s="33"/>
      <c r="AP494" s="33"/>
      <c r="AQ494" s="33"/>
      <c r="AR494" s="33"/>
      <c r="AS494" s="33"/>
      <c r="AT494" s="34"/>
      <c r="AU494" s="1679"/>
      <c r="AV494" s="2256">
        <f t="shared" si="294"/>
        <v>0</v>
      </c>
      <c r="AW494" s="2256">
        <f t="shared" si="295"/>
        <v>0</v>
      </c>
      <c r="AX494" s="2256">
        <f t="shared" si="296"/>
        <v>0</v>
      </c>
      <c r="AY494" s="2781">
        <f t="shared" si="271"/>
        <v>0</v>
      </c>
      <c r="AZ494" s="28">
        <f t="shared" si="272"/>
        <v>0</v>
      </c>
      <c r="BA494" s="28">
        <f t="shared" si="273"/>
        <v>0</v>
      </c>
      <c r="BB494" s="28">
        <f t="shared" si="274"/>
        <v>0</v>
      </c>
      <c r="BC494" s="28">
        <f t="shared" si="275"/>
        <v>0</v>
      </c>
      <c r="BD494" s="3439">
        <f t="shared" si="276"/>
        <v>0</v>
      </c>
      <c r="BE494" s="3439">
        <f t="shared" si="277"/>
        <v>0</v>
      </c>
      <c r="BF494" s="3439">
        <f t="shared" si="278"/>
        <v>0</v>
      </c>
      <c r="BG494" s="3439">
        <f t="shared" si="279"/>
        <v>0</v>
      </c>
      <c r="BH494" s="3439">
        <f t="shared" si="280"/>
        <v>0</v>
      </c>
      <c r="BI494" s="3439">
        <f t="shared" si="281"/>
        <v>0</v>
      </c>
      <c r="BJ494" s="3439">
        <f t="shared" si="282"/>
        <v>0</v>
      </c>
      <c r="BK494" s="3439">
        <f t="shared" si="283"/>
        <v>0</v>
      </c>
      <c r="BL494" s="28">
        <f t="shared" si="284"/>
        <v>0</v>
      </c>
      <c r="BM494" s="28">
        <f t="shared" si="285"/>
        <v>0</v>
      </c>
      <c r="BN494" s="28">
        <f t="shared" si="286"/>
        <v>0</v>
      </c>
      <c r="BO494" s="28">
        <f t="shared" si="287"/>
        <v>0</v>
      </c>
      <c r="BP494" s="28">
        <f t="shared" si="288"/>
        <v>0</v>
      </c>
      <c r="BQ494" s="3439">
        <f t="shared" si="289"/>
        <v>0</v>
      </c>
      <c r="BR494" s="3439">
        <f t="shared" si="290"/>
        <v>0</v>
      </c>
      <c r="BS494" s="3439">
        <f t="shared" si="291"/>
        <v>0</v>
      </c>
      <c r="BT494" s="3451">
        <f t="shared" si="292"/>
        <v>0</v>
      </c>
    </row>
    <row r="495" spans="1:72">
      <c r="A495" s="9"/>
      <c r="B495" s="27"/>
      <c r="C495" s="27"/>
      <c r="D495" s="1678"/>
      <c r="E495" s="28">
        <f t="shared" si="293"/>
        <v>0</v>
      </c>
      <c r="F495" s="29"/>
      <c r="G495" s="30">
        <f t="shared" si="268"/>
        <v>0</v>
      </c>
      <c r="H495" s="31">
        <f t="shared" si="269"/>
        <v>0</v>
      </c>
      <c r="I495" s="32"/>
      <c r="J495" s="32"/>
      <c r="K495" s="32"/>
      <c r="L495" s="32"/>
      <c r="M495" s="32"/>
      <c r="N495" s="32"/>
      <c r="O495" s="32"/>
      <c r="P495" s="32"/>
      <c r="Q495" s="32"/>
      <c r="R495" s="32"/>
      <c r="S495" s="32"/>
      <c r="T495" s="32"/>
      <c r="U495" s="32"/>
      <c r="V495" s="32"/>
      <c r="W495" s="32"/>
      <c r="X495" s="32"/>
      <c r="Y495" s="32"/>
      <c r="Z495" s="32"/>
      <c r="AA495" s="32"/>
      <c r="AB495" s="32"/>
      <c r="AC495" s="28">
        <f t="shared" si="270"/>
        <v>0</v>
      </c>
      <c r="AD495" s="33"/>
      <c r="AE495" s="33"/>
      <c r="AF495" s="33"/>
      <c r="AG495" s="33"/>
      <c r="AH495" s="33"/>
      <c r="AI495" s="33"/>
      <c r="AJ495" s="33"/>
      <c r="AK495" s="33"/>
      <c r="AL495" s="33"/>
      <c r="AM495" s="33"/>
      <c r="AN495" s="33"/>
      <c r="AO495" s="33"/>
      <c r="AP495" s="33"/>
      <c r="AQ495" s="33"/>
      <c r="AR495" s="33"/>
      <c r="AS495" s="33"/>
      <c r="AT495" s="34"/>
      <c r="AU495" s="1679"/>
      <c r="AV495" s="2256">
        <f t="shared" si="294"/>
        <v>0</v>
      </c>
      <c r="AW495" s="2256">
        <f t="shared" si="295"/>
        <v>0</v>
      </c>
      <c r="AX495" s="2256">
        <f t="shared" si="296"/>
        <v>0</v>
      </c>
      <c r="AY495" s="2781">
        <f t="shared" si="271"/>
        <v>0</v>
      </c>
      <c r="AZ495" s="28">
        <f t="shared" si="272"/>
        <v>0</v>
      </c>
      <c r="BA495" s="28">
        <f t="shared" si="273"/>
        <v>0</v>
      </c>
      <c r="BB495" s="28">
        <f t="shared" si="274"/>
        <v>0</v>
      </c>
      <c r="BC495" s="28">
        <f t="shared" si="275"/>
        <v>0</v>
      </c>
      <c r="BD495" s="3439">
        <f t="shared" si="276"/>
        <v>0</v>
      </c>
      <c r="BE495" s="3439">
        <f t="shared" si="277"/>
        <v>0</v>
      </c>
      <c r="BF495" s="3439">
        <f t="shared" si="278"/>
        <v>0</v>
      </c>
      <c r="BG495" s="3439">
        <f t="shared" si="279"/>
        <v>0</v>
      </c>
      <c r="BH495" s="3439">
        <f t="shared" si="280"/>
        <v>0</v>
      </c>
      <c r="BI495" s="3439">
        <f t="shared" si="281"/>
        <v>0</v>
      </c>
      <c r="BJ495" s="3439">
        <f t="shared" si="282"/>
        <v>0</v>
      </c>
      <c r="BK495" s="3439">
        <f t="shared" si="283"/>
        <v>0</v>
      </c>
      <c r="BL495" s="28">
        <f t="shared" si="284"/>
        <v>0</v>
      </c>
      <c r="BM495" s="28">
        <f t="shared" si="285"/>
        <v>0</v>
      </c>
      <c r="BN495" s="28">
        <f t="shared" si="286"/>
        <v>0</v>
      </c>
      <c r="BO495" s="28">
        <f t="shared" si="287"/>
        <v>0</v>
      </c>
      <c r="BP495" s="28">
        <f t="shared" si="288"/>
        <v>0</v>
      </c>
      <c r="BQ495" s="3439">
        <f t="shared" si="289"/>
        <v>0</v>
      </c>
      <c r="BR495" s="3439">
        <f t="shared" si="290"/>
        <v>0</v>
      </c>
      <c r="BS495" s="3439">
        <f t="shared" si="291"/>
        <v>0</v>
      </c>
      <c r="BT495" s="3451">
        <f t="shared" si="292"/>
        <v>0</v>
      </c>
    </row>
    <row r="496" spans="1:72">
      <c r="A496" s="9"/>
      <c r="B496" s="27"/>
      <c r="C496" s="27"/>
      <c r="D496" s="1678"/>
      <c r="E496" s="28">
        <f t="shared" si="293"/>
        <v>0</v>
      </c>
      <c r="F496" s="29"/>
      <c r="G496" s="30">
        <f t="shared" si="268"/>
        <v>0</v>
      </c>
      <c r="H496" s="31">
        <f t="shared" si="269"/>
        <v>0</v>
      </c>
      <c r="I496" s="32"/>
      <c r="J496" s="32"/>
      <c r="K496" s="32"/>
      <c r="L496" s="32"/>
      <c r="M496" s="32"/>
      <c r="N496" s="32"/>
      <c r="O496" s="32"/>
      <c r="P496" s="32"/>
      <c r="Q496" s="32"/>
      <c r="R496" s="32"/>
      <c r="S496" s="32"/>
      <c r="T496" s="32"/>
      <c r="U496" s="32"/>
      <c r="V496" s="32"/>
      <c r="W496" s="32"/>
      <c r="X496" s="32"/>
      <c r="Y496" s="32"/>
      <c r="Z496" s="32"/>
      <c r="AA496" s="32"/>
      <c r="AB496" s="32"/>
      <c r="AC496" s="28">
        <f t="shared" si="270"/>
        <v>0</v>
      </c>
      <c r="AD496" s="33"/>
      <c r="AE496" s="33"/>
      <c r="AF496" s="33"/>
      <c r="AG496" s="33"/>
      <c r="AH496" s="33"/>
      <c r="AI496" s="33"/>
      <c r="AJ496" s="33"/>
      <c r="AK496" s="33"/>
      <c r="AL496" s="33"/>
      <c r="AM496" s="33"/>
      <c r="AN496" s="33"/>
      <c r="AO496" s="33"/>
      <c r="AP496" s="33"/>
      <c r="AQ496" s="33"/>
      <c r="AR496" s="33"/>
      <c r="AS496" s="33"/>
      <c r="AT496" s="34"/>
      <c r="AU496" s="1679"/>
      <c r="AV496" s="2256">
        <f t="shared" si="294"/>
        <v>0</v>
      </c>
      <c r="AW496" s="2256">
        <f t="shared" si="295"/>
        <v>0</v>
      </c>
      <c r="AX496" s="2256">
        <f t="shared" si="296"/>
        <v>0</v>
      </c>
      <c r="AY496" s="2781">
        <f t="shared" si="271"/>
        <v>0</v>
      </c>
      <c r="AZ496" s="28">
        <f t="shared" si="272"/>
        <v>0</v>
      </c>
      <c r="BA496" s="28">
        <f t="shared" si="273"/>
        <v>0</v>
      </c>
      <c r="BB496" s="28">
        <f t="shared" si="274"/>
        <v>0</v>
      </c>
      <c r="BC496" s="28">
        <f t="shared" si="275"/>
        <v>0</v>
      </c>
      <c r="BD496" s="3439">
        <f t="shared" si="276"/>
        <v>0</v>
      </c>
      <c r="BE496" s="3439">
        <f t="shared" si="277"/>
        <v>0</v>
      </c>
      <c r="BF496" s="3439">
        <f t="shared" si="278"/>
        <v>0</v>
      </c>
      <c r="BG496" s="3439">
        <f t="shared" si="279"/>
        <v>0</v>
      </c>
      <c r="BH496" s="3439">
        <f t="shared" si="280"/>
        <v>0</v>
      </c>
      <c r="BI496" s="3439">
        <f t="shared" si="281"/>
        <v>0</v>
      </c>
      <c r="BJ496" s="3439">
        <f t="shared" si="282"/>
        <v>0</v>
      </c>
      <c r="BK496" s="3439">
        <f t="shared" si="283"/>
        <v>0</v>
      </c>
      <c r="BL496" s="28">
        <f t="shared" si="284"/>
        <v>0</v>
      </c>
      <c r="BM496" s="28">
        <f t="shared" si="285"/>
        <v>0</v>
      </c>
      <c r="BN496" s="28">
        <f t="shared" si="286"/>
        <v>0</v>
      </c>
      <c r="BO496" s="28">
        <f t="shared" si="287"/>
        <v>0</v>
      </c>
      <c r="BP496" s="28">
        <f t="shared" si="288"/>
        <v>0</v>
      </c>
      <c r="BQ496" s="3439">
        <f t="shared" si="289"/>
        <v>0</v>
      </c>
      <c r="BR496" s="3439">
        <f t="shared" si="290"/>
        <v>0</v>
      </c>
      <c r="BS496" s="3439">
        <f t="shared" si="291"/>
        <v>0</v>
      </c>
      <c r="BT496" s="3451">
        <f t="shared" si="292"/>
        <v>0</v>
      </c>
    </row>
    <row r="497" spans="1:72">
      <c r="A497" s="9"/>
      <c r="B497" s="27"/>
      <c r="C497" s="27"/>
      <c r="D497" s="1678"/>
      <c r="E497" s="28">
        <f t="shared" si="293"/>
        <v>0</v>
      </c>
      <c r="F497" s="29"/>
      <c r="G497" s="30">
        <f t="shared" si="268"/>
        <v>0</v>
      </c>
      <c r="H497" s="31">
        <f t="shared" si="269"/>
        <v>0</v>
      </c>
      <c r="I497" s="32"/>
      <c r="J497" s="32"/>
      <c r="K497" s="32"/>
      <c r="L497" s="32"/>
      <c r="M497" s="32"/>
      <c r="N497" s="32"/>
      <c r="O497" s="32"/>
      <c r="P497" s="32"/>
      <c r="Q497" s="32"/>
      <c r="R497" s="32"/>
      <c r="S497" s="32"/>
      <c r="T497" s="32"/>
      <c r="U497" s="32"/>
      <c r="V497" s="32"/>
      <c r="W497" s="32"/>
      <c r="X497" s="32"/>
      <c r="Y497" s="32"/>
      <c r="Z497" s="32"/>
      <c r="AA497" s="32"/>
      <c r="AB497" s="32"/>
      <c r="AC497" s="28">
        <f t="shared" si="270"/>
        <v>0</v>
      </c>
      <c r="AD497" s="33"/>
      <c r="AE497" s="33"/>
      <c r="AF497" s="33"/>
      <c r="AG497" s="33"/>
      <c r="AH497" s="33"/>
      <c r="AI497" s="33"/>
      <c r="AJ497" s="33"/>
      <c r="AK497" s="33"/>
      <c r="AL497" s="33"/>
      <c r="AM497" s="33"/>
      <c r="AN497" s="33"/>
      <c r="AO497" s="33"/>
      <c r="AP497" s="33"/>
      <c r="AQ497" s="33"/>
      <c r="AR497" s="33"/>
      <c r="AS497" s="33"/>
      <c r="AT497" s="34"/>
      <c r="AU497" s="1679"/>
      <c r="AV497" s="2256">
        <f t="shared" si="294"/>
        <v>0</v>
      </c>
      <c r="AW497" s="2256">
        <f t="shared" si="295"/>
        <v>0</v>
      </c>
      <c r="AX497" s="2256">
        <f t="shared" si="296"/>
        <v>0</v>
      </c>
      <c r="AY497" s="2781">
        <f t="shared" si="271"/>
        <v>0</v>
      </c>
      <c r="AZ497" s="28">
        <f t="shared" si="272"/>
        <v>0</v>
      </c>
      <c r="BA497" s="28">
        <f t="shared" si="273"/>
        <v>0</v>
      </c>
      <c r="BB497" s="28">
        <f t="shared" si="274"/>
        <v>0</v>
      </c>
      <c r="BC497" s="28">
        <f t="shared" si="275"/>
        <v>0</v>
      </c>
      <c r="BD497" s="3439">
        <f t="shared" si="276"/>
        <v>0</v>
      </c>
      <c r="BE497" s="3439">
        <f t="shared" si="277"/>
        <v>0</v>
      </c>
      <c r="BF497" s="3439">
        <f t="shared" si="278"/>
        <v>0</v>
      </c>
      <c r="BG497" s="3439">
        <f t="shared" si="279"/>
        <v>0</v>
      </c>
      <c r="BH497" s="3439">
        <f t="shared" si="280"/>
        <v>0</v>
      </c>
      <c r="BI497" s="3439">
        <f t="shared" si="281"/>
        <v>0</v>
      </c>
      <c r="BJ497" s="3439">
        <f t="shared" si="282"/>
        <v>0</v>
      </c>
      <c r="BK497" s="3439">
        <f t="shared" si="283"/>
        <v>0</v>
      </c>
      <c r="BL497" s="28">
        <f t="shared" si="284"/>
        <v>0</v>
      </c>
      <c r="BM497" s="28">
        <f t="shared" si="285"/>
        <v>0</v>
      </c>
      <c r="BN497" s="28">
        <f t="shared" si="286"/>
        <v>0</v>
      </c>
      <c r="BO497" s="28">
        <f t="shared" si="287"/>
        <v>0</v>
      </c>
      <c r="BP497" s="28">
        <f t="shared" si="288"/>
        <v>0</v>
      </c>
      <c r="BQ497" s="3439">
        <f t="shared" si="289"/>
        <v>0</v>
      </c>
      <c r="BR497" s="3439">
        <f t="shared" si="290"/>
        <v>0</v>
      </c>
      <c r="BS497" s="3439">
        <f t="shared" si="291"/>
        <v>0</v>
      </c>
      <c r="BT497" s="3451">
        <f t="shared" si="292"/>
        <v>0</v>
      </c>
    </row>
    <row r="498" spans="1:72">
      <c r="A498" s="9"/>
      <c r="B498" s="27"/>
      <c r="C498" s="27"/>
      <c r="D498" s="1678"/>
      <c r="E498" s="28">
        <f t="shared" si="293"/>
        <v>0</v>
      </c>
      <c r="F498" s="29"/>
      <c r="G498" s="30">
        <f t="shared" si="268"/>
        <v>0</v>
      </c>
      <c r="H498" s="31">
        <f t="shared" si="269"/>
        <v>0</v>
      </c>
      <c r="I498" s="32"/>
      <c r="J498" s="32"/>
      <c r="K498" s="32"/>
      <c r="L498" s="32"/>
      <c r="M498" s="32"/>
      <c r="N498" s="32"/>
      <c r="O498" s="32"/>
      <c r="P498" s="32"/>
      <c r="Q498" s="32"/>
      <c r="R498" s="32"/>
      <c r="S498" s="32"/>
      <c r="T498" s="32"/>
      <c r="U498" s="32"/>
      <c r="V498" s="32"/>
      <c r="W498" s="32"/>
      <c r="X498" s="32"/>
      <c r="Y498" s="32"/>
      <c r="Z498" s="32"/>
      <c r="AA498" s="32"/>
      <c r="AB498" s="32"/>
      <c r="AC498" s="28">
        <f t="shared" si="270"/>
        <v>0</v>
      </c>
      <c r="AD498" s="33"/>
      <c r="AE498" s="33"/>
      <c r="AF498" s="33"/>
      <c r="AG498" s="33"/>
      <c r="AH498" s="33"/>
      <c r="AI498" s="33"/>
      <c r="AJ498" s="33"/>
      <c r="AK498" s="33"/>
      <c r="AL498" s="33"/>
      <c r="AM498" s="33"/>
      <c r="AN498" s="33"/>
      <c r="AO498" s="33"/>
      <c r="AP498" s="33"/>
      <c r="AQ498" s="33"/>
      <c r="AR498" s="33"/>
      <c r="AS498" s="33"/>
      <c r="AT498" s="34"/>
      <c r="AU498" s="1679"/>
      <c r="AV498" s="2256">
        <f t="shared" si="294"/>
        <v>0</v>
      </c>
      <c r="AW498" s="2256">
        <f t="shared" si="295"/>
        <v>0</v>
      </c>
      <c r="AX498" s="2256">
        <f t="shared" si="296"/>
        <v>0</v>
      </c>
      <c r="AY498" s="2781">
        <f t="shared" si="271"/>
        <v>0</v>
      </c>
      <c r="AZ498" s="28">
        <f t="shared" si="272"/>
        <v>0</v>
      </c>
      <c r="BA498" s="28">
        <f t="shared" si="273"/>
        <v>0</v>
      </c>
      <c r="BB498" s="28">
        <f t="shared" si="274"/>
        <v>0</v>
      </c>
      <c r="BC498" s="28">
        <f t="shared" si="275"/>
        <v>0</v>
      </c>
      <c r="BD498" s="3439">
        <f t="shared" si="276"/>
        <v>0</v>
      </c>
      <c r="BE498" s="3439">
        <f t="shared" si="277"/>
        <v>0</v>
      </c>
      <c r="BF498" s="3439">
        <f t="shared" si="278"/>
        <v>0</v>
      </c>
      <c r="BG498" s="3439">
        <f t="shared" si="279"/>
        <v>0</v>
      </c>
      <c r="BH498" s="3439">
        <f t="shared" si="280"/>
        <v>0</v>
      </c>
      <c r="BI498" s="3439">
        <f t="shared" si="281"/>
        <v>0</v>
      </c>
      <c r="BJ498" s="3439">
        <f t="shared" si="282"/>
        <v>0</v>
      </c>
      <c r="BK498" s="3439">
        <f t="shared" si="283"/>
        <v>0</v>
      </c>
      <c r="BL498" s="28">
        <f t="shared" si="284"/>
        <v>0</v>
      </c>
      <c r="BM498" s="28">
        <f t="shared" si="285"/>
        <v>0</v>
      </c>
      <c r="BN498" s="28">
        <f t="shared" si="286"/>
        <v>0</v>
      </c>
      <c r="BO498" s="28">
        <f t="shared" si="287"/>
        <v>0</v>
      </c>
      <c r="BP498" s="28">
        <f t="shared" si="288"/>
        <v>0</v>
      </c>
      <c r="BQ498" s="3439">
        <f t="shared" si="289"/>
        <v>0</v>
      </c>
      <c r="BR498" s="3439">
        <f t="shared" si="290"/>
        <v>0</v>
      </c>
      <c r="BS498" s="3439">
        <f t="shared" si="291"/>
        <v>0</v>
      </c>
      <c r="BT498" s="3451">
        <f t="shared" si="292"/>
        <v>0</v>
      </c>
    </row>
    <row r="499" spans="1:72">
      <c r="A499" s="9"/>
      <c r="B499" s="27"/>
      <c r="C499" s="27"/>
      <c r="D499" s="1678"/>
      <c r="E499" s="28">
        <f t="shared" si="293"/>
        <v>0</v>
      </c>
      <c r="F499" s="29"/>
      <c r="G499" s="30">
        <f t="shared" si="268"/>
        <v>0</v>
      </c>
      <c r="H499" s="31">
        <f t="shared" si="269"/>
        <v>0</v>
      </c>
      <c r="I499" s="32"/>
      <c r="J499" s="32"/>
      <c r="K499" s="32"/>
      <c r="L499" s="32"/>
      <c r="M499" s="32"/>
      <c r="N499" s="32"/>
      <c r="O499" s="32"/>
      <c r="P499" s="32"/>
      <c r="Q499" s="32"/>
      <c r="R499" s="32"/>
      <c r="S499" s="32"/>
      <c r="T499" s="32"/>
      <c r="U499" s="32"/>
      <c r="V499" s="32"/>
      <c r="W499" s="32"/>
      <c r="X499" s="32"/>
      <c r="Y499" s="32"/>
      <c r="Z499" s="32"/>
      <c r="AA499" s="32"/>
      <c r="AB499" s="32"/>
      <c r="AC499" s="28">
        <f t="shared" si="270"/>
        <v>0</v>
      </c>
      <c r="AD499" s="33"/>
      <c r="AE499" s="33"/>
      <c r="AF499" s="33"/>
      <c r="AG499" s="33"/>
      <c r="AH499" s="33"/>
      <c r="AI499" s="33"/>
      <c r="AJ499" s="33"/>
      <c r="AK499" s="33"/>
      <c r="AL499" s="33"/>
      <c r="AM499" s="33"/>
      <c r="AN499" s="33"/>
      <c r="AO499" s="33"/>
      <c r="AP499" s="33"/>
      <c r="AQ499" s="33"/>
      <c r="AR499" s="33"/>
      <c r="AS499" s="33"/>
      <c r="AT499" s="34"/>
      <c r="AU499" s="1679"/>
      <c r="AV499" s="2256">
        <f t="shared" si="294"/>
        <v>0</v>
      </c>
      <c r="AW499" s="2256">
        <f t="shared" si="295"/>
        <v>0</v>
      </c>
      <c r="AX499" s="2256">
        <f t="shared" si="296"/>
        <v>0</v>
      </c>
      <c r="AY499" s="2781">
        <f t="shared" si="271"/>
        <v>0</v>
      </c>
      <c r="AZ499" s="28">
        <f t="shared" si="272"/>
        <v>0</v>
      </c>
      <c r="BA499" s="28">
        <f t="shared" si="273"/>
        <v>0</v>
      </c>
      <c r="BB499" s="28">
        <f t="shared" si="274"/>
        <v>0</v>
      </c>
      <c r="BC499" s="28">
        <f t="shared" si="275"/>
        <v>0</v>
      </c>
      <c r="BD499" s="3439">
        <f t="shared" si="276"/>
        <v>0</v>
      </c>
      <c r="BE499" s="3439">
        <f t="shared" si="277"/>
        <v>0</v>
      </c>
      <c r="BF499" s="3439">
        <f t="shared" si="278"/>
        <v>0</v>
      </c>
      <c r="BG499" s="3439">
        <f t="shared" si="279"/>
        <v>0</v>
      </c>
      <c r="BH499" s="3439">
        <f t="shared" si="280"/>
        <v>0</v>
      </c>
      <c r="BI499" s="3439">
        <f t="shared" si="281"/>
        <v>0</v>
      </c>
      <c r="BJ499" s="3439">
        <f t="shared" si="282"/>
        <v>0</v>
      </c>
      <c r="BK499" s="3439">
        <f t="shared" si="283"/>
        <v>0</v>
      </c>
      <c r="BL499" s="28">
        <f t="shared" si="284"/>
        <v>0</v>
      </c>
      <c r="BM499" s="28">
        <f t="shared" si="285"/>
        <v>0</v>
      </c>
      <c r="BN499" s="28">
        <f t="shared" si="286"/>
        <v>0</v>
      </c>
      <c r="BO499" s="28">
        <f t="shared" si="287"/>
        <v>0</v>
      </c>
      <c r="BP499" s="28">
        <f t="shared" si="288"/>
        <v>0</v>
      </c>
      <c r="BQ499" s="3439">
        <f t="shared" si="289"/>
        <v>0</v>
      </c>
      <c r="BR499" s="3439">
        <f t="shared" si="290"/>
        <v>0</v>
      </c>
      <c r="BS499" s="3439">
        <f t="shared" si="291"/>
        <v>0</v>
      </c>
      <c r="BT499" s="3451">
        <f t="shared" si="292"/>
        <v>0</v>
      </c>
    </row>
    <row r="500" spans="1:72">
      <c r="A500" s="9"/>
      <c r="B500" s="27"/>
      <c r="C500" s="27"/>
      <c r="D500" s="1678"/>
      <c r="E500" s="28">
        <f t="shared" si="293"/>
        <v>0</v>
      </c>
      <c r="F500" s="29"/>
      <c r="G500" s="30">
        <f t="shared" si="268"/>
        <v>0</v>
      </c>
      <c r="H500" s="31">
        <f t="shared" si="269"/>
        <v>0</v>
      </c>
      <c r="I500" s="32"/>
      <c r="J500" s="32"/>
      <c r="K500" s="32"/>
      <c r="L500" s="32"/>
      <c r="M500" s="32"/>
      <c r="N500" s="32"/>
      <c r="O500" s="32"/>
      <c r="P500" s="32"/>
      <c r="Q500" s="32"/>
      <c r="R500" s="32"/>
      <c r="S500" s="32"/>
      <c r="T500" s="32"/>
      <c r="U500" s="32"/>
      <c r="V500" s="32"/>
      <c r="W500" s="32"/>
      <c r="X500" s="32"/>
      <c r="Y500" s="32"/>
      <c r="Z500" s="32"/>
      <c r="AA500" s="32"/>
      <c r="AB500" s="32"/>
      <c r="AC500" s="28">
        <f t="shared" si="270"/>
        <v>0</v>
      </c>
      <c r="AD500" s="33"/>
      <c r="AE500" s="33"/>
      <c r="AF500" s="33"/>
      <c r="AG500" s="33"/>
      <c r="AH500" s="33"/>
      <c r="AI500" s="33"/>
      <c r="AJ500" s="33"/>
      <c r="AK500" s="33"/>
      <c r="AL500" s="33"/>
      <c r="AM500" s="33"/>
      <c r="AN500" s="33"/>
      <c r="AO500" s="33"/>
      <c r="AP500" s="33"/>
      <c r="AQ500" s="33"/>
      <c r="AR500" s="33"/>
      <c r="AS500" s="33"/>
      <c r="AT500" s="34"/>
      <c r="AU500" s="1679"/>
      <c r="AV500" s="2256">
        <f t="shared" si="294"/>
        <v>0</v>
      </c>
      <c r="AW500" s="2256">
        <f t="shared" si="295"/>
        <v>0</v>
      </c>
      <c r="AX500" s="2256">
        <f t="shared" si="296"/>
        <v>0</v>
      </c>
      <c r="AY500" s="2781">
        <f t="shared" si="271"/>
        <v>0</v>
      </c>
      <c r="AZ500" s="28">
        <f t="shared" si="272"/>
        <v>0</v>
      </c>
      <c r="BA500" s="28">
        <f t="shared" si="273"/>
        <v>0</v>
      </c>
      <c r="BB500" s="28">
        <f t="shared" si="274"/>
        <v>0</v>
      </c>
      <c r="BC500" s="28">
        <f t="shared" si="275"/>
        <v>0</v>
      </c>
      <c r="BD500" s="3439">
        <f t="shared" si="276"/>
        <v>0</v>
      </c>
      <c r="BE500" s="3439">
        <f t="shared" si="277"/>
        <v>0</v>
      </c>
      <c r="BF500" s="3439">
        <f t="shared" si="278"/>
        <v>0</v>
      </c>
      <c r="BG500" s="3439">
        <f t="shared" si="279"/>
        <v>0</v>
      </c>
      <c r="BH500" s="3439">
        <f t="shared" si="280"/>
        <v>0</v>
      </c>
      <c r="BI500" s="3439">
        <f t="shared" si="281"/>
        <v>0</v>
      </c>
      <c r="BJ500" s="3439">
        <f t="shared" si="282"/>
        <v>0</v>
      </c>
      <c r="BK500" s="3439">
        <f t="shared" si="283"/>
        <v>0</v>
      </c>
      <c r="BL500" s="28">
        <f t="shared" si="284"/>
        <v>0</v>
      </c>
      <c r="BM500" s="28">
        <f t="shared" si="285"/>
        <v>0</v>
      </c>
      <c r="BN500" s="28">
        <f t="shared" si="286"/>
        <v>0</v>
      </c>
      <c r="BO500" s="28">
        <f t="shared" si="287"/>
        <v>0</v>
      </c>
      <c r="BP500" s="28">
        <f t="shared" si="288"/>
        <v>0</v>
      </c>
      <c r="BQ500" s="3439">
        <f t="shared" si="289"/>
        <v>0</v>
      </c>
      <c r="BR500" s="3439">
        <f t="shared" si="290"/>
        <v>0</v>
      </c>
      <c r="BS500" s="3439">
        <f t="shared" si="291"/>
        <v>0</v>
      </c>
      <c r="BT500" s="3451">
        <f t="shared" si="292"/>
        <v>0</v>
      </c>
    </row>
    <row r="501" spans="1:72">
      <c r="A501" s="9"/>
      <c r="B501" s="27"/>
      <c r="C501" s="27"/>
      <c r="D501" s="1678"/>
      <c r="E501" s="28">
        <f t="shared" si="293"/>
        <v>0</v>
      </c>
      <c r="F501" s="29"/>
      <c r="G501" s="30">
        <f t="shared" si="268"/>
        <v>0</v>
      </c>
      <c r="H501" s="31">
        <f t="shared" si="269"/>
        <v>0</v>
      </c>
      <c r="I501" s="32"/>
      <c r="J501" s="32"/>
      <c r="K501" s="32"/>
      <c r="L501" s="32"/>
      <c r="M501" s="32"/>
      <c r="N501" s="32"/>
      <c r="O501" s="32"/>
      <c r="P501" s="32"/>
      <c r="Q501" s="32"/>
      <c r="R501" s="32"/>
      <c r="S501" s="32"/>
      <c r="T501" s="32"/>
      <c r="U501" s="32"/>
      <c r="V501" s="32"/>
      <c r="W501" s="32"/>
      <c r="X501" s="32"/>
      <c r="Y501" s="32"/>
      <c r="Z501" s="32"/>
      <c r="AA501" s="32"/>
      <c r="AB501" s="32"/>
      <c r="AC501" s="28">
        <f t="shared" si="270"/>
        <v>0</v>
      </c>
      <c r="AD501" s="33"/>
      <c r="AE501" s="33"/>
      <c r="AF501" s="33"/>
      <c r="AG501" s="33"/>
      <c r="AH501" s="33"/>
      <c r="AI501" s="33"/>
      <c r="AJ501" s="33"/>
      <c r="AK501" s="33"/>
      <c r="AL501" s="33"/>
      <c r="AM501" s="33"/>
      <c r="AN501" s="33"/>
      <c r="AO501" s="33"/>
      <c r="AP501" s="33"/>
      <c r="AQ501" s="33"/>
      <c r="AR501" s="33"/>
      <c r="AS501" s="33"/>
      <c r="AT501" s="34"/>
      <c r="AU501" s="1679"/>
      <c r="AV501" s="2256">
        <f t="shared" si="294"/>
        <v>0</v>
      </c>
      <c r="AW501" s="2256">
        <f t="shared" si="295"/>
        <v>0</v>
      </c>
      <c r="AX501" s="2256">
        <f t="shared" si="296"/>
        <v>0</v>
      </c>
      <c r="AY501" s="2781">
        <f t="shared" si="271"/>
        <v>0</v>
      </c>
      <c r="AZ501" s="28">
        <f t="shared" si="272"/>
        <v>0</v>
      </c>
      <c r="BA501" s="28">
        <f t="shared" si="273"/>
        <v>0</v>
      </c>
      <c r="BB501" s="28">
        <f t="shared" si="274"/>
        <v>0</v>
      </c>
      <c r="BC501" s="28">
        <f t="shared" si="275"/>
        <v>0</v>
      </c>
      <c r="BD501" s="3439">
        <f t="shared" si="276"/>
        <v>0</v>
      </c>
      <c r="BE501" s="3439">
        <f t="shared" si="277"/>
        <v>0</v>
      </c>
      <c r="BF501" s="3439">
        <f t="shared" si="278"/>
        <v>0</v>
      </c>
      <c r="BG501" s="3439">
        <f t="shared" si="279"/>
        <v>0</v>
      </c>
      <c r="BH501" s="3439">
        <f t="shared" si="280"/>
        <v>0</v>
      </c>
      <c r="BI501" s="3439">
        <f t="shared" si="281"/>
        <v>0</v>
      </c>
      <c r="BJ501" s="3439">
        <f t="shared" si="282"/>
        <v>0</v>
      </c>
      <c r="BK501" s="3439">
        <f t="shared" si="283"/>
        <v>0</v>
      </c>
      <c r="BL501" s="28">
        <f t="shared" si="284"/>
        <v>0</v>
      </c>
      <c r="BM501" s="28">
        <f t="shared" si="285"/>
        <v>0</v>
      </c>
      <c r="BN501" s="28">
        <f t="shared" si="286"/>
        <v>0</v>
      </c>
      <c r="BO501" s="28">
        <f t="shared" si="287"/>
        <v>0</v>
      </c>
      <c r="BP501" s="28">
        <f t="shared" si="288"/>
        <v>0</v>
      </c>
      <c r="BQ501" s="3439">
        <f t="shared" si="289"/>
        <v>0</v>
      </c>
      <c r="BR501" s="3439">
        <f t="shared" si="290"/>
        <v>0</v>
      </c>
      <c r="BS501" s="3439">
        <f t="shared" si="291"/>
        <v>0</v>
      </c>
      <c r="BT501" s="3451">
        <f t="shared" si="292"/>
        <v>0</v>
      </c>
    </row>
    <row r="502" spans="1:72">
      <c r="A502" s="9"/>
      <c r="B502" s="27"/>
      <c r="C502" s="27"/>
      <c r="D502" s="1678"/>
      <c r="E502" s="28">
        <f t="shared" si="293"/>
        <v>0</v>
      </c>
      <c r="F502" s="29"/>
      <c r="G502" s="30">
        <f t="shared" si="268"/>
        <v>0</v>
      </c>
      <c r="H502" s="31">
        <f t="shared" si="269"/>
        <v>0</v>
      </c>
      <c r="I502" s="32"/>
      <c r="J502" s="32"/>
      <c r="K502" s="32"/>
      <c r="L502" s="32"/>
      <c r="M502" s="32"/>
      <c r="N502" s="32"/>
      <c r="O502" s="32"/>
      <c r="P502" s="32"/>
      <c r="Q502" s="32"/>
      <c r="R502" s="32"/>
      <c r="S502" s="32"/>
      <c r="T502" s="32"/>
      <c r="U502" s="32"/>
      <c r="V502" s="32"/>
      <c r="W502" s="32"/>
      <c r="X502" s="32"/>
      <c r="Y502" s="32"/>
      <c r="Z502" s="32"/>
      <c r="AA502" s="32"/>
      <c r="AB502" s="32"/>
      <c r="AC502" s="28">
        <f t="shared" si="270"/>
        <v>0</v>
      </c>
      <c r="AD502" s="33"/>
      <c r="AE502" s="33"/>
      <c r="AF502" s="33"/>
      <c r="AG502" s="33"/>
      <c r="AH502" s="33"/>
      <c r="AI502" s="33"/>
      <c r="AJ502" s="33"/>
      <c r="AK502" s="33"/>
      <c r="AL502" s="33"/>
      <c r="AM502" s="33"/>
      <c r="AN502" s="33"/>
      <c r="AO502" s="33"/>
      <c r="AP502" s="33"/>
      <c r="AQ502" s="33"/>
      <c r="AR502" s="33"/>
      <c r="AS502" s="33"/>
      <c r="AT502" s="34"/>
      <c r="AU502" s="1679"/>
      <c r="AV502" s="2256">
        <f t="shared" si="294"/>
        <v>0</v>
      </c>
      <c r="AW502" s="2256">
        <f t="shared" si="295"/>
        <v>0</v>
      </c>
      <c r="AX502" s="2256">
        <f t="shared" si="296"/>
        <v>0</v>
      </c>
      <c r="AY502" s="2781">
        <f t="shared" si="271"/>
        <v>0</v>
      </c>
      <c r="AZ502" s="28">
        <f t="shared" si="272"/>
        <v>0</v>
      </c>
      <c r="BA502" s="28">
        <f t="shared" si="273"/>
        <v>0</v>
      </c>
      <c r="BB502" s="28">
        <f t="shared" si="274"/>
        <v>0</v>
      </c>
      <c r="BC502" s="28">
        <f t="shared" si="275"/>
        <v>0</v>
      </c>
      <c r="BD502" s="3439">
        <f t="shared" si="276"/>
        <v>0</v>
      </c>
      <c r="BE502" s="3439">
        <f t="shared" si="277"/>
        <v>0</v>
      </c>
      <c r="BF502" s="3439">
        <f t="shared" si="278"/>
        <v>0</v>
      </c>
      <c r="BG502" s="3439">
        <f t="shared" si="279"/>
        <v>0</v>
      </c>
      <c r="BH502" s="3439">
        <f t="shared" si="280"/>
        <v>0</v>
      </c>
      <c r="BI502" s="3439">
        <f t="shared" si="281"/>
        <v>0</v>
      </c>
      <c r="BJ502" s="3439">
        <f t="shared" si="282"/>
        <v>0</v>
      </c>
      <c r="BK502" s="3439">
        <f t="shared" si="283"/>
        <v>0</v>
      </c>
      <c r="BL502" s="28">
        <f t="shared" si="284"/>
        <v>0</v>
      </c>
      <c r="BM502" s="28">
        <f t="shared" si="285"/>
        <v>0</v>
      </c>
      <c r="BN502" s="28">
        <f t="shared" si="286"/>
        <v>0</v>
      </c>
      <c r="BO502" s="28">
        <f t="shared" si="287"/>
        <v>0</v>
      </c>
      <c r="BP502" s="28">
        <f t="shared" si="288"/>
        <v>0</v>
      </c>
      <c r="BQ502" s="3439">
        <f t="shared" si="289"/>
        <v>0</v>
      </c>
      <c r="BR502" s="3439">
        <f t="shared" si="290"/>
        <v>0</v>
      </c>
      <c r="BS502" s="3439">
        <f t="shared" si="291"/>
        <v>0</v>
      </c>
      <c r="BT502" s="3451">
        <f t="shared" si="292"/>
        <v>0</v>
      </c>
    </row>
    <row r="503" spans="1:72">
      <c r="A503" s="9"/>
      <c r="B503" s="27"/>
      <c r="C503" s="27"/>
      <c r="D503" s="1678"/>
      <c r="E503" s="28">
        <f t="shared" si="293"/>
        <v>0</v>
      </c>
      <c r="F503" s="29"/>
      <c r="G503" s="30">
        <f t="shared" si="268"/>
        <v>0</v>
      </c>
      <c r="H503" s="31">
        <f t="shared" si="269"/>
        <v>0</v>
      </c>
      <c r="I503" s="32"/>
      <c r="J503" s="32"/>
      <c r="K503" s="32"/>
      <c r="L503" s="32"/>
      <c r="M503" s="32"/>
      <c r="N503" s="32"/>
      <c r="O503" s="32"/>
      <c r="P503" s="32"/>
      <c r="Q503" s="32"/>
      <c r="R503" s="32"/>
      <c r="S503" s="32"/>
      <c r="T503" s="32"/>
      <c r="U503" s="32"/>
      <c r="V503" s="32"/>
      <c r="W503" s="32"/>
      <c r="X503" s="32"/>
      <c r="Y503" s="32"/>
      <c r="Z503" s="32"/>
      <c r="AA503" s="32"/>
      <c r="AB503" s="32"/>
      <c r="AC503" s="28">
        <f t="shared" si="270"/>
        <v>0</v>
      </c>
      <c r="AD503" s="33"/>
      <c r="AE503" s="33"/>
      <c r="AF503" s="33"/>
      <c r="AG503" s="33"/>
      <c r="AH503" s="33"/>
      <c r="AI503" s="33"/>
      <c r="AJ503" s="33"/>
      <c r="AK503" s="33"/>
      <c r="AL503" s="33"/>
      <c r="AM503" s="33"/>
      <c r="AN503" s="33"/>
      <c r="AO503" s="33"/>
      <c r="AP503" s="33"/>
      <c r="AQ503" s="33"/>
      <c r="AR503" s="33"/>
      <c r="AS503" s="33"/>
      <c r="AT503" s="34"/>
      <c r="AU503" s="1679"/>
      <c r="AV503" s="2256">
        <f t="shared" si="294"/>
        <v>0</v>
      </c>
      <c r="AW503" s="2256">
        <f t="shared" si="295"/>
        <v>0</v>
      </c>
      <c r="AX503" s="2256">
        <f t="shared" si="296"/>
        <v>0</v>
      </c>
      <c r="AY503" s="2781">
        <f t="shared" si="271"/>
        <v>0</v>
      </c>
      <c r="AZ503" s="28">
        <f t="shared" si="272"/>
        <v>0</v>
      </c>
      <c r="BA503" s="28">
        <f t="shared" si="273"/>
        <v>0</v>
      </c>
      <c r="BB503" s="28">
        <f t="shared" si="274"/>
        <v>0</v>
      </c>
      <c r="BC503" s="28">
        <f t="shared" si="275"/>
        <v>0</v>
      </c>
      <c r="BD503" s="3439">
        <f t="shared" si="276"/>
        <v>0</v>
      </c>
      <c r="BE503" s="3439">
        <f t="shared" si="277"/>
        <v>0</v>
      </c>
      <c r="BF503" s="3439">
        <f t="shared" si="278"/>
        <v>0</v>
      </c>
      <c r="BG503" s="3439">
        <f t="shared" si="279"/>
        <v>0</v>
      </c>
      <c r="BH503" s="3439">
        <f t="shared" si="280"/>
        <v>0</v>
      </c>
      <c r="BI503" s="3439">
        <f t="shared" si="281"/>
        <v>0</v>
      </c>
      <c r="BJ503" s="3439">
        <f t="shared" si="282"/>
        <v>0</v>
      </c>
      <c r="BK503" s="3439">
        <f t="shared" si="283"/>
        <v>0</v>
      </c>
      <c r="BL503" s="28">
        <f t="shared" si="284"/>
        <v>0</v>
      </c>
      <c r="BM503" s="28">
        <f t="shared" si="285"/>
        <v>0</v>
      </c>
      <c r="BN503" s="28">
        <f t="shared" si="286"/>
        <v>0</v>
      </c>
      <c r="BO503" s="28">
        <f t="shared" si="287"/>
        <v>0</v>
      </c>
      <c r="BP503" s="28">
        <f t="shared" si="288"/>
        <v>0</v>
      </c>
      <c r="BQ503" s="3439">
        <f t="shared" si="289"/>
        <v>0</v>
      </c>
      <c r="BR503" s="3439">
        <f t="shared" si="290"/>
        <v>0</v>
      </c>
      <c r="BS503" s="3439">
        <f t="shared" si="291"/>
        <v>0</v>
      </c>
      <c r="BT503" s="3451">
        <f t="shared" si="292"/>
        <v>0</v>
      </c>
    </row>
    <row r="504" spans="1:72">
      <c r="A504" s="9"/>
      <c r="B504" s="27"/>
      <c r="C504" s="27"/>
      <c r="D504" s="1678"/>
      <c r="E504" s="28">
        <f t="shared" si="293"/>
        <v>0</v>
      </c>
      <c r="F504" s="29"/>
      <c r="G504" s="30">
        <f t="shared" si="268"/>
        <v>0</v>
      </c>
      <c r="H504" s="31">
        <f t="shared" si="269"/>
        <v>0</v>
      </c>
      <c r="I504" s="32"/>
      <c r="J504" s="32"/>
      <c r="K504" s="32"/>
      <c r="L504" s="32"/>
      <c r="M504" s="32"/>
      <c r="N504" s="32"/>
      <c r="O504" s="32"/>
      <c r="P504" s="32"/>
      <c r="Q504" s="32"/>
      <c r="R504" s="32"/>
      <c r="S504" s="32"/>
      <c r="T504" s="32"/>
      <c r="U504" s="32"/>
      <c r="V504" s="32"/>
      <c r="W504" s="32"/>
      <c r="X504" s="32"/>
      <c r="Y504" s="32"/>
      <c r="Z504" s="32"/>
      <c r="AA504" s="32"/>
      <c r="AB504" s="32"/>
      <c r="AC504" s="28">
        <f t="shared" si="270"/>
        <v>0</v>
      </c>
      <c r="AD504" s="33"/>
      <c r="AE504" s="33"/>
      <c r="AF504" s="33"/>
      <c r="AG504" s="33"/>
      <c r="AH504" s="33"/>
      <c r="AI504" s="33"/>
      <c r="AJ504" s="33"/>
      <c r="AK504" s="33"/>
      <c r="AL504" s="33"/>
      <c r="AM504" s="33"/>
      <c r="AN504" s="33"/>
      <c r="AO504" s="33"/>
      <c r="AP504" s="33"/>
      <c r="AQ504" s="33"/>
      <c r="AR504" s="33"/>
      <c r="AS504" s="33"/>
      <c r="AT504" s="34"/>
      <c r="AU504" s="1679"/>
      <c r="AV504" s="2256">
        <f t="shared" si="294"/>
        <v>0</v>
      </c>
      <c r="AW504" s="2256">
        <f t="shared" si="295"/>
        <v>0</v>
      </c>
      <c r="AX504" s="2256">
        <f t="shared" si="296"/>
        <v>0</v>
      </c>
      <c r="AY504" s="2781">
        <f t="shared" si="271"/>
        <v>0</v>
      </c>
      <c r="AZ504" s="28">
        <f t="shared" si="272"/>
        <v>0</v>
      </c>
      <c r="BA504" s="28">
        <f t="shared" si="273"/>
        <v>0</v>
      </c>
      <c r="BB504" s="28">
        <f t="shared" si="274"/>
        <v>0</v>
      </c>
      <c r="BC504" s="28">
        <f t="shared" si="275"/>
        <v>0</v>
      </c>
      <c r="BD504" s="3439">
        <f t="shared" si="276"/>
        <v>0</v>
      </c>
      <c r="BE504" s="3439">
        <f t="shared" si="277"/>
        <v>0</v>
      </c>
      <c r="BF504" s="3439">
        <f t="shared" si="278"/>
        <v>0</v>
      </c>
      <c r="BG504" s="3439">
        <f t="shared" si="279"/>
        <v>0</v>
      </c>
      <c r="BH504" s="3439">
        <f t="shared" si="280"/>
        <v>0</v>
      </c>
      <c r="BI504" s="3439">
        <f t="shared" si="281"/>
        <v>0</v>
      </c>
      <c r="BJ504" s="3439">
        <f t="shared" si="282"/>
        <v>0</v>
      </c>
      <c r="BK504" s="3439">
        <f t="shared" si="283"/>
        <v>0</v>
      </c>
      <c r="BL504" s="28">
        <f t="shared" si="284"/>
        <v>0</v>
      </c>
      <c r="BM504" s="28">
        <f t="shared" si="285"/>
        <v>0</v>
      </c>
      <c r="BN504" s="28">
        <f t="shared" si="286"/>
        <v>0</v>
      </c>
      <c r="BO504" s="28">
        <f t="shared" si="287"/>
        <v>0</v>
      </c>
      <c r="BP504" s="28">
        <f t="shared" si="288"/>
        <v>0</v>
      </c>
      <c r="BQ504" s="3439">
        <f t="shared" si="289"/>
        <v>0</v>
      </c>
      <c r="BR504" s="3439">
        <f t="shared" si="290"/>
        <v>0</v>
      </c>
      <c r="BS504" s="3439">
        <f t="shared" si="291"/>
        <v>0</v>
      </c>
      <c r="BT504" s="3451">
        <f t="shared" si="292"/>
        <v>0</v>
      </c>
    </row>
    <row r="505" spans="1:72">
      <c r="A505" s="9"/>
      <c r="B505" s="27"/>
      <c r="C505" s="27"/>
      <c r="D505" s="1678"/>
      <c r="E505" s="28">
        <f t="shared" si="293"/>
        <v>0</v>
      </c>
      <c r="F505" s="29"/>
      <c r="G505" s="30">
        <f t="shared" si="268"/>
        <v>0</v>
      </c>
      <c r="H505" s="31">
        <f t="shared" si="269"/>
        <v>0</v>
      </c>
      <c r="I505" s="32"/>
      <c r="J505" s="32"/>
      <c r="K505" s="32"/>
      <c r="L505" s="32"/>
      <c r="M505" s="32"/>
      <c r="N505" s="32"/>
      <c r="O505" s="32"/>
      <c r="P505" s="32"/>
      <c r="Q505" s="32"/>
      <c r="R505" s="32"/>
      <c r="S505" s="32"/>
      <c r="T505" s="32"/>
      <c r="U505" s="32"/>
      <c r="V505" s="32"/>
      <c r="W505" s="32"/>
      <c r="X505" s="32"/>
      <c r="Y505" s="32"/>
      <c r="Z505" s="32"/>
      <c r="AA505" s="32"/>
      <c r="AB505" s="32"/>
      <c r="AC505" s="28">
        <f t="shared" si="270"/>
        <v>0</v>
      </c>
      <c r="AD505" s="33"/>
      <c r="AE505" s="33"/>
      <c r="AF505" s="33"/>
      <c r="AG505" s="33"/>
      <c r="AH505" s="33"/>
      <c r="AI505" s="33"/>
      <c r="AJ505" s="33"/>
      <c r="AK505" s="33"/>
      <c r="AL505" s="33"/>
      <c r="AM505" s="33"/>
      <c r="AN505" s="33"/>
      <c r="AO505" s="33"/>
      <c r="AP505" s="33"/>
      <c r="AQ505" s="33"/>
      <c r="AR505" s="33"/>
      <c r="AS505" s="33"/>
      <c r="AT505" s="34"/>
      <c r="AU505" s="1679"/>
      <c r="AV505" s="2256">
        <f t="shared" si="294"/>
        <v>0</v>
      </c>
      <c r="AW505" s="2256">
        <f t="shared" si="295"/>
        <v>0</v>
      </c>
      <c r="AX505" s="2256">
        <f t="shared" si="296"/>
        <v>0</v>
      </c>
      <c r="AY505" s="2781">
        <f t="shared" si="271"/>
        <v>0</v>
      </c>
      <c r="AZ505" s="28">
        <f t="shared" si="272"/>
        <v>0</v>
      </c>
      <c r="BA505" s="28">
        <f t="shared" si="273"/>
        <v>0</v>
      </c>
      <c r="BB505" s="28">
        <f t="shared" si="274"/>
        <v>0</v>
      </c>
      <c r="BC505" s="28">
        <f t="shared" si="275"/>
        <v>0</v>
      </c>
      <c r="BD505" s="3439">
        <f t="shared" si="276"/>
        <v>0</v>
      </c>
      <c r="BE505" s="3439">
        <f t="shared" si="277"/>
        <v>0</v>
      </c>
      <c r="BF505" s="3439">
        <f t="shared" si="278"/>
        <v>0</v>
      </c>
      <c r="BG505" s="3439">
        <f t="shared" si="279"/>
        <v>0</v>
      </c>
      <c r="BH505" s="3439">
        <f t="shared" si="280"/>
        <v>0</v>
      </c>
      <c r="BI505" s="3439">
        <f t="shared" si="281"/>
        <v>0</v>
      </c>
      <c r="BJ505" s="3439">
        <f t="shared" si="282"/>
        <v>0</v>
      </c>
      <c r="BK505" s="3439">
        <f t="shared" si="283"/>
        <v>0</v>
      </c>
      <c r="BL505" s="28">
        <f t="shared" si="284"/>
        <v>0</v>
      </c>
      <c r="BM505" s="28">
        <f t="shared" si="285"/>
        <v>0</v>
      </c>
      <c r="BN505" s="28">
        <f t="shared" si="286"/>
        <v>0</v>
      </c>
      <c r="BO505" s="28">
        <f t="shared" si="287"/>
        <v>0</v>
      </c>
      <c r="BP505" s="28">
        <f t="shared" si="288"/>
        <v>0</v>
      </c>
      <c r="BQ505" s="3439">
        <f t="shared" si="289"/>
        <v>0</v>
      </c>
      <c r="BR505" s="3439">
        <f t="shared" si="290"/>
        <v>0</v>
      </c>
      <c r="BS505" s="3439">
        <f t="shared" si="291"/>
        <v>0</v>
      </c>
      <c r="BT505" s="3451">
        <f t="shared" si="292"/>
        <v>0</v>
      </c>
    </row>
    <row r="506" spans="1:72">
      <c r="A506" s="9"/>
      <c r="B506" s="27"/>
      <c r="C506" s="27"/>
      <c r="D506" s="1678"/>
      <c r="E506" s="28">
        <f t="shared" si="293"/>
        <v>0</v>
      </c>
      <c r="F506" s="29"/>
      <c r="G506" s="30">
        <f t="shared" si="268"/>
        <v>0</v>
      </c>
      <c r="H506" s="31">
        <f t="shared" si="269"/>
        <v>0</v>
      </c>
      <c r="I506" s="32"/>
      <c r="J506" s="32"/>
      <c r="K506" s="32"/>
      <c r="L506" s="32"/>
      <c r="M506" s="32"/>
      <c r="N506" s="32"/>
      <c r="O506" s="32"/>
      <c r="P506" s="32"/>
      <c r="Q506" s="32"/>
      <c r="R506" s="32"/>
      <c r="S506" s="32"/>
      <c r="T506" s="32"/>
      <c r="U506" s="32"/>
      <c r="V506" s="32"/>
      <c r="W506" s="32"/>
      <c r="X506" s="32"/>
      <c r="Y506" s="32"/>
      <c r="Z506" s="32"/>
      <c r="AA506" s="32"/>
      <c r="AB506" s="32"/>
      <c r="AC506" s="28">
        <f t="shared" si="270"/>
        <v>0</v>
      </c>
      <c r="AD506" s="33"/>
      <c r="AE506" s="33"/>
      <c r="AF506" s="33"/>
      <c r="AG506" s="33"/>
      <c r="AH506" s="33"/>
      <c r="AI506" s="33"/>
      <c r="AJ506" s="33"/>
      <c r="AK506" s="33"/>
      <c r="AL506" s="33"/>
      <c r="AM506" s="33"/>
      <c r="AN506" s="33"/>
      <c r="AO506" s="33"/>
      <c r="AP506" s="33"/>
      <c r="AQ506" s="33"/>
      <c r="AR506" s="33"/>
      <c r="AS506" s="33"/>
      <c r="AT506" s="34"/>
      <c r="AU506" s="1679"/>
      <c r="AV506" s="2256">
        <f t="shared" si="294"/>
        <v>0</v>
      </c>
      <c r="AW506" s="2256">
        <f t="shared" si="295"/>
        <v>0</v>
      </c>
      <c r="AX506" s="2256">
        <f t="shared" si="296"/>
        <v>0</v>
      </c>
      <c r="AY506" s="2781">
        <f t="shared" si="271"/>
        <v>0</v>
      </c>
      <c r="AZ506" s="28">
        <f t="shared" si="272"/>
        <v>0</v>
      </c>
      <c r="BA506" s="28">
        <f t="shared" si="273"/>
        <v>0</v>
      </c>
      <c r="BB506" s="28">
        <f t="shared" si="274"/>
        <v>0</v>
      </c>
      <c r="BC506" s="28">
        <f t="shared" si="275"/>
        <v>0</v>
      </c>
      <c r="BD506" s="3439">
        <f t="shared" si="276"/>
        <v>0</v>
      </c>
      <c r="BE506" s="3439">
        <f t="shared" si="277"/>
        <v>0</v>
      </c>
      <c r="BF506" s="3439">
        <f t="shared" si="278"/>
        <v>0</v>
      </c>
      <c r="BG506" s="3439">
        <f t="shared" si="279"/>
        <v>0</v>
      </c>
      <c r="BH506" s="3439">
        <f t="shared" si="280"/>
        <v>0</v>
      </c>
      <c r="BI506" s="3439">
        <f t="shared" si="281"/>
        <v>0</v>
      </c>
      <c r="BJ506" s="3439">
        <f t="shared" si="282"/>
        <v>0</v>
      </c>
      <c r="BK506" s="3439">
        <f t="shared" si="283"/>
        <v>0</v>
      </c>
      <c r="BL506" s="28">
        <f t="shared" si="284"/>
        <v>0</v>
      </c>
      <c r="BM506" s="28">
        <f t="shared" si="285"/>
        <v>0</v>
      </c>
      <c r="BN506" s="28">
        <f t="shared" si="286"/>
        <v>0</v>
      </c>
      <c r="BO506" s="28">
        <f t="shared" si="287"/>
        <v>0</v>
      </c>
      <c r="BP506" s="28">
        <f t="shared" si="288"/>
        <v>0</v>
      </c>
      <c r="BQ506" s="3439">
        <f t="shared" si="289"/>
        <v>0</v>
      </c>
      <c r="BR506" s="3439">
        <f t="shared" si="290"/>
        <v>0</v>
      </c>
      <c r="BS506" s="3439">
        <f t="shared" si="291"/>
        <v>0</v>
      </c>
      <c r="BT506" s="3451">
        <f t="shared" si="292"/>
        <v>0</v>
      </c>
    </row>
    <row r="507" spans="1:72">
      <c r="A507" s="9"/>
      <c r="B507" s="27"/>
      <c r="C507" s="27"/>
      <c r="D507" s="1678"/>
      <c r="E507" s="28">
        <f t="shared" si="293"/>
        <v>0</v>
      </c>
      <c r="F507" s="29"/>
      <c r="G507" s="30">
        <f t="shared" si="268"/>
        <v>0</v>
      </c>
      <c r="H507" s="31">
        <f t="shared" si="269"/>
        <v>0</v>
      </c>
      <c r="I507" s="32"/>
      <c r="J507" s="32"/>
      <c r="K507" s="32"/>
      <c r="L507" s="32"/>
      <c r="M507" s="32"/>
      <c r="N507" s="32"/>
      <c r="O507" s="32"/>
      <c r="P507" s="32"/>
      <c r="Q507" s="32"/>
      <c r="R507" s="32"/>
      <c r="S507" s="32"/>
      <c r="T507" s="32"/>
      <c r="U507" s="32"/>
      <c r="V507" s="32"/>
      <c r="W507" s="32"/>
      <c r="X507" s="32"/>
      <c r="Y507" s="32"/>
      <c r="Z507" s="32"/>
      <c r="AA507" s="32"/>
      <c r="AB507" s="32"/>
      <c r="AC507" s="28">
        <f t="shared" si="270"/>
        <v>0</v>
      </c>
      <c r="AD507" s="33"/>
      <c r="AE507" s="33"/>
      <c r="AF507" s="33"/>
      <c r="AG507" s="33"/>
      <c r="AH507" s="33"/>
      <c r="AI507" s="33"/>
      <c r="AJ507" s="33"/>
      <c r="AK507" s="33"/>
      <c r="AL507" s="33"/>
      <c r="AM507" s="33"/>
      <c r="AN507" s="33"/>
      <c r="AO507" s="33"/>
      <c r="AP507" s="33"/>
      <c r="AQ507" s="33"/>
      <c r="AR507" s="33"/>
      <c r="AS507" s="33"/>
      <c r="AT507" s="34"/>
      <c r="AU507" s="1679"/>
      <c r="AV507" s="2256">
        <f t="shared" si="294"/>
        <v>0</v>
      </c>
      <c r="AW507" s="2256">
        <f t="shared" si="295"/>
        <v>0</v>
      </c>
      <c r="AX507" s="2256">
        <f t="shared" si="296"/>
        <v>0</v>
      </c>
      <c r="AY507" s="2781">
        <f t="shared" si="271"/>
        <v>0</v>
      </c>
      <c r="AZ507" s="28">
        <f t="shared" si="272"/>
        <v>0</v>
      </c>
      <c r="BA507" s="28">
        <f t="shared" si="273"/>
        <v>0</v>
      </c>
      <c r="BB507" s="28">
        <f t="shared" si="274"/>
        <v>0</v>
      </c>
      <c r="BC507" s="28">
        <f t="shared" si="275"/>
        <v>0</v>
      </c>
      <c r="BD507" s="3439">
        <f t="shared" si="276"/>
        <v>0</v>
      </c>
      <c r="BE507" s="3439">
        <f t="shared" si="277"/>
        <v>0</v>
      </c>
      <c r="BF507" s="3439">
        <f t="shared" si="278"/>
        <v>0</v>
      </c>
      <c r="BG507" s="3439">
        <f t="shared" si="279"/>
        <v>0</v>
      </c>
      <c r="BH507" s="3439">
        <f t="shared" si="280"/>
        <v>0</v>
      </c>
      <c r="BI507" s="3439">
        <f t="shared" si="281"/>
        <v>0</v>
      </c>
      <c r="BJ507" s="3439">
        <f t="shared" si="282"/>
        <v>0</v>
      </c>
      <c r="BK507" s="3439">
        <f t="shared" si="283"/>
        <v>0</v>
      </c>
      <c r="BL507" s="28">
        <f t="shared" si="284"/>
        <v>0</v>
      </c>
      <c r="BM507" s="28">
        <f t="shared" si="285"/>
        <v>0</v>
      </c>
      <c r="BN507" s="28">
        <f t="shared" si="286"/>
        <v>0</v>
      </c>
      <c r="BO507" s="28">
        <f t="shared" si="287"/>
        <v>0</v>
      </c>
      <c r="BP507" s="28">
        <f t="shared" si="288"/>
        <v>0</v>
      </c>
      <c r="BQ507" s="3439">
        <f t="shared" si="289"/>
        <v>0</v>
      </c>
      <c r="BR507" s="3439">
        <f t="shared" si="290"/>
        <v>0</v>
      </c>
      <c r="BS507" s="3439">
        <f t="shared" si="291"/>
        <v>0</v>
      </c>
      <c r="BT507" s="3451">
        <f t="shared" si="292"/>
        <v>0</v>
      </c>
    </row>
    <row r="508" spans="1:72">
      <c r="A508" s="9"/>
      <c r="B508" s="27"/>
      <c r="C508" s="27"/>
      <c r="D508" s="1678"/>
      <c r="E508" s="28">
        <f t="shared" si="293"/>
        <v>0</v>
      </c>
      <c r="F508" s="29"/>
      <c r="G508" s="30">
        <f t="shared" si="268"/>
        <v>0</v>
      </c>
      <c r="H508" s="31">
        <f t="shared" si="269"/>
        <v>0</v>
      </c>
      <c r="I508" s="32"/>
      <c r="J508" s="32"/>
      <c r="K508" s="32"/>
      <c r="L508" s="32"/>
      <c r="M508" s="32"/>
      <c r="N508" s="32"/>
      <c r="O508" s="32"/>
      <c r="P508" s="32"/>
      <c r="Q508" s="32"/>
      <c r="R508" s="32"/>
      <c r="S508" s="32"/>
      <c r="T508" s="32"/>
      <c r="U508" s="32"/>
      <c r="V508" s="32"/>
      <c r="W508" s="32"/>
      <c r="X508" s="32"/>
      <c r="Y508" s="32"/>
      <c r="Z508" s="32"/>
      <c r="AA508" s="32"/>
      <c r="AB508" s="32"/>
      <c r="AC508" s="28">
        <f t="shared" si="270"/>
        <v>0</v>
      </c>
      <c r="AD508" s="33"/>
      <c r="AE508" s="33"/>
      <c r="AF508" s="33"/>
      <c r="AG508" s="33"/>
      <c r="AH508" s="33"/>
      <c r="AI508" s="33"/>
      <c r="AJ508" s="33"/>
      <c r="AK508" s="33"/>
      <c r="AL508" s="33"/>
      <c r="AM508" s="33"/>
      <c r="AN508" s="33"/>
      <c r="AO508" s="33"/>
      <c r="AP508" s="33"/>
      <c r="AQ508" s="33"/>
      <c r="AR508" s="33"/>
      <c r="AS508" s="33"/>
      <c r="AT508" s="34"/>
      <c r="AU508" s="1679"/>
      <c r="AV508" s="2256">
        <f t="shared" si="294"/>
        <v>0</v>
      </c>
      <c r="AW508" s="2256">
        <f t="shared" si="295"/>
        <v>0</v>
      </c>
      <c r="AX508" s="2256">
        <f t="shared" si="296"/>
        <v>0</v>
      </c>
      <c r="AY508" s="2781">
        <f t="shared" si="271"/>
        <v>0</v>
      </c>
      <c r="AZ508" s="28">
        <f t="shared" si="272"/>
        <v>0</v>
      </c>
      <c r="BA508" s="28">
        <f t="shared" si="273"/>
        <v>0</v>
      </c>
      <c r="BB508" s="28">
        <f t="shared" si="274"/>
        <v>0</v>
      </c>
      <c r="BC508" s="28">
        <f t="shared" si="275"/>
        <v>0</v>
      </c>
      <c r="BD508" s="3439">
        <f t="shared" si="276"/>
        <v>0</v>
      </c>
      <c r="BE508" s="3439">
        <f t="shared" si="277"/>
        <v>0</v>
      </c>
      <c r="BF508" s="3439">
        <f t="shared" si="278"/>
        <v>0</v>
      </c>
      <c r="BG508" s="3439">
        <f t="shared" si="279"/>
        <v>0</v>
      </c>
      <c r="BH508" s="3439">
        <f t="shared" si="280"/>
        <v>0</v>
      </c>
      <c r="BI508" s="3439">
        <f t="shared" si="281"/>
        <v>0</v>
      </c>
      <c r="BJ508" s="3439">
        <f t="shared" si="282"/>
        <v>0</v>
      </c>
      <c r="BK508" s="3439">
        <f t="shared" si="283"/>
        <v>0</v>
      </c>
      <c r="BL508" s="28">
        <f t="shared" si="284"/>
        <v>0</v>
      </c>
      <c r="BM508" s="28">
        <f t="shared" si="285"/>
        <v>0</v>
      </c>
      <c r="BN508" s="28">
        <f t="shared" si="286"/>
        <v>0</v>
      </c>
      <c r="BO508" s="28">
        <f t="shared" si="287"/>
        <v>0</v>
      </c>
      <c r="BP508" s="28">
        <f t="shared" si="288"/>
        <v>0</v>
      </c>
      <c r="BQ508" s="3439">
        <f t="shared" si="289"/>
        <v>0</v>
      </c>
      <c r="BR508" s="3439">
        <f t="shared" si="290"/>
        <v>0</v>
      </c>
      <c r="BS508" s="3439">
        <f t="shared" si="291"/>
        <v>0</v>
      </c>
      <c r="BT508" s="3451">
        <f t="shared" si="292"/>
        <v>0</v>
      </c>
    </row>
    <row r="509" spans="1:72">
      <c r="A509" s="9"/>
      <c r="B509" s="27"/>
      <c r="C509" s="27"/>
      <c r="D509" s="1678"/>
      <c r="E509" s="28">
        <f t="shared" si="293"/>
        <v>0</v>
      </c>
      <c r="F509" s="29"/>
      <c r="G509" s="30">
        <f t="shared" si="268"/>
        <v>0</v>
      </c>
      <c r="H509" s="31">
        <f t="shared" si="269"/>
        <v>0</v>
      </c>
      <c r="I509" s="32"/>
      <c r="J509" s="32"/>
      <c r="K509" s="32"/>
      <c r="L509" s="32"/>
      <c r="M509" s="32"/>
      <c r="N509" s="32"/>
      <c r="O509" s="32"/>
      <c r="P509" s="32"/>
      <c r="Q509" s="32"/>
      <c r="R509" s="32"/>
      <c r="S509" s="32"/>
      <c r="T509" s="32"/>
      <c r="U509" s="32"/>
      <c r="V509" s="32"/>
      <c r="W509" s="32"/>
      <c r="X509" s="32"/>
      <c r="Y509" s="32"/>
      <c r="Z509" s="32"/>
      <c r="AA509" s="32"/>
      <c r="AB509" s="32"/>
      <c r="AC509" s="28">
        <f t="shared" si="270"/>
        <v>0</v>
      </c>
      <c r="AD509" s="33"/>
      <c r="AE509" s="33"/>
      <c r="AF509" s="33"/>
      <c r="AG509" s="33"/>
      <c r="AH509" s="33"/>
      <c r="AI509" s="33"/>
      <c r="AJ509" s="33"/>
      <c r="AK509" s="33"/>
      <c r="AL509" s="33"/>
      <c r="AM509" s="33"/>
      <c r="AN509" s="33"/>
      <c r="AO509" s="33"/>
      <c r="AP509" s="33"/>
      <c r="AQ509" s="33"/>
      <c r="AR509" s="33"/>
      <c r="AS509" s="33"/>
      <c r="AT509" s="34"/>
      <c r="AU509" s="1679"/>
      <c r="AV509" s="2256">
        <f t="shared" si="294"/>
        <v>0</v>
      </c>
      <c r="AW509" s="2256">
        <f t="shared" si="295"/>
        <v>0</v>
      </c>
      <c r="AX509" s="2256">
        <f t="shared" si="296"/>
        <v>0</v>
      </c>
      <c r="AY509" s="2781">
        <f t="shared" si="271"/>
        <v>0</v>
      </c>
      <c r="AZ509" s="28">
        <f t="shared" si="272"/>
        <v>0</v>
      </c>
      <c r="BA509" s="28">
        <f t="shared" si="273"/>
        <v>0</v>
      </c>
      <c r="BB509" s="28">
        <f t="shared" si="274"/>
        <v>0</v>
      </c>
      <c r="BC509" s="28">
        <f t="shared" si="275"/>
        <v>0</v>
      </c>
      <c r="BD509" s="3439">
        <f t="shared" si="276"/>
        <v>0</v>
      </c>
      <c r="BE509" s="3439">
        <f t="shared" si="277"/>
        <v>0</v>
      </c>
      <c r="BF509" s="3439">
        <f t="shared" si="278"/>
        <v>0</v>
      </c>
      <c r="BG509" s="3439">
        <f t="shared" si="279"/>
        <v>0</v>
      </c>
      <c r="BH509" s="3439">
        <f t="shared" si="280"/>
        <v>0</v>
      </c>
      <c r="BI509" s="3439">
        <f t="shared" si="281"/>
        <v>0</v>
      </c>
      <c r="BJ509" s="3439">
        <f t="shared" si="282"/>
        <v>0</v>
      </c>
      <c r="BK509" s="3439">
        <f t="shared" si="283"/>
        <v>0</v>
      </c>
      <c r="BL509" s="28">
        <f t="shared" si="284"/>
        <v>0</v>
      </c>
      <c r="BM509" s="28">
        <f t="shared" si="285"/>
        <v>0</v>
      </c>
      <c r="BN509" s="28">
        <f t="shared" si="286"/>
        <v>0</v>
      </c>
      <c r="BO509" s="28">
        <f t="shared" si="287"/>
        <v>0</v>
      </c>
      <c r="BP509" s="28">
        <f t="shared" si="288"/>
        <v>0</v>
      </c>
      <c r="BQ509" s="3439">
        <f t="shared" si="289"/>
        <v>0</v>
      </c>
      <c r="BR509" s="3439">
        <f t="shared" si="290"/>
        <v>0</v>
      </c>
      <c r="BS509" s="3439">
        <f t="shared" si="291"/>
        <v>0</v>
      </c>
      <c r="BT509" s="3451">
        <f t="shared" si="292"/>
        <v>0</v>
      </c>
    </row>
    <row r="510" spans="1:72">
      <c r="A510" s="9"/>
      <c r="B510" s="27"/>
      <c r="C510" s="27"/>
      <c r="D510" s="1678"/>
      <c r="E510" s="28">
        <f t="shared" si="293"/>
        <v>0</v>
      </c>
      <c r="F510" s="29"/>
      <c r="G510" s="30">
        <f t="shared" si="268"/>
        <v>0</v>
      </c>
      <c r="H510" s="31">
        <f t="shared" si="269"/>
        <v>0</v>
      </c>
      <c r="I510" s="32"/>
      <c r="J510" s="32"/>
      <c r="K510" s="32"/>
      <c r="L510" s="32"/>
      <c r="M510" s="32"/>
      <c r="N510" s="32"/>
      <c r="O510" s="32"/>
      <c r="P510" s="32"/>
      <c r="Q510" s="32"/>
      <c r="R510" s="32"/>
      <c r="S510" s="32"/>
      <c r="T510" s="32"/>
      <c r="U510" s="32"/>
      <c r="V510" s="32"/>
      <c r="W510" s="32"/>
      <c r="X510" s="32"/>
      <c r="Y510" s="32"/>
      <c r="Z510" s="32"/>
      <c r="AA510" s="32"/>
      <c r="AB510" s="32"/>
      <c r="AC510" s="28">
        <f t="shared" si="270"/>
        <v>0</v>
      </c>
      <c r="AD510" s="33"/>
      <c r="AE510" s="33"/>
      <c r="AF510" s="33"/>
      <c r="AG510" s="33"/>
      <c r="AH510" s="33"/>
      <c r="AI510" s="33"/>
      <c r="AJ510" s="33"/>
      <c r="AK510" s="33"/>
      <c r="AL510" s="33"/>
      <c r="AM510" s="33"/>
      <c r="AN510" s="33"/>
      <c r="AO510" s="33"/>
      <c r="AP510" s="33"/>
      <c r="AQ510" s="33"/>
      <c r="AR510" s="33"/>
      <c r="AS510" s="33"/>
      <c r="AT510" s="34"/>
      <c r="AU510" s="1679"/>
      <c r="AV510" s="2256">
        <f t="shared" si="294"/>
        <v>0</v>
      </c>
      <c r="AW510" s="2256">
        <f t="shared" si="295"/>
        <v>0</v>
      </c>
      <c r="AX510" s="2256">
        <f t="shared" si="296"/>
        <v>0</v>
      </c>
      <c r="AY510" s="2781">
        <f t="shared" si="271"/>
        <v>0</v>
      </c>
      <c r="AZ510" s="28">
        <f t="shared" si="272"/>
        <v>0</v>
      </c>
      <c r="BA510" s="28">
        <f t="shared" si="273"/>
        <v>0</v>
      </c>
      <c r="BB510" s="28">
        <f t="shared" si="274"/>
        <v>0</v>
      </c>
      <c r="BC510" s="28">
        <f t="shared" si="275"/>
        <v>0</v>
      </c>
      <c r="BD510" s="3439">
        <f t="shared" si="276"/>
        <v>0</v>
      </c>
      <c r="BE510" s="3439">
        <f t="shared" si="277"/>
        <v>0</v>
      </c>
      <c r="BF510" s="3439">
        <f t="shared" si="278"/>
        <v>0</v>
      </c>
      <c r="BG510" s="3439">
        <f t="shared" si="279"/>
        <v>0</v>
      </c>
      <c r="BH510" s="3439">
        <f t="shared" si="280"/>
        <v>0</v>
      </c>
      <c r="BI510" s="3439">
        <f t="shared" si="281"/>
        <v>0</v>
      </c>
      <c r="BJ510" s="3439">
        <f t="shared" si="282"/>
        <v>0</v>
      </c>
      <c r="BK510" s="3439">
        <f t="shared" si="283"/>
        <v>0</v>
      </c>
      <c r="BL510" s="28">
        <f t="shared" si="284"/>
        <v>0</v>
      </c>
      <c r="BM510" s="28">
        <f t="shared" si="285"/>
        <v>0</v>
      </c>
      <c r="BN510" s="28">
        <f t="shared" si="286"/>
        <v>0</v>
      </c>
      <c r="BO510" s="28">
        <f t="shared" si="287"/>
        <v>0</v>
      </c>
      <c r="BP510" s="28">
        <f t="shared" si="288"/>
        <v>0</v>
      </c>
      <c r="BQ510" s="3439">
        <f t="shared" si="289"/>
        <v>0</v>
      </c>
      <c r="BR510" s="3439">
        <f t="shared" si="290"/>
        <v>0</v>
      </c>
      <c r="BS510" s="3439">
        <f t="shared" si="291"/>
        <v>0</v>
      </c>
      <c r="BT510" s="3451">
        <f t="shared" si="292"/>
        <v>0</v>
      </c>
    </row>
    <row r="511" spans="1:72">
      <c r="A511" s="9"/>
      <c r="B511" s="27"/>
      <c r="C511" s="27"/>
      <c r="D511" s="1678"/>
      <c r="E511" s="28">
        <f t="shared" si="293"/>
        <v>0</v>
      </c>
      <c r="F511" s="29"/>
      <c r="G511" s="30">
        <f t="shared" si="268"/>
        <v>0</v>
      </c>
      <c r="H511" s="31">
        <f t="shared" si="269"/>
        <v>0</v>
      </c>
      <c r="I511" s="32"/>
      <c r="J511" s="32"/>
      <c r="K511" s="32"/>
      <c r="L511" s="32"/>
      <c r="M511" s="32"/>
      <c r="N511" s="32"/>
      <c r="O511" s="32"/>
      <c r="P511" s="32"/>
      <c r="Q511" s="32"/>
      <c r="R511" s="32"/>
      <c r="S511" s="32"/>
      <c r="T511" s="32"/>
      <c r="U511" s="32"/>
      <c r="V511" s="32"/>
      <c r="W511" s="32"/>
      <c r="X511" s="32"/>
      <c r="Y511" s="32"/>
      <c r="Z511" s="32"/>
      <c r="AA511" s="32"/>
      <c r="AB511" s="32"/>
      <c r="AC511" s="28">
        <f t="shared" si="270"/>
        <v>0</v>
      </c>
      <c r="AD511" s="33"/>
      <c r="AE511" s="33"/>
      <c r="AF511" s="33"/>
      <c r="AG511" s="33"/>
      <c r="AH511" s="33"/>
      <c r="AI511" s="33"/>
      <c r="AJ511" s="33"/>
      <c r="AK511" s="33"/>
      <c r="AL511" s="33"/>
      <c r="AM511" s="33"/>
      <c r="AN511" s="33"/>
      <c r="AO511" s="33"/>
      <c r="AP511" s="33"/>
      <c r="AQ511" s="33"/>
      <c r="AR511" s="33"/>
      <c r="AS511" s="33"/>
      <c r="AT511" s="34"/>
      <c r="AU511" s="1679"/>
      <c r="AV511" s="2256">
        <f t="shared" si="294"/>
        <v>0</v>
      </c>
      <c r="AW511" s="2256">
        <f t="shared" si="295"/>
        <v>0</v>
      </c>
      <c r="AX511" s="2256">
        <f t="shared" si="296"/>
        <v>0</v>
      </c>
      <c r="AY511" s="2781">
        <f t="shared" si="271"/>
        <v>0</v>
      </c>
      <c r="AZ511" s="28">
        <f t="shared" si="272"/>
        <v>0</v>
      </c>
      <c r="BA511" s="28">
        <f t="shared" si="273"/>
        <v>0</v>
      </c>
      <c r="BB511" s="28">
        <f t="shared" si="274"/>
        <v>0</v>
      </c>
      <c r="BC511" s="28">
        <f t="shared" si="275"/>
        <v>0</v>
      </c>
      <c r="BD511" s="3439">
        <f t="shared" si="276"/>
        <v>0</v>
      </c>
      <c r="BE511" s="3439">
        <f t="shared" si="277"/>
        <v>0</v>
      </c>
      <c r="BF511" s="3439">
        <f t="shared" si="278"/>
        <v>0</v>
      </c>
      <c r="BG511" s="3439">
        <f t="shared" si="279"/>
        <v>0</v>
      </c>
      <c r="BH511" s="3439">
        <f t="shared" si="280"/>
        <v>0</v>
      </c>
      <c r="BI511" s="3439">
        <f t="shared" si="281"/>
        <v>0</v>
      </c>
      <c r="BJ511" s="3439">
        <f t="shared" si="282"/>
        <v>0</v>
      </c>
      <c r="BK511" s="3439">
        <f t="shared" si="283"/>
        <v>0</v>
      </c>
      <c r="BL511" s="28">
        <f t="shared" si="284"/>
        <v>0</v>
      </c>
      <c r="BM511" s="28">
        <f t="shared" si="285"/>
        <v>0</v>
      </c>
      <c r="BN511" s="28">
        <f t="shared" si="286"/>
        <v>0</v>
      </c>
      <c r="BO511" s="28">
        <f t="shared" si="287"/>
        <v>0</v>
      </c>
      <c r="BP511" s="28">
        <f t="shared" si="288"/>
        <v>0</v>
      </c>
      <c r="BQ511" s="3439">
        <f t="shared" si="289"/>
        <v>0</v>
      </c>
      <c r="BR511" s="3439">
        <f t="shared" si="290"/>
        <v>0</v>
      </c>
      <c r="BS511" s="3439">
        <f t="shared" si="291"/>
        <v>0</v>
      </c>
      <c r="BT511" s="3451">
        <f t="shared" si="292"/>
        <v>0</v>
      </c>
    </row>
    <row r="512" spans="1:72">
      <c r="A512" s="9"/>
      <c r="B512" s="27"/>
      <c r="C512" s="27"/>
      <c r="D512" s="1678"/>
      <c r="E512" s="28">
        <f t="shared" si="293"/>
        <v>0</v>
      </c>
      <c r="F512" s="29"/>
      <c r="G512" s="30">
        <f t="shared" si="268"/>
        <v>0</v>
      </c>
      <c r="H512" s="31">
        <f t="shared" si="269"/>
        <v>0</v>
      </c>
      <c r="I512" s="32"/>
      <c r="J512" s="32"/>
      <c r="K512" s="32"/>
      <c r="L512" s="32"/>
      <c r="M512" s="32"/>
      <c r="N512" s="32"/>
      <c r="O512" s="32"/>
      <c r="P512" s="32"/>
      <c r="Q512" s="32"/>
      <c r="R512" s="32"/>
      <c r="S512" s="32"/>
      <c r="T512" s="32"/>
      <c r="U512" s="32"/>
      <c r="V512" s="32"/>
      <c r="W512" s="32"/>
      <c r="X512" s="32"/>
      <c r="Y512" s="32"/>
      <c r="Z512" s="32"/>
      <c r="AA512" s="32"/>
      <c r="AB512" s="32"/>
      <c r="AC512" s="28">
        <f t="shared" si="270"/>
        <v>0</v>
      </c>
      <c r="AD512" s="33"/>
      <c r="AE512" s="33"/>
      <c r="AF512" s="33"/>
      <c r="AG512" s="33"/>
      <c r="AH512" s="33"/>
      <c r="AI512" s="33"/>
      <c r="AJ512" s="33"/>
      <c r="AK512" s="33"/>
      <c r="AL512" s="33"/>
      <c r="AM512" s="33"/>
      <c r="AN512" s="33"/>
      <c r="AO512" s="33"/>
      <c r="AP512" s="33"/>
      <c r="AQ512" s="33"/>
      <c r="AR512" s="33"/>
      <c r="AS512" s="33"/>
      <c r="AT512" s="34"/>
      <c r="AU512" s="1679"/>
      <c r="AV512" s="2256">
        <f t="shared" si="294"/>
        <v>0</v>
      </c>
      <c r="AW512" s="2256">
        <f t="shared" si="295"/>
        <v>0</v>
      </c>
      <c r="AX512" s="2256">
        <f t="shared" si="296"/>
        <v>0</v>
      </c>
      <c r="AY512" s="2781">
        <f t="shared" si="271"/>
        <v>0</v>
      </c>
      <c r="AZ512" s="28">
        <f t="shared" si="272"/>
        <v>0</v>
      </c>
      <c r="BA512" s="28">
        <f t="shared" si="273"/>
        <v>0</v>
      </c>
      <c r="BB512" s="28">
        <f t="shared" si="274"/>
        <v>0</v>
      </c>
      <c r="BC512" s="28">
        <f t="shared" si="275"/>
        <v>0</v>
      </c>
      <c r="BD512" s="3439">
        <f t="shared" si="276"/>
        <v>0</v>
      </c>
      <c r="BE512" s="3439">
        <f t="shared" si="277"/>
        <v>0</v>
      </c>
      <c r="BF512" s="3439">
        <f t="shared" si="278"/>
        <v>0</v>
      </c>
      <c r="BG512" s="3439">
        <f t="shared" si="279"/>
        <v>0</v>
      </c>
      <c r="BH512" s="3439">
        <f t="shared" si="280"/>
        <v>0</v>
      </c>
      <c r="BI512" s="3439">
        <f t="shared" si="281"/>
        <v>0</v>
      </c>
      <c r="BJ512" s="3439">
        <f t="shared" si="282"/>
        <v>0</v>
      </c>
      <c r="BK512" s="3439">
        <f t="shared" si="283"/>
        <v>0</v>
      </c>
      <c r="BL512" s="28">
        <f t="shared" si="284"/>
        <v>0</v>
      </c>
      <c r="BM512" s="28">
        <f t="shared" si="285"/>
        <v>0</v>
      </c>
      <c r="BN512" s="28">
        <f t="shared" si="286"/>
        <v>0</v>
      </c>
      <c r="BO512" s="28">
        <f t="shared" si="287"/>
        <v>0</v>
      </c>
      <c r="BP512" s="28">
        <f t="shared" si="288"/>
        <v>0</v>
      </c>
      <c r="BQ512" s="3439">
        <f t="shared" si="289"/>
        <v>0</v>
      </c>
      <c r="BR512" s="3439">
        <f t="shared" si="290"/>
        <v>0</v>
      </c>
      <c r="BS512" s="3439">
        <f t="shared" si="291"/>
        <v>0</v>
      </c>
      <c r="BT512" s="3451">
        <f t="shared" si="292"/>
        <v>0</v>
      </c>
    </row>
    <row r="513" spans="1:72">
      <c r="A513" s="9"/>
      <c r="B513" s="27"/>
      <c r="C513" s="27"/>
      <c r="D513" s="1678"/>
      <c r="E513" s="28">
        <f t="shared" si="293"/>
        <v>0</v>
      </c>
      <c r="F513" s="29"/>
      <c r="G513" s="30">
        <f t="shared" si="268"/>
        <v>0</v>
      </c>
      <c r="H513" s="31">
        <f t="shared" si="269"/>
        <v>0</v>
      </c>
      <c r="I513" s="32"/>
      <c r="J513" s="32"/>
      <c r="K513" s="32"/>
      <c r="L513" s="32"/>
      <c r="M513" s="32"/>
      <c r="N513" s="32"/>
      <c r="O513" s="32"/>
      <c r="P513" s="32"/>
      <c r="Q513" s="32"/>
      <c r="R513" s="32"/>
      <c r="S513" s="32"/>
      <c r="T513" s="32"/>
      <c r="U513" s="32"/>
      <c r="V513" s="32"/>
      <c r="W513" s="32"/>
      <c r="X513" s="32"/>
      <c r="Y513" s="32"/>
      <c r="Z513" s="32"/>
      <c r="AA513" s="32"/>
      <c r="AB513" s="32"/>
      <c r="AC513" s="28">
        <f t="shared" si="270"/>
        <v>0</v>
      </c>
      <c r="AD513" s="33"/>
      <c r="AE513" s="33"/>
      <c r="AF513" s="33"/>
      <c r="AG513" s="33"/>
      <c r="AH513" s="33"/>
      <c r="AI513" s="33"/>
      <c r="AJ513" s="33"/>
      <c r="AK513" s="33"/>
      <c r="AL513" s="33"/>
      <c r="AM513" s="33"/>
      <c r="AN513" s="33"/>
      <c r="AO513" s="33"/>
      <c r="AP513" s="33"/>
      <c r="AQ513" s="33"/>
      <c r="AR513" s="33"/>
      <c r="AS513" s="33"/>
      <c r="AT513" s="34"/>
      <c r="AU513" s="1679"/>
      <c r="AV513" s="2256">
        <f t="shared" si="294"/>
        <v>0</v>
      </c>
      <c r="AW513" s="2256">
        <f t="shared" si="295"/>
        <v>0</v>
      </c>
      <c r="AX513" s="2256">
        <f t="shared" si="296"/>
        <v>0</v>
      </c>
      <c r="AY513" s="2781">
        <f t="shared" si="271"/>
        <v>0</v>
      </c>
      <c r="AZ513" s="28">
        <f t="shared" si="272"/>
        <v>0</v>
      </c>
      <c r="BA513" s="28">
        <f t="shared" si="273"/>
        <v>0</v>
      </c>
      <c r="BB513" s="28">
        <f t="shared" si="274"/>
        <v>0</v>
      </c>
      <c r="BC513" s="28">
        <f t="shared" si="275"/>
        <v>0</v>
      </c>
      <c r="BD513" s="3439">
        <f t="shared" si="276"/>
        <v>0</v>
      </c>
      <c r="BE513" s="3439">
        <f t="shared" si="277"/>
        <v>0</v>
      </c>
      <c r="BF513" s="3439">
        <f t="shared" si="278"/>
        <v>0</v>
      </c>
      <c r="BG513" s="3439">
        <f t="shared" si="279"/>
        <v>0</v>
      </c>
      <c r="BH513" s="3439">
        <f t="shared" si="280"/>
        <v>0</v>
      </c>
      <c r="BI513" s="3439">
        <f t="shared" si="281"/>
        <v>0</v>
      </c>
      <c r="BJ513" s="3439">
        <f t="shared" si="282"/>
        <v>0</v>
      </c>
      <c r="BK513" s="3439">
        <f t="shared" si="283"/>
        <v>0</v>
      </c>
      <c r="BL513" s="28">
        <f t="shared" si="284"/>
        <v>0</v>
      </c>
      <c r="BM513" s="28">
        <f t="shared" si="285"/>
        <v>0</v>
      </c>
      <c r="BN513" s="28">
        <f t="shared" si="286"/>
        <v>0</v>
      </c>
      <c r="BO513" s="28">
        <f t="shared" si="287"/>
        <v>0</v>
      </c>
      <c r="BP513" s="28">
        <f t="shared" si="288"/>
        <v>0</v>
      </c>
      <c r="BQ513" s="3439">
        <f t="shared" si="289"/>
        <v>0</v>
      </c>
      <c r="BR513" s="3439">
        <f t="shared" si="290"/>
        <v>0</v>
      </c>
      <c r="BS513" s="3439">
        <f t="shared" si="291"/>
        <v>0</v>
      </c>
      <c r="BT513" s="3451">
        <f t="shared" si="292"/>
        <v>0</v>
      </c>
    </row>
    <row r="514" spans="1:72">
      <c r="A514" s="9"/>
      <c r="B514" s="27"/>
      <c r="C514" s="27"/>
      <c r="D514" s="1678"/>
      <c r="E514" s="28">
        <f t="shared" si="293"/>
        <v>0</v>
      </c>
      <c r="F514" s="29"/>
      <c r="G514" s="30">
        <f t="shared" si="268"/>
        <v>0</v>
      </c>
      <c r="H514" s="31">
        <f t="shared" si="269"/>
        <v>0</v>
      </c>
      <c r="I514" s="32"/>
      <c r="J514" s="32"/>
      <c r="K514" s="32"/>
      <c r="L514" s="32"/>
      <c r="M514" s="32"/>
      <c r="N514" s="32"/>
      <c r="O514" s="32"/>
      <c r="P514" s="32"/>
      <c r="Q514" s="32"/>
      <c r="R514" s="32"/>
      <c r="S514" s="32"/>
      <c r="T514" s="32"/>
      <c r="U514" s="32"/>
      <c r="V514" s="32"/>
      <c r="W514" s="32"/>
      <c r="X514" s="32"/>
      <c r="Y514" s="32"/>
      <c r="Z514" s="32"/>
      <c r="AA514" s="32"/>
      <c r="AB514" s="32"/>
      <c r="AC514" s="28">
        <f t="shared" si="270"/>
        <v>0</v>
      </c>
      <c r="AD514" s="33"/>
      <c r="AE514" s="33"/>
      <c r="AF514" s="33"/>
      <c r="AG514" s="33"/>
      <c r="AH514" s="33"/>
      <c r="AI514" s="33"/>
      <c r="AJ514" s="33"/>
      <c r="AK514" s="33"/>
      <c r="AL514" s="33"/>
      <c r="AM514" s="33"/>
      <c r="AN514" s="33"/>
      <c r="AO514" s="33"/>
      <c r="AP514" s="33"/>
      <c r="AQ514" s="33"/>
      <c r="AR514" s="33"/>
      <c r="AS514" s="33"/>
      <c r="AT514" s="34"/>
      <c r="AU514" s="1679"/>
      <c r="AV514" s="2256">
        <f t="shared" si="294"/>
        <v>0</v>
      </c>
      <c r="AW514" s="2256">
        <f t="shared" si="295"/>
        <v>0</v>
      </c>
      <c r="AX514" s="2256">
        <f t="shared" si="296"/>
        <v>0</v>
      </c>
      <c r="AY514" s="2781">
        <f t="shared" si="271"/>
        <v>0</v>
      </c>
      <c r="AZ514" s="28">
        <f t="shared" si="272"/>
        <v>0</v>
      </c>
      <c r="BA514" s="28">
        <f t="shared" si="273"/>
        <v>0</v>
      </c>
      <c r="BB514" s="28">
        <f t="shared" si="274"/>
        <v>0</v>
      </c>
      <c r="BC514" s="28">
        <f t="shared" si="275"/>
        <v>0</v>
      </c>
      <c r="BD514" s="3439">
        <f t="shared" si="276"/>
        <v>0</v>
      </c>
      <c r="BE514" s="3439">
        <f t="shared" si="277"/>
        <v>0</v>
      </c>
      <c r="BF514" s="3439">
        <f t="shared" si="278"/>
        <v>0</v>
      </c>
      <c r="BG514" s="3439">
        <f t="shared" si="279"/>
        <v>0</v>
      </c>
      <c r="BH514" s="3439">
        <f t="shared" si="280"/>
        <v>0</v>
      </c>
      <c r="BI514" s="3439">
        <f t="shared" si="281"/>
        <v>0</v>
      </c>
      <c r="BJ514" s="3439">
        <f t="shared" si="282"/>
        <v>0</v>
      </c>
      <c r="BK514" s="3439">
        <f t="shared" si="283"/>
        <v>0</v>
      </c>
      <c r="BL514" s="28">
        <f t="shared" si="284"/>
        <v>0</v>
      </c>
      <c r="BM514" s="28">
        <f t="shared" si="285"/>
        <v>0</v>
      </c>
      <c r="BN514" s="28">
        <f t="shared" si="286"/>
        <v>0</v>
      </c>
      <c r="BO514" s="28">
        <f t="shared" si="287"/>
        <v>0</v>
      </c>
      <c r="BP514" s="28">
        <f t="shared" si="288"/>
        <v>0</v>
      </c>
      <c r="BQ514" s="3439">
        <f t="shared" si="289"/>
        <v>0</v>
      </c>
      <c r="BR514" s="3439">
        <f t="shared" si="290"/>
        <v>0</v>
      </c>
      <c r="BS514" s="3439">
        <f t="shared" si="291"/>
        <v>0</v>
      </c>
      <c r="BT514" s="3451">
        <f t="shared" si="292"/>
        <v>0</v>
      </c>
    </row>
    <row r="515" spans="1:72">
      <c r="A515" s="9"/>
      <c r="B515" s="27"/>
      <c r="C515" s="27"/>
      <c r="D515" s="1678"/>
      <c r="E515" s="28">
        <f t="shared" si="293"/>
        <v>0</v>
      </c>
      <c r="F515" s="29"/>
      <c r="G515" s="30">
        <f t="shared" si="268"/>
        <v>0</v>
      </c>
      <c r="H515" s="31">
        <f t="shared" si="269"/>
        <v>0</v>
      </c>
      <c r="I515" s="32"/>
      <c r="J515" s="32"/>
      <c r="K515" s="32"/>
      <c r="L515" s="32"/>
      <c r="M515" s="32"/>
      <c r="N515" s="32"/>
      <c r="O515" s="32"/>
      <c r="P515" s="32"/>
      <c r="Q515" s="32"/>
      <c r="R515" s="32"/>
      <c r="S515" s="32"/>
      <c r="T515" s="32"/>
      <c r="U515" s="32"/>
      <c r="V515" s="32"/>
      <c r="W515" s="32"/>
      <c r="X515" s="32"/>
      <c r="Y515" s="32"/>
      <c r="Z515" s="32"/>
      <c r="AA515" s="32"/>
      <c r="AB515" s="32"/>
      <c r="AC515" s="28">
        <f t="shared" si="270"/>
        <v>0</v>
      </c>
      <c r="AD515" s="33"/>
      <c r="AE515" s="33"/>
      <c r="AF515" s="33"/>
      <c r="AG515" s="33"/>
      <c r="AH515" s="33"/>
      <c r="AI515" s="33"/>
      <c r="AJ515" s="33"/>
      <c r="AK515" s="33"/>
      <c r="AL515" s="33"/>
      <c r="AM515" s="33"/>
      <c r="AN515" s="33"/>
      <c r="AO515" s="33"/>
      <c r="AP515" s="33"/>
      <c r="AQ515" s="33"/>
      <c r="AR515" s="33"/>
      <c r="AS515" s="33"/>
      <c r="AT515" s="34"/>
      <c r="AU515" s="1679"/>
      <c r="AV515" s="2256">
        <f t="shared" si="294"/>
        <v>0</v>
      </c>
      <c r="AW515" s="2256">
        <f t="shared" si="295"/>
        <v>0</v>
      </c>
      <c r="AX515" s="2256">
        <f t="shared" si="296"/>
        <v>0</v>
      </c>
      <c r="AY515" s="2781">
        <f t="shared" si="271"/>
        <v>0</v>
      </c>
      <c r="AZ515" s="28">
        <f t="shared" si="272"/>
        <v>0</v>
      </c>
      <c r="BA515" s="28">
        <f t="shared" si="273"/>
        <v>0</v>
      </c>
      <c r="BB515" s="28">
        <f t="shared" si="274"/>
        <v>0</v>
      </c>
      <c r="BC515" s="28">
        <f t="shared" si="275"/>
        <v>0</v>
      </c>
      <c r="BD515" s="3439">
        <f t="shared" si="276"/>
        <v>0</v>
      </c>
      <c r="BE515" s="3439">
        <f t="shared" si="277"/>
        <v>0</v>
      </c>
      <c r="BF515" s="3439">
        <f t="shared" si="278"/>
        <v>0</v>
      </c>
      <c r="BG515" s="3439">
        <f t="shared" si="279"/>
        <v>0</v>
      </c>
      <c r="BH515" s="3439">
        <f t="shared" si="280"/>
        <v>0</v>
      </c>
      <c r="BI515" s="3439">
        <f t="shared" si="281"/>
        <v>0</v>
      </c>
      <c r="BJ515" s="3439">
        <f t="shared" si="282"/>
        <v>0</v>
      </c>
      <c r="BK515" s="3439">
        <f t="shared" si="283"/>
        <v>0</v>
      </c>
      <c r="BL515" s="28">
        <f t="shared" si="284"/>
        <v>0</v>
      </c>
      <c r="BM515" s="28">
        <f t="shared" si="285"/>
        <v>0</v>
      </c>
      <c r="BN515" s="28">
        <f t="shared" si="286"/>
        <v>0</v>
      </c>
      <c r="BO515" s="28">
        <f t="shared" si="287"/>
        <v>0</v>
      </c>
      <c r="BP515" s="28">
        <f t="shared" si="288"/>
        <v>0</v>
      </c>
      <c r="BQ515" s="3439">
        <f t="shared" si="289"/>
        <v>0</v>
      </c>
      <c r="BR515" s="3439">
        <f t="shared" si="290"/>
        <v>0</v>
      </c>
      <c r="BS515" s="3439">
        <f t="shared" si="291"/>
        <v>0</v>
      </c>
      <c r="BT515" s="3451">
        <f t="shared" si="292"/>
        <v>0</v>
      </c>
    </row>
    <row r="516" spans="1:72">
      <c r="A516" s="9"/>
      <c r="B516" s="27"/>
      <c r="C516" s="27"/>
      <c r="D516" s="1678"/>
      <c r="E516" s="28">
        <f t="shared" si="293"/>
        <v>0</v>
      </c>
      <c r="F516" s="29"/>
      <c r="G516" s="30">
        <f t="shared" si="268"/>
        <v>0</v>
      </c>
      <c r="H516" s="31">
        <f t="shared" si="269"/>
        <v>0</v>
      </c>
      <c r="I516" s="32"/>
      <c r="J516" s="32"/>
      <c r="K516" s="32"/>
      <c r="L516" s="32"/>
      <c r="M516" s="32"/>
      <c r="N516" s="32"/>
      <c r="O516" s="32"/>
      <c r="P516" s="32"/>
      <c r="Q516" s="32"/>
      <c r="R516" s="32"/>
      <c r="S516" s="32"/>
      <c r="T516" s="32"/>
      <c r="U516" s="32"/>
      <c r="V516" s="32"/>
      <c r="W516" s="32"/>
      <c r="X516" s="32"/>
      <c r="Y516" s="32"/>
      <c r="Z516" s="32"/>
      <c r="AA516" s="32"/>
      <c r="AB516" s="32"/>
      <c r="AC516" s="28">
        <f t="shared" si="270"/>
        <v>0</v>
      </c>
      <c r="AD516" s="33"/>
      <c r="AE516" s="33"/>
      <c r="AF516" s="33"/>
      <c r="AG516" s="33"/>
      <c r="AH516" s="33"/>
      <c r="AI516" s="33"/>
      <c r="AJ516" s="33"/>
      <c r="AK516" s="33"/>
      <c r="AL516" s="33"/>
      <c r="AM516" s="33"/>
      <c r="AN516" s="33"/>
      <c r="AO516" s="33"/>
      <c r="AP516" s="33"/>
      <c r="AQ516" s="33"/>
      <c r="AR516" s="33"/>
      <c r="AS516" s="33"/>
      <c r="AT516" s="34"/>
      <c r="AU516" s="1679"/>
      <c r="AV516" s="2256">
        <f t="shared" si="294"/>
        <v>0</v>
      </c>
      <c r="AW516" s="2256">
        <f t="shared" si="295"/>
        <v>0</v>
      </c>
      <c r="AX516" s="2256">
        <f t="shared" si="296"/>
        <v>0</v>
      </c>
      <c r="AY516" s="2781">
        <f t="shared" si="271"/>
        <v>0</v>
      </c>
      <c r="AZ516" s="28">
        <f t="shared" si="272"/>
        <v>0</v>
      </c>
      <c r="BA516" s="28">
        <f t="shared" si="273"/>
        <v>0</v>
      </c>
      <c r="BB516" s="28">
        <f t="shared" si="274"/>
        <v>0</v>
      </c>
      <c r="BC516" s="28">
        <f t="shared" si="275"/>
        <v>0</v>
      </c>
      <c r="BD516" s="3439">
        <f t="shared" si="276"/>
        <v>0</v>
      </c>
      <c r="BE516" s="3439">
        <f t="shared" si="277"/>
        <v>0</v>
      </c>
      <c r="BF516" s="3439">
        <f t="shared" si="278"/>
        <v>0</v>
      </c>
      <c r="BG516" s="3439">
        <f t="shared" si="279"/>
        <v>0</v>
      </c>
      <c r="BH516" s="3439">
        <f t="shared" si="280"/>
        <v>0</v>
      </c>
      <c r="BI516" s="3439">
        <f t="shared" si="281"/>
        <v>0</v>
      </c>
      <c r="BJ516" s="3439">
        <f t="shared" si="282"/>
        <v>0</v>
      </c>
      <c r="BK516" s="3439">
        <f t="shared" si="283"/>
        <v>0</v>
      </c>
      <c r="BL516" s="28">
        <f t="shared" si="284"/>
        <v>0</v>
      </c>
      <c r="BM516" s="28">
        <f t="shared" si="285"/>
        <v>0</v>
      </c>
      <c r="BN516" s="28">
        <f t="shared" si="286"/>
        <v>0</v>
      </c>
      <c r="BO516" s="28">
        <f t="shared" si="287"/>
        <v>0</v>
      </c>
      <c r="BP516" s="28">
        <f t="shared" si="288"/>
        <v>0</v>
      </c>
      <c r="BQ516" s="3439">
        <f t="shared" si="289"/>
        <v>0</v>
      </c>
      <c r="BR516" s="3439">
        <f t="shared" si="290"/>
        <v>0</v>
      </c>
      <c r="BS516" s="3439">
        <f t="shared" si="291"/>
        <v>0</v>
      </c>
      <c r="BT516" s="3451">
        <f t="shared" si="292"/>
        <v>0</v>
      </c>
    </row>
    <row r="517" spans="1:72">
      <c r="A517" s="9"/>
      <c r="B517" s="27"/>
      <c r="C517" s="27"/>
      <c r="D517" s="1678"/>
      <c r="E517" s="28">
        <f t="shared" si="293"/>
        <v>0</v>
      </c>
      <c r="F517" s="29"/>
      <c r="G517" s="30">
        <f t="shared" si="268"/>
        <v>0</v>
      </c>
      <c r="H517" s="31">
        <f t="shared" si="269"/>
        <v>0</v>
      </c>
      <c r="I517" s="32"/>
      <c r="J517" s="32"/>
      <c r="K517" s="32"/>
      <c r="L517" s="32"/>
      <c r="M517" s="32"/>
      <c r="N517" s="32"/>
      <c r="O517" s="32"/>
      <c r="P517" s="32"/>
      <c r="Q517" s="32"/>
      <c r="R517" s="32"/>
      <c r="S517" s="32"/>
      <c r="T517" s="32"/>
      <c r="U517" s="32"/>
      <c r="V517" s="32"/>
      <c r="W517" s="32"/>
      <c r="X517" s="32"/>
      <c r="Y517" s="32"/>
      <c r="Z517" s="32"/>
      <c r="AA517" s="32"/>
      <c r="AB517" s="32"/>
      <c r="AC517" s="28">
        <f t="shared" si="270"/>
        <v>0</v>
      </c>
      <c r="AD517" s="33"/>
      <c r="AE517" s="33"/>
      <c r="AF517" s="33"/>
      <c r="AG517" s="33"/>
      <c r="AH517" s="33"/>
      <c r="AI517" s="33"/>
      <c r="AJ517" s="33"/>
      <c r="AK517" s="33"/>
      <c r="AL517" s="33"/>
      <c r="AM517" s="33"/>
      <c r="AN517" s="33"/>
      <c r="AO517" s="33"/>
      <c r="AP517" s="33"/>
      <c r="AQ517" s="33"/>
      <c r="AR517" s="33"/>
      <c r="AS517" s="33"/>
      <c r="AT517" s="34"/>
      <c r="AU517" s="1679"/>
      <c r="AV517" s="2256">
        <f t="shared" si="294"/>
        <v>0</v>
      </c>
      <c r="AW517" s="2256">
        <f t="shared" si="295"/>
        <v>0</v>
      </c>
      <c r="AX517" s="2256">
        <f t="shared" si="296"/>
        <v>0</v>
      </c>
      <c r="AY517" s="2781">
        <f t="shared" si="271"/>
        <v>0</v>
      </c>
      <c r="AZ517" s="28">
        <f t="shared" si="272"/>
        <v>0</v>
      </c>
      <c r="BA517" s="28">
        <f t="shared" si="273"/>
        <v>0</v>
      </c>
      <c r="BB517" s="28">
        <f t="shared" si="274"/>
        <v>0</v>
      </c>
      <c r="BC517" s="28">
        <f t="shared" si="275"/>
        <v>0</v>
      </c>
      <c r="BD517" s="3439">
        <f t="shared" si="276"/>
        <v>0</v>
      </c>
      <c r="BE517" s="3439">
        <f t="shared" si="277"/>
        <v>0</v>
      </c>
      <c r="BF517" s="3439">
        <f t="shared" si="278"/>
        <v>0</v>
      </c>
      <c r="BG517" s="3439">
        <f t="shared" si="279"/>
        <v>0</v>
      </c>
      <c r="BH517" s="3439">
        <f t="shared" si="280"/>
        <v>0</v>
      </c>
      <c r="BI517" s="3439">
        <f t="shared" si="281"/>
        <v>0</v>
      </c>
      <c r="BJ517" s="3439">
        <f t="shared" si="282"/>
        <v>0</v>
      </c>
      <c r="BK517" s="3439">
        <f t="shared" si="283"/>
        <v>0</v>
      </c>
      <c r="BL517" s="28">
        <f t="shared" si="284"/>
        <v>0</v>
      </c>
      <c r="BM517" s="28">
        <f t="shared" si="285"/>
        <v>0</v>
      </c>
      <c r="BN517" s="28">
        <f t="shared" si="286"/>
        <v>0</v>
      </c>
      <c r="BO517" s="28">
        <f t="shared" si="287"/>
        <v>0</v>
      </c>
      <c r="BP517" s="28">
        <f t="shared" si="288"/>
        <v>0</v>
      </c>
      <c r="BQ517" s="3439">
        <f t="shared" si="289"/>
        <v>0</v>
      </c>
      <c r="BR517" s="3439">
        <f t="shared" si="290"/>
        <v>0</v>
      </c>
      <c r="BS517" s="3439">
        <f t="shared" si="291"/>
        <v>0</v>
      </c>
      <c r="BT517" s="3451">
        <f t="shared" si="292"/>
        <v>0</v>
      </c>
    </row>
    <row r="518" spans="1:72">
      <c r="A518" s="9"/>
      <c r="B518" s="27"/>
      <c r="C518" s="27"/>
      <c r="D518" s="1678"/>
      <c r="E518" s="28">
        <f t="shared" si="293"/>
        <v>0</v>
      </c>
      <c r="F518" s="29"/>
      <c r="G518" s="30">
        <f t="shared" si="268"/>
        <v>0</v>
      </c>
      <c r="H518" s="31">
        <f t="shared" si="269"/>
        <v>0</v>
      </c>
      <c r="I518" s="32"/>
      <c r="J518" s="32"/>
      <c r="K518" s="32"/>
      <c r="L518" s="32"/>
      <c r="M518" s="32"/>
      <c r="N518" s="32"/>
      <c r="O518" s="32"/>
      <c r="P518" s="32"/>
      <c r="Q518" s="32"/>
      <c r="R518" s="32"/>
      <c r="S518" s="32"/>
      <c r="T518" s="32"/>
      <c r="U518" s="32"/>
      <c r="V518" s="32"/>
      <c r="W518" s="32"/>
      <c r="X518" s="32"/>
      <c r="Y518" s="32"/>
      <c r="Z518" s="32"/>
      <c r="AA518" s="32"/>
      <c r="AB518" s="32"/>
      <c r="AC518" s="28">
        <f t="shared" si="270"/>
        <v>0</v>
      </c>
      <c r="AD518" s="33"/>
      <c r="AE518" s="33"/>
      <c r="AF518" s="33"/>
      <c r="AG518" s="33"/>
      <c r="AH518" s="33"/>
      <c r="AI518" s="33"/>
      <c r="AJ518" s="33"/>
      <c r="AK518" s="33"/>
      <c r="AL518" s="33"/>
      <c r="AM518" s="33"/>
      <c r="AN518" s="33"/>
      <c r="AO518" s="33"/>
      <c r="AP518" s="33"/>
      <c r="AQ518" s="33"/>
      <c r="AR518" s="33"/>
      <c r="AS518" s="33"/>
      <c r="AT518" s="34"/>
      <c r="AU518" s="1679"/>
      <c r="AV518" s="2256">
        <f t="shared" si="294"/>
        <v>0</v>
      </c>
      <c r="AW518" s="2256">
        <f t="shared" si="295"/>
        <v>0</v>
      </c>
      <c r="AX518" s="2256">
        <f t="shared" si="296"/>
        <v>0</v>
      </c>
      <c r="AY518" s="2781">
        <f t="shared" si="271"/>
        <v>0</v>
      </c>
      <c r="AZ518" s="28">
        <f t="shared" si="272"/>
        <v>0</v>
      </c>
      <c r="BA518" s="28">
        <f t="shared" si="273"/>
        <v>0</v>
      </c>
      <c r="BB518" s="28">
        <f t="shared" si="274"/>
        <v>0</v>
      </c>
      <c r="BC518" s="28">
        <f t="shared" si="275"/>
        <v>0</v>
      </c>
      <c r="BD518" s="3439">
        <f t="shared" si="276"/>
        <v>0</v>
      </c>
      <c r="BE518" s="3439">
        <f t="shared" si="277"/>
        <v>0</v>
      </c>
      <c r="BF518" s="3439">
        <f t="shared" si="278"/>
        <v>0</v>
      </c>
      <c r="BG518" s="3439">
        <f t="shared" si="279"/>
        <v>0</v>
      </c>
      <c r="BH518" s="3439">
        <f t="shared" si="280"/>
        <v>0</v>
      </c>
      <c r="BI518" s="3439">
        <f t="shared" si="281"/>
        <v>0</v>
      </c>
      <c r="BJ518" s="3439">
        <f t="shared" si="282"/>
        <v>0</v>
      </c>
      <c r="BK518" s="3439">
        <f t="shared" si="283"/>
        <v>0</v>
      </c>
      <c r="BL518" s="28">
        <f t="shared" si="284"/>
        <v>0</v>
      </c>
      <c r="BM518" s="28">
        <f t="shared" si="285"/>
        <v>0</v>
      </c>
      <c r="BN518" s="28">
        <f t="shared" si="286"/>
        <v>0</v>
      </c>
      <c r="BO518" s="28">
        <f t="shared" si="287"/>
        <v>0</v>
      </c>
      <c r="BP518" s="28">
        <f t="shared" si="288"/>
        <v>0</v>
      </c>
      <c r="BQ518" s="3439">
        <f t="shared" si="289"/>
        <v>0</v>
      </c>
      <c r="BR518" s="3439">
        <f t="shared" si="290"/>
        <v>0</v>
      </c>
      <c r="BS518" s="3439">
        <f t="shared" si="291"/>
        <v>0</v>
      </c>
      <c r="BT518" s="3451">
        <f t="shared" si="292"/>
        <v>0</v>
      </c>
    </row>
    <row r="519" spans="1:72">
      <c r="A519" s="9"/>
      <c r="B519" s="27"/>
      <c r="C519" s="27"/>
      <c r="D519" s="1678"/>
      <c r="E519" s="28">
        <f t="shared" si="293"/>
        <v>0</v>
      </c>
      <c r="F519" s="29"/>
      <c r="G519" s="30">
        <f t="shared" si="268"/>
        <v>0</v>
      </c>
      <c r="H519" s="31">
        <f t="shared" si="269"/>
        <v>0</v>
      </c>
      <c r="I519" s="32"/>
      <c r="J519" s="32"/>
      <c r="K519" s="32"/>
      <c r="L519" s="32"/>
      <c r="M519" s="32"/>
      <c r="N519" s="32"/>
      <c r="O519" s="32"/>
      <c r="P519" s="32"/>
      <c r="Q519" s="32"/>
      <c r="R519" s="32"/>
      <c r="S519" s="32"/>
      <c r="T519" s="32"/>
      <c r="U519" s="32"/>
      <c r="V519" s="32"/>
      <c r="W519" s="32"/>
      <c r="X519" s="32"/>
      <c r="Y519" s="32"/>
      <c r="Z519" s="32"/>
      <c r="AA519" s="32"/>
      <c r="AB519" s="32"/>
      <c r="AC519" s="28">
        <f t="shared" si="270"/>
        <v>0</v>
      </c>
      <c r="AD519" s="33"/>
      <c r="AE519" s="33"/>
      <c r="AF519" s="33"/>
      <c r="AG519" s="33"/>
      <c r="AH519" s="33"/>
      <c r="AI519" s="33"/>
      <c r="AJ519" s="33"/>
      <c r="AK519" s="33"/>
      <c r="AL519" s="33"/>
      <c r="AM519" s="33"/>
      <c r="AN519" s="33"/>
      <c r="AO519" s="33"/>
      <c r="AP519" s="33"/>
      <c r="AQ519" s="33"/>
      <c r="AR519" s="33"/>
      <c r="AS519" s="33"/>
      <c r="AT519" s="34"/>
      <c r="AU519" s="1679"/>
      <c r="AV519" s="2256">
        <f t="shared" si="294"/>
        <v>0</v>
      </c>
      <c r="AW519" s="2256">
        <f t="shared" si="295"/>
        <v>0</v>
      </c>
      <c r="AX519" s="2256">
        <f t="shared" si="296"/>
        <v>0</v>
      </c>
      <c r="AY519" s="2781">
        <f t="shared" si="271"/>
        <v>0</v>
      </c>
      <c r="AZ519" s="28">
        <f t="shared" si="272"/>
        <v>0</v>
      </c>
      <c r="BA519" s="28">
        <f t="shared" si="273"/>
        <v>0</v>
      </c>
      <c r="BB519" s="28">
        <f t="shared" si="274"/>
        <v>0</v>
      </c>
      <c r="BC519" s="28">
        <f t="shared" si="275"/>
        <v>0</v>
      </c>
      <c r="BD519" s="3439">
        <f t="shared" si="276"/>
        <v>0</v>
      </c>
      <c r="BE519" s="3439">
        <f t="shared" si="277"/>
        <v>0</v>
      </c>
      <c r="BF519" s="3439">
        <f t="shared" si="278"/>
        <v>0</v>
      </c>
      <c r="BG519" s="3439">
        <f t="shared" si="279"/>
        <v>0</v>
      </c>
      <c r="BH519" s="3439">
        <f t="shared" si="280"/>
        <v>0</v>
      </c>
      <c r="BI519" s="3439">
        <f t="shared" si="281"/>
        <v>0</v>
      </c>
      <c r="BJ519" s="3439">
        <f t="shared" si="282"/>
        <v>0</v>
      </c>
      <c r="BK519" s="3439">
        <f t="shared" si="283"/>
        <v>0</v>
      </c>
      <c r="BL519" s="28">
        <f t="shared" si="284"/>
        <v>0</v>
      </c>
      <c r="BM519" s="28">
        <f t="shared" si="285"/>
        <v>0</v>
      </c>
      <c r="BN519" s="28">
        <f t="shared" si="286"/>
        <v>0</v>
      </c>
      <c r="BO519" s="28">
        <f t="shared" si="287"/>
        <v>0</v>
      </c>
      <c r="BP519" s="28">
        <f t="shared" si="288"/>
        <v>0</v>
      </c>
      <c r="BQ519" s="3439">
        <f t="shared" si="289"/>
        <v>0</v>
      </c>
      <c r="BR519" s="3439">
        <f t="shared" si="290"/>
        <v>0</v>
      </c>
      <c r="BS519" s="3439">
        <f t="shared" si="291"/>
        <v>0</v>
      </c>
      <c r="BT519" s="3451">
        <f t="shared" si="292"/>
        <v>0</v>
      </c>
    </row>
    <row r="520" spans="1:72">
      <c r="A520" s="9"/>
      <c r="B520" s="27"/>
      <c r="C520" s="27"/>
      <c r="D520" s="1678"/>
      <c r="E520" s="28">
        <f t="shared" ref="E520:E551" si="297">IF($C$3="是",ROUND($A$3*G520/$B$3,2),ROUND($A$3*(G520-AT520)/$B$3,2))</f>
        <v>0</v>
      </c>
      <c r="F520" s="29"/>
      <c r="G520" s="30">
        <f t="shared" si="268"/>
        <v>0</v>
      </c>
      <c r="H520" s="31">
        <f t="shared" si="269"/>
        <v>0</v>
      </c>
      <c r="I520" s="32"/>
      <c r="J520" s="32"/>
      <c r="K520" s="32"/>
      <c r="L520" s="32"/>
      <c r="M520" s="32"/>
      <c r="N520" s="32"/>
      <c r="O520" s="32"/>
      <c r="P520" s="32"/>
      <c r="Q520" s="32"/>
      <c r="R520" s="32"/>
      <c r="S520" s="32"/>
      <c r="T520" s="32"/>
      <c r="U520" s="32"/>
      <c r="V520" s="32"/>
      <c r="W520" s="32"/>
      <c r="X520" s="32"/>
      <c r="Y520" s="32"/>
      <c r="Z520" s="32"/>
      <c r="AA520" s="32"/>
      <c r="AB520" s="32"/>
      <c r="AC520" s="28">
        <f t="shared" si="270"/>
        <v>0</v>
      </c>
      <c r="AD520" s="33"/>
      <c r="AE520" s="33"/>
      <c r="AF520" s="33"/>
      <c r="AG520" s="33"/>
      <c r="AH520" s="33"/>
      <c r="AI520" s="33"/>
      <c r="AJ520" s="33"/>
      <c r="AK520" s="33"/>
      <c r="AL520" s="33"/>
      <c r="AM520" s="33"/>
      <c r="AN520" s="33"/>
      <c r="AO520" s="33"/>
      <c r="AP520" s="33"/>
      <c r="AQ520" s="33"/>
      <c r="AR520" s="33"/>
      <c r="AS520" s="33"/>
      <c r="AT520" s="34"/>
      <c r="AU520" s="1679"/>
      <c r="AV520" s="2256">
        <f t="shared" si="294"/>
        <v>0</v>
      </c>
      <c r="AW520" s="2256">
        <f t="shared" si="295"/>
        <v>0</v>
      </c>
      <c r="AX520" s="2256">
        <f t="shared" si="296"/>
        <v>0</v>
      </c>
      <c r="AY520" s="2781">
        <f t="shared" si="271"/>
        <v>0</v>
      </c>
      <c r="AZ520" s="28">
        <f t="shared" si="272"/>
        <v>0</v>
      </c>
      <c r="BA520" s="28">
        <f t="shared" si="273"/>
        <v>0</v>
      </c>
      <c r="BB520" s="28">
        <f t="shared" si="274"/>
        <v>0</v>
      </c>
      <c r="BC520" s="28">
        <f t="shared" si="275"/>
        <v>0</v>
      </c>
      <c r="BD520" s="3439">
        <f t="shared" si="276"/>
        <v>0</v>
      </c>
      <c r="BE520" s="3439">
        <f t="shared" si="277"/>
        <v>0</v>
      </c>
      <c r="BF520" s="3439">
        <f t="shared" si="278"/>
        <v>0</v>
      </c>
      <c r="BG520" s="3439">
        <f t="shared" si="279"/>
        <v>0</v>
      </c>
      <c r="BH520" s="3439">
        <f t="shared" si="280"/>
        <v>0</v>
      </c>
      <c r="BI520" s="3439">
        <f t="shared" si="281"/>
        <v>0</v>
      </c>
      <c r="BJ520" s="3439">
        <f t="shared" si="282"/>
        <v>0</v>
      </c>
      <c r="BK520" s="3439">
        <f t="shared" si="283"/>
        <v>0</v>
      </c>
      <c r="BL520" s="28">
        <f t="shared" si="284"/>
        <v>0</v>
      </c>
      <c r="BM520" s="28">
        <f t="shared" si="285"/>
        <v>0</v>
      </c>
      <c r="BN520" s="28">
        <f t="shared" si="286"/>
        <v>0</v>
      </c>
      <c r="BO520" s="28">
        <f t="shared" si="287"/>
        <v>0</v>
      </c>
      <c r="BP520" s="28">
        <f t="shared" si="288"/>
        <v>0</v>
      </c>
      <c r="BQ520" s="3439">
        <f t="shared" si="289"/>
        <v>0</v>
      </c>
      <c r="BR520" s="3439">
        <f t="shared" si="290"/>
        <v>0</v>
      </c>
      <c r="BS520" s="3439">
        <f t="shared" si="291"/>
        <v>0</v>
      </c>
      <c r="BT520" s="3451">
        <f t="shared" si="292"/>
        <v>0</v>
      </c>
    </row>
    <row r="521" spans="1:72">
      <c r="A521" s="9"/>
      <c r="B521" s="27"/>
      <c r="C521" s="27"/>
      <c r="D521" s="1678"/>
      <c r="E521" s="28">
        <f t="shared" si="297"/>
        <v>0</v>
      </c>
      <c r="F521" s="29"/>
      <c r="G521" s="30">
        <f t="shared" si="268"/>
        <v>0</v>
      </c>
      <c r="H521" s="31">
        <f t="shared" si="269"/>
        <v>0</v>
      </c>
      <c r="I521" s="32"/>
      <c r="J521" s="32"/>
      <c r="K521" s="32"/>
      <c r="L521" s="32"/>
      <c r="M521" s="32"/>
      <c r="N521" s="32"/>
      <c r="O521" s="32"/>
      <c r="P521" s="32"/>
      <c r="Q521" s="32"/>
      <c r="R521" s="32"/>
      <c r="S521" s="32"/>
      <c r="T521" s="32"/>
      <c r="U521" s="32"/>
      <c r="V521" s="32"/>
      <c r="W521" s="32"/>
      <c r="X521" s="32"/>
      <c r="Y521" s="32"/>
      <c r="Z521" s="32"/>
      <c r="AA521" s="32"/>
      <c r="AB521" s="32"/>
      <c r="AC521" s="28">
        <f t="shared" si="270"/>
        <v>0</v>
      </c>
      <c r="AD521" s="33"/>
      <c r="AE521" s="33"/>
      <c r="AF521" s="33"/>
      <c r="AG521" s="33"/>
      <c r="AH521" s="33"/>
      <c r="AI521" s="33"/>
      <c r="AJ521" s="33"/>
      <c r="AK521" s="33"/>
      <c r="AL521" s="33"/>
      <c r="AM521" s="33"/>
      <c r="AN521" s="33"/>
      <c r="AO521" s="33"/>
      <c r="AP521" s="33"/>
      <c r="AQ521" s="33"/>
      <c r="AR521" s="33"/>
      <c r="AS521" s="33"/>
      <c r="AT521" s="34"/>
      <c r="AU521" s="1679"/>
      <c r="AV521" s="2256">
        <f t="shared" ref="AV521:AV552" si="298">A521</f>
        <v>0</v>
      </c>
      <c r="AW521" s="2256">
        <f t="shared" ref="AW521:AW552" si="299">B521</f>
        <v>0</v>
      </c>
      <c r="AX521" s="2256">
        <f t="shared" ref="AX521:AX552" si="300">C521</f>
        <v>0</v>
      </c>
      <c r="AY521" s="2781">
        <f t="shared" si="271"/>
        <v>0</v>
      </c>
      <c r="AZ521" s="28">
        <f t="shared" si="272"/>
        <v>0</v>
      </c>
      <c r="BA521" s="28">
        <f t="shared" si="273"/>
        <v>0</v>
      </c>
      <c r="BB521" s="28">
        <f t="shared" si="274"/>
        <v>0</v>
      </c>
      <c r="BC521" s="28">
        <f t="shared" si="275"/>
        <v>0</v>
      </c>
      <c r="BD521" s="3439">
        <f t="shared" si="276"/>
        <v>0</v>
      </c>
      <c r="BE521" s="3439">
        <f t="shared" si="277"/>
        <v>0</v>
      </c>
      <c r="BF521" s="3439">
        <f t="shared" si="278"/>
        <v>0</v>
      </c>
      <c r="BG521" s="3439">
        <f t="shared" si="279"/>
        <v>0</v>
      </c>
      <c r="BH521" s="3439">
        <f t="shared" si="280"/>
        <v>0</v>
      </c>
      <c r="BI521" s="3439">
        <f t="shared" si="281"/>
        <v>0</v>
      </c>
      <c r="BJ521" s="3439">
        <f t="shared" si="282"/>
        <v>0</v>
      </c>
      <c r="BK521" s="3439">
        <f t="shared" si="283"/>
        <v>0</v>
      </c>
      <c r="BL521" s="28">
        <f t="shared" si="284"/>
        <v>0</v>
      </c>
      <c r="BM521" s="28">
        <f t="shared" si="285"/>
        <v>0</v>
      </c>
      <c r="BN521" s="28">
        <f t="shared" si="286"/>
        <v>0</v>
      </c>
      <c r="BO521" s="28">
        <f t="shared" si="287"/>
        <v>0</v>
      </c>
      <c r="BP521" s="28">
        <f t="shared" si="288"/>
        <v>0</v>
      </c>
      <c r="BQ521" s="3439">
        <f t="shared" si="289"/>
        <v>0</v>
      </c>
      <c r="BR521" s="3439">
        <f t="shared" si="290"/>
        <v>0</v>
      </c>
      <c r="BS521" s="3439">
        <f t="shared" si="291"/>
        <v>0</v>
      </c>
      <c r="BT521" s="3451">
        <f t="shared" si="292"/>
        <v>0</v>
      </c>
    </row>
    <row r="522" spans="1:72">
      <c r="A522" s="9"/>
      <c r="B522" s="27"/>
      <c r="C522" s="27"/>
      <c r="D522" s="1678"/>
      <c r="E522" s="28">
        <f t="shared" si="297"/>
        <v>0</v>
      </c>
      <c r="F522" s="29"/>
      <c r="G522" s="30">
        <f t="shared" ref="G522:G552" si="301">H522+AC522+AT522</f>
        <v>0</v>
      </c>
      <c r="H522" s="31">
        <f t="shared" ref="H522:H552" si="302">SUMIF(I$12:AB$12,"总值",I522:AB522)</f>
        <v>0</v>
      </c>
      <c r="I522" s="32"/>
      <c r="J522" s="32"/>
      <c r="K522" s="32"/>
      <c r="L522" s="32"/>
      <c r="M522" s="32"/>
      <c r="N522" s="32"/>
      <c r="O522" s="32"/>
      <c r="P522" s="32"/>
      <c r="Q522" s="32"/>
      <c r="R522" s="32"/>
      <c r="S522" s="32"/>
      <c r="T522" s="32"/>
      <c r="U522" s="32"/>
      <c r="V522" s="32"/>
      <c r="W522" s="32"/>
      <c r="X522" s="32"/>
      <c r="Y522" s="32"/>
      <c r="Z522" s="32"/>
      <c r="AA522" s="32"/>
      <c r="AB522" s="32"/>
      <c r="AC522" s="28">
        <f t="shared" ref="AC522:AC552" si="303">SUMIF(AD$12:AS$12,"总值",AD522:AS522)</f>
        <v>0</v>
      </c>
      <c r="AD522" s="33"/>
      <c r="AE522" s="33"/>
      <c r="AF522" s="33"/>
      <c r="AG522" s="33"/>
      <c r="AH522" s="33"/>
      <c r="AI522" s="33"/>
      <c r="AJ522" s="33"/>
      <c r="AK522" s="33"/>
      <c r="AL522" s="33"/>
      <c r="AM522" s="33"/>
      <c r="AN522" s="33"/>
      <c r="AO522" s="33"/>
      <c r="AP522" s="33"/>
      <c r="AQ522" s="33"/>
      <c r="AR522" s="33"/>
      <c r="AS522" s="33"/>
      <c r="AT522" s="34"/>
      <c r="AU522" s="1679"/>
      <c r="AV522" s="2256">
        <f t="shared" si="298"/>
        <v>0</v>
      </c>
      <c r="AW522" s="2256">
        <f t="shared" si="299"/>
        <v>0</v>
      </c>
      <c r="AX522" s="2256">
        <f t="shared" si="300"/>
        <v>0</v>
      </c>
      <c r="AY522" s="2781">
        <f t="shared" ref="AY522:AY552" si="304">ROUND($AY$6*AZ522/$AZ$5,2)</f>
        <v>0</v>
      </c>
      <c r="AZ522" s="28">
        <f t="shared" ref="AZ522:AZ552" si="305">BA522+BL522</f>
        <v>0</v>
      </c>
      <c r="BA522" s="28">
        <f t="shared" ref="BA522:BA552" si="306">SUM(BB522:BK522)</f>
        <v>0</v>
      </c>
      <c r="BB522" s="28">
        <f t="shared" ref="BB522:BB552" si="307">IF($D522="是",I522-J522,0)</f>
        <v>0</v>
      </c>
      <c r="BC522" s="28">
        <f t="shared" ref="BC522:BC552" si="308">IF($D522="是",K522-L522,0)</f>
        <v>0</v>
      </c>
      <c r="BD522" s="3439">
        <f t="shared" ref="BD522:BD552" si="309">IF($D522="是",M522-N522,0)</f>
        <v>0</v>
      </c>
      <c r="BE522" s="3439">
        <f t="shared" ref="BE522:BE552" si="310">IF($D522="是",O522-P522,0)</f>
        <v>0</v>
      </c>
      <c r="BF522" s="3439">
        <f t="shared" ref="BF522:BF552" si="311">IF($D522="是",Q522-R522,0)</f>
        <v>0</v>
      </c>
      <c r="BG522" s="3439">
        <f t="shared" ref="BG522:BG552" si="312">IF($D522="是",S522-T522,0)</f>
        <v>0</v>
      </c>
      <c r="BH522" s="3439">
        <f t="shared" ref="BH522:BH552" si="313">IF($D522="是",U522-V522,0)</f>
        <v>0</v>
      </c>
      <c r="BI522" s="3439">
        <f t="shared" ref="BI522:BI552" si="314">IF($D522="是",W522-X522,0)</f>
        <v>0</v>
      </c>
      <c r="BJ522" s="3439">
        <f t="shared" ref="BJ522:BJ552" si="315">IF($D522="是",Y522-Z522,0)</f>
        <v>0</v>
      </c>
      <c r="BK522" s="3439">
        <f t="shared" ref="BK522:BK552" si="316">IF($D522="是",AA522-AB522,0)</f>
        <v>0</v>
      </c>
      <c r="BL522" s="28">
        <f t="shared" ref="BL522:BL552" si="317">SUM(BM522:BT522)</f>
        <v>0</v>
      </c>
      <c r="BM522" s="28">
        <f t="shared" ref="BM522:BM552" si="318">IF($D522="是",AD522-AE522,0)</f>
        <v>0</v>
      </c>
      <c r="BN522" s="28">
        <f t="shared" ref="BN522:BN552" si="319">IF($D522="是",AF522-AG522,0)</f>
        <v>0</v>
      </c>
      <c r="BO522" s="28">
        <f t="shared" ref="BO522:BO552" si="320">IF($D522="是",AH522-AI522,0)</f>
        <v>0</v>
      </c>
      <c r="BP522" s="28">
        <f t="shared" ref="BP522:BP552" si="321">IF($D522="是",AJ522-AK522,0)</f>
        <v>0</v>
      </c>
      <c r="BQ522" s="3439">
        <f t="shared" ref="BQ522:BQ552" si="322">IF($D522="是",AL522-AM522,0)</f>
        <v>0</v>
      </c>
      <c r="BR522" s="3439">
        <f t="shared" ref="BR522:BR552" si="323">IF($D522="是",AN522-AO522,0)</f>
        <v>0</v>
      </c>
      <c r="BS522" s="3439">
        <f t="shared" ref="BS522:BS552" si="324">IF($D522="是",AP522-AQ522,0)</f>
        <v>0</v>
      </c>
      <c r="BT522" s="3451">
        <f t="shared" ref="BT522:BT552" si="325">IF($D522="是",AR522-AS522,0)</f>
        <v>0</v>
      </c>
    </row>
    <row r="523" spans="1:72">
      <c r="A523" s="9"/>
      <c r="B523" s="27"/>
      <c r="C523" s="27"/>
      <c r="D523" s="1678"/>
      <c r="E523" s="28">
        <f t="shared" si="297"/>
        <v>0</v>
      </c>
      <c r="F523" s="29"/>
      <c r="G523" s="30">
        <f t="shared" si="301"/>
        <v>0</v>
      </c>
      <c r="H523" s="31">
        <f t="shared" si="302"/>
        <v>0</v>
      </c>
      <c r="I523" s="32"/>
      <c r="J523" s="32"/>
      <c r="K523" s="32"/>
      <c r="L523" s="32"/>
      <c r="M523" s="32"/>
      <c r="N523" s="32"/>
      <c r="O523" s="32"/>
      <c r="P523" s="32"/>
      <c r="Q523" s="32"/>
      <c r="R523" s="32"/>
      <c r="S523" s="32"/>
      <c r="T523" s="32"/>
      <c r="U523" s="32"/>
      <c r="V523" s="32"/>
      <c r="W523" s="32"/>
      <c r="X523" s="32"/>
      <c r="Y523" s="32"/>
      <c r="Z523" s="32"/>
      <c r="AA523" s="32"/>
      <c r="AB523" s="32"/>
      <c r="AC523" s="28">
        <f t="shared" si="303"/>
        <v>0</v>
      </c>
      <c r="AD523" s="33"/>
      <c r="AE523" s="33"/>
      <c r="AF523" s="33"/>
      <c r="AG523" s="33"/>
      <c r="AH523" s="33"/>
      <c r="AI523" s="33"/>
      <c r="AJ523" s="33"/>
      <c r="AK523" s="33"/>
      <c r="AL523" s="33"/>
      <c r="AM523" s="33"/>
      <c r="AN523" s="33"/>
      <c r="AO523" s="33"/>
      <c r="AP523" s="33"/>
      <c r="AQ523" s="33"/>
      <c r="AR523" s="33"/>
      <c r="AS523" s="33"/>
      <c r="AT523" s="34"/>
      <c r="AU523" s="1679"/>
      <c r="AV523" s="2256">
        <f t="shared" si="298"/>
        <v>0</v>
      </c>
      <c r="AW523" s="2256">
        <f t="shared" si="299"/>
        <v>0</v>
      </c>
      <c r="AX523" s="2256">
        <f t="shared" si="300"/>
        <v>0</v>
      </c>
      <c r="AY523" s="2781">
        <f t="shared" si="304"/>
        <v>0</v>
      </c>
      <c r="AZ523" s="28">
        <f t="shared" si="305"/>
        <v>0</v>
      </c>
      <c r="BA523" s="28">
        <f t="shared" si="306"/>
        <v>0</v>
      </c>
      <c r="BB523" s="28">
        <f t="shared" si="307"/>
        <v>0</v>
      </c>
      <c r="BC523" s="28">
        <f t="shared" si="308"/>
        <v>0</v>
      </c>
      <c r="BD523" s="3439">
        <f t="shared" si="309"/>
        <v>0</v>
      </c>
      <c r="BE523" s="3439">
        <f t="shared" si="310"/>
        <v>0</v>
      </c>
      <c r="BF523" s="3439">
        <f t="shared" si="311"/>
        <v>0</v>
      </c>
      <c r="BG523" s="3439">
        <f t="shared" si="312"/>
        <v>0</v>
      </c>
      <c r="BH523" s="3439">
        <f t="shared" si="313"/>
        <v>0</v>
      </c>
      <c r="BI523" s="3439">
        <f t="shared" si="314"/>
        <v>0</v>
      </c>
      <c r="BJ523" s="3439">
        <f t="shared" si="315"/>
        <v>0</v>
      </c>
      <c r="BK523" s="3439">
        <f t="shared" si="316"/>
        <v>0</v>
      </c>
      <c r="BL523" s="28">
        <f t="shared" si="317"/>
        <v>0</v>
      </c>
      <c r="BM523" s="28">
        <f t="shared" si="318"/>
        <v>0</v>
      </c>
      <c r="BN523" s="28">
        <f t="shared" si="319"/>
        <v>0</v>
      </c>
      <c r="BO523" s="28">
        <f t="shared" si="320"/>
        <v>0</v>
      </c>
      <c r="BP523" s="28">
        <f t="shared" si="321"/>
        <v>0</v>
      </c>
      <c r="BQ523" s="3439">
        <f t="shared" si="322"/>
        <v>0</v>
      </c>
      <c r="BR523" s="3439">
        <f t="shared" si="323"/>
        <v>0</v>
      </c>
      <c r="BS523" s="3439">
        <f t="shared" si="324"/>
        <v>0</v>
      </c>
      <c r="BT523" s="3451">
        <f t="shared" si="325"/>
        <v>0</v>
      </c>
    </row>
    <row r="524" spans="1:72">
      <c r="A524" s="9"/>
      <c r="B524" s="27"/>
      <c r="C524" s="27"/>
      <c r="D524" s="1678"/>
      <c r="E524" s="28">
        <f t="shared" si="297"/>
        <v>0</v>
      </c>
      <c r="F524" s="29"/>
      <c r="G524" s="30">
        <f t="shared" si="301"/>
        <v>0</v>
      </c>
      <c r="H524" s="31">
        <f t="shared" si="302"/>
        <v>0</v>
      </c>
      <c r="I524" s="32"/>
      <c r="J524" s="32"/>
      <c r="K524" s="32"/>
      <c r="L524" s="32"/>
      <c r="M524" s="32"/>
      <c r="N524" s="32"/>
      <c r="O524" s="32"/>
      <c r="P524" s="32"/>
      <c r="Q524" s="32"/>
      <c r="R524" s="32"/>
      <c r="S524" s="32"/>
      <c r="T524" s="32"/>
      <c r="U524" s="32"/>
      <c r="V524" s="32"/>
      <c r="W524" s="32"/>
      <c r="X524" s="32"/>
      <c r="Y524" s="32"/>
      <c r="Z524" s="32"/>
      <c r="AA524" s="32"/>
      <c r="AB524" s="32"/>
      <c r="AC524" s="28">
        <f t="shared" si="303"/>
        <v>0</v>
      </c>
      <c r="AD524" s="33"/>
      <c r="AE524" s="33"/>
      <c r="AF524" s="33"/>
      <c r="AG524" s="33"/>
      <c r="AH524" s="33"/>
      <c r="AI524" s="33"/>
      <c r="AJ524" s="33"/>
      <c r="AK524" s="33"/>
      <c r="AL524" s="33"/>
      <c r="AM524" s="33"/>
      <c r="AN524" s="33"/>
      <c r="AO524" s="33"/>
      <c r="AP524" s="33"/>
      <c r="AQ524" s="33"/>
      <c r="AR524" s="33"/>
      <c r="AS524" s="33"/>
      <c r="AT524" s="34"/>
      <c r="AU524" s="1679"/>
      <c r="AV524" s="2256">
        <f t="shared" si="298"/>
        <v>0</v>
      </c>
      <c r="AW524" s="2256">
        <f t="shared" si="299"/>
        <v>0</v>
      </c>
      <c r="AX524" s="2256">
        <f t="shared" si="300"/>
        <v>0</v>
      </c>
      <c r="AY524" s="2781">
        <f t="shared" si="304"/>
        <v>0</v>
      </c>
      <c r="AZ524" s="28">
        <f t="shared" si="305"/>
        <v>0</v>
      </c>
      <c r="BA524" s="28">
        <f t="shared" si="306"/>
        <v>0</v>
      </c>
      <c r="BB524" s="28">
        <f t="shared" si="307"/>
        <v>0</v>
      </c>
      <c r="BC524" s="28">
        <f t="shared" si="308"/>
        <v>0</v>
      </c>
      <c r="BD524" s="3439">
        <f t="shared" si="309"/>
        <v>0</v>
      </c>
      <c r="BE524" s="3439">
        <f t="shared" si="310"/>
        <v>0</v>
      </c>
      <c r="BF524" s="3439">
        <f t="shared" si="311"/>
        <v>0</v>
      </c>
      <c r="BG524" s="3439">
        <f t="shared" si="312"/>
        <v>0</v>
      </c>
      <c r="BH524" s="3439">
        <f t="shared" si="313"/>
        <v>0</v>
      </c>
      <c r="BI524" s="3439">
        <f t="shared" si="314"/>
        <v>0</v>
      </c>
      <c r="BJ524" s="3439">
        <f t="shared" si="315"/>
        <v>0</v>
      </c>
      <c r="BK524" s="3439">
        <f t="shared" si="316"/>
        <v>0</v>
      </c>
      <c r="BL524" s="28">
        <f t="shared" si="317"/>
        <v>0</v>
      </c>
      <c r="BM524" s="28">
        <f t="shared" si="318"/>
        <v>0</v>
      </c>
      <c r="BN524" s="28">
        <f t="shared" si="319"/>
        <v>0</v>
      </c>
      <c r="BO524" s="28">
        <f t="shared" si="320"/>
        <v>0</v>
      </c>
      <c r="BP524" s="28">
        <f t="shared" si="321"/>
        <v>0</v>
      </c>
      <c r="BQ524" s="3439">
        <f t="shared" si="322"/>
        <v>0</v>
      </c>
      <c r="BR524" s="3439">
        <f t="shared" si="323"/>
        <v>0</v>
      </c>
      <c r="BS524" s="3439">
        <f t="shared" si="324"/>
        <v>0</v>
      </c>
      <c r="BT524" s="3451">
        <f t="shared" si="325"/>
        <v>0</v>
      </c>
    </row>
    <row r="525" spans="1:72">
      <c r="A525" s="9"/>
      <c r="B525" s="27"/>
      <c r="C525" s="27"/>
      <c r="D525" s="1678"/>
      <c r="E525" s="28">
        <f t="shared" si="297"/>
        <v>0</v>
      </c>
      <c r="F525" s="29"/>
      <c r="G525" s="30">
        <f t="shared" si="301"/>
        <v>0</v>
      </c>
      <c r="H525" s="31">
        <f t="shared" si="302"/>
        <v>0</v>
      </c>
      <c r="I525" s="32"/>
      <c r="J525" s="32"/>
      <c r="K525" s="32"/>
      <c r="L525" s="32"/>
      <c r="M525" s="32"/>
      <c r="N525" s="32"/>
      <c r="O525" s="32"/>
      <c r="P525" s="32"/>
      <c r="Q525" s="32"/>
      <c r="R525" s="32"/>
      <c r="S525" s="32"/>
      <c r="T525" s="32"/>
      <c r="U525" s="32"/>
      <c r="V525" s="32"/>
      <c r="W525" s="32"/>
      <c r="X525" s="32"/>
      <c r="Y525" s="32"/>
      <c r="Z525" s="32"/>
      <c r="AA525" s="32"/>
      <c r="AB525" s="32"/>
      <c r="AC525" s="28">
        <f t="shared" si="303"/>
        <v>0</v>
      </c>
      <c r="AD525" s="33"/>
      <c r="AE525" s="33"/>
      <c r="AF525" s="33"/>
      <c r="AG525" s="33"/>
      <c r="AH525" s="33"/>
      <c r="AI525" s="33"/>
      <c r="AJ525" s="33"/>
      <c r="AK525" s="33"/>
      <c r="AL525" s="33"/>
      <c r="AM525" s="33"/>
      <c r="AN525" s="33"/>
      <c r="AO525" s="33"/>
      <c r="AP525" s="33"/>
      <c r="AQ525" s="33"/>
      <c r="AR525" s="33"/>
      <c r="AS525" s="33"/>
      <c r="AT525" s="34"/>
      <c r="AU525" s="1679"/>
      <c r="AV525" s="2256">
        <f t="shared" si="298"/>
        <v>0</v>
      </c>
      <c r="AW525" s="2256">
        <f t="shared" si="299"/>
        <v>0</v>
      </c>
      <c r="AX525" s="2256">
        <f t="shared" si="300"/>
        <v>0</v>
      </c>
      <c r="AY525" s="2781">
        <f t="shared" si="304"/>
        <v>0</v>
      </c>
      <c r="AZ525" s="28">
        <f t="shared" si="305"/>
        <v>0</v>
      </c>
      <c r="BA525" s="28">
        <f t="shared" si="306"/>
        <v>0</v>
      </c>
      <c r="BB525" s="28">
        <f t="shared" si="307"/>
        <v>0</v>
      </c>
      <c r="BC525" s="28">
        <f t="shared" si="308"/>
        <v>0</v>
      </c>
      <c r="BD525" s="3439">
        <f t="shared" si="309"/>
        <v>0</v>
      </c>
      <c r="BE525" s="3439">
        <f t="shared" si="310"/>
        <v>0</v>
      </c>
      <c r="BF525" s="3439">
        <f t="shared" si="311"/>
        <v>0</v>
      </c>
      <c r="BG525" s="3439">
        <f t="shared" si="312"/>
        <v>0</v>
      </c>
      <c r="BH525" s="3439">
        <f t="shared" si="313"/>
        <v>0</v>
      </c>
      <c r="BI525" s="3439">
        <f t="shared" si="314"/>
        <v>0</v>
      </c>
      <c r="BJ525" s="3439">
        <f t="shared" si="315"/>
        <v>0</v>
      </c>
      <c r="BK525" s="3439">
        <f t="shared" si="316"/>
        <v>0</v>
      </c>
      <c r="BL525" s="28">
        <f t="shared" si="317"/>
        <v>0</v>
      </c>
      <c r="BM525" s="28">
        <f t="shared" si="318"/>
        <v>0</v>
      </c>
      <c r="BN525" s="28">
        <f t="shared" si="319"/>
        <v>0</v>
      </c>
      <c r="BO525" s="28">
        <f t="shared" si="320"/>
        <v>0</v>
      </c>
      <c r="BP525" s="28">
        <f t="shared" si="321"/>
        <v>0</v>
      </c>
      <c r="BQ525" s="3439">
        <f t="shared" si="322"/>
        <v>0</v>
      </c>
      <c r="BR525" s="3439">
        <f t="shared" si="323"/>
        <v>0</v>
      </c>
      <c r="BS525" s="3439">
        <f t="shared" si="324"/>
        <v>0</v>
      </c>
      <c r="BT525" s="3451">
        <f t="shared" si="325"/>
        <v>0</v>
      </c>
    </row>
    <row r="526" spans="1:72">
      <c r="A526" s="9"/>
      <c r="B526" s="27"/>
      <c r="C526" s="27"/>
      <c r="D526" s="1678"/>
      <c r="E526" s="28">
        <f t="shared" si="297"/>
        <v>0</v>
      </c>
      <c r="F526" s="29"/>
      <c r="G526" s="30">
        <f t="shared" si="301"/>
        <v>0</v>
      </c>
      <c r="H526" s="31">
        <f t="shared" si="302"/>
        <v>0</v>
      </c>
      <c r="I526" s="32"/>
      <c r="J526" s="32"/>
      <c r="K526" s="32"/>
      <c r="L526" s="32"/>
      <c r="M526" s="32"/>
      <c r="N526" s="32"/>
      <c r="O526" s="32"/>
      <c r="P526" s="32"/>
      <c r="Q526" s="32"/>
      <c r="R526" s="32"/>
      <c r="S526" s="32"/>
      <c r="T526" s="32"/>
      <c r="U526" s="32"/>
      <c r="V526" s="32"/>
      <c r="W526" s="32"/>
      <c r="X526" s="32"/>
      <c r="Y526" s="32"/>
      <c r="Z526" s="32"/>
      <c r="AA526" s="32"/>
      <c r="AB526" s="32"/>
      <c r="AC526" s="28">
        <f t="shared" si="303"/>
        <v>0</v>
      </c>
      <c r="AD526" s="33"/>
      <c r="AE526" s="33"/>
      <c r="AF526" s="33"/>
      <c r="AG526" s="33"/>
      <c r="AH526" s="33"/>
      <c r="AI526" s="33"/>
      <c r="AJ526" s="33"/>
      <c r="AK526" s="33"/>
      <c r="AL526" s="33"/>
      <c r="AM526" s="33"/>
      <c r="AN526" s="33"/>
      <c r="AO526" s="33"/>
      <c r="AP526" s="33"/>
      <c r="AQ526" s="33"/>
      <c r="AR526" s="33"/>
      <c r="AS526" s="33"/>
      <c r="AT526" s="34"/>
      <c r="AU526" s="1679"/>
      <c r="AV526" s="2256">
        <f t="shared" si="298"/>
        <v>0</v>
      </c>
      <c r="AW526" s="2256">
        <f t="shared" si="299"/>
        <v>0</v>
      </c>
      <c r="AX526" s="2256">
        <f t="shared" si="300"/>
        <v>0</v>
      </c>
      <c r="AY526" s="2781">
        <f t="shared" si="304"/>
        <v>0</v>
      </c>
      <c r="AZ526" s="28">
        <f t="shared" si="305"/>
        <v>0</v>
      </c>
      <c r="BA526" s="28">
        <f t="shared" si="306"/>
        <v>0</v>
      </c>
      <c r="BB526" s="28">
        <f t="shared" si="307"/>
        <v>0</v>
      </c>
      <c r="BC526" s="28">
        <f t="shared" si="308"/>
        <v>0</v>
      </c>
      <c r="BD526" s="3439">
        <f t="shared" si="309"/>
        <v>0</v>
      </c>
      <c r="BE526" s="3439">
        <f t="shared" si="310"/>
        <v>0</v>
      </c>
      <c r="BF526" s="3439">
        <f t="shared" si="311"/>
        <v>0</v>
      </c>
      <c r="BG526" s="3439">
        <f t="shared" si="312"/>
        <v>0</v>
      </c>
      <c r="BH526" s="3439">
        <f t="shared" si="313"/>
        <v>0</v>
      </c>
      <c r="BI526" s="3439">
        <f t="shared" si="314"/>
        <v>0</v>
      </c>
      <c r="BJ526" s="3439">
        <f t="shared" si="315"/>
        <v>0</v>
      </c>
      <c r="BK526" s="3439">
        <f t="shared" si="316"/>
        <v>0</v>
      </c>
      <c r="BL526" s="28">
        <f t="shared" si="317"/>
        <v>0</v>
      </c>
      <c r="BM526" s="28">
        <f t="shared" si="318"/>
        <v>0</v>
      </c>
      <c r="BN526" s="28">
        <f t="shared" si="319"/>
        <v>0</v>
      </c>
      <c r="BO526" s="28">
        <f t="shared" si="320"/>
        <v>0</v>
      </c>
      <c r="BP526" s="28">
        <f t="shared" si="321"/>
        <v>0</v>
      </c>
      <c r="BQ526" s="3439">
        <f t="shared" si="322"/>
        <v>0</v>
      </c>
      <c r="BR526" s="3439">
        <f t="shared" si="323"/>
        <v>0</v>
      </c>
      <c r="BS526" s="3439">
        <f t="shared" si="324"/>
        <v>0</v>
      </c>
      <c r="BT526" s="3451">
        <f t="shared" si="325"/>
        <v>0</v>
      </c>
    </row>
    <row r="527" spans="1:72">
      <c r="A527" s="9"/>
      <c r="B527" s="27"/>
      <c r="C527" s="27"/>
      <c r="D527" s="1678"/>
      <c r="E527" s="28">
        <f t="shared" si="297"/>
        <v>0</v>
      </c>
      <c r="F527" s="29"/>
      <c r="G527" s="30">
        <f t="shared" si="301"/>
        <v>0</v>
      </c>
      <c r="H527" s="31">
        <f t="shared" si="302"/>
        <v>0</v>
      </c>
      <c r="I527" s="32"/>
      <c r="J527" s="32"/>
      <c r="K527" s="32"/>
      <c r="L527" s="32"/>
      <c r="M527" s="32"/>
      <c r="N527" s="32"/>
      <c r="O527" s="32"/>
      <c r="P527" s="32"/>
      <c r="Q527" s="32"/>
      <c r="R527" s="32"/>
      <c r="S527" s="32"/>
      <c r="T527" s="32"/>
      <c r="U527" s="32"/>
      <c r="V527" s="32"/>
      <c r="W527" s="32"/>
      <c r="X527" s="32"/>
      <c r="Y527" s="32"/>
      <c r="Z527" s="32"/>
      <c r="AA527" s="32"/>
      <c r="AB527" s="32"/>
      <c r="AC527" s="28">
        <f t="shared" si="303"/>
        <v>0</v>
      </c>
      <c r="AD527" s="33"/>
      <c r="AE527" s="33"/>
      <c r="AF527" s="33"/>
      <c r="AG527" s="33"/>
      <c r="AH527" s="33"/>
      <c r="AI527" s="33"/>
      <c r="AJ527" s="33"/>
      <c r="AK527" s="33"/>
      <c r="AL527" s="33"/>
      <c r="AM527" s="33"/>
      <c r="AN527" s="33"/>
      <c r="AO527" s="33"/>
      <c r="AP527" s="33"/>
      <c r="AQ527" s="33"/>
      <c r="AR527" s="33"/>
      <c r="AS527" s="33"/>
      <c r="AT527" s="34"/>
      <c r="AU527" s="1679"/>
      <c r="AV527" s="2256">
        <f t="shared" si="298"/>
        <v>0</v>
      </c>
      <c r="AW527" s="2256">
        <f t="shared" si="299"/>
        <v>0</v>
      </c>
      <c r="AX527" s="2256">
        <f t="shared" si="300"/>
        <v>0</v>
      </c>
      <c r="AY527" s="2781">
        <f t="shared" si="304"/>
        <v>0</v>
      </c>
      <c r="AZ527" s="28">
        <f t="shared" si="305"/>
        <v>0</v>
      </c>
      <c r="BA527" s="28">
        <f t="shared" si="306"/>
        <v>0</v>
      </c>
      <c r="BB527" s="28">
        <f t="shared" si="307"/>
        <v>0</v>
      </c>
      <c r="BC527" s="28">
        <f t="shared" si="308"/>
        <v>0</v>
      </c>
      <c r="BD527" s="3439">
        <f t="shared" si="309"/>
        <v>0</v>
      </c>
      <c r="BE527" s="3439">
        <f t="shared" si="310"/>
        <v>0</v>
      </c>
      <c r="BF527" s="3439">
        <f t="shared" si="311"/>
        <v>0</v>
      </c>
      <c r="BG527" s="3439">
        <f t="shared" si="312"/>
        <v>0</v>
      </c>
      <c r="BH527" s="3439">
        <f t="shared" si="313"/>
        <v>0</v>
      </c>
      <c r="BI527" s="3439">
        <f t="shared" si="314"/>
        <v>0</v>
      </c>
      <c r="BJ527" s="3439">
        <f t="shared" si="315"/>
        <v>0</v>
      </c>
      <c r="BK527" s="3439">
        <f t="shared" si="316"/>
        <v>0</v>
      </c>
      <c r="BL527" s="28">
        <f t="shared" si="317"/>
        <v>0</v>
      </c>
      <c r="BM527" s="28">
        <f t="shared" si="318"/>
        <v>0</v>
      </c>
      <c r="BN527" s="28">
        <f t="shared" si="319"/>
        <v>0</v>
      </c>
      <c r="BO527" s="28">
        <f t="shared" si="320"/>
        <v>0</v>
      </c>
      <c r="BP527" s="28">
        <f t="shared" si="321"/>
        <v>0</v>
      </c>
      <c r="BQ527" s="3439">
        <f t="shared" si="322"/>
        <v>0</v>
      </c>
      <c r="BR527" s="3439">
        <f t="shared" si="323"/>
        <v>0</v>
      </c>
      <c r="BS527" s="3439">
        <f t="shared" si="324"/>
        <v>0</v>
      </c>
      <c r="BT527" s="3451">
        <f t="shared" si="325"/>
        <v>0</v>
      </c>
    </row>
    <row r="528" spans="1:72">
      <c r="A528" s="9"/>
      <c r="B528" s="27"/>
      <c r="C528" s="27"/>
      <c r="D528" s="1678"/>
      <c r="E528" s="28">
        <f t="shared" si="297"/>
        <v>0</v>
      </c>
      <c r="F528" s="29"/>
      <c r="G528" s="30">
        <f t="shared" si="301"/>
        <v>0</v>
      </c>
      <c r="H528" s="31">
        <f t="shared" si="302"/>
        <v>0</v>
      </c>
      <c r="I528" s="32"/>
      <c r="J528" s="32"/>
      <c r="K528" s="32"/>
      <c r="L528" s="32"/>
      <c r="M528" s="32"/>
      <c r="N528" s="32"/>
      <c r="O528" s="32"/>
      <c r="P528" s="32"/>
      <c r="Q528" s="32"/>
      <c r="R528" s="32"/>
      <c r="S528" s="32"/>
      <c r="T528" s="32"/>
      <c r="U528" s="32"/>
      <c r="V528" s="32"/>
      <c r="W528" s="32"/>
      <c r="X528" s="32"/>
      <c r="Y528" s="32"/>
      <c r="Z528" s="32"/>
      <c r="AA528" s="32"/>
      <c r="AB528" s="32"/>
      <c r="AC528" s="28">
        <f t="shared" si="303"/>
        <v>0</v>
      </c>
      <c r="AD528" s="33"/>
      <c r="AE528" s="33"/>
      <c r="AF528" s="33"/>
      <c r="AG528" s="33"/>
      <c r="AH528" s="33"/>
      <c r="AI528" s="33"/>
      <c r="AJ528" s="33"/>
      <c r="AK528" s="33"/>
      <c r="AL528" s="33"/>
      <c r="AM528" s="33"/>
      <c r="AN528" s="33"/>
      <c r="AO528" s="33"/>
      <c r="AP528" s="33"/>
      <c r="AQ528" s="33"/>
      <c r="AR528" s="33"/>
      <c r="AS528" s="33"/>
      <c r="AT528" s="34"/>
      <c r="AU528" s="1679"/>
      <c r="AV528" s="2256">
        <f t="shared" si="298"/>
        <v>0</v>
      </c>
      <c r="AW528" s="2256">
        <f t="shared" si="299"/>
        <v>0</v>
      </c>
      <c r="AX528" s="2256">
        <f t="shared" si="300"/>
        <v>0</v>
      </c>
      <c r="AY528" s="2781">
        <f t="shared" si="304"/>
        <v>0</v>
      </c>
      <c r="AZ528" s="28">
        <f t="shared" si="305"/>
        <v>0</v>
      </c>
      <c r="BA528" s="28">
        <f t="shared" si="306"/>
        <v>0</v>
      </c>
      <c r="BB528" s="28">
        <f t="shared" si="307"/>
        <v>0</v>
      </c>
      <c r="BC528" s="28">
        <f t="shared" si="308"/>
        <v>0</v>
      </c>
      <c r="BD528" s="3439">
        <f t="shared" si="309"/>
        <v>0</v>
      </c>
      <c r="BE528" s="3439">
        <f t="shared" si="310"/>
        <v>0</v>
      </c>
      <c r="BF528" s="3439">
        <f t="shared" si="311"/>
        <v>0</v>
      </c>
      <c r="BG528" s="3439">
        <f t="shared" si="312"/>
        <v>0</v>
      </c>
      <c r="BH528" s="3439">
        <f t="shared" si="313"/>
        <v>0</v>
      </c>
      <c r="BI528" s="3439">
        <f t="shared" si="314"/>
        <v>0</v>
      </c>
      <c r="BJ528" s="3439">
        <f t="shared" si="315"/>
        <v>0</v>
      </c>
      <c r="BK528" s="3439">
        <f t="shared" si="316"/>
        <v>0</v>
      </c>
      <c r="BL528" s="28">
        <f t="shared" si="317"/>
        <v>0</v>
      </c>
      <c r="BM528" s="28">
        <f t="shared" si="318"/>
        <v>0</v>
      </c>
      <c r="BN528" s="28">
        <f t="shared" si="319"/>
        <v>0</v>
      </c>
      <c r="BO528" s="28">
        <f t="shared" si="320"/>
        <v>0</v>
      </c>
      <c r="BP528" s="28">
        <f t="shared" si="321"/>
        <v>0</v>
      </c>
      <c r="BQ528" s="3439">
        <f t="shared" si="322"/>
        <v>0</v>
      </c>
      <c r="BR528" s="3439">
        <f t="shared" si="323"/>
        <v>0</v>
      </c>
      <c r="BS528" s="3439">
        <f t="shared" si="324"/>
        <v>0</v>
      </c>
      <c r="BT528" s="3451">
        <f t="shared" si="325"/>
        <v>0</v>
      </c>
    </row>
    <row r="529" spans="1:72">
      <c r="A529" s="9"/>
      <c r="B529" s="27"/>
      <c r="C529" s="27"/>
      <c r="D529" s="1678"/>
      <c r="E529" s="28">
        <f t="shared" si="297"/>
        <v>0</v>
      </c>
      <c r="F529" s="29"/>
      <c r="G529" s="30">
        <f t="shared" si="301"/>
        <v>0</v>
      </c>
      <c r="H529" s="31">
        <f t="shared" si="302"/>
        <v>0</v>
      </c>
      <c r="I529" s="32"/>
      <c r="J529" s="32"/>
      <c r="K529" s="32"/>
      <c r="L529" s="32"/>
      <c r="M529" s="32"/>
      <c r="N529" s="32"/>
      <c r="O529" s="32"/>
      <c r="P529" s="32"/>
      <c r="Q529" s="32"/>
      <c r="R529" s="32"/>
      <c r="S529" s="32"/>
      <c r="T529" s="32"/>
      <c r="U529" s="32"/>
      <c r="V529" s="32"/>
      <c r="W529" s="32"/>
      <c r="X529" s="32"/>
      <c r="Y529" s="32"/>
      <c r="Z529" s="32"/>
      <c r="AA529" s="32"/>
      <c r="AB529" s="32"/>
      <c r="AC529" s="28">
        <f t="shared" si="303"/>
        <v>0</v>
      </c>
      <c r="AD529" s="33"/>
      <c r="AE529" s="33"/>
      <c r="AF529" s="33"/>
      <c r="AG529" s="33"/>
      <c r="AH529" s="33"/>
      <c r="AI529" s="33"/>
      <c r="AJ529" s="33"/>
      <c r="AK529" s="33"/>
      <c r="AL529" s="33"/>
      <c r="AM529" s="33"/>
      <c r="AN529" s="33"/>
      <c r="AO529" s="33"/>
      <c r="AP529" s="33"/>
      <c r="AQ529" s="33"/>
      <c r="AR529" s="33"/>
      <c r="AS529" s="33"/>
      <c r="AT529" s="34"/>
      <c r="AU529" s="1679"/>
      <c r="AV529" s="2256">
        <f t="shared" si="298"/>
        <v>0</v>
      </c>
      <c r="AW529" s="2256">
        <f t="shared" si="299"/>
        <v>0</v>
      </c>
      <c r="AX529" s="2256">
        <f t="shared" si="300"/>
        <v>0</v>
      </c>
      <c r="AY529" s="2781">
        <f t="shared" si="304"/>
        <v>0</v>
      </c>
      <c r="AZ529" s="28">
        <f t="shared" si="305"/>
        <v>0</v>
      </c>
      <c r="BA529" s="28">
        <f t="shared" si="306"/>
        <v>0</v>
      </c>
      <c r="BB529" s="28">
        <f t="shared" si="307"/>
        <v>0</v>
      </c>
      <c r="BC529" s="28">
        <f t="shared" si="308"/>
        <v>0</v>
      </c>
      <c r="BD529" s="3439">
        <f t="shared" si="309"/>
        <v>0</v>
      </c>
      <c r="BE529" s="3439">
        <f t="shared" si="310"/>
        <v>0</v>
      </c>
      <c r="BF529" s="3439">
        <f t="shared" si="311"/>
        <v>0</v>
      </c>
      <c r="BG529" s="3439">
        <f t="shared" si="312"/>
        <v>0</v>
      </c>
      <c r="BH529" s="3439">
        <f t="shared" si="313"/>
        <v>0</v>
      </c>
      <c r="BI529" s="3439">
        <f t="shared" si="314"/>
        <v>0</v>
      </c>
      <c r="BJ529" s="3439">
        <f t="shared" si="315"/>
        <v>0</v>
      </c>
      <c r="BK529" s="3439">
        <f t="shared" si="316"/>
        <v>0</v>
      </c>
      <c r="BL529" s="28">
        <f t="shared" si="317"/>
        <v>0</v>
      </c>
      <c r="BM529" s="28">
        <f t="shared" si="318"/>
        <v>0</v>
      </c>
      <c r="BN529" s="28">
        <f t="shared" si="319"/>
        <v>0</v>
      </c>
      <c r="BO529" s="28">
        <f t="shared" si="320"/>
        <v>0</v>
      </c>
      <c r="BP529" s="28">
        <f t="shared" si="321"/>
        <v>0</v>
      </c>
      <c r="BQ529" s="3439">
        <f t="shared" si="322"/>
        <v>0</v>
      </c>
      <c r="BR529" s="3439">
        <f t="shared" si="323"/>
        <v>0</v>
      </c>
      <c r="BS529" s="3439">
        <f t="shared" si="324"/>
        <v>0</v>
      </c>
      <c r="BT529" s="3451">
        <f t="shared" si="325"/>
        <v>0</v>
      </c>
    </row>
    <row r="530" spans="1:72">
      <c r="A530" s="9"/>
      <c r="B530" s="27"/>
      <c r="C530" s="27"/>
      <c r="D530" s="1678"/>
      <c r="E530" s="28">
        <f t="shared" si="297"/>
        <v>0</v>
      </c>
      <c r="F530" s="29"/>
      <c r="G530" s="30">
        <f t="shared" si="301"/>
        <v>0</v>
      </c>
      <c r="H530" s="31">
        <f t="shared" si="302"/>
        <v>0</v>
      </c>
      <c r="I530" s="32"/>
      <c r="J530" s="32"/>
      <c r="K530" s="32"/>
      <c r="L530" s="32"/>
      <c r="M530" s="32"/>
      <c r="N530" s="32"/>
      <c r="O530" s="32"/>
      <c r="P530" s="32"/>
      <c r="Q530" s="32"/>
      <c r="R530" s="32"/>
      <c r="S530" s="32"/>
      <c r="T530" s="32"/>
      <c r="U530" s="32"/>
      <c r="V530" s="32"/>
      <c r="W530" s="32"/>
      <c r="X530" s="32"/>
      <c r="Y530" s="32"/>
      <c r="Z530" s="32"/>
      <c r="AA530" s="32"/>
      <c r="AB530" s="32"/>
      <c r="AC530" s="28">
        <f t="shared" si="303"/>
        <v>0</v>
      </c>
      <c r="AD530" s="33"/>
      <c r="AE530" s="33"/>
      <c r="AF530" s="33"/>
      <c r="AG530" s="33"/>
      <c r="AH530" s="33"/>
      <c r="AI530" s="33"/>
      <c r="AJ530" s="33"/>
      <c r="AK530" s="33"/>
      <c r="AL530" s="33"/>
      <c r="AM530" s="33"/>
      <c r="AN530" s="33"/>
      <c r="AO530" s="33"/>
      <c r="AP530" s="33"/>
      <c r="AQ530" s="33"/>
      <c r="AR530" s="33"/>
      <c r="AS530" s="33"/>
      <c r="AT530" s="34"/>
      <c r="AU530" s="1679"/>
      <c r="AV530" s="2256">
        <f t="shared" si="298"/>
        <v>0</v>
      </c>
      <c r="AW530" s="2256">
        <f t="shared" si="299"/>
        <v>0</v>
      </c>
      <c r="AX530" s="2256">
        <f t="shared" si="300"/>
        <v>0</v>
      </c>
      <c r="AY530" s="2781">
        <f t="shared" si="304"/>
        <v>0</v>
      </c>
      <c r="AZ530" s="28">
        <f t="shared" si="305"/>
        <v>0</v>
      </c>
      <c r="BA530" s="28">
        <f t="shared" si="306"/>
        <v>0</v>
      </c>
      <c r="BB530" s="28">
        <f t="shared" si="307"/>
        <v>0</v>
      </c>
      <c r="BC530" s="28">
        <f t="shared" si="308"/>
        <v>0</v>
      </c>
      <c r="BD530" s="3439">
        <f t="shared" si="309"/>
        <v>0</v>
      </c>
      <c r="BE530" s="3439">
        <f t="shared" si="310"/>
        <v>0</v>
      </c>
      <c r="BF530" s="3439">
        <f t="shared" si="311"/>
        <v>0</v>
      </c>
      <c r="BG530" s="3439">
        <f t="shared" si="312"/>
        <v>0</v>
      </c>
      <c r="BH530" s="3439">
        <f t="shared" si="313"/>
        <v>0</v>
      </c>
      <c r="BI530" s="3439">
        <f t="shared" si="314"/>
        <v>0</v>
      </c>
      <c r="BJ530" s="3439">
        <f t="shared" si="315"/>
        <v>0</v>
      </c>
      <c r="BK530" s="3439">
        <f t="shared" si="316"/>
        <v>0</v>
      </c>
      <c r="BL530" s="28">
        <f t="shared" si="317"/>
        <v>0</v>
      </c>
      <c r="BM530" s="28">
        <f t="shared" si="318"/>
        <v>0</v>
      </c>
      <c r="BN530" s="28">
        <f t="shared" si="319"/>
        <v>0</v>
      </c>
      <c r="BO530" s="28">
        <f t="shared" si="320"/>
        <v>0</v>
      </c>
      <c r="BP530" s="28">
        <f t="shared" si="321"/>
        <v>0</v>
      </c>
      <c r="BQ530" s="3439">
        <f t="shared" si="322"/>
        <v>0</v>
      </c>
      <c r="BR530" s="3439">
        <f t="shared" si="323"/>
        <v>0</v>
      </c>
      <c r="BS530" s="3439">
        <f t="shared" si="324"/>
        <v>0</v>
      </c>
      <c r="BT530" s="3451">
        <f t="shared" si="325"/>
        <v>0</v>
      </c>
    </row>
    <row r="531" spans="1:72">
      <c r="A531" s="9"/>
      <c r="B531" s="27"/>
      <c r="C531" s="27"/>
      <c r="D531" s="1678"/>
      <c r="E531" s="28">
        <f t="shared" si="297"/>
        <v>0</v>
      </c>
      <c r="F531" s="29"/>
      <c r="G531" s="30">
        <f t="shared" si="301"/>
        <v>0</v>
      </c>
      <c r="H531" s="31">
        <f t="shared" si="302"/>
        <v>0</v>
      </c>
      <c r="I531" s="32"/>
      <c r="J531" s="32"/>
      <c r="K531" s="32"/>
      <c r="L531" s="32"/>
      <c r="M531" s="32"/>
      <c r="N531" s="32"/>
      <c r="O531" s="32"/>
      <c r="P531" s="32"/>
      <c r="Q531" s="32"/>
      <c r="R531" s="32"/>
      <c r="S531" s="32"/>
      <c r="T531" s="32"/>
      <c r="U531" s="32"/>
      <c r="V531" s="32"/>
      <c r="W531" s="32"/>
      <c r="X531" s="32"/>
      <c r="Y531" s="32"/>
      <c r="Z531" s="32"/>
      <c r="AA531" s="32"/>
      <c r="AB531" s="32"/>
      <c r="AC531" s="28">
        <f t="shared" si="303"/>
        <v>0</v>
      </c>
      <c r="AD531" s="33"/>
      <c r="AE531" s="33"/>
      <c r="AF531" s="33"/>
      <c r="AG531" s="33"/>
      <c r="AH531" s="33"/>
      <c r="AI531" s="33"/>
      <c r="AJ531" s="33"/>
      <c r="AK531" s="33"/>
      <c r="AL531" s="33"/>
      <c r="AM531" s="33"/>
      <c r="AN531" s="33"/>
      <c r="AO531" s="33"/>
      <c r="AP531" s="33"/>
      <c r="AQ531" s="33"/>
      <c r="AR531" s="33"/>
      <c r="AS531" s="33"/>
      <c r="AT531" s="34"/>
      <c r="AU531" s="1679"/>
      <c r="AV531" s="2256">
        <f t="shared" si="298"/>
        <v>0</v>
      </c>
      <c r="AW531" s="2256">
        <f t="shared" si="299"/>
        <v>0</v>
      </c>
      <c r="AX531" s="2256">
        <f t="shared" si="300"/>
        <v>0</v>
      </c>
      <c r="AY531" s="2781">
        <f t="shared" si="304"/>
        <v>0</v>
      </c>
      <c r="AZ531" s="28">
        <f t="shared" si="305"/>
        <v>0</v>
      </c>
      <c r="BA531" s="28">
        <f t="shared" si="306"/>
        <v>0</v>
      </c>
      <c r="BB531" s="28">
        <f t="shared" si="307"/>
        <v>0</v>
      </c>
      <c r="BC531" s="28">
        <f t="shared" si="308"/>
        <v>0</v>
      </c>
      <c r="BD531" s="3439">
        <f t="shared" si="309"/>
        <v>0</v>
      </c>
      <c r="BE531" s="3439">
        <f t="shared" si="310"/>
        <v>0</v>
      </c>
      <c r="BF531" s="3439">
        <f t="shared" si="311"/>
        <v>0</v>
      </c>
      <c r="BG531" s="3439">
        <f t="shared" si="312"/>
        <v>0</v>
      </c>
      <c r="BH531" s="3439">
        <f t="shared" si="313"/>
        <v>0</v>
      </c>
      <c r="BI531" s="3439">
        <f t="shared" si="314"/>
        <v>0</v>
      </c>
      <c r="BJ531" s="3439">
        <f t="shared" si="315"/>
        <v>0</v>
      </c>
      <c r="BK531" s="3439">
        <f t="shared" si="316"/>
        <v>0</v>
      </c>
      <c r="BL531" s="28">
        <f t="shared" si="317"/>
        <v>0</v>
      </c>
      <c r="BM531" s="28">
        <f t="shared" si="318"/>
        <v>0</v>
      </c>
      <c r="BN531" s="28">
        <f t="shared" si="319"/>
        <v>0</v>
      </c>
      <c r="BO531" s="28">
        <f t="shared" si="320"/>
        <v>0</v>
      </c>
      <c r="BP531" s="28">
        <f t="shared" si="321"/>
        <v>0</v>
      </c>
      <c r="BQ531" s="3439">
        <f t="shared" si="322"/>
        <v>0</v>
      </c>
      <c r="BR531" s="3439">
        <f t="shared" si="323"/>
        <v>0</v>
      </c>
      <c r="BS531" s="3439">
        <f t="shared" si="324"/>
        <v>0</v>
      </c>
      <c r="BT531" s="3451">
        <f t="shared" si="325"/>
        <v>0</v>
      </c>
    </row>
    <row r="532" spans="1:72">
      <c r="A532" s="9"/>
      <c r="B532" s="27"/>
      <c r="C532" s="27"/>
      <c r="D532" s="1678"/>
      <c r="E532" s="28">
        <f t="shared" si="297"/>
        <v>0</v>
      </c>
      <c r="F532" s="29"/>
      <c r="G532" s="30">
        <f t="shared" si="301"/>
        <v>0</v>
      </c>
      <c r="H532" s="31">
        <f t="shared" si="302"/>
        <v>0</v>
      </c>
      <c r="I532" s="32"/>
      <c r="J532" s="32"/>
      <c r="K532" s="32"/>
      <c r="L532" s="32"/>
      <c r="M532" s="32"/>
      <c r="N532" s="32"/>
      <c r="O532" s="32"/>
      <c r="P532" s="32"/>
      <c r="Q532" s="32"/>
      <c r="R532" s="32"/>
      <c r="S532" s="32"/>
      <c r="T532" s="32"/>
      <c r="U532" s="32"/>
      <c r="V532" s="32"/>
      <c r="W532" s="32"/>
      <c r="X532" s="32"/>
      <c r="Y532" s="32"/>
      <c r="Z532" s="32"/>
      <c r="AA532" s="32"/>
      <c r="AB532" s="32"/>
      <c r="AC532" s="28">
        <f t="shared" si="303"/>
        <v>0</v>
      </c>
      <c r="AD532" s="33"/>
      <c r="AE532" s="33"/>
      <c r="AF532" s="33"/>
      <c r="AG532" s="33"/>
      <c r="AH532" s="33"/>
      <c r="AI532" s="33"/>
      <c r="AJ532" s="33"/>
      <c r="AK532" s="33"/>
      <c r="AL532" s="33"/>
      <c r="AM532" s="33"/>
      <c r="AN532" s="33"/>
      <c r="AO532" s="33"/>
      <c r="AP532" s="33"/>
      <c r="AQ532" s="33"/>
      <c r="AR532" s="33"/>
      <c r="AS532" s="33"/>
      <c r="AT532" s="34"/>
      <c r="AU532" s="1679"/>
      <c r="AV532" s="2256">
        <f t="shared" si="298"/>
        <v>0</v>
      </c>
      <c r="AW532" s="2256">
        <f t="shared" si="299"/>
        <v>0</v>
      </c>
      <c r="AX532" s="2256">
        <f t="shared" si="300"/>
        <v>0</v>
      </c>
      <c r="AY532" s="2781">
        <f t="shared" si="304"/>
        <v>0</v>
      </c>
      <c r="AZ532" s="28">
        <f t="shared" si="305"/>
        <v>0</v>
      </c>
      <c r="BA532" s="28">
        <f t="shared" si="306"/>
        <v>0</v>
      </c>
      <c r="BB532" s="28">
        <f t="shared" si="307"/>
        <v>0</v>
      </c>
      <c r="BC532" s="28">
        <f t="shared" si="308"/>
        <v>0</v>
      </c>
      <c r="BD532" s="3439">
        <f t="shared" si="309"/>
        <v>0</v>
      </c>
      <c r="BE532" s="3439">
        <f t="shared" si="310"/>
        <v>0</v>
      </c>
      <c r="BF532" s="3439">
        <f t="shared" si="311"/>
        <v>0</v>
      </c>
      <c r="BG532" s="3439">
        <f t="shared" si="312"/>
        <v>0</v>
      </c>
      <c r="BH532" s="3439">
        <f t="shared" si="313"/>
        <v>0</v>
      </c>
      <c r="BI532" s="3439">
        <f t="shared" si="314"/>
        <v>0</v>
      </c>
      <c r="BJ532" s="3439">
        <f t="shared" si="315"/>
        <v>0</v>
      </c>
      <c r="BK532" s="3439">
        <f t="shared" si="316"/>
        <v>0</v>
      </c>
      <c r="BL532" s="28">
        <f t="shared" si="317"/>
        <v>0</v>
      </c>
      <c r="BM532" s="28">
        <f t="shared" si="318"/>
        <v>0</v>
      </c>
      <c r="BN532" s="28">
        <f t="shared" si="319"/>
        <v>0</v>
      </c>
      <c r="BO532" s="28">
        <f t="shared" si="320"/>
        <v>0</v>
      </c>
      <c r="BP532" s="28">
        <f t="shared" si="321"/>
        <v>0</v>
      </c>
      <c r="BQ532" s="3439">
        <f t="shared" si="322"/>
        <v>0</v>
      </c>
      <c r="BR532" s="3439">
        <f t="shared" si="323"/>
        <v>0</v>
      </c>
      <c r="BS532" s="3439">
        <f t="shared" si="324"/>
        <v>0</v>
      </c>
      <c r="BT532" s="3451">
        <f t="shared" si="325"/>
        <v>0</v>
      </c>
    </row>
    <row r="533" spans="1:72">
      <c r="A533" s="9"/>
      <c r="B533" s="27"/>
      <c r="C533" s="27"/>
      <c r="D533" s="1678"/>
      <c r="E533" s="28">
        <f t="shared" si="297"/>
        <v>0</v>
      </c>
      <c r="F533" s="29"/>
      <c r="G533" s="30">
        <f t="shared" si="301"/>
        <v>0</v>
      </c>
      <c r="H533" s="31">
        <f t="shared" si="302"/>
        <v>0</v>
      </c>
      <c r="I533" s="32"/>
      <c r="J533" s="32"/>
      <c r="K533" s="32"/>
      <c r="L533" s="32"/>
      <c r="M533" s="32"/>
      <c r="N533" s="32"/>
      <c r="O533" s="32"/>
      <c r="P533" s="32"/>
      <c r="Q533" s="32"/>
      <c r="R533" s="32"/>
      <c r="S533" s="32"/>
      <c r="T533" s="32"/>
      <c r="U533" s="32"/>
      <c r="V533" s="32"/>
      <c r="W533" s="32"/>
      <c r="X533" s="32"/>
      <c r="Y533" s="32"/>
      <c r="Z533" s="32"/>
      <c r="AA533" s="32"/>
      <c r="AB533" s="32"/>
      <c r="AC533" s="28">
        <f t="shared" si="303"/>
        <v>0</v>
      </c>
      <c r="AD533" s="33"/>
      <c r="AE533" s="33"/>
      <c r="AF533" s="33"/>
      <c r="AG533" s="33"/>
      <c r="AH533" s="33"/>
      <c r="AI533" s="33"/>
      <c r="AJ533" s="33"/>
      <c r="AK533" s="33"/>
      <c r="AL533" s="33"/>
      <c r="AM533" s="33"/>
      <c r="AN533" s="33"/>
      <c r="AO533" s="33"/>
      <c r="AP533" s="33"/>
      <c r="AQ533" s="33"/>
      <c r="AR533" s="33"/>
      <c r="AS533" s="33"/>
      <c r="AT533" s="34"/>
      <c r="AU533" s="1679"/>
      <c r="AV533" s="2256">
        <f t="shared" si="298"/>
        <v>0</v>
      </c>
      <c r="AW533" s="2256">
        <f t="shared" si="299"/>
        <v>0</v>
      </c>
      <c r="AX533" s="2256">
        <f t="shared" si="300"/>
        <v>0</v>
      </c>
      <c r="AY533" s="2781">
        <f t="shared" si="304"/>
        <v>0</v>
      </c>
      <c r="AZ533" s="28">
        <f t="shared" si="305"/>
        <v>0</v>
      </c>
      <c r="BA533" s="28">
        <f t="shared" si="306"/>
        <v>0</v>
      </c>
      <c r="BB533" s="28">
        <f t="shared" si="307"/>
        <v>0</v>
      </c>
      <c r="BC533" s="28">
        <f t="shared" si="308"/>
        <v>0</v>
      </c>
      <c r="BD533" s="3439">
        <f t="shared" si="309"/>
        <v>0</v>
      </c>
      <c r="BE533" s="3439">
        <f t="shared" si="310"/>
        <v>0</v>
      </c>
      <c r="BF533" s="3439">
        <f t="shared" si="311"/>
        <v>0</v>
      </c>
      <c r="BG533" s="3439">
        <f t="shared" si="312"/>
        <v>0</v>
      </c>
      <c r="BH533" s="3439">
        <f t="shared" si="313"/>
        <v>0</v>
      </c>
      <c r="BI533" s="3439">
        <f t="shared" si="314"/>
        <v>0</v>
      </c>
      <c r="BJ533" s="3439">
        <f t="shared" si="315"/>
        <v>0</v>
      </c>
      <c r="BK533" s="3439">
        <f t="shared" si="316"/>
        <v>0</v>
      </c>
      <c r="BL533" s="28">
        <f t="shared" si="317"/>
        <v>0</v>
      </c>
      <c r="BM533" s="28">
        <f t="shared" si="318"/>
        <v>0</v>
      </c>
      <c r="BN533" s="28">
        <f t="shared" si="319"/>
        <v>0</v>
      </c>
      <c r="BO533" s="28">
        <f t="shared" si="320"/>
        <v>0</v>
      </c>
      <c r="BP533" s="28">
        <f t="shared" si="321"/>
        <v>0</v>
      </c>
      <c r="BQ533" s="3439">
        <f t="shared" si="322"/>
        <v>0</v>
      </c>
      <c r="BR533" s="3439">
        <f t="shared" si="323"/>
        <v>0</v>
      </c>
      <c r="BS533" s="3439">
        <f t="shared" si="324"/>
        <v>0</v>
      </c>
      <c r="BT533" s="3451">
        <f t="shared" si="325"/>
        <v>0</v>
      </c>
    </row>
    <row r="534" spans="1:72">
      <c r="A534" s="9"/>
      <c r="B534" s="27"/>
      <c r="C534" s="27"/>
      <c r="D534" s="1678"/>
      <c r="E534" s="28">
        <f t="shared" si="297"/>
        <v>0</v>
      </c>
      <c r="F534" s="29"/>
      <c r="G534" s="30">
        <f t="shared" si="301"/>
        <v>0</v>
      </c>
      <c r="H534" s="31">
        <f t="shared" si="302"/>
        <v>0</v>
      </c>
      <c r="I534" s="32"/>
      <c r="J534" s="32"/>
      <c r="K534" s="32"/>
      <c r="L534" s="32"/>
      <c r="M534" s="32"/>
      <c r="N534" s="32"/>
      <c r="O534" s="32"/>
      <c r="P534" s="32"/>
      <c r="Q534" s="32"/>
      <c r="R534" s="32"/>
      <c r="S534" s="32"/>
      <c r="T534" s="32"/>
      <c r="U534" s="32"/>
      <c r="V534" s="32"/>
      <c r="W534" s="32"/>
      <c r="X534" s="32"/>
      <c r="Y534" s="32"/>
      <c r="Z534" s="32"/>
      <c r="AA534" s="32"/>
      <c r="AB534" s="32"/>
      <c r="AC534" s="28">
        <f t="shared" si="303"/>
        <v>0</v>
      </c>
      <c r="AD534" s="33"/>
      <c r="AE534" s="33"/>
      <c r="AF534" s="33"/>
      <c r="AG534" s="33"/>
      <c r="AH534" s="33"/>
      <c r="AI534" s="33"/>
      <c r="AJ534" s="33"/>
      <c r="AK534" s="33"/>
      <c r="AL534" s="33"/>
      <c r="AM534" s="33"/>
      <c r="AN534" s="33"/>
      <c r="AO534" s="33"/>
      <c r="AP534" s="33"/>
      <c r="AQ534" s="33"/>
      <c r="AR534" s="33"/>
      <c r="AS534" s="33"/>
      <c r="AT534" s="34"/>
      <c r="AU534" s="1679"/>
      <c r="AV534" s="2256">
        <f t="shared" si="298"/>
        <v>0</v>
      </c>
      <c r="AW534" s="2256">
        <f t="shared" si="299"/>
        <v>0</v>
      </c>
      <c r="AX534" s="2256">
        <f t="shared" si="300"/>
        <v>0</v>
      </c>
      <c r="AY534" s="2781">
        <f t="shared" si="304"/>
        <v>0</v>
      </c>
      <c r="AZ534" s="28">
        <f t="shared" si="305"/>
        <v>0</v>
      </c>
      <c r="BA534" s="28">
        <f t="shared" si="306"/>
        <v>0</v>
      </c>
      <c r="BB534" s="28">
        <f t="shared" si="307"/>
        <v>0</v>
      </c>
      <c r="BC534" s="28">
        <f t="shared" si="308"/>
        <v>0</v>
      </c>
      <c r="BD534" s="3439">
        <f t="shared" si="309"/>
        <v>0</v>
      </c>
      <c r="BE534" s="3439">
        <f t="shared" si="310"/>
        <v>0</v>
      </c>
      <c r="BF534" s="3439">
        <f t="shared" si="311"/>
        <v>0</v>
      </c>
      <c r="BG534" s="3439">
        <f t="shared" si="312"/>
        <v>0</v>
      </c>
      <c r="BH534" s="3439">
        <f t="shared" si="313"/>
        <v>0</v>
      </c>
      <c r="BI534" s="3439">
        <f t="shared" si="314"/>
        <v>0</v>
      </c>
      <c r="BJ534" s="3439">
        <f t="shared" si="315"/>
        <v>0</v>
      </c>
      <c r="BK534" s="3439">
        <f t="shared" si="316"/>
        <v>0</v>
      </c>
      <c r="BL534" s="28">
        <f t="shared" si="317"/>
        <v>0</v>
      </c>
      <c r="BM534" s="28">
        <f t="shared" si="318"/>
        <v>0</v>
      </c>
      <c r="BN534" s="28">
        <f t="shared" si="319"/>
        <v>0</v>
      </c>
      <c r="BO534" s="28">
        <f t="shared" si="320"/>
        <v>0</v>
      </c>
      <c r="BP534" s="28">
        <f t="shared" si="321"/>
        <v>0</v>
      </c>
      <c r="BQ534" s="3439">
        <f t="shared" si="322"/>
        <v>0</v>
      </c>
      <c r="BR534" s="3439">
        <f t="shared" si="323"/>
        <v>0</v>
      </c>
      <c r="BS534" s="3439">
        <f t="shared" si="324"/>
        <v>0</v>
      </c>
      <c r="BT534" s="3451">
        <f t="shared" si="325"/>
        <v>0</v>
      </c>
    </row>
    <row r="535" spans="1:72">
      <c r="A535" s="9"/>
      <c r="B535" s="27"/>
      <c r="C535" s="27"/>
      <c r="D535" s="1678"/>
      <c r="E535" s="28">
        <f t="shared" si="297"/>
        <v>0</v>
      </c>
      <c r="F535" s="29"/>
      <c r="G535" s="30">
        <f t="shared" si="301"/>
        <v>0</v>
      </c>
      <c r="H535" s="31">
        <f t="shared" si="302"/>
        <v>0</v>
      </c>
      <c r="I535" s="32"/>
      <c r="J535" s="32"/>
      <c r="K535" s="32"/>
      <c r="L535" s="32"/>
      <c r="M535" s="32"/>
      <c r="N535" s="32"/>
      <c r="O535" s="32"/>
      <c r="P535" s="32"/>
      <c r="Q535" s="32"/>
      <c r="R535" s="32"/>
      <c r="S535" s="32"/>
      <c r="T535" s="32"/>
      <c r="U535" s="32"/>
      <c r="V535" s="32"/>
      <c r="W535" s="32"/>
      <c r="X535" s="32"/>
      <c r="Y535" s="32"/>
      <c r="Z535" s="32"/>
      <c r="AA535" s="32"/>
      <c r="AB535" s="32"/>
      <c r="AC535" s="28">
        <f t="shared" si="303"/>
        <v>0</v>
      </c>
      <c r="AD535" s="33"/>
      <c r="AE535" s="33"/>
      <c r="AF535" s="33"/>
      <c r="AG535" s="33"/>
      <c r="AH535" s="33"/>
      <c r="AI535" s="33"/>
      <c r="AJ535" s="33"/>
      <c r="AK535" s="33"/>
      <c r="AL535" s="33"/>
      <c r="AM535" s="33"/>
      <c r="AN535" s="33"/>
      <c r="AO535" s="33"/>
      <c r="AP535" s="33"/>
      <c r="AQ535" s="33"/>
      <c r="AR535" s="33"/>
      <c r="AS535" s="33"/>
      <c r="AT535" s="34"/>
      <c r="AU535" s="1679"/>
      <c r="AV535" s="2256">
        <f t="shared" si="298"/>
        <v>0</v>
      </c>
      <c r="AW535" s="2256">
        <f t="shared" si="299"/>
        <v>0</v>
      </c>
      <c r="AX535" s="2256">
        <f t="shared" si="300"/>
        <v>0</v>
      </c>
      <c r="AY535" s="2781">
        <f t="shared" si="304"/>
        <v>0</v>
      </c>
      <c r="AZ535" s="28">
        <f t="shared" si="305"/>
        <v>0</v>
      </c>
      <c r="BA535" s="28">
        <f t="shared" si="306"/>
        <v>0</v>
      </c>
      <c r="BB535" s="28">
        <f t="shared" si="307"/>
        <v>0</v>
      </c>
      <c r="BC535" s="28">
        <f t="shared" si="308"/>
        <v>0</v>
      </c>
      <c r="BD535" s="3439">
        <f t="shared" si="309"/>
        <v>0</v>
      </c>
      <c r="BE535" s="3439">
        <f t="shared" si="310"/>
        <v>0</v>
      </c>
      <c r="BF535" s="3439">
        <f t="shared" si="311"/>
        <v>0</v>
      </c>
      <c r="BG535" s="3439">
        <f t="shared" si="312"/>
        <v>0</v>
      </c>
      <c r="BH535" s="3439">
        <f t="shared" si="313"/>
        <v>0</v>
      </c>
      <c r="BI535" s="3439">
        <f t="shared" si="314"/>
        <v>0</v>
      </c>
      <c r="BJ535" s="3439">
        <f t="shared" si="315"/>
        <v>0</v>
      </c>
      <c r="BK535" s="3439">
        <f t="shared" si="316"/>
        <v>0</v>
      </c>
      <c r="BL535" s="28">
        <f t="shared" si="317"/>
        <v>0</v>
      </c>
      <c r="BM535" s="28">
        <f t="shared" si="318"/>
        <v>0</v>
      </c>
      <c r="BN535" s="28">
        <f t="shared" si="319"/>
        <v>0</v>
      </c>
      <c r="BO535" s="28">
        <f t="shared" si="320"/>
        <v>0</v>
      </c>
      <c r="BP535" s="28">
        <f t="shared" si="321"/>
        <v>0</v>
      </c>
      <c r="BQ535" s="3439">
        <f t="shared" si="322"/>
        <v>0</v>
      </c>
      <c r="BR535" s="3439">
        <f t="shared" si="323"/>
        <v>0</v>
      </c>
      <c r="BS535" s="3439">
        <f t="shared" si="324"/>
        <v>0</v>
      </c>
      <c r="BT535" s="3451">
        <f t="shared" si="325"/>
        <v>0</v>
      </c>
    </row>
    <row r="536" spans="1:72">
      <c r="A536" s="9"/>
      <c r="B536" s="27"/>
      <c r="C536" s="27"/>
      <c r="D536" s="1678"/>
      <c r="E536" s="28">
        <f t="shared" si="297"/>
        <v>0</v>
      </c>
      <c r="F536" s="29"/>
      <c r="G536" s="30">
        <f t="shared" si="301"/>
        <v>0</v>
      </c>
      <c r="H536" s="31">
        <f t="shared" si="302"/>
        <v>0</v>
      </c>
      <c r="I536" s="32"/>
      <c r="J536" s="32"/>
      <c r="K536" s="32"/>
      <c r="L536" s="32"/>
      <c r="M536" s="32"/>
      <c r="N536" s="32"/>
      <c r="O536" s="32"/>
      <c r="P536" s="32"/>
      <c r="Q536" s="32"/>
      <c r="R536" s="32"/>
      <c r="S536" s="32"/>
      <c r="T536" s="32"/>
      <c r="U536" s="32"/>
      <c r="V536" s="32"/>
      <c r="W536" s="32"/>
      <c r="X536" s="32"/>
      <c r="Y536" s="32"/>
      <c r="Z536" s="32"/>
      <c r="AA536" s="32"/>
      <c r="AB536" s="32"/>
      <c r="AC536" s="28">
        <f t="shared" si="303"/>
        <v>0</v>
      </c>
      <c r="AD536" s="33"/>
      <c r="AE536" s="33"/>
      <c r="AF536" s="33"/>
      <c r="AG536" s="33"/>
      <c r="AH536" s="33"/>
      <c r="AI536" s="33"/>
      <c r="AJ536" s="33"/>
      <c r="AK536" s="33"/>
      <c r="AL536" s="33"/>
      <c r="AM536" s="33"/>
      <c r="AN536" s="33"/>
      <c r="AO536" s="33"/>
      <c r="AP536" s="33"/>
      <c r="AQ536" s="33"/>
      <c r="AR536" s="33"/>
      <c r="AS536" s="33"/>
      <c r="AT536" s="34"/>
      <c r="AU536" s="1679"/>
      <c r="AV536" s="2256">
        <f t="shared" si="298"/>
        <v>0</v>
      </c>
      <c r="AW536" s="2256">
        <f t="shared" si="299"/>
        <v>0</v>
      </c>
      <c r="AX536" s="2256">
        <f t="shared" si="300"/>
        <v>0</v>
      </c>
      <c r="AY536" s="2781">
        <f t="shared" si="304"/>
        <v>0</v>
      </c>
      <c r="AZ536" s="28">
        <f t="shared" si="305"/>
        <v>0</v>
      </c>
      <c r="BA536" s="28">
        <f t="shared" si="306"/>
        <v>0</v>
      </c>
      <c r="BB536" s="28">
        <f t="shared" si="307"/>
        <v>0</v>
      </c>
      <c r="BC536" s="28">
        <f t="shared" si="308"/>
        <v>0</v>
      </c>
      <c r="BD536" s="3439">
        <f t="shared" si="309"/>
        <v>0</v>
      </c>
      <c r="BE536" s="3439">
        <f t="shared" si="310"/>
        <v>0</v>
      </c>
      <c r="BF536" s="3439">
        <f t="shared" si="311"/>
        <v>0</v>
      </c>
      <c r="BG536" s="3439">
        <f t="shared" si="312"/>
        <v>0</v>
      </c>
      <c r="BH536" s="3439">
        <f t="shared" si="313"/>
        <v>0</v>
      </c>
      <c r="BI536" s="3439">
        <f t="shared" si="314"/>
        <v>0</v>
      </c>
      <c r="BJ536" s="3439">
        <f t="shared" si="315"/>
        <v>0</v>
      </c>
      <c r="BK536" s="3439">
        <f t="shared" si="316"/>
        <v>0</v>
      </c>
      <c r="BL536" s="28">
        <f t="shared" si="317"/>
        <v>0</v>
      </c>
      <c r="BM536" s="28">
        <f t="shared" si="318"/>
        <v>0</v>
      </c>
      <c r="BN536" s="28">
        <f t="shared" si="319"/>
        <v>0</v>
      </c>
      <c r="BO536" s="28">
        <f t="shared" si="320"/>
        <v>0</v>
      </c>
      <c r="BP536" s="28">
        <f t="shared" si="321"/>
        <v>0</v>
      </c>
      <c r="BQ536" s="3439">
        <f t="shared" si="322"/>
        <v>0</v>
      </c>
      <c r="BR536" s="3439">
        <f t="shared" si="323"/>
        <v>0</v>
      </c>
      <c r="BS536" s="3439">
        <f t="shared" si="324"/>
        <v>0</v>
      </c>
      <c r="BT536" s="3451">
        <f t="shared" si="325"/>
        <v>0</v>
      </c>
    </row>
    <row r="537" spans="1:72">
      <c r="A537" s="9"/>
      <c r="B537" s="27"/>
      <c r="C537" s="27"/>
      <c r="D537" s="1678"/>
      <c r="E537" s="28">
        <f t="shared" si="297"/>
        <v>0</v>
      </c>
      <c r="F537" s="29"/>
      <c r="G537" s="30">
        <f t="shared" si="301"/>
        <v>0</v>
      </c>
      <c r="H537" s="31">
        <f t="shared" si="302"/>
        <v>0</v>
      </c>
      <c r="I537" s="32"/>
      <c r="J537" s="32"/>
      <c r="K537" s="32"/>
      <c r="L537" s="32"/>
      <c r="M537" s="32"/>
      <c r="N537" s="32"/>
      <c r="O537" s="32"/>
      <c r="P537" s="32"/>
      <c r="Q537" s="32"/>
      <c r="R537" s="32"/>
      <c r="S537" s="32"/>
      <c r="T537" s="32"/>
      <c r="U537" s="32"/>
      <c r="V537" s="32"/>
      <c r="W537" s="32"/>
      <c r="X537" s="32"/>
      <c r="Y537" s="32"/>
      <c r="Z537" s="32"/>
      <c r="AA537" s="32"/>
      <c r="AB537" s="32"/>
      <c r="AC537" s="28">
        <f t="shared" si="303"/>
        <v>0</v>
      </c>
      <c r="AD537" s="33"/>
      <c r="AE537" s="33"/>
      <c r="AF537" s="33"/>
      <c r="AG537" s="33"/>
      <c r="AH537" s="33"/>
      <c r="AI537" s="33"/>
      <c r="AJ537" s="33"/>
      <c r="AK537" s="33"/>
      <c r="AL537" s="33"/>
      <c r="AM537" s="33"/>
      <c r="AN537" s="33"/>
      <c r="AO537" s="33"/>
      <c r="AP537" s="33"/>
      <c r="AQ537" s="33"/>
      <c r="AR537" s="33"/>
      <c r="AS537" s="33"/>
      <c r="AT537" s="34"/>
      <c r="AU537" s="1679"/>
      <c r="AV537" s="2256">
        <f t="shared" si="298"/>
        <v>0</v>
      </c>
      <c r="AW537" s="2256">
        <f t="shared" si="299"/>
        <v>0</v>
      </c>
      <c r="AX537" s="2256">
        <f t="shared" si="300"/>
        <v>0</v>
      </c>
      <c r="AY537" s="2781">
        <f t="shared" si="304"/>
        <v>0</v>
      </c>
      <c r="AZ537" s="28">
        <f t="shared" si="305"/>
        <v>0</v>
      </c>
      <c r="BA537" s="28">
        <f t="shared" si="306"/>
        <v>0</v>
      </c>
      <c r="BB537" s="28">
        <f t="shared" si="307"/>
        <v>0</v>
      </c>
      <c r="BC537" s="28">
        <f t="shared" si="308"/>
        <v>0</v>
      </c>
      <c r="BD537" s="3439">
        <f t="shared" si="309"/>
        <v>0</v>
      </c>
      <c r="BE537" s="3439">
        <f t="shared" si="310"/>
        <v>0</v>
      </c>
      <c r="BF537" s="3439">
        <f t="shared" si="311"/>
        <v>0</v>
      </c>
      <c r="BG537" s="3439">
        <f t="shared" si="312"/>
        <v>0</v>
      </c>
      <c r="BH537" s="3439">
        <f t="shared" si="313"/>
        <v>0</v>
      </c>
      <c r="BI537" s="3439">
        <f t="shared" si="314"/>
        <v>0</v>
      </c>
      <c r="BJ537" s="3439">
        <f t="shared" si="315"/>
        <v>0</v>
      </c>
      <c r="BK537" s="3439">
        <f t="shared" si="316"/>
        <v>0</v>
      </c>
      <c r="BL537" s="28">
        <f t="shared" si="317"/>
        <v>0</v>
      </c>
      <c r="BM537" s="28">
        <f t="shared" si="318"/>
        <v>0</v>
      </c>
      <c r="BN537" s="28">
        <f t="shared" si="319"/>
        <v>0</v>
      </c>
      <c r="BO537" s="28">
        <f t="shared" si="320"/>
        <v>0</v>
      </c>
      <c r="BP537" s="28">
        <f t="shared" si="321"/>
        <v>0</v>
      </c>
      <c r="BQ537" s="3439">
        <f t="shared" si="322"/>
        <v>0</v>
      </c>
      <c r="BR537" s="3439">
        <f t="shared" si="323"/>
        <v>0</v>
      </c>
      <c r="BS537" s="3439">
        <f t="shared" si="324"/>
        <v>0</v>
      </c>
      <c r="BT537" s="3451">
        <f t="shared" si="325"/>
        <v>0</v>
      </c>
    </row>
    <row r="538" spans="1:72">
      <c r="A538" s="9"/>
      <c r="B538" s="27"/>
      <c r="C538" s="27"/>
      <c r="D538" s="1678"/>
      <c r="E538" s="28">
        <f t="shared" si="297"/>
        <v>0</v>
      </c>
      <c r="F538" s="29"/>
      <c r="G538" s="30">
        <f t="shared" si="301"/>
        <v>0</v>
      </c>
      <c r="H538" s="31">
        <f t="shared" si="302"/>
        <v>0</v>
      </c>
      <c r="I538" s="32"/>
      <c r="J538" s="32"/>
      <c r="K538" s="32"/>
      <c r="L538" s="32"/>
      <c r="M538" s="32"/>
      <c r="N538" s="32"/>
      <c r="O538" s="32"/>
      <c r="P538" s="32"/>
      <c r="Q538" s="32"/>
      <c r="R538" s="32"/>
      <c r="S538" s="32"/>
      <c r="T538" s="32"/>
      <c r="U538" s="32"/>
      <c r="V538" s="32"/>
      <c r="W538" s="32"/>
      <c r="X538" s="32"/>
      <c r="Y538" s="32"/>
      <c r="Z538" s="32"/>
      <c r="AA538" s="32"/>
      <c r="AB538" s="32"/>
      <c r="AC538" s="28">
        <f t="shared" si="303"/>
        <v>0</v>
      </c>
      <c r="AD538" s="33"/>
      <c r="AE538" s="33"/>
      <c r="AF538" s="33"/>
      <c r="AG538" s="33"/>
      <c r="AH538" s="33"/>
      <c r="AI538" s="33"/>
      <c r="AJ538" s="33"/>
      <c r="AK538" s="33"/>
      <c r="AL538" s="33"/>
      <c r="AM538" s="33"/>
      <c r="AN538" s="33"/>
      <c r="AO538" s="33"/>
      <c r="AP538" s="33"/>
      <c r="AQ538" s="33"/>
      <c r="AR538" s="33"/>
      <c r="AS538" s="33"/>
      <c r="AT538" s="34"/>
      <c r="AU538" s="1679"/>
      <c r="AV538" s="2256">
        <f t="shared" si="298"/>
        <v>0</v>
      </c>
      <c r="AW538" s="2256">
        <f t="shared" si="299"/>
        <v>0</v>
      </c>
      <c r="AX538" s="2256">
        <f t="shared" si="300"/>
        <v>0</v>
      </c>
      <c r="AY538" s="2781">
        <f t="shared" si="304"/>
        <v>0</v>
      </c>
      <c r="AZ538" s="28">
        <f t="shared" si="305"/>
        <v>0</v>
      </c>
      <c r="BA538" s="28">
        <f t="shared" si="306"/>
        <v>0</v>
      </c>
      <c r="BB538" s="28">
        <f t="shared" si="307"/>
        <v>0</v>
      </c>
      <c r="BC538" s="28">
        <f t="shared" si="308"/>
        <v>0</v>
      </c>
      <c r="BD538" s="3439">
        <f t="shared" si="309"/>
        <v>0</v>
      </c>
      <c r="BE538" s="3439">
        <f t="shared" si="310"/>
        <v>0</v>
      </c>
      <c r="BF538" s="3439">
        <f t="shared" si="311"/>
        <v>0</v>
      </c>
      <c r="BG538" s="3439">
        <f t="shared" si="312"/>
        <v>0</v>
      </c>
      <c r="BH538" s="3439">
        <f t="shared" si="313"/>
        <v>0</v>
      </c>
      <c r="BI538" s="3439">
        <f t="shared" si="314"/>
        <v>0</v>
      </c>
      <c r="BJ538" s="3439">
        <f t="shared" si="315"/>
        <v>0</v>
      </c>
      <c r="BK538" s="3439">
        <f t="shared" si="316"/>
        <v>0</v>
      </c>
      <c r="BL538" s="28">
        <f t="shared" si="317"/>
        <v>0</v>
      </c>
      <c r="BM538" s="28">
        <f t="shared" si="318"/>
        <v>0</v>
      </c>
      <c r="BN538" s="28">
        <f t="shared" si="319"/>
        <v>0</v>
      </c>
      <c r="BO538" s="28">
        <f t="shared" si="320"/>
        <v>0</v>
      </c>
      <c r="BP538" s="28">
        <f t="shared" si="321"/>
        <v>0</v>
      </c>
      <c r="BQ538" s="3439">
        <f t="shared" si="322"/>
        <v>0</v>
      </c>
      <c r="BR538" s="3439">
        <f t="shared" si="323"/>
        <v>0</v>
      </c>
      <c r="BS538" s="3439">
        <f t="shared" si="324"/>
        <v>0</v>
      </c>
      <c r="BT538" s="3451">
        <f t="shared" si="325"/>
        <v>0</v>
      </c>
    </row>
    <row r="539" spans="1:72">
      <c r="A539" s="9"/>
      <c r="B539" s="27"/>
      <c r="C539" s="27"/>
      <c r="D539" s="1678"/>
      <c r="E539" s="28">
        <f t="shared" si="297"/>
        <v>0</v>
      </c>
      <c r="F539" s="29"/>
      <c r="G539" s="30">
        <f t="shared" si="301"/>
        <v>0</v>
      </c>
      <c r="H539" s="31">
        <f t="shared" si="302"/>
        <v>0</v>
      </c>
      <c r="I539" s="32"/>
      <c r="J539" s="32"/>
      <c r="K539" s="32"/>
      <c r="L539" s="32"/>
      <c r="M539" s="32"/>
      <c r="N539" s="32"/>
      <c r="O539" s="32"/>
      <c r="P539" s="32"/>
      <c r="Q539" s="32"/>
      <c r="R539" s="32"/>
      <c r="S539" s="32"/>
      <c r="T539" s="32"/>
      <c r="U539" s="32"/>
      <c r="V539" s="32"/>
      <c r="W539" s="32"/>
      <c r="X539" s="32"/>
      <c r="Y539" s="32"/>
      <c r="Z539" s="32"/>
      <c r="AA539" s="32"/>
      <c r="AB539" s="32"/>
      <c r="AC539" s="28">
        <f t="shared" si="303"/>
        <v>0</v>
      </c>
      <c r="AD539" s="33"/>
      <c r="AE539" s="33"/>
      <c r="AF539" s="33"/>
      <c r="AG539" s="33"/>
      <c r="AH539" s="33"/>
      <c r="AI539" s="33"/>
      <c r="AJ539" s="33"/>
      <c r="AK539" s="33"/>
      <c r="AL539" s="33"/>
      <c r="AM539" s="33"/>
      <c r="AN539" s="33"/>
      <c r="AO539" s="33"/>
      <c r="AP539" s="33"/>
      <c r="AQ539" s="33"/>
      <c r="AR539" s="33"/>
      <c r="AS539" s="33"/>
      <c r="AT539" s="34"/>
      <c r="AU539" s="1679"/>
      <c r="AV539" s="2256">
        <f t="shared" si="298"/>
        <v>0</v>
      </c>
      <c r="AW539" s="2256">
        <f t="shared" si="299"/>
        <v>0</v>
      </c>
      <c r="AX539" s="2256">
        <f t="shared" si="300"/>
        <v>0</v>
      </c>
      <c r="AY539" s="2781">
        <f t="shared" si="304"/>
        <v>0</v>
      </c>
      <c r="AZ539" s="28">
        <f t="shared" si="305"/>
        <v>0</v>
      </c>
      <c r="BA539" s="28">
        <f t="shared" si="306"/>
        <v>0</v>
      </c>
      <c r="BB539" s="28">
        <f t="shared" si="307"/>
        <v>0</v>
      </c>
      <c r="BC539" s="28">
        <f t="shared" si="308"/>
        <v>0</v>
      </c>
      <c r="BD539" s="3439">
        <f t="shared" si="309"/>
        <v>0</v>
      </c>
      <c r="BE539" s="3439">
        <f t="shared" si="310"/>
        <v>0</v>
      </c>
      <c r="BF539" s="3439">
        <f t="shared" si="311"/>
        <v>0</v>
      </c>
      <c r="BG539" s="3439">
        <f t="shared" si="312"/>
        <v>0</v>
      </c>
      <c r="BH539" s="3439">
        <f t="shared" si="313"/>
        <v>0</v>
      </c>
      <c r="BI539" s="3439">
        <f t="shared" si="314"/>
        <v>0</v>
      </c>
      <c r="BJ539" s="3439">
        <f t="shared" si="315"/>
        <v>0</v>
      </c>
      <c r="BK539" s="3439">
        <f t="shared" si="316"/>
        <v>0</v>
      </c>
      <c r="BL539" s="28">
        <f t="shared" si="317"/>
        <v>0</v>
      </c>
      <c r="BM539" s="28">
        <f t="shared" si="318"/>
        <v>0</v>
      </c>
      <c r="BN539" s="28">
        <f t="shared" si="319"/>
        <v>0</v>
      </c>
      <c r="BO539" s="28">
        <f t="shared" si="320"/>
        <v>0</v>
      </c>
      <c r="BP539" s="28">
        <f t="shared" si="321"/>
        <v>0</v>
      </c>
      <c r="BQ539" s="3439">
        <f t="shared" si="322"/>
        <v>0</v>
      </c>
      <c r="BR539" s="3439">
        <f t="shared" si="323"/>
        <v>0</v>
      </c>
      <c r="BS539" s="3439">
        <f t="shared" si="324"/>
        <v>0</v>
      </c>
      <c r="BT539" s="3451">
        <f t="shared" si="325"/>
        <v>0</v>
      </c>
    </row>
    <row r="540" spans="1:72">
      <c r="A540" s="9"/>
      <c r="B540" s="27"/>
      <c r="C540" s="27"/>
      <c r="D540" s="1678"/>
      <c r="E540" s="28">
        <f t="shared" si="297"/>
        <v>0</v>
      </c>
      <c r="F540" s="29"/>
      <c r="G540" s="30">
        <f t="shared" si="301"/>
        <v>0</v>
      </c>
      <c r="H540" s="31">
        <f t="shared" si="302"/>
        <v>0</v>
      </c>
      <c r="I540" s="32"/>
      <c r="J540" s="32"/>
      <c r="K540" s="32"/>
      <c r="L540" s="32"/>
      <c r="M540" s="32"/>
      <c r="N540" s="32"/>
      <c r="O540" s="32"/>
      <c r="P540" s="32"/>
      <c r="Q540" s="32"/>
      <c r="R540" s="32"/>
      <c r="S540" s="32"/>
      <c r="T540" s="32"/>
      <c r="U540" s="32"/>
      <c r="V540" s="32"/>
      <c r="W540" s="32"/>
      <c r="X540" s="32"/>
      <c r="Y540" s="32"/>
      <c r="Z540" s="32"/>
      <c r="AA540" s="32"/>
      <c r="AB540" s="32"/>
      <c r="AC540" s="28">
        <f t="shared" si="303"/>
        <v>0</v>
      </c>
      <c r="AD540" s="33"/>
      <c r="AE540" s="33"/>
      <c r="AF540" s="33"/>
      <c r="AG540" s="33"/>
      <c r="AH540" s="33"/>
      <c r="AI540" s="33"/>
      <c r="AJ540" s="33"/>
      <c r="AK540" s="33"/>
      <c r="AL540" s="33"/>
      <c r="AM540" s="33"/>
      <c r="AN540" s="33"/>
      <c r="AO540" s="33"/>
      <c r="AP540" s="33"/>
      <c r="AQ540" s="33"/>
      <c r="AR540" s="33"/>
      <c r="AS540" s="33"/>
      <c r="AT540" s="34"/>
      <c r="AU540" s="1679"/>
      <c r="AV540" s="2256">
        <f t="shared" si="298"/>
        <v>0</v>
      </c>
      <c r="AW540" s="2256">
        <f t="shared" si="299"/>
        <v>0</v>
      </c>
      <c r="AX540" s="2256">
        <f t="shared" si="300"/>
        <v>0</v>
      </c>
      <c r="AY540" s="2781">
        <f t="shared" si="304"/>
        <v>0</v>
      </c>
      <c r="AZ540" s="28">
        <f t="shared" si="305"/>
        <v>0</v>
      </c>
      <c r="BA540" s="28">
        <f t="shared" si="306"/>
        <v>0</v>
      </c>
      <c r="BB540" s="28">
        <f t="shared" si="307"/>
        <v>0</v>
      </c>
      <c r="BC540" s="28">
        <f t="shared" si="308"/>
        <v>0</v>
      </c>
      <c r="BD540" s="3439">
        <f t="shared" si="309"/>
        <v>0</v>
      </c>
      <c r="BE540" s="3439">
        <f t="shared" si="310"/>
        <v>0</v>
      </c>
      <c r="BF540" s="3439">
        <f t="shared" si="311"/>
        <v>0</v>
      </c>
      <c r="BG540" s="3439">
        <f t="shared" si="312"/>
        <v>0</v>
      </c>
      <c r="BH540" s="3439">
        <f t="shared" si="313"/>
        <v>0</v>
      </c>
      <c r="BI540" s="3439">
        <f t="shared" si="314"/>
        <v>0</v>
      </c>
      <c r="BJ540" s="3439">
        <f t="shared" si="315"/>
        <v>0</v>
      </c>
      <c r="BK540" s="3439">
        <f t="shared" si="316"/>
        <v>0</v>
      </c>
      <c r="BL540" s="28">
        <f t="shared" si="317"/>
        <v>0</v>
      </c>
      <c r="BM540" s="28">
        <f t="shared" si="318"/>
        <v>0</v>
      </c>
      <c r="BN540" s="28">
        <f t="shared" si="319"/>
        <v>0</v>
      </c>
      <c r="BO540" s="28">
        <f t="shared" si="320"/>
        <v>0</v>
      </c>
      <c r="BP540" s="28">
        <f t="shared" si="321"/>
        <v>0</v>
      </c>
      <c r="BQ540" s="3439">
        <f t="shared" si="322"/>
        <v>0</v>
      </c>
      <c r="BR540" s="3439">
        <f t="shared" si="323"/>
        <v>0</v>
      </c>
      <c r="BS540" s="3439">
        <f t="shared" si="324"/>
        <v>0</v>
      </c>
      <c r="BT540" s="3451">
        <f t="shared" si="325"/>
        <v>0</v>
      </c>
    </row>
    <row r="541" spans="1:72">
      <c r="A541" s="9"/>
      <c r="B541" s="27"/>
      <c r="C541" s="27"/>
      <c r="D541" s="1678"/>
      <c r="E541" s="28">
        <f t="shared" si="297"/>
        <v>0</v>
      </c>
      <c r="F541" s="29"/>
      <c r="G541" s="30">
        <f t="shared" si="301"/>
        <v>0</v>
      </c>
      <c r="H541" s="31">
        <f t="shared" si="302"/>
        <v>0</v>
      </c>
      <c r="I541" s="32"/>
      <c r="J541" s="32"/>
      <c r="K541" s="32"/>
      <c r="L541" s="32"/>
      <c r="M541" s="32"/>
      <c r="N541" s="32"/>
      <c r="O541" s="32"/>
      <c r="P541" s="32"/>
      <c r="Q541" s="32"/>
      <c r="R541" s="32"/>
      <c r="S541" s="32"/>
      <c r="T541" s="32"/>
      <c r="U541" s="32"/>
      <c r="V541" s="32"/>
      <c r="W541" s="32"/>
      <c r="X541" s="32"/>
      <c r="Y541" s="32"/>
      <c r="Z541" s="32"/>
      <c r="AA541" s="32"/>
      <c r="AB541" s="32"/>
      <c r="AC541" s="28">
        <f t="shared" si="303"/>
        <v>0</v>
      </c>
      <c r="AD541" s="33"/>
      <c r="AE541" s="33"/>
      <c r="AF541" s="33"/>
      <c r="AG541" s="33"/>
      <c r="AH541" s="33"/>
      <c r="AI541" s="33"/>
      <c r="AJ541" s="33"/>
      <c r="AK541" s="33"/>
      <c r="AL541" s="33"/>
      <c r="AM541" s="33"/>
      <c r="AN541" s="33"/>
      <c r="AO541" s="33"/>
      <c r="AP541" s="33"/>
      <c r="AQ541" s="33"/>
      <c r="AR541" s="33"/>
      <c r="AS541" s="33"/>
      <c r="AT541" s="34"/>
      <c r="AU541" s="1679"/>
      <c r="AV541" s="2256">
        <f t="shared" si="298"/>
        <v>0</v>
      </c>
      <c r="AW541" s="2256">
        <f t="shared" si="299"/>
        <v>0</v>
      </c>
      <c r="AX541" s="2256">
        <f t="shared" si="300"/>
        <v>0</v>
      </c>
      <c r="AY541" s="2781">
        <f t="shared" si="304"/>
        <v>0</v>
      </c>
      <c r="AZ541" s="28">
        <f t="shared" si="305"/>
        <v>0</v>
      </c>
      <c r="BA541" s="28">
        <f t="shared" si="306"/>
        <v>0</v>
      </c>
      <c r="BB541" s="28">
        <f t="shared" si="307"/>
        <v>0</v>
      </c>
      <c r="BC541" s="28">
        <f t="shared" si="308"/>
        <v>0</v>
      </c>
      <c r="BD541" s="3439">
        <f t="shared" si="309"/>
        <v>0</v>
      </c>
      <c r="BE541" s="3439">
        <f t="shared" si="310"/>
        <v>0</v>
      </c>
      <c r="BF541" s="3439">
        <f t="shared" si="311"/>
        <v>0</v>
      </c>
      <c r="BG541" s="3439">
        <f t="shared" si="312"/>
        <v>0</v>
      </c>
      <c r="BH541" s="3439">
        <f t="shared" si="313"/>
        <v>0</v>
      </c>
      <c r="BI541" s="3439">
        <f t="shared" si="314"/>
        <v>0</v>
      </c>
      <c r="BJ541" s="3439">
        <f t="shared" si="315"/>
        <v>0</v>
      </c>
      <c r="BK541" s="3439">
        <f t="shared" si="316"/>
        <v>0</v>
      </c>
      <c r="BL541" s="28">
        <f t="shared" si="317"/>
        <v>0</v>
      </c>
      <c r="BM541" s="28">
        <f t="shared" si="318"/>
        <v>0</v>
      </c>
      <c r="BN541" s="28">
        <f t="shared" si="319"/>
        <v>0</v>
      </c>
      <c r="BO541" s="28">
        <f t="shared" si="320"/>
        <v>0</v>
      </c>
      <c r="BP541" s="28">
        <f t="shared" si="321"/>
        <v>0</v>
      </c>
      <c r="BQ541" s="3439">
        <f t="shared" si="322"/>
        <v>0</v>
      </c>
      <c r="BR541" s="3439">
        <f t="shared" si="323"/>
        <v>0</v>
      </c>
      <c r="BS541" s="3439">
        <f t="shared" si="324"/>
        <v>0</v>
      </c>
      <c r="BT541" s="3451">
        <f t="shared" si="325"/>
        <v>0</v>
      </c>
    </row>
    <row r="542" spans="1:72">
      <c r="A542" s="9"/>
      <c r="B542" s="27"/>
      <c r="C542" s="27"/>
      <c r="D542" s="1678"/>
      <c r="E542" s="28">
        <f t="shared" si="297"/>
        <v>0</v>
      </c>
      <c r="F542" s="29"/>
      <c r="G542" s="30">
        <f t="shared" si="301"/>
        <v>0</v>
      </c>
      <c r="H542" s="31">
        <f t="shared" si="302"/>
        <v>0</v>
      </c>
      <c r="I542" s="32"/>
      <c r="J542" s="32"/>
      <c r="K542" s="32"/>
      <c r="L542" s="32"/>
      <c r="M542" s="32"/>
      <c r="N542" s="32"/>
      <c r="O542" s="32"/>
      <c r="P542" s="32"/>
      <c r="Q542" s="32"/>
      <c r="R542" s="32"/>
      <c r="S542" s="32"/>
      <c r="T542" s="32"/>
      <c r="U542" s="32"/>
      <c r="V542" s="32"/>
      <c r="W542" s="32"/>
      <c r="X542" s="32"/>
      <c r="Y542" s="32"/>
      <c r="Z542" s="32"/>
      <c r="AA542" s="32"/>
      <c r="AB542" s="32"/>
      <c r="AC542" s="28">
        <f t="shared" si="303"/>
        <v>0</v>
      </c>
      <c r="AD542" s="33"/>
      <c r="AE542" s="33"/>
      <c r="AF542" s="33"/>
      <c r="AG542" s="33"/>
      <c r="AH542" s="33"/>
      <c r="AI542" s="33"/>
      <c r="AJ542" s="33"/>
      <c r="AK542" s="33"/>
      <c r="AL542" s="33"/>
      <c r="AM542" s="33"/>
      <c r="AN542" s="33"/>
      <c r="AO542" s="33"/>
      <c r="AP542" s="33"/>
      <c r="AQ542" s="33"/>
      <c r="AR542" s="33"/>
      <c r="AS542" s="33"/>
      <c r="AT542" s="34"/>
      <c r="AU542" s="1679"/>
      <c r="AV542" s="2256">
        <f t="shared" si="298"/>
        <v>0</v>
      </c>
      <c r="AW542" s="2256">
        <f t="shared" si="299"/>
        <v>0</v>
      </c>
      <c r="AX542" s="2256">
        <f t="shared" si="300"/>
        <v>0</v>
      </c>
      <c r="AY542" s="2781">
        <f t="shared" si="304"/>
        <v>0</v>
      </c>
      <c r="AZ542" s="28">
        <f t="shared" si="305"/>
        <v>0</v>
      </c>
      <c r="BA542" s="28">
        <f t="shared" si="306"/>
        <v>0</v>
      </c>
      <c r="BB542" s="28">
        <f t="shared" si="307"/>
        <v>0</v>
      </c>
      <c r="BC542" s="28">
        <f t="shared" si="308"/>
        <v>0</v>
      </c>
      <c r="BD542" s="3439">
        <f t="shared" si="309"/>
        <v>0</v>
      </c>
      <c r="BE542" s="3439">
        <f t="shared" si="310"/>
        <v>0</v>
      </c>
      <c r="BF542" s="3439">
        <f t="shared" si="311"/>
        <v>0</v>
      </c>
      <c r="BG542" s="3439">
        <f t="shared" si="312"/>
        <v>0</v>
      </c>
      <c r="BH542" s="3439">
        <f t="shared" si="313"/>
        <v>0</v>
      </c>
      <c r="BI542" s="3439">
        <f t="shared" si="314"/>
        <v>0</v>
      </c>
      <c r="BJ542" s="3439">
        <f t="shared" si="315"/>
        <v>0</v>
      </c>
      <c r="BK542" s="3439">
        <f t="shared" si="316"/>
        <v>0</v>
      </c>
      <c r="BL542" s="28">
        <f t="shared" si="317"/>
        <v>0</v>
      </c>
      <c r="BM542" s="28">
        <f t="shared" si="318"/>
        <v>0</v>
      </c>
      <c r="BN542" s="28">
        <f t="shared" si="319"/>
        <v>0</v>
      </c>
      <c r="BO542" s="28">
        <f t="shared" si="320"/>
        <v>0</v>
      </c>
      <c r="BP542" s="28">
        <f t="shared" si="321"/>
        <v>0</v>
      </c>
      <c r="BQ542" s="3439">
        <f t="shared" si="322"/>
        <v>0</v>
      </c>
      <c r="BR542" s="3439">
        <f t="shared" si="323"/>
        <v>0</v>
      </c>
      <c r="BS542" s="3439">
        <f t="shared" si="324"/>
        <v>0</v>
      </c>
      <c r="BT542" s="3451">
        <f t="shared" si="325"/>
        <v>0</v>
      </c>
    </row>
    <row r="543" spans="1:72">
      <c r="A543" s="9"/>
      <c r="B543" s="27"/>
      <c r="C543" s="27"/>
      <c r="D543" s="1678"/>
      <c r="E543" s="28">
        <f t="shared" si="297"/>
        <v>0</v>
      </c>
      <c r="F543" s="29"/>
      <c r="G543" s="30">
        <f t="shared" si="301"/>
        <v>0</v>
      </c>
      <c r="H543" s="31">
        <f t="shared" si="302"/>
        <v>0</v>
      </c>
      <c r="I543" s="32"/>
      <c r="J543" s="32"/>
      <c r="K543" s="32"/>
      <c r="L543" s="32"/>
      <c r="M543" s="32"/>
      <c r="N543" s="32"/>
      <c r="O543" s="32"/>
      <c r="P543" s="32"/>
      <c r="Q543" s="32"/>
      <c r="R543" s="32"/>
      <c r="S543" s="32"/>
      <c r="T543" s="32"/>
      <c r="U543" s="32"/>
      <c r="V543" s="32"/>
      <c r="W543" s="32"/>
      <c r="X543" s="32"/>
      <c r="Y543" s="32"/>
      <c r="Z543" s="32"/>
      <c r="AA543" s="32"/>
      <c r="AB543" s="32"/>
      <c r="AC543" s="28">
        <f t="shared" si="303"/>
        <v>0</v>
      </c>
      <c r="AD543" s="33"/>
      <c r="AE543" s="33"/>
      <c r="AF543" s="33"/>
      <c r="AG543" s="33"/>
      <c r="AH543" s="33"/>
      <c r="AI543" s="33"/>
      <c r="AJ543" s="33"/>
      <c r="AK543" s="33"/>
      <c r="AL543" s="33"/>
      <c r="AM543" s="33"/>
      <c r="AN543" s="33"/>
      <c r="AO543" s="33"/>
      <c r="AP543" s="33"/>
      <c r="AQ543" s="33"/>
      <c r="AR543" s="33"/>
      <c r="AS543" s="33"/>
      <c r="AT543" s="34"/>
      <c r="AU543" s="1679"/>
      <c r="AV543" s="2256">
        <f t="shared" si="298"/>
        <v>0</v>
      </c>
      <c r="AW543" s="2256">
        <f t="shared" si="299"/>
        <v>0</v>
      </c>
      <c r="AX543" s="2256">
        <f t="shared" si="300"/>
        <v>0</v>
      </c>
      <c r="AY543" s="2781">
        <f t="shared" si="304"/>
        <v>0</v>
      </c>
      <c r="AZ543" s="28">
        <f t="shared" si="305"/>
        <v>0</v>
      </c>
      <c r="BA543" s="28">
        <f t="shared" si="306"/>
        <v>0</v>
      </c>
      <c r="BB543" s="28">
        <f t="shared" si="307"/>
        <v>0</v>
      </c>
      <c r="BC543" s="28">
        <f t="shared" si="308"/>
        <v>0</v>
      </c>
      <c r="BD543" s="3439">
        <f t="shared" si="309"/>
        <v>0</v>
      </c>
      <c r="BE543" s="3439">
        <f t="shared" si="310"/>
        <v>0</v>
      </c>
      <c r="BF543" s="3439">
        <f t="shared" si="311"/>
        <v>0</v>
      </c>
      <c r="BG543" s="3439">
        <f t="shared" si="312"/>
        <v>0</v>
      </c>
      <c r="BH543" s="3439">
        <f t="shared" si="313"/>
        <v>0</v>
      </c>
      <c r="BI543" s="3439">
        <f t="shared" si="314"/>
        <v>0</v>
      </c>
      <c r="BJ543" s="3439">
        <f t="shared" si="315"/>
        <v>0</v>
      </c>
      <c r="BK543" s="3439">
        <f t="shared" si="316"/>
        <v>0</v>
      </c>
      <c r="BL543" s="28">
        <f t="shared" si="317"/>
        <v>0</v>
      </c>
      <c r="BM543" s="28">
        <f t="shared" si="318"/>
        <v>0</v>
      </c>
      <c r="BN543" s="28">
        <f t="shared" si="319"/>
        <v>0</v>
      </c>
      <c r="BO543" s="28">
        <f t="shared" si="320"/>
        <v>0</v>
      </c>
      <c r="BP543" s="28">
        <f t="shared" si="321"/>
        <v>0</v>
      </c>
      <c r="BQ543" s="3439">
        <f t="shared" si="322"/>
        <v>0</v>
      </c>
      <c r="BR543" s="3439">
        <f t="shared" si="323"/>
        <v>0</v>
      </c>
      <c r="BS543" s="3439">
        <f t="shared" si="324"/>
        <v>0</v>
      </c>
      <c r="BT543" s="3451">
        <f t="shared" si="325"/>
        <v>0</v>
      </c>
    </row>
    <row r="544" spans="1:72">
      <c r="A544" s="9"/>
      <c r="B544" s="27"/>
      <c r="C544" s="27"/>
      <c r="D544" s="1678"/>
      <c r="E544" s="28">
        <f t="shared" si="297"/>
        <v>0</v>
      </c>
      <c r="F544" s="29"/>
      <c r="G544" s="30">
        <f t="shared" si="301"/>
        <v>0</v>
      </c>
      <c r="H544" s="31">
        <f t="shared" si="302"/>
        <v>0</v>
      </c>
      <c r="I544" s="32"/>
      <c r="J544" s="32"/>
      <c r="K544" s="32"/>
      <c r="L544" s="32"/>
      <c r="M544" s="32"/>
      <c r="N544" s="32"/>
      <c r="O544" s="32"/>
      <c r="P544" s="32"/>
      <c r="Q544" s="32"/>
      <c r="R544" s="32"/>
      <c r="S544" s="32"/>
      <c r="T544" s="32"/>
      <c r="U544" s="32"/>
      <c r="V544" s="32"/>
      <c r="W544" s="32"/>
      <c r="X544" s="32"/>
      <c r="Y544" s="32"/>
      <c r="Z544" s="32"/>
      <c r="AA544" s="32"/>
      <c r="AB544" s="32"/>
      <c r="AC544" s="28">
        <f t="shared" si="303"/>
        <v>0</v>
      </c>
      <c r="AD544" s="33"/>
      <c r="AE544" s="33"/>
      <c r="AF544" s="33"/>
      <c r="AG544" s="33"/>
      <c r="AH544" s="33"/>
      <c r="AI544" s="33"/>
      <c r="AJ544" s="33"/>
      <c r="AK544" s="33"/>
      <c r="AL544" s="33"/>
      <c r="AM544" s="33"/>
      <c r="AN544" s="33"/>
      <c r="AO544" s="33"/>
      <c r="AP544" s="33"/>
      <c r="AQ544" s="33"/>
      <c r="AR544" s="33"/>
      <c r="AS544" s="33"/>
      <c r="AT544" s="34"/>
      <c r="AU544" s="1679"/>
      <c r="AV544" s="2256">
        <f t="shared" si="298"/>
        <v>0</v>
      </c>
      <c r="AW544" s="2256">
        <f t="shared" si="299"/>
        <v>0</v>
      </c>
      <c r="AX544" s="2256">
        <f t="shared" si="300"/>
        <v>0</v>
      </c>
      <c r="AY544" s="2781">
        <f t="shared" si="304"/>
        <v>0</v>
      </c>
      <c r="AZ544" s="28">
        <f t="shared" si="305"/>
        <v>0</v>
      </c>
      <c r="BA544" s="28">
        <f t="shared" si="306"/>
        <v>0</v>
      </c>
      <c r="BB544" s="28">
        <f t="shared" si="307"/>
        <v>0</v>
      </c>
      <c r="BC544" s="28">
        <f t="shared" si="308"/>
        <v>0</v>
      </c>
      <c r="BD544" s="3439">
        <f t="shared" si="309"/>
        <v>0</v>
      </c>
      <c r="BE544" s="3439">
        <f t="shared" si="310"/>
        <v>0</v>
      </c>
      <c r="BF544" s="3439">
        <f t="shared" si="311"/>
        <v>0</v>
      </c>
      <c r="BG544" s="3439">
        <f t="shared" si="312"/>
        <v>0</v>
      </c>
      <c r="BH544" s="3439">
        <f t="shared" si="313"/>
        <v>0</v>
      </c>
      <c r="BI544" s="3439">
        <f t="shared" si="314"/>
        <v>0</v>
      </c>
      <c r="BJ544" s="3439">
        <f t="shared" si="315"/>
        <v>0</v>
      </c>
      <c r="BK544" s="3439">
        <f t="shared" si="316"/>
        <v>0</v>
      </c>
      <c r="BL544" s="28">
        <f t="shared" si="317"/>
        <v>0</v>
      </c>
      <c r="BM544" s="28">
        <f t="shared" si="318"/>
        <v>0</v>
      </c>
      <c r="BN544" s="28">
        <f t="shared" si="319"/>
        <v>0</v>
      </c>
      <c r="BO544" s="28">
        <f t="shared" si="320"/>
        <v>0</v>
      </c>
      <c r="BP544" s="28">
        <f t="shared" si="321"/>
        <v>0</v>
      </c>
      <c r="BQ544" s="3439">
        <f t="shared" si="322"/>
        <v>0</v>
      </c>
      <c r="BR544" s="3439">
        <f t="shared" si="323"/>
        <v>0</v>
      </c>
      <c r="BS544" s="3439">
        <f t="shared" si="324"/>
        <v>0</v>
      </c>
      <c r="BT544" s="3451">
        <f t="shared" si="325"/>
        <v>0</v>
      </c>
    </row>
    <row r="545" spans="1:72">
      <c r="A545" s="9"/>
      <c r="B545" s="27"/>
      <c r="C545" s="27"/>
      <c r="D545" s="1678"/>
      <c r="E545" s="28">
        <f t="shared" si="297"/>
        <v>0</v>
      </c>
      <c r="F545" s="29"/>
      <c r="G545" s="30">
        <f t="shared" si="301"/>
        <v>0</v>
      </c>
      <c r="H545" s="31">
        <f t="shared" si="302"/>
        <v>0</v>
      </c>
      <c r="I545" s="32"/>
      <c r="J545" s="32"/>
      <c r="K545" s="32"/>
      <c r="L545" s="32"/>
      <c r="M545" s="32"/>
      <c r="N545" s="32"/>
      <c r="O545" s="32"/>
      <c r="P545" s="32"/>
      <c r="Q545" s="32"/>
      <c r="R545" s="32"/>
      <c r="S545" s="32"/>
      <c r="T545" s="32"/>
      <c r="U545" s="32"/>
      <c r="V545" s="32"/>
      <c r="W545" s="32"/>
      <c r="X545" s="32"/>
      <c r="Y545" s="32"/>
      <c r="Z545" s="32"/>
      <c r="AA545" s="32"/>
      <c r="AB545" s="32"/>
      <c r="AC545" s="28">
        <f t="shared" si="303"/>
        <v>0</v>
      </c>
      <c r="AD545" s="33"/>
      <c r="AE545" s="33"/>
      <c r="AF545" s="33"/>
      <c r="AG545" s="33"/>
      <c r="AH545" s="33"/>
      <c r="AI545" s="33"/>
      <c r="AJ545" s="33"/>
      <c r="AK545" s="33"/>
      <c r="AL545" s="33"/>
      <c r="AM545" s="33"/>
      <c r="AN545" s="33"/>
      <c r="AO545" s="33"/>
      <c r="AP545" s="33"/>
      <c r="AQ545" s="33"/>
      <c r="AR545" s="33"/>
      <c r="AS545" s="33"/>
      <c r="AT545" s="34"/>
      <c r="AU545" s="1679"/>
      <c r="AV545" s="2256">
        <f t="shared" si="298"/>
        <v>0</v>
      </c>
      <c r="AW545" s="2256">
        <f t="shared" si="299"/>
        <v>0</v>
      </c>
      <c r="AX545" s="2256">
        <f t="shared" si="300"/>
        <v>0</v>
      </c>
      <c r="AY545" s="2781">
        <f t="shared" si="304"/>
        <v>0</v>
      </c>
      <c r="AZ545" s="28">
        <f t="shared" si="305"/>
        <v>0</v>
      </c>
      <c r="BA545" s="28">
        <f t="shared" si="306"/>
        <v>0</v>
      </c>
      <c r="BB545" s="28">
        <f t="shared" si="307"/>
        <v>0</v>
      </c>
      <c r="BC545" s="28">
        <f t="shared" si="308"/>
        <v>0</v>
      </c>
      <c r="BD545" s="3439">
        <f t="shared" si="309"/>
        <v>0</v>
      </c>
      <c r="BE545" s="3439">
        <f t="shared" si="310"/>
        <v>0</v>
      </c>
      <c r="BF545" s="3439">
        <f t="shared" si="311"/>
        <v>0</v>
      </c>
      <c r="BG545" s="3439">
        <f t="shared" si="312"/>
        <v>0</v>
      </c>
      <c r="BH545" s="3439">
        <f t="shared" si="313"/>
        <v>0</v>
      </c>
      <c r="BI545" s="3439">
        <f t="shared" si="314"/>
        <v>0</v>
      </c>
      <c r="BJ545" s="3439">
        <f t="shared" si="315"/>
        <v>0</v>
      </c>
      <c r="BK545" s="3439">
        <f t="shared" si="316"/>
        <v>0</v>
      </c>
      <c r="BL545" s="28">
        <f t="shared" si="317"/>
        <v>0</v>
      </c>
      <c r="BM545" s="28">
        <f t="shared" si="318"/>
        <v>0</v>
      </c>
      <c r="BN545" s="28">
        <f t="shared" si="319"/>
        <v>0</v>
      </c>
      <c r="BO545" s="28">
        <f t="shared" si="320"/>
        <v>0</v>
      </c>
      <c r="BP545" s="28">
        <f t="shared" si="321"/>
        <v>0</v>
      </c>
      <c r="BQ545" s="3439">
        <f t="shared" si="322"/>
        <v>0</v>
      </c>
      <c r="BR545" s="3439">
        <f t="shared" si="323"/>
        <v>0</v>
      </c>
      <c r="BS545" s="3439">
        <f t="shared" si="324"/>
        <v>0</v>
      </c>
      <c r="BT545" s="3451">
        <f t="shared" si="325"/>
        <v>0</v>
      </c>
    </row>
    <row r="546" spans="1:72">
      <c r="A546" s="9"/>
      <c r="B546" s="27"/>
      <c r="C546" s="27"/>
      <c r="D546" s="1678"/>
      <c r="E546" s="28">
        <f t="shared" si="297"/>
        <v>0</v>
      </c>
      <c r="F546" s="29"/>
      <c r="G546" s="30">
        <f t="shared" si="301"/>
        <v>0</v>
      </c>
      <c r="H546" s="31">
        <f t="shared" si="302"/>
        <v>0</v>
      </c>
      <c r="I546" s="32"/>
      <c r="J546" s="32"/>
      <c r="K546" s="32"/>
      <c r="L546" s="32"/>
      <c r="M546" s="32"/>
      <c r="N546" s="32"/>
      <c r="O546" s="32"/>
      <c r="P546" s="32"/>
      <c r="Q546" s="32"/>
      <c r="R546" s="32"/>
      <c r="S546" s="32"/>
      <c r="T546" s="32"/>
      <c r="U546" s="32"/>
      <c r="V546" s="32"/>
      <c r="W546" s="32"/>
      <c r="X546" s="32"/>
      <c r="Y546" s="32"/>
      <c r="Z546" s="32"/>
      <c r="AA546" s="32"/>
      <c r="AB546" s="32"/>
      <c r="AC546" s="28">
        <f t="shared" si="303"/>
        <v>0</v>
      </c>
      <c r="AD546" s="33"/>
      <c r="AE546" s="33"/>
      <c r="AF546" s="33"/>
      <c r="AG546" s="33"/>
      <c r="AH546" s="33"/>
      <c r="AI546" s="33"/>
      <c r="AJ546" s="33"/>
      <c r="AK546" s="33"/>
      <c r="AL546" s="33"/>
      <c r="AM546" s="33"/>
      <c r="AN546" s="33"/>
      <c r="AO546" s="33"/>
      <c r="AP546" s="33"/>
      <c r="AQ546" s="33"/>
      <c r="AR546" s="33"/>
      <c r="AS546" s="33"/>
      <c r="AT546" s="34"/>
      <c r="AU546" s="1679"/>
      <c r="AV546" s="2256">
        <f t="shared" si="298"/>
        <v>0</v>
      </c>
      <c r="AW546" s="2256">
        <f t="shared" si="299"/>
        <v>0</v>
      </c>
      <c r="AX546" s="2256">
        <f t="shared" si="300"/>
        <v>0</v>
      </c>
      <c r="AY546" s="2781">
        <f t="shared" si="304"/>
        <v>0</v>
      </c>
      <c r="AZ546" s="28">
        <f t="shared" si="305"/>
        <v>0</v>
      </c>
      <c r="BA546" s="28">
        <f t="shared" si="306"/>
        <v>0</v>
      </c>
      <c r="BB546" s="28">
        <f t="shared" si="307"/>
        <v>0</v>
      </c>
      <c r="BC546" s="28">
        <f t="shared" si="308"/>
        <v>0</v>
      </c>
      <c r="BD546" s="3439">
        <f t="shared" si="309"/>
        <v>0</v>
      </c>
      <c r="BE546" s="3439">
        <f t="shared" si="310"/>
        <v>0</v>
      </c>
      <c r="BF546" s="3439">
        <f t="shared" si="311"/>
        <v>0</v>
      </c>
      <c r="BG546" s="3439">
        <f t="shared" si="312"/>
        <v>0</v>
      </c>
      <c r="BH546" s="3439">
        <f t="shared" si="313"/>
        <v>0</v>
      </c>
      <c r="BI546" s="3439">
        <f t="shared" si="314"/>
        <v>0</v>
      </c>
      <c r="BJ546" s="3439">
        <f t="shared" si="315"/>
        <v>0</v>
      </c>
      <c r="BK546" s="3439">
        <f t="shared" si="316"/>
        <v>0</v>
      </c>
      <c r="BL546" s="28">
        <f t="shared" si="317"/>
        <v>0</v>
      </c>
      <c r="BM546" s="28">
        <f t="shared" si="318"/>
        <v>0</v>
      </c>
      <c r="BN546" s="28">
        <f t="shared" si="319"/>
        <v>0</v>
      </c>
      <c r="BO546" s="28">
        <f t="shared" si="320"/>
        <v>0</v>
      </c>
      <c r="BP546" s="28">
        <f t="shared" si="321"/>
        <v>0</v>
      </c>
      <c r="BQ546" s="3439">
        <f t="shared" si="322"/>
        <v>0</v>
      </c>
      <c r="BR546" s="3439">
        <f t="shared" si="323"/>
        <v>0</v>
      </c>
      <c r="BS546" s="3439">
        <f t="shared" si="324"/>
        <v>0</v>
      </c>
      <c r="BT546" s="3451">
        <f t="shared" si="325"/>
        <v>0</v>
      </c>
    </row>
    <row r="547" spans="1:72">
      <c r="A547" s="9"/>
      <c r="B547" s="27"/>
      <c r="C547" s="27"/>
      <c r="D547" s="1678"/>
      <c r="E547" s="28">
        <f t="shared" si="297"/>
        <v>0</v>
      </c>
      <c r="F547" s="29"/>
      <c r="G547" s="30">
        <f t="shared" si="301"/>
        <v>0</v>
      </c>
      <c r="H547" s="31">
        <f t="shared" si="302"/>
        <v>0</v>
      </c>
      <c r="I547" s="32"/>
      <c r="J547" s="32"/>
      <c r="K547" s="32"/>
      <c r="L547" s="32"/>
      <c r="M547" s="32"/>
      <c r="N547" s="32"/>
      <c r="O547" s="32"/>
      <c r="P547" s="32"/>
      <c r="Q547" s="32"/>
      <c r="R547" s="32"/>
      <c r="S547" s="32"/>
      <c r="T547" s="32"/>
      <c r="U547" s="32"/>
      <c r="V547" s="32"/>
      <c r="W547" s="32"/>
      <c r="X547" s="32"/>
      <c r="Y547" s="32"/>
      <c r="Z547" s="32"/>
      <c r="AA547" s="32"/>
      <c r="AB547" s="32"/>
      <c r="AC547" s="28">
        <f t="shared" si="303"/>
        <v>0</v>
      </c>
      <c r="AD547" s="33"/>
      <c r="AE547" s="33"/>
      <c r="AF547" s="33"/>
      <c r="AG547" s="33"/>
      <c r="AH547" s="33"/>
      <c r="AI547" s="33"/>
      <c r="AJ547" s="33"/>
      <c r="AK547" s="33"/>
      <c r="AL547" s="33"/>
      <c r="AM547" s="33"/>
      <c r="AN547" s="33"/>
      <c r="AO547" s="33"/>
      <c r="AP547" s="33"/>
      <c r="AQ547" s="33"/>
      <c r="AR547" s="33"/>
      <c r="AS547" s="33"/>
      <c r="AT547" s="34"/>
      <c r="AU547" s="1679"/>
      <c r="AV547" s="2256">
        <f t="shared" si="298"/>
        <v>0</v>
      </c>
      <c r="AW547" s="2256">
        <f t="shared" si="299"/>
        <v>0</v>
      </c>
      <c r="AX547" s="2256">
        <f t="shared" si="300"/>
        <v>0</v>
      </c>
      <c r="AY547" s="2781">
        <f t="shared" si="304"/>
        <v>0</v>
      </c>
      <c r="AZ547" s="28">
        <f t="shared" si="305"/>
        <v>0</v>
      </c>
      <c r="BA547" s="28">
        <f t="shared" si="306"/>
        <v>0</v>
      </c>
      <c r="BB547" s="28">
        <f t="shared" si="307"/>
        <v>0</v>
      </c>
      <c r="BC547" s="28">
        <f t="shared" si="308"/>
        <v>0</v>
      </c>
      <c r="BD547" s="3439">
        <f t="shared" si="309"/>
        <v>0</v>
      </c>
      <c r="BE547" s="3439">
        <f t="shared" si="310"/>
        <v>0</v>
      </c>
      <c r="BF547" s="3439">
        <f t="shared" si="311"/>
        <v>0</v>
      </c>
      <c r="BG547" s="3439">
        <f t="shared" si="312"/>
        <v>0</v>
      </c>
      <c r="BH547" s="3439">
        <f t="shared" si="313"/>
        <v>0</v>
      </c>
      <c r="BI547" s="3439">
        <f t="shared" si="314"/>
        <v>0</v>
      </c>
      <c r="BJ547" s="3439">
        <f t="shared" si="315"/>
        <v>0</v>
      </c>
      <c r="BK547" s="3439">
        <f t="shared" si="316"/>
        <v>0</v>
      </c>
      <c r="BL547" s="28">
        <f t="shared" si="317"/>
        <v>0</v>
      </c>
      <c r="BM547" s="28">
        <f t="shared" si="318"/>
        <v>0</v>
      </c>
      <c r="BN547" s="28">
        <f t="shared" si="319"/>
        <v>0</v>
      </c>
      <c r="BO547" s="28">
        <f t="shared" si="320"/>
        <v>0</v>
      </c>
      <c r="BP547" s="28">
        <f t="shared" si="321"/>
        <v>0</v>
      </c>
      <c r="BQ547" s="3439">
        <f t="shared" si="322"/>
        <v>0</v>
      </c>
      <c r="BR547" s="3439">
        <f t="shared" si="323"/>
        <v>0</v>
      </c>
      <c r="BS547" s="3439">
        <f t="shared" si="324"/>
        <v>0</v>
      </c>
      <c r="BT547" s="3451">
        <f t="shared" si="325"/>
        <v>0</v>
      </c>
    </row>
    <row r="548" spans="1:72">
      <c r="A548" s="9"/>
      <c r="B548" s="27"/>
      <c r="C548" s="27"/>
      <c r="D548" s="1678"/>
      <c r="E548" s="28">
        <f t="shared" si="297"/>
        <v>0</v>
      </c>
      <c r="F548" s="29"/>
      <c r="G548" s="30">
        <f t="shared" si="301"/>
        <v>0</v>
      </c>
      <c r="H548" s="31">
        <f t="shared" si="302"/>
        <v>0</v>
      </c>
      <c r="I548" s="32"/>
      <c r="J548" s="32"/>
      <c r="K548" s="32"/>
      <c r="L548" s="32"/>
      <c r="M548" s="32"/>
      <c r="N548" s="32"/>
      <c r="O548" s="32"/>
      <c r="P548" s="32"/>
      <c r="Q548" s="32"/>
      <c r="R548" s="32"/>
      <c r="S548" s="32"/>
      <c r="T548" s="32"/>
      <c r="U548" s="32"/>
      <c r="V548" s="32"/>
      <c r="W548" s="32"/>
      <c r="X548" s="32"/>
      <c r="Y548" s="32"/>
      <c r="Z548" s="32"/>
      <c r="AA548" s="32"/>
      <c r="AB548" s="32"/>
      <c r="AC548" s="28">
        <f t="shared" si="303"/>
        <v>0</v>
      </c>
      <c r="AD548" s="33"/>
      <c r="AE548" s="33"/>
      <c r="AF548" s="33"/>
      <c r="AG548" s="33"/>
      <c r="AH548" s="33"/>
      <c r="AI548" s="33"/>
      <c r="AJ548" s="33"/>
      <c r="AK548" s="33"/>
      <c r="AL548" s="33"/>
      <c r="AM548" s="33"/>
      <c r="AN548" s="33"/>
      <c r="AO548" s="33"/>
      <c r="AP548" s="33"/>
      <c r="AQ548" s="33"/>
      <c r="AR548" s="33"/>
      <c r="AS548" s="33"/>
      <c r="AT548" s="34"/>
      <c r="AU548" s="1679"/>
      <c r="AV548" s="2256">
        <f t="shared" si="298"/>
        <v>0</v>
      </c>
      <c r="AW548" s="2256">
        <f t="shared" si="299"/>
        <v>0</v>
      </c>
      <c r="AX548" s="2256">
        <f t="shared" si="300"/>
        <v>0</v>
      </c>
      <c r="AY548" s="2781">
        <f t="shared" si="304"/>
        <v>0</v>
      </c>
      <c r="AZ548" s="28">
        <f t="shared" si="305"/>
        <v>0</v>
      </c>
      <c r="BA548" s="28">
        <f t="shared" si="306"/>
        <v>0</v>
      </c>
      <c r="BB548" s="28">
        <f t="shared" si="307"/>
        <v>0</v>
      </c>
      <c r="BC548" s="28">
        <f t="shared" si="308"/>
        <v>0</v>
      </c>
      <c r="BD548" s="3439">
        <f t="shared" si="309"/>
        <v>0</v>
      </c>
      <c r="BE548" s="3439">
        <f t="shared" si="310"/>
        <v>0</v>
      </c>
      <c r="BF548" s="3439">
        <f t="shared" si="311"/>
        <v>0</v>
      </c>
      <c r="BG548" s="3439">
        <f t="shared" si="312"/>
        <v>0</v>
      </c>
      <c r="BH548" s="3439">
        <f t="shared" si="313"/>
        <v>0</v>
      </c>
      <c r="BI548" s="3439">
        <f t="shared" si="314"/>
        <v>0</v>
      </c>
      <c r="BJ548" s="3439">
        <f t="shared" si="315"/>
        <v>0</v>
      </c>
      <c r="BK548" s="3439">
        <f t="shared" si="316"/>
        <v>0</v>
      </c>
      <c r="BL548" s="28">
        <f t="shared" si="317"/>
        <v>0</v>
      </c>
      <c r="BM548" s="28">
        <f t="shared" si="318"/>
        <v>0</v>
      </c>
      <c r="BN548" s="28">
        <f t="shared" si="319"/>
        <v>0</v>
      </c>
      <c r="BO548" s="28">
        <f t="shared" si="320"/>
        <v>0</v>
      </c>
      <c r="BP548" s="28">
        <f t="shared" si="321"/>
        <v>0</v>
      </c>
      <c r="BQ548" s="3439">
        <f t="shared" si="322"/>
        <v>0</v>
      </c>
      <c r="BR548" s="3439">
        <f t="shared" si="323"/>
        <v>0</v>
      </c>
      <c r="BS548" s="3439">
        <f t="shared" si="324"/>
        <v>0</v>
      </c>
      <c r="BT548" s="3451">
        <f t="shared" si="325"/>
        <v>0</v>
      </c>
    </row>
    <row r="549" spans="1:72">
      <c r="A549" s="9"/>
      <c r="B549" s="27"/>
      <c r="C549" s="27"/>
      <c r="D549" s="1678"/>
      <c r="E549" s="28">
        <f t="shared" si="297"/>
        <v>0</v>
      </c>
      <c r="F549" s="29"/>
      <c r="G549" s="30">
        <f t="shared" si="301"/>
        <v>0</v>
      </c>
      <c r="H549" s="31">
        <f t="shared" si="302"/>
        <v>0</v>
      </c>
      <c r="I549" s="32"/>
      <c r="J549" s="32"/>
      <c r="K549" s="32"/>
      <c r="L549" s="32"/>
      <c r="M549" s="32"/>
      <c r="N549" s="32"/>
      <c r="O549" s="32"/>
      <c r="P549" s="32"/>
      <c r="Q549" s="32"/>
      <c r="R549" s="32"/>
      <c r="S549" s="32"/>
      <c r="T549" s="32"/>
      <c r="U549" s="32"/>
      <c r="V549" s="32"/>
      <c r="W549" s="32"/>
      <c r="X549" s="32"/>
      <c r="Y549" s="32"/>
      <c r="Z549" s="32"/>
      <c r="AA549" s="32"/>
      <c r="AB549" s="32"/>
      <c r="AC549" s="28">
        <f t="shared" si="303"/>
        <v>0</v>
      </c>
      <c r="AD549" s="33"/>
      <c r="AE549" s="33"/>
      <c r="AF549" s="33"/>
      <c r="AG549" s="33"/>
      <c r="AH549" s="33"/>
      <c r="AI549" s="33"/>
      <c r="AJ549" s="33"/>
      <c r="AK549" s="33"/>
      <c r="AL549" s="33"/>
      <c r="AM549" s="33"/>
      <c r="AN549" s="33"/>
      <c r="AO549" s="33"/>
      <c r="AP549" s="33"/>
      <c r="AQ549" s="33"/>
      <c r="AR549" s="33"/>
      <c r="AS549" s="33"/>
      <c r="AT549" s="34"/>
      <c r="AU549" s="1679"/>
      <c r="AV549" s="2256">
        <f t="shared" si="298"/>
        <v>0</v>
      </c>
      <c r="AW549" s="2256">
        <f t="shared" si="299"/>
        <v>0</v>
      </c>
      <c r="AX549" s="2256">
        <f t="shared" si="300"/>
        <v>0</v>
      </c>
      <c r="AY549" s="2781">
        <f t="shared" si="304"/>
        <v>0</v>
      </c>
      <c r="AZ549" s="28">
        <f t="shared" si="305"/>
        <v>0</v>
      </c>
      <c r="BA549" s="28">
        <f t="shared" si="306"/>
        <v>0</v>
      </c>
      <c r="BB549" s="28">
        <f t="shared" si="307"/>
        <v>0</v>
      </c>
      <c r="BC549" s="28">
        <f t="shared" si="308"/>
        <v>0</v>
      </c>
      <c r="BD549" s="3439">
        <f t="shared" si="309"/>
        <v>0</v>
      </c>
      <c r="BE549" s="3439">
        <f t="shared" si="310"/>
        <v>0</v>
      </c>
      <c r="BF549" s="3439">
        <f t="shared" si="311"/>
        <v>0</v>
      </c>
      <c r="BG549" s="3439">
        <f t="shared" si="312"/>
        <v>0</v>
      </c>
      <c r="BH549" s="3439">
        <f t="shared" si="313"/>
        <v>0</v>
      </c>
      <c r="BI549" s="3439">
        <f t="shared" si="314"/>
        <v>0</v>
      </c>
      <c r="BJ549" s="3439">
        <f t="shared" si="315"/>
        <v>0</v>
      </c>
      <c r="BK549" s="3439">
        <f t="shared" si="316"/>
        <v>0</v>
      </c>
      <c r="BL549" s="28">
        <f t="shared" si="317"/>
        <v>0</v>
      </c>
      <c r="BM549" s="28">
        <f t="shared" si="318"/>
        <v>0</v>
      </c>
      <c r="BN549" s="28">
        <f t="shared" si="319"/>
        <v>0</v>
      </c>
      <c r="BO549" s="28">
        <f t="shared" si="320"/>
        <v>0</v>
      </c>
      <c r="BP549" s="28">
        <f t="shared" si="321"/>
        <v>0</v>
      </c>
      <c r="BQ549" s="3439">
        <f t="shared" si="322"/>
        <v>0</v>
      </c>
      <c r="BR549" s="3439">
        <f t="shared" si="323"/>
        <v>0</v>
      </c>
      <c r="BS549" s="3439">
        <f t="shared" si="324"/>
        <v>0</v>
      </c>
      <c r="BT549" s="3451">
        <f t="shared" si="325"/>
        <v>0</v>
      </c>
    </row>
    <row r="550" spans="1:72">
      <c r="A550" s="9"/>
      <c r="B550" s="27"/>
      <c r="C550" s="27"/>
      <c r="D550" s="1678"/>
      <c r="E550" s="28">
        <f t="shared" si="297"/>
        <v>0</v>
      </c>
      <c r="F550" s="29"/>
      <c r="G550" s="30">
        <f t="shared" si="301"/>
        <v>0</v>
      </c>
      <c r="H550" s="31">
        <f t="shared" si="302"/>
        <v>0</v>
      </c>
      <c r="I550" s="32"/>
      <c r="J550" s="32"/>
      <c r="K550" s="32"/>
      <c r="L550" s="32"/>
      <c r="M550" s="32"/>
      <c r="N550" s="32"/>
      <c r="O550" s="32"/>
      <c r="P550" s="32"/>
      <c r="Q550" s="32"/>
      <c r="R550" s="32"/>
      <c r="S550" s="32"/>
      <c r="T550" s="32"/>
      <c r="U550" s="32"/>
      <c r="V550" s="32"/>
      <c r="W550" s="32"/>
      <c r="X550" s="32"/>
      <c r="Y550" s="32"/>
      <c r="Z550" s="32"/>
      <c r="AA550" s="32"/>
      <c r="AB550" s="32"/>
      <c r="AC550" s="28">
        <f t="shared" si="303"/>
        <v>0</v>
      </c>
      <c r="AD550" s="33"/>
      <c r="AE550" s="33"/>
      <c r="AF550" s="33"/>
      <c r="AG550" s="33"/>
      <c r="AH550" s="33"/>
      <c r="AI550" s="33"/>
      <c r="AJ550" s="33"/>
      <c r="AK550" s="33"/>
      <c r="AL550" s="33"/>
      <c r="AM550" s="33"/>
      <c r="AN550" s="33"/>
      <c r="AO550" s="33"/>
      <c r="AP550" s="33"/>
      <c r="AQ550" s="33"/>
      <c r="AR550" s="33"/>
      <c r="AS550" s="33"/>
      <c r="AT550" s="34"/>
      <c r="AU550" s="1679"/>
      <c r="AV550" s="2256">
        <f t="shared" si="298"/>
        <v>0</v>
      </c>
      <c r="AW550" s="2256">
        <f t="shared" si="299"/>
        <v>0</v>
      </c>
      <c r="AX550" s="2256">
        <f t="shared" si="300"/>
        <v>0</v>
      </c>
      <c r="AY550" s="2781">
        <f t="shared" si="304"/>
        <v>0</v>
      </c>
      <c r="AZ550" s="28">
        <f t="shared" si="305"/>
        <v>0</v>
      </c>
      <c r="BA550" s="28">
        <f t="shared" si="306"/>
        <v>0</v>
      </c>
      <c r="BB550" s="28">
        <f t="shared" si="307"/>
        <v>0</v>
      </c>
      <c r="BC550" s="28">
        <f t="shared" si="308"/>
        <v>0</v>
      </c>
      <c r="BD550" s="3439">
        <f t="shared" si="309"/>
        <v>0</v>
      </c>
      <c r="BE550" s="3439">
        <f t="shared" si="310"/>
        <v>0</v>
      </c>
      <c r="BF550" s="3439">
        <f t="shared" si="311"/>
        <v>0</v>
      </c>
      <c r="BG550" s="3439">
        <f t="shared" si="312"/>
        <v>0</v>
      </c>
      <c r="BH550" s="3439">
        <f t="shared" si="313"/>
        <v>0</v>
      </c>
      <c r="BI550" s="3439">
        <f t="shared" si="314"/>
        <v>0</v>
      </c>
      <c r="BJ550" s="3439">
        <f t="shared" si="315"/>
        <v>0</v>
      </c>
      <c r="BK550" s="3439">
        <f t="shared" si="316"/>
        <v>0</v>
      </c>
      <c r="BL550" s="28">
        <f t="shared" si="317"/>
        <v>0</v>
      </c>
      <c r="BM550" s="28">
        <f t="shared" si="318"/>
        <v>0</v>
      </c>
      <c r="BN550" s="28">
        <f t="shared" si="319"/>
        <v>0</v>
      </c>
      <c r="BO550" s="28">
        <f t="shared" si="320"/>
        <v>0</v>
      </c>
      <c r="BP550" s="28">
        <f t="shared" si="321"/>
        <v>0</v>
      </c>
      <c r="BQ550" s="3439">
        <f t="shared" si="322"/>
        <v>0</v>
      </c>
      <c r="BR550" s="3439">
        <f t="shared" si="323"/>
        <v>0</v>
      </c>
      <c r="BS550" s="3439">
        <f t="shared" si="324"/>
        <v>0</v>
      </c>
      <c r="BT550" s="3451">
        <f t="shared" si="325"/>
        <v>0</v>
      </c>
    </row>
    <row r="551" spans="1:72">
      <c r="A551" s="9"/>
      <c r="B551" s="27"/>
      <c r="C551" s="27"/>
      <c r="D551" s="1678"/>
      <c r="E551" s="28">
        <f t="shared" si="297"/>
        <v>0</v>
      </c>
      <c r="F551" s="29"/>
      <c r="G551" s="30">
        <f t="shared" si="301"/>
        <v>0</v>
      </c>
      <c r="H551" s="31">
        <f t="shared" si="302"/>
        <v>0</v>
      </c>
      <c r="I551" s="32"/>
      <c r="J551" s="32"/>
      <c r="K551" s="32"/>
      <c r="L551" s="32"/>
      <c r="M551" s="32"/>
      <c r="N551" s="32"/>
      <c r="O551" s="32"/>
      <c r="P551" s="32"/>
      <c r="Q551" s="32"/>
      <c r="R551" s="32"/>
      <c r="S551" s="32"/>
      <c r="T551" s="32"/>
      <c r="U551" s="32"/>
      <c r="V551" s="32"/>
      <c r="W551" s="32"/>
      <c r="X551" s="32"/>
      <c r="Y551" s="32"/>
      <c r="Z551" s="32"/>
      <c r="AA551" s="32"/>
      <c r="AB551" s="32"/>
      <c r="AC551" s="28">
        <f t="shared" si="303"/>
        <v>0</v>
      </c>
      <c r="AD551" s="33"/>
      <c r="AE551" s="33"/>
      <c r="AF551" s="33"/>
      <c r="AG551" s="33"/>
      <c r="AH551" s="33"/>
      <c r="AI551" s="33"/>
      <c r="AJ551" s="33"/>
      <c r="AK551" s="33"/>
      <c r="AL551" s="33"/>
      <c r="AM551" s="33"/>
      <c r="AN551" s="33"/>
      <c r="AO551" s="33"/>
      <c r="AP551" s="33"/>
      <c r="AQ551" s="33"/>
      <c r="AR551" s="33"/>
      <c r="AS551" s="33"/>
      <c r="AT551" s="34"/>
      <c r="AU551" s="1679"/>
      <c r="AV551" s="2256">
        <f t="shared" si="298"/>
        <v>0</v>
      </c>
      <c r="AW551" s="2256">
        <f t="shared" si="299"/>
        <v>0</v>
      </c>
      <c r="AX551" s="2256">
        <f t="shared" si="300"/>
        <v>0</v>
      </c>
      <c r="AY551" s="2781">
        <f t="shared" si="304"/>
        <v>0</v>
      </c>
      <c r="AZ551" s="28">
        <f t="shared" si="305"/>
        <v>0</v>
      </c>
      <c r="BA551" s="28">
        <f t="shared" si="306"/>
        <v>0</v>
      </c>
      <c r="BB551" s="28">
        <f t="shared" si="307"/>
        <v>0</v>
      </c>
      <c r="BC551" s="28">
        <f t="shared" si="308"/>
        <v>0</v>
      </c>
      <c r="BD551" s="3439">
        <f t="shared" si="309"/>
        <v>0</v>
      </c>
      <c r="BE551" s="3439">
        <f t="shared" si="310"/>
        <v>0</v>
      </c>
      <c r="BF551" s="3439">
        <f t="shared" si="311"/>
        <v>0</v>
      </c>
      <c r="BG551" s="3439">
        <f t="shared" si="312"/>
        <v>0</v>
      </c>
      <c r="BH551" s="3439">
        <f t="shared" si="313"/>
        <v>0</v>
      </c>
      <c r="BI551" s="3439">
        <f t="shared" si="314"/>
        <v>0</v>
      </c>
      <c r="BJ551" s="3439">
        <f t="shared" si="315"/>
        <v>0</v>
      </c>
      <c r="BK551" s="3439">
        <f t="shared" si="316"/>
        <v>0</v>
      </c>
      <c r="BL551" s="28">
        <f t="shared" si="317"/>
        <v>0</v>
      </c>
      <c r="BM551" s="28">
        <f t="shared" si="318"/>
        <v>0</v>
      </c>
      <c r="BN551" s="28">
        <f t="shared" si="319"/>
        <v>0</v>
      </c>
      <c r="BO551" s="28">
        <f t="shared" si="320"/>
        <v>0</v>
      </c>
      <c r="BP551" s="28">
        <f t="shared" si="321"/>
        <v>0</v>
      </c>
      <c r="BQ551" s="3439">
        <f t="shared" si="322"/>
        <v>0</v>
      </c>
      <c r="BR551" s="3439">
        <f t="shared" si="323"/>
        <v>0</v>
      </c>
      <c r="BS551" s="3439">
        <f t="shared" si="324"/>
        <v>0</v>
      </c>
      <c r="BT551" s="3451">
        <f t="shared" si="325"/>
        <v>0</v>
      </c>
    </row>
    <row r="552" spans="1:72">
      <c r="A552" s="9"/>
      <c r="B552" s="27"/>
      <c r="C552" s="27"/>
      <c r="D552" s="1678"/>
      <c r="E552" s="28">
        <f t="shared" ref="E552:E587" si="326">IF($C$3="是",ROUND($A$3*G552/$B$3,2),ROUND($A$3*(G552-AT552)/$B$3,2))</f>
        <v>0</v>
      </c>
      <c r="F552" s="29"/>
      <c r="G552" s="30">
        <f t="shared" si="301"/>
        <v>0</v>
      </c>
      <c r="H552" s="31">
        <f t="shared" si="302"/>
        <v>0</v>
      </c>
      <c r="I552" s="32"/>
      <c r="J552" s="32"/>
      <c r="K552" s="32"/>
      <c r="L552" s="32"/>
      <c r="M552" s="32"/>
      <c r="N552" s="32"/>
      <c r="O552" s="32"/>
      <c r="P552" s="32"/>
      <c r="Q552" s="32"/>
      <c r="R552" s="32"/>
      <c r="S552" s="32"/>
      <c r="T552" s="32"/>
      <c r="U552" s="32"/>
      <c r="V552" s="32"/>
      <c r="W552" s="32"/>
      <c r="X552" s="32"/>
      <c r="Y552" s="32"/>
      <c r="Z552" s="32"/>
      <c r="AA552" s="32"/>
      <c r="AB552" s="32"/>
      <c r="AC552" s="28">
        <f t="shared" si="303"/>
        <v>0</v>
      </c>
      <c r="AD552" s="33"/>
      <c r="AE552" s="33"/>
      <c r="AF552" s="33"/>
      <c r="AG552" s="33"/>
      <c r="AH552" s="33"/>
      <c r="AI552" s="33"/>
      <c r="AJ552" s="33"/>
      <c r="AK552" s="33"/>
      <c r="AL552" s="33"/>
      <c r="AM552" s="33"/>
      <c r="AN552" s="33"/>
      <c r="AO552" s="33"/>
      <c r="AP552" s="33"/>
      <c r="AQ552" s="33"/>
      <c r="AR552" s="33"/>
      <c r="AS552" s="33"/>
      <c r="AT552" s="34"/>
      <c r="AU552" s="1679"/>
      <c r="AV552" s="2256">
        <f t="shared" si="298"/>
        <v>0</v>
      </c>
      <c r="AW552" s="2256">
        <f t="shared" si="299"/>
        <v>0</v>
      </c>
      <c r="AX552" s="2256">
        <f t="shared" si="300"/>
        <v>0</v>
      </c>
      <c r="AY552" s="2781">
        <f t="shared" si="304"/>
        <v>0</v>
      </c>
      <c r="AZ552" s="28">
        <f t="shared" si="305"/>
        <v>0</v>
      </c>
      <c r="BA552" s="28">
        <f t="shared" si="306"/>
        <v>0</v>
      </c>
      <c r="BB552" s="28">
        <f t="shared" si="307"/>
        <v>0</v>
      </c>
      <c r="BC552" s="28">
        <f t="shared" si="308"/>
        <v>0</v>
      </c>
      <c r="BD552" s="3439">
        <f t="shared" si="309"/>
        <v>0</v>
      </c>
      <c r="BE552" s="3439">
        <f t="shared" si="310"/>
        <v>0</v>
      </c>
      <c r="BF552" s="3439">
        <f t="shared" si="311"/>
        <v>0</v>
      </c>
      <c r="BG552" s="3439">
        <f t="shared" si="312"/>
        <v>0</v>
      </c>
      <c r="BH552" s="3439">
        <f t="shared" si="313"/>
        <v>0</v>
      </c>
      <c r="BI552" s="3439">
        <f t="shared" si="314"/>
        <v>0</v>
      </c>
      <c r="BJ552" s="3439">
        <f t="shared" si="315"/>
        <v>0</v>
      </c>
      <c r="BK552" s="3439">
        <f t="shared" si="316"/>
        <v>0</v>
      </c>
      <c r="BL552" s="28">
        <f t="shared" si="317"/>
        <v>0</v>
      </c>
      <c r="BM552" s="28">
        <f t="shared" si="318"/>
        <v>0</v>
      </c>
      <c r="BN552" s="28">
        <f t="shared" si="319"/>
        <v>0</v>
      </c>
      <c r="BO552" s="28">
        <f t="shared" si="320"/>
        <v>0</v>
      </c>
      <c r="BP552" s="28">
        <f t="shared" si="321"/>
        <v>0</v>
      </c>
      <c r="BQ552" s="3439">
        <f t="shared" si="322"/>
        <v>0</v>
      </c>
      <c r="BR552" s="3439">
        <f t="shared" si="323"/>
        <v>0</v>
      </c>
      <c r="BS552" s="3439">
        <f t="shared" si="324"/>
        <v>0</v>
      </c>
      <c r="BT552" s="3451">
        <f t="shared" si="325"/>
        <v>0</v>
      </c>
    </row>
    <row r="553" spans="1:72">
      <c r="A553" s="9"/>
      <c r="B553" s="27"/>
      <c r="C553" s="27"/>
      <c r="D553" s="1678"/>
      <c r="E553" s="28">
        <f t="shared" si="326"/>
        <v>0</v>
      </c>
      <c r="F553" s="29"/>
      <c r="G553" s="30">
        <f t="shared" ref="G553:G584" si="327">H553+AC553+AT553</f>
        <v>0</v>
      </c>
      <c r="H553" s="31">
        <f t="shared" ref="H553:H584" si="328">SUMIF(I$12:AB$12,"总值",I553:AB553)</f>
        <v>0</v>
      </c>
      <c r="I553" s="32"/>
      <c r="J553" s="32"/>
      <c r="K553" s="32"/>
      <c r="L553" s="32"/>
      <c r="M553" s="32"/>
      <c r="N553" s="32"/>
      <c r="O553" s="32"/>
      <c r="P553" s="32"/>
      <c r="Q553" s="32"/>
      <c r="R553" s="32"/>
      <c r="S553" s="32"/>
      <c r="T553" s="32"/>
      <c r="U553" s="32"/>
      <c r="V553" s="32"/>
      <c r="W553" s="32"/>
      <c r="X553" s="32"/>
      <c r="Y553" s="32"/>
      <c r="Z553" s="32"/>
      <c r="AA553" s="32"/>
      <c r="AB553" s="32"/>
      <c r="AC553" s="28">
        <f t="shared" ref="AC553:AC584" si="329">SUMIF(AD$12:AS$12,"总值",AD553:AS553)</f>
        <v>0</v>
      </c>
      <c r="AD553" s="33"/>
      <c r="AE553" s="33"/>
      <c r="AF553" s="33"/>
      <c r="AG553" s="33"/>
      <c r="AH553" s="33"/>
      <c r="AI553" s="33"/>
      <c r="AJ553" s="33"/>
      <c r="AK553" s="33"/>
      <c r="AL553" s="33"/>
      <c r="AM553" s="33"/>
      <c r="AN553" s="33"/>
      <c r="AO553" s="33"/>
      <c r="AP553" s="33"/>
      <c r="AQ553" s="33"/>
      <c r="AR553" s="33"/>
      <c r="AS553" s="33"/>
      <c r="AT553" s="34"/>
      <c r="AU553" s="1679"/>
      <c r="AV553" s="2256">
        <f t="shared" ref="AV553:AV587" si="330">A553</f>
        <v>0</v>
      </c>
      <c r="AW553" s="2256">
        <f t="shared" ref="AW553:AW587" si="331">B553</f>
        <v>0</v>
      </c>
      <c r="AX553" s="2256">
        <f t="shared" ref="AX553:AX587" si="332">C553</f>
        <v>0</v>
      </c>
      <c r="AY553" s="2781">
        <f t="shared" ref="AY553:AY584" si="333">ROUND($AY$6*AZ553/$AZ$5,2)</f>
        <v>0</v>
      </c>
      <c r="AZ553" s="28">
        <f t="shared" ref="AZ553:AZ584" si="334">BA553+BL553</f>
        <v>0</v>
      </c>
      <c r="BA553" s="28">
        <f t="shared" ref="BA553:BA584" si="335">SUM(BB553:BK553)</f>
        <v>0</v>
      </c>
      <c r="BB553" s="28">
        <f t="shared" ref="BB553:BB584" si="336">IF($D553="是",I553-J553,0)</f>
        <v>0</v>
      </c>
      <c r="BC553" s="28">
        <f t="shared" ref="BC553:BC584" si="337">IF($D553="是",K553-L553,0)</f>
        <v>0</v>
      </c>
      <c r="BD553" s="3439">
        <f t="shared" ref="BD553:BD584" si="338">IF($D553="是",M553-N553,0)</f>
        <v>0</v>
      </c>
      <c r="BE553" s="3439">
        <f t="shared" ref="BE553:BE584" si="339">IF($D553="是",O553-P553,0)</f>
        <v>0</v>
      </c>
      <c r="BF553" s="3439">
        <f t="shared" ref="BF553:BF584" si="340">IF($D553="是",Q553-R553,0)</f>
        <v>0</v>
      </c>
      <c r="BG553" s="3439">
        <f t="shared" ref="BG553:BG584" si="341">IF($D553="是",S553-T553,0)</f>
        <v>0</v>
      </c>
      <c r="BH553" s="3439">
        <f t="shared" ref="BH553:BH584" si="342">IF($D553="是",U553-V553,0)</f>
        <v>0</v>
      </c>
      <c r="BI553" s="3439">
        <f t="shared" ref="BI553:BI584" si="343">IF($D553="是",W553-X553,0)</f>
        <v>0</v>
      </c>
      <c r="BJ553" s="3439">
        <f t="shared" ref="BJ553:BJ584" si="344">IF($D553="是",Y553-Z553,0)</f>
        <v>0</v>
      </c>
      <c r="BK553" s="3439">
        <f t="shared" ref="BK553:BK584" si="345">IF($D553="是",AA553-AB553,0)</f>
        <v>0</v>
      </c>
      <c r="BL553" s="28">
        <f t="shared" ref="BL553:BL584" si="346">SUM(BM553:BT553)</f>
        <v>0</v>
      </c>
      <c r="BM553" s="28">
        <f t="shared" ref="BM553:BM584" si="347">IF($D553="是",AD553-AE553,0)</f>
        <v>0</v>
      </c>
      <c r="BN553" s="28">
        <f t="shared" ref="BN553:BN584" si="348">IF($D553="是",AF553-AG553,0)</f>
        <v>0</v>
      </c>
      <c r="BO553" s="28">
        <f t="shared" ref="BO553:BO584" si="349">IF($D553="是",AH553-AI553,0)</f>
        <v>0</v>
      </c>
      <c r="BP553" s="28">
        <f t="shared" ref="BP553:BP584" si="350">IF($D553="是",AJ553-AK553,0)</f>
        <v>0</v>
      </c>
      <c r="BQ553" s="3439">
        <f t="shared" ref="BQ553:BQ584" si="351">IF($D553="是",AL553-AM553,0)</f>
        <v>0</v>
      </c>
      <c r="BR553" s="3439">
        <f t="shared" ref="BR553:BR584" si="352">IF($D553="是",AN553-AO553,0)</f>
        <v>0</v>
      </c>
      <c r="BS553" s="3439">
        <f t="shared" ref="BS553:BS584" si="353">IF($D553="是",AP553-AQ553,0)</f>
        <v>0</v>
      </c>
      <c r="BT553" s="3451">
        <f t="shared" ref="BT553:BT584" si="354">IF($D553="是",AR553-AS553,0)</f>
        <v>0</v>
      </c>
    </row>
    <row r="554" spans="1:72">
      <c r="A554" s="9"/>
      <c r="B554" s="27"/>
      <c r="C554" s="27"/>
      <c r="D554" s="1678"/>
      <c r="E554" s="28">
        <f t="shared" si="326"/>
        <v>0</v>
      </c>
      <c r="F554" s="29"/>
      <c r="G554" s="30">
        <f t="shared" si="327"/>
        <v>0</v>
      </c>
      <c r="H554" s="31">
        <f t="shared" si="328"/>
        <v>0</v>
      </c>
      <c r="I554" s="32"/>
      <c r="J554" s="32"/>
      <c r="K554" s="32"/>
      <c r="L554" s="32"/>
      <c r="M554" s="32"/>
      <c r="N554" s="32"/>
      <c r="O554" s="32"/>
      <c r="P554" s="32"/>
      <c r="Q554" s="32"/>
      <c r="R554" s="32"/>
      <c r="S554" s="32"/>
      <c r="T554" s="32"/>
      <c r="U554" s="32"/>
      <c r="V554" s="32"/>
      <c r="W554" s="32"/>
      <c r="X554" s="32"/>
      <c r="Y554" s="32"/>
      <c r="Z554" s="32"/>
      <c r="AA554" s="32"/>
      <c r="AB554" s="32"/>
      <c r="AC554" s="28">
        <f t="shared" si="329"/>
        <v>0</v>
      </c>
      <c r="AD554" s="33"/>
      <c r="AE554" s="33"/>
      <c r="AF554" s="33"/>
      <c r="AG554" s="33"/>
      <c r="AH554" s="33"/>
      <c r="AI554" s="33"/>
      <c r="AJ554" s="33"/>
      <c r="AK554" s="33"/>
      <c r="AL554" s="33"/>
      <c r="AM554" s="33"/>
      <c r="AN554" s="33"/>
      <c r="AO554" s="33"/>
      <c r="AP554" s="33"/>
      <c r="AQ554" s="33"/>
      <c r="AR554" s="33"/>
      <c r="AS554" s="33"/>
      <c r="AT554" s="34"/>
      <c r="AU554" s="1679"/>
      <c r="AV554" s="2256">
        <f t="shared" si="330"/>
        <v>0</v>
      </c>
      <c r="AW554" s="2256">
        <f t="shared" si="331"/>
        <v>0</v>
      </c>
      <c r="AX554" s="2256">
        <f t="shared" si="332"/>
        <v>0</v>
      </c>
      <c r="AY554" s="2781">
        <f t="shared" si="333"/>
        <v>0</v>
      </c>
      <c r="AZ554" s="28">
        <f t="shared" si="334"/>
        <v>0</v>
      </c>
      <c r="BA554" s="28">
        <f t="shared" si="335"/>
        <v>0</v>
      </c>
      <c r="BB554" s="28">
        <f t="shared" si="336"/>
        <v>0</v>
      </c>
      <c r="BC554" s="28">
        <f t="shared" si="337"/>
        <v>0</v>
      </c>
      <c r="BD554" s="3439">
        <f t="shared" si="338"/>
        <v>0</v>
      </c>
      <c r="BE554" s="3439">
        <f t="shared" si="339"/>
        <v>0</v>
      </c>
      <c r="BF554" s="3439">
        <f t="shared" si="340"/>
        <v>0</v>
      </c>
      <c r="BG554" s="3439">
        <f t="shared" si="341"/>
        <v>0</v>
      </c>
      <c r="BH554" s="3439">
        <f t="shared" si="342"/>
        <v>0</v>
      </c>
      <c r="BI554" s="3439">
        <f t="shared" si="343"/>
        <v>0</v>
      </c>
      <c r="BJ554" s="3439">
        <f t="shared" si="344"/>
        <v>0</v>
      </c>
      <c r="BK554" s="3439">
        <f t="shared" si="345"/>
        <v>0</v>
      </c>
      <c r="BL554" s="28">
        <f t="shared" si="346"/>
        <v>0</v>
      </c>
      <c r="BM554" s="28">
        <f t="shared" si="347"/>
        <v>0</v>
      </c>
      <c r="BN554" s="28">
        <f t="shared" si="348"/>
        <v>0</v>
      </c>
      <c r="BO554" s="28">
        <f t="shared" si="349"/>
        <v>0</v>
      </c>
      <c r="BP554" s="28">
        <f t="shared" si="350"/>
        <v>0</v>
      </c>
      <c r="BQ554" s="3439">
        <f t="shared" si="351"/>
        <v>0</v>
      </c>
      <c r="BR554" s="3439">
        <f t="shared" si="352"/>
        <v>0</v>
      </c>
      <c r="BS554" s="3439">
        <f t="shared" si="353"/>
        <v>0</v>
      </c>
      <c r="BT554" s="3451">
        <f t="shared" si="354"/>
        <v>0</v>
      </c>
    </row>
    <row r="555" spans="1:72">
      <c r="A555" s="9"/>
      <c r="B555" s="27"/>
      <c r="C555" s="27"/>
      <c r="D555" s="1678"/>
      <c r="E555" s="28">
        <f t="shared" si="326"/>
        <v>0</v>
      </c>
      <c r="F555" s="29"/>
      <c r="G555" s="30">
        <f t="shared" si="327"/>
        <v>0</v>
      </c>
      <c r="H555" s="31">
        <f t="shared" si="328"/>
        <v>0</v>
      </c>
      <c r="I555" s="32"/>
      <c r="J555" s="32"/>
      <c r="K555" s="32"/>
      <c r="L555" s="32"/>
      <c r="M555" s="32"/>
      <c r="N555" s="32"/>
      <c r="O555" s="32"/>
      <c r="P555" s="32"/>
      <c r="Q555" s="32"/>
      <c r="R555" s="32"/>
      <c r="S555" s="32"/>
      <c r="T555" s="32"/>
      <c r="U555" s="32"/>
      <c r="V555" s="32"/>
      <c r="W555" s="32"/>
      <c r="X555" s="32"/>
      <c r="Y555" s="32"/>
      <c r="Z555" s="32"/>
      <c r="AA555" s="32"/>
      <c r="AB555" s="32"/>
      <c r="AC555" s="28">
        <f t="shared" si="329"/>
        <v>0</v>
      </c>
      <c r="AD555" s="33"/>
      <c r="AE555" s="33"/>
      <c r="AF555" s="33"/>
      <c r="AG555" s="33"/>
      <c r="AH555" s="33"/>
      <c r="AI555" s="33"/>
      <c r="AJ555" s="33"/>
      <c r="AK555" s="33"/>
      <c r="AL555" s="33"/>
      <c r="AM555" s="33"/>
      <c r="AN555" s="33"/>
      <c r="AO555" s="33"/>
      <c r="AP555" s="33"/>
      <c r="AQ555" s="33"/>
      <c r="AR555" s="33"/>
      <c r="AS555" s="33"/>
      <c r="AT555" s="34"/>
      <c r="AU555" s="1679"/>
      <c r="AV555" s="2256">
        <f t="shared" si="330"/>
        <v>0</v>
      </c>
      <c r="AW555" s="2256">
        <f t="shared" si="331"/>
        <v>0</v>
      </c>
      <c r="AX555" s="2256">
        <f t="shared" si="332"/>
        <v>0</v>
      </c>
      <c r="AY555" s="2781">
        <f t="shared" si="333"/>
        <v>0</v>
      </c>
      <c r="AZ555" s="28">
        <f t="shared" si="334"/>
        <v>0</v>
      </c>
      <c r="BA555" s="28">
        <f t="shared" si="335"/>
        <v>0</v>
      </c>
      <c r="BB555" s="28">
        <f t="shared" si="336"/>
        <v>0</v>
      </c>
      <c r="BC555" s="28">
        <f t="shared" si="337"/>
        <v>0</v>
      </c>
      <c r="BD555" s="3439">
        <f t="shared" si="338"/>
        <v>0</v>
      </c>
      <c r="BE555" s="3439">
        <f t="shared" si="339"/>
        <v>0</v>
      </c>
      <c r="BF555" s="3439">
        <f t="shared" si="340"/>
        <v>0</v>
      </c>
      <c r="BG555" s="3439">
        <f t="shared" si="341"/>
        <v>0</v>
      </c>
      <c r="BH555" s="3439">
        <f t="shared" si="342"/>
        <v>0</v>
      </c>
      <c r="BI555" s="3439">
        <f t="shared" si="343"/>
        <v>0</v>
      </c>
      <c r="BJ555" s="3439">
        <f t="shared" si="344"/>
        <v>0</v>
      </c>
      <c r="BK555" s="3439">
        <f t="shared" si="345"/>
        <v>0</v>
      </c>
      <c r="BL555" s="28">
        <f t="shared" si="346"/>
        <v>0</v>
      </c>
      <c r="BM555" s="28">
        <f t="shared" si="347"/>
        <v>0</v>
      </c>
      <c r="BN555" s="28">
        <f t="shared" si="348"/>
        <v>0</v>
      </c>
      <c r="BO555" s="28">
        <f t="shared" si="349"/>
        <v>0</v>
      </c>
      <c r="BP555" s="28">
        <f t="shared" si="350"/>
        <v>0</v>
      </c>
      <c r="BQ555" s="3439">
        <f t="shared" si="351"/>
        <v>0</v>
      </c>
      <c r="BR555" s="3439">
        <f t="shared" si="352"/>
        <v>0</v>
      </c>
      <c r="BS555" s="3439">
        <f t="shared" si="353"/>
        <v>0</v>
      </c>
      <c r="BT555" s="3451">
        <f t="shared" si="354"/>
        <v>0</v>
      </c>
    </row>
    <row r="556" spans="1:72">
      <c r="A556" s="9"/>
      <c r="B556" s="27"/>
      <c r="C556" s="27"/>
      <c r="D556" s="1678"/>
      <c r="E556" s="28">
        <f t="shared" si="326"/>
        <v>0</v>
      </c>
      <c r="F556" s="29"/>
      <c r="G556" s="30">
        <f t="shared" si="327"/>
        <v>0</v>
      </c>
      <c r="H556" s="31">
        <f t="shared" si="328"/>
        <v>0</v>
      </c>
      <c r="I556" s="32"/>
      <c r="J556" s="32"/>
      <c r="K556" s="32"/>
      <c r="L556" s="32"/>
      <c r="M556" s="32"/>
      <c r="N556" s="32"/>
      <c r="O556" s="32"/>
      <c r="P556" s="32"/>
      <c r="Q556" s="32"/>
      <c r="R556" s="32"/>
      <c r="S556" s="32"/>
      <c r="T556" s="32"/>
      <c r="U556" s="32"/>
      <c r="V556" s="32"/>
      <c r="W556" s="32"/>
      <c r="X556" s="32"/>
      <c r="Y556" s="32"/>
      <c r="Z556" s="32"/>
      <c r="AA556" s="32"/>
      <c r="AB556" s="32"/>
      <c r="AC556" s="28">
        <f t="shared" si="329"/>
        <v>0</v>
      </c>
      <c r="AD556" s="33"/>
      <c r="AE556" s="33"/>
      <c r="AF556" s="33"/>
      <c r="AG556" s="33"/>
      <c r="AH556" s="33"/>
      <c r="AI556" s="33"/>
      <c r="AJ556" s="33"/>
      <c r="AK556" s="33"/>
      <c r="AL556" s="33"/>
      <c r="AM556" s="33"/>
      <c r="AN556" s="33"/>
      <c r="AO556" s="33"/>
      <c r="AP556" s="33"/>
      <c r="AQ556" s="33"/>
      <c r="AR556" s="33"/>
      <c r="AS556" s="33"/>
      <c r="AT556" s="34"/>
      <c r="AU556" s="1679"/>
      <c r="AV556" s="2256">
        <f t="shared" si="330"/>
        <v>0</v>
      </c>
      <c r="AW556" s="2256">
        <f t="shared" si="331"/>
        <v>0</v>
      </c>
      <c r="AX556" s="2256">
        <f t="shared" si="332"/>
        <v>0</v>
      </c>
      <c r="AY556" s="2781">
        <f t="shared" si="333"/>
        <v>0</v>
      </c>
      <c r="AZ556" s="28">
        <f t="shared" si="334"/>
        <v>0</v>
      </c>
      <c r="BA556" s="28">
        <f t="shared" si="335"/>
        <v>0</v>
      </c>
      <c r="BB556" s="28">
        <f t="shared" si="336"/>
        <v>0</v>
      </c>
      <c r="BC556" s="28">
        <f t="shared" si="337"/>
        <v>0</v>
      </c>
      <c r="BD556" s="3439">
        <f t="shared" si="338"/>
        <v>0</v>
      </c>
      <c r="BE556" s="3439">
        <f t="shared" si="339"/>
        <v>0</v>
      </c>
      <c r="BF556" s="3439">
        <f t="shared" si="340"/>
        <v>0</v>
      </c>
      <c r="BG556" s="3439">
        <f t="shared" si="341"/>
        <v>0</v>
      </c>
      <c r="BH556" s="3439">
        <f t="shared" si="342"/>
        <v>0</v>
      </c>
      <c r="BI556" s="3439">
        <f t="shared" si="343"/>
        <v>0</v>
      </c>
      <c r="BJ556" s="3439">
        <f t="shared" si="344"/>
        <v>0</v>
      </c>
      <c r="BK556" s="3439">
        <f t="shared" si="345"/>
        <v>0</v>
      </c>
      <c r="BL556" s="28">
        <f t="shared" si="346"/>
        <v>0</v>
      </c>
      <c r="BM556" s="28">
        <f t="shared" si="347"/>
        <v>0</v>
      </c>
      <c r="BN556" s="28">
        <f t="shared" si="348"/>
        <v>0</v>
      </c>
      <c r="BO556" s="28">
        <f t="shared" si="349"/>
        <v>0</v>
      </c>
      <c r="BP556" s="28">
        <f t="shared" si="350"/>
        <v>0</v>
      </c>
      <c r="BQ556" s="3439">
        <f t="shared" si="351"/>
        <v>0</v>
      </c>
      <c r="BR556" s="3439">
        <f t="shared" si="352"/>
        <v>0</v>
      </c>
      <c r="BS556" s="3439">
        <f t="shared" si="353"/>
        <v>0</v>
      </c>
      <c r="BT556" s="3451">
        <f t="shared" si="354"/>
        <v>0</v>
      </c>
    </row>
    <row r="557" spans="1:72">
      <c r="A557" s="9"/>
      <c r="B557" s="27"/>
      <c r="C557" s="27"/>
      <c r="D557" s="1678"/>
      <c r="E557" s="28">
        <f t="shared" si="326"/>
        <v>0</v>
      </c>
      <c r="F557" s="29"/>
      <c r="G557" s="30">
        <f t="shared" si="327"/>
        <v>0</v>
      </c>
      <c r="H557" s="31">
        <f t="shared" si="328"/>
        <v>0</v>
      </c>
      <c r="I557" s="32"/>
      <c r="J557" s="32"/>
      <c r="K557" s="32"/>
      <c r="L557" s="32"/>
      <c r="M557" s="32"/>
      <c r="N557" s="32"/>
      <c r="O557" s="32"/>
      <c r="P557" s="32"/>
      <c r="Q557" s="32"/>
      <c r="R557" s="32"/>
      <c r="S557" s="32"/>
      <c r="T557" s="32"/>
      <c r="U557" s="32"/>
      <c r="V557" s="32"/>
      <c r="W557" s="32"/>
      <c r="X557" s="32"/>
      <c r="Y557" s="32"/>
      <c r="Z557" s="32"/>
      <c r="AA557" s="32"/>
      <c r="AB557" s="32"/>
      <c r="AC557" s="28">
        <f t="shared" si="329"/>
        <v>0</v>
      </c>
      <c r="AD557" s="33"/>
      <c r="AE557" s="33"/>
      <c r="AF557" s="33"/>
      <c r="AG557" s="33"/>
      <c r="AH557" s="33"/>
      <c r="AI557" s="33"/>
      <c r="AJ557" s="33"/>
      <c r="AK557" s="33"/>
      <c r="AL557" s="33"/>
      <c r="AM557" s="33"/>
      <c r="AN557" s="33"/>
      <c r="AO557" s="33"/>
      <c r="AP557" s="33"/>
      <c r="AQ557" s="33"/>
      <c r="AR557" s="33"/>
      <c r="AS557" s="33"/>
      <c r="AT557" s="34"/>
      <c r="AU557" s="1679"/>
      <c r="AV557" s="2256">
        <f t="shared" si="330"/>
        <v>0</v>
      </c>
      <c r="AW557" s="2256">
        <f t="shared" si="331"/>
        <v>0</v>
      </c>
      <c r="AX557" s="2256">
        <f t="shared" si="332"/>
        <v>0</v>
      </c>
      <c r="AY557" s="2781">
        <f t="shared" si="333"/>
        <v>0</v>
      </c>
      <c r="AZ557" s="28">
        <f t="shared" si="334"/>
        <v>0</v>
      </c>
      <c r="BA557" s="28">
        <f t="shared" si="335"/>
        <v>0</v>
      </c>
      <c r="BB557" s="28">
        <f t="shared" si="336"/>
        <v>0</v>
      </c>
      <c r="BC557" s="28">
        <f t="shared" si="337"/>
        <v>0</v>
      </c>
      <c r="BD557" s="3439">
        <f t="shared" si="338"/>
        <v>0</v>
      </c>
      <c r="BE557" s="3439">
        <f t="shared" si="339"/>
        <v>0</v>
      </c>
      <c r="BF557" s="3439">
        <f t="shared" si="340"/>
        <v>0</v>
      </c>
      <c r="BG557" s="3439">
        <f t="shared" si="341"/>
        <v>0</v>
      </c>
      <c r="BH557" s="3439">
        <f t="shared" si="342"/>
        <v>0</v>
      </c>
      <c r="BI557" s="3439">
        <f t="shared" si="343"/>
        <v>0</v>
      </c>
      <c r="BJ557" s="3439">
        <f t="shared" si="344"/>
        <v>0</v>
      </c>
      <c r="BK557" s="3439">
        <f t="shared" si="345"/>
        <v>0</v>
      </c>
      <c r="BL557" s="28">
        <f t="shared" si="346"/>
        <v>0</v>
      </c>
      <c r="BM557" s="28">
        <f t="shared" si="347"/>
        <v>0</v>
      </c>
      <c r="BN557" s="28">
        <f t="shared" si="348"/>
        <v>0</v>
      </c>
      <c r="BO557" s="28">
        <f t="shared" si="349"/>
        <v>0</v>
      </c>
      <c r="BP557" s="28">
        <f t="shared" si="350"/>
        <v>0</v>
      </c>
      <c r="BQ557" s="3439">
        <f t="shared" si="351"/>
        <v>0</v>
      </c>
      <c r="BR557" s="3439">
        <f t="shared" si="352"/>
        <v>0</v>
      </c>
      <c r="BS557" s="3439">
        <f t="shared" si="353"/>
        <v>0</v>
      </c>
      <c r="BT557" s="3451">
        <f t="shared" si="354"/>
        <v>0</v>
      </c>
    </row>
    <row r="558" spans="1:72">
      <c r="A558" s="9"/>
      <c r="B558" s="27"/>
      <c r="C558" s="27"/>
      <c r="D558" s="1678"/>
      <c r="E558" s="28">
        <f t="shared" si="326"/>
        <v>0</v>
      </c>
      <c r="F558" s="29"/>
      <c r="G558" s="30">
        <f t="shared" si="327"/>
        <v>0</v>
      </c>
      <c r="H558" s="31">
        <f t="shared" si="328"/>
        <v>0</v>
      </c>
      <c r="I558" s="32"/>
      <c r="J558" s="32"/>
      <c r="K558" s="32"/>
      <c r="L558" s="32"/>
      <c r="M558" s="32"/>
      <c r="N558" s="32"/>
      <c r="O558" s="32"/>
      <c r="P558" s="32"/>
      <c r="Q558" s="32"/>
      <c r="R558" s="32"/>
      <c r="S558" s="32"/>
      <c r="T558" s="32"/>
      <c r="U558" s="32"/>
      <c r="V558" s="32"/>
      <c r="W558" s="32"/>
      <c r="X558" s="32"/>
      <c r="Y558" s="32"/>
      <c r="Z558" s="32"/>
      <c r="AA558" s="32"/>
      <c r="AB558" s="32"/>
      <c r="AC558" s="28">
        <f t="shared" si="329"/>
        <v>0</v>
      </c>
      <c r="AD558" s="33"/>
      <c r="AE558" s="33"/>
      <c r="AF558" s="33"/>
      <c r="AG558" s="33"/>
      <c r="AH558" s="33"/>
      <c r="AI558" s="33"/>
      <c r="AJ558" s="33"/>
      <c r="AK558" s="33"/>
      <c r="AL558" s="33"/>
      <c r="AM558" s="33"/>
      <c r="AN558" s="33"/>
      <c r="AO558" s="33"/>
      <c r="AP558" s="33"/>
      <c r="AQ558" s="33"/>
      <c r="AR558" s="33"/>
      <c r="AS558" s="33"/>
      <c r="AT558" s="34"/>
      <c r="AU558" s="1679"/>
      <c r="AV558" s="2256">
        <f t="shared" si="330"/>
        <v>0</v>
      </c>
      <c r="AW558" s="2256">
        <f t="shared" si="331"/>
        <v>0</v>
      </c>
      <c r="AX558" s="2256">
        <f t="shared" si="332"/>
        <v>0</v>
      </c>
      <c r="AY558" s="2781">
        <f t="shared" si="333"/>
        <v>0</v>
      </c>
      <c r="AZ558" s="28">
        <f t="shared" si="334"/>
        <v>0</v>
      </c>
      <c r="BA558" s="28">
        <f t="shared" si="335"/>
        <v>0</v>
      </c>
      <c r="BB558" s="28">
        <f t="shared" si="336"/>
        <v>0</v>
      </c>
      <c r="BC558" s="28">
        <f t="shared" si="337"/>
        <v>0</v>
      </c>
      <c r="BD558" s="3439">
        <f t="shared" si="338"/>
        <v>0</v>
      </c>
      <c r="BE558" s="3439">
        <f t="shared" si="339"/>
        <v>0</v>
      </c>
      <c r="BF558" s="3439">
        <f t="shared" si="340"/>
        <v>0</v>
      </c>
      <c r="BG558" s="3439">
        <f t="shared" si="341"/>
        <v>0</v>
      </c>
      <c r="BH558" s="3439">
        <f t="shared" si="342"/>
        <v>0</v>
      </c>
      <c r="BI558" s="3439">
        <f t="shared" si="343"/>
        <v>0</v>
      </c>
      <c r="BJ558" s="3439">
        <f t="shared" si="344"/>
        <v>0</v>
      </c>
      <c r="BK558" s="3439">
        <f t="shared" si="345"/>
        <v>0</v>
      </c>
      <c r="BL558" s="28">
        <f t="shared" si="346"/>
        <v>0</v>
      </c>
      <c r="BM558" s="28">
        <f t="shared" si="347"/>
        <v>0</v>
      </c>
      <c r="BN558" s="28">
        <f t="shared" si="348"/>
        <v>0</v>
      </c>
      <c r="BO558" s="28">
        <f t="shared" si="349"/>
        <v>0</v>
      </c>
      <c r="BP558" s="28">
        <f t="shared" si="350"/>
        <v>0</v>
      </c>
      <c r="BQ558" s="3439">
        <f t="shared" si="351"/>
        <v>0</v>
      </c>
      <c r="BR558" s="3439">
        <f t="shared" si="352"/>
        <v>0</v>
      </c>
      <c r="BS558" s="3439">
        <f t="shared" si="353"/>
        <v>0</v>
      </c>
      <c r="BT558" s="3451">
        <f t="shared" si="354"/>
        <v>0</v>
      </c>
    </row>
    <row r="559" spans="1:72">
      <c r="A559" s="9"/>
      <c r="B559" s="27"/>
      <c r="C559" s="27"/>
      <c r="D559" s="1678"/>
      <c r="E559" s="28">
        <f t="shared" si="326"/>
        <v>0</v>
      </c>
      <c r="F559" s="29"/>
      <c r="G559" s="30">
        <f t="shared" si="327"/>
        <v>0</v>
      </c>
      <c r="H559" s="31">
        <f t="shared" si="328"/>
        <v>0</v>
      </c>
      <c r="I559" s="32"/>
      <c r="J559" s="32"/>
      <c r="K559" s="32"/>
      <c r="L559" s="32"/>
      <c r="M559" s="32"/>
      <c r="N559" s="32"/>
      <c r="O559" s="32"/>
      <c r="P559" s="32"/>
      <c r="Q559" s="32"/>
      <c r="R559" s="32"/>
      <c r="S559" s="32"/>
      <c r="T559" s="32"/>
      <c r="U559" s="32"/>
      <c r="V559" s="32"/>
      <c r="W559" s="32"/>
      <c r="X559" s="32"/>
      <c r="Y559" s="32"/>
      <c r="Z559" s="32"/>
      <c r="AA559" s="32"/>
      <c r="AB559" s="32"/>
      <c r="AC559" s="28">
        <f t="shared" si="329"/>
        <v>0</v>
      </c>
      <c r="AD559" s="33"/>
      <c r="AE559" s="33"/>
      <c r="AF559" s="33"/>
      <c r="AG559" s="33"/>
      <c r="AH559" s="33"/>
      <c r="AI559" s="33"/>
      <c r="AJ559" s="33"/>
      <c r="AK559" s="33"/>
      <c r="AL559" s="33"/>
      <c r="AM559" s="33"/>
      <c r="AN559" s="33"/>
      <c r="AO559" s="33"/>
      <c r="AP559" s="33"/>
      <c r="AQ559" s="33"/>
      <c r="AR559" s="33"/>
      <c r="AS559" s="33"/>
      <c r="AT559" s="34"/>
      <c r="AU559" s="1679"/>
      <c r="AV559" s="2256">
        <f t="shared" si="330"/>
        <v>0</v>
      </c>
      <c r="AW559" s="2256">
        <f t="shared" si="331"/>
        <v>0</v>
      </c>
      <c r="AX559" s="2256">
        <f t="shared" si="332"/>
        <v>0</v>
      </c>
      <c r="AY559" s="2781">
        <f t="shared" si="333"/>
        <v>0</v>
      </c>
      <c r="AZ559" s="28">
        <f t="shared" si="334"/>
        <v>0</v>
      </c>
      <c r="BA559" s="28">
        <f t="shared" si="335"/>
        <v>0</v>
      </c>
      <c r="BB559" s="28">
        <f t="shared" si="336"/>
        <v>0</v>
      </c>
      <c r="BC559" s="28">
        <f t="shared" si="337"/>
        <v>0</v>
      </c>
      <c r="BD559" s="3439">
        <f t="shared" si="338"/>
        <v>0</v>
      </c>
      <c r="BE559" s="3439">
        <f t="shared" si="339"/>
        <v>0</v>
      </c>
      <c r="BF559" s="3439">
        <f t="shared" si="340"/>
        <v>0</v>
      </c>
      <c r="BG559" s="3439">
        <f t="shared" si="341"/>
        <v>0</v>
      </c>
      <c r="BH559" s="3439">
        <f t="shared" si="342"/>
        <v>0</v>
      </c>
      <c r="BI559" s="3439">
        <f t="shared" si="343"/>
        <v>0</v>
      </c>
      <c r="BJ559" s="3439">
        <f t="shared" si="344"/>
        <v>0</v>
      </c>
      <c r="BK559" s="3439">
        <f t="shared" si="345"/>
        <v>0</v>
      </c>
      <c r="BL559" s="28">
        <f t="shared" si="346"/>
        <v>0</v>
      </c>
      <c r="BM559" s="28">
        <f t="shared" si="347"/>
        <v>0</v>
      </c>
      <c r="BN559" s="28">
        <f t="shared" si="348"/>
        <v>0</v>
      </c>
      <c r="BO559" s="28">
        <f t="shared" si="349"/>
        <v>0</v>
      </c>
      <c r="BP559" s="28">
        <f t="shared" si="350"/>
        <v>0</v>
      </c>
      <c r="BQ559" s="3439">
        <f t="shared" si="351"/>
        <v>0</v>
      </c>
      <c r="BR559" s="3439">
        <f t="shared" si="352"/>
        <v>0</v>
      </c>
      <c r="BS559" s="3439">
        <f t="shared" si="353"/>
        <v>0</v>
      </c>
      <c r="BT559" s="3451">
        <f t="shared" si="354"/>
        <v>0</v>
      </c>
    </row>
    <row r="560" spans="1:72">
      <c r="A560" s="9"/>
      <c r="B560" s="27"/>
      <c r="C560" s="27"/>
      <c r="D560" s="1678"/>
      <c r="E560" s="28">
        <f t="shared" si="326"/>
        <v>0</v>
      </c>
      <c r="F560" s="29"/>
      <c r="G560" s="30">
        <f t="shared" si="327"/>
        <v>0</v>
      </c>
      <c r="H560" s="31">
        <f t="shared" si="328"/>
        <v>0</v>
      </c>
      <c r="I560" s="32"/>
      <c r="J560" s="32"/>
      <c r="K560" s="32"/>
      <c r="L560" s="32"/>
      <c r="M560" s="32"/>
      <c r="N560" s="32"/>
      <c r="O560" s="32"/>
      <c r="P560" s="32"/>
      <c r="Q560" s="32"/>
      <c r="R560" s="32"/>
      <c r="S560" s="32"/>
      <c r="T560" s="32"/>
      <c r="U560" s="32"/>
      <c r="V560" s="32"/>
      <c r="W560" s="32"/>
      <c r="X560" s="32"/>
      <c r="Y560" s="32"/>
      <c r="Z560" s="32"/>
      <c r="AA560" s="32"/>
      <c r="AB560" s="32"/>
      <c r="AC560" s="28">
        <f t="shared" si="329"/>
        <v>0</v>
      </c>
      <c r="AD560" s="33"/>
      <c r="AE560" s="33"/>
      <c r="AF560" s="33"/>
      <c r="AG560" s="33"/>
      <c r="AH560" s="33"/>
      <c r="AI560" s="33"/>
      <c r="AJ560" s="33"/>
      <c r="AK560" s="33"/>
      <c r="AL560" s="33"/>
      <c r="AM560" s="33"/>
      <c r="AN560" s="33"/>
      <c r="AO560" s="33"/>
      <c r="AP560" s="33"/>
      <c r="AQ560" s="33"/>
      <c r="AR560" s="33"/>
      <c r="AS560" s="33"/>
      <c r="AT560" s="34"/>
      <c r="AU560" s="1679"/>
      <c r="AV560" s="2256">
        <f t="shared" si="330"/>
        <v>0</v>
      </c>
      <c r="AW560" s="2256">
        <f t="shared" si="331"/>
        <v>0</v>
      </c>
      <c r="AX560" s="2256">
        <f t="shared" si="332"/>
        <v>0</v>
      </c>
      <c r="AY560" s="2781">
        <f t="shared" si="333"/>
        <v>0</v>
      </c>
      <c r="AZ560" s="28">
        <f t="shared" si="334"/>
        <v>0</v>
      </c>
      <c r="BA560" s="28">
        <f t="shared" si="335"/>
        <v>0</v>
      </c>
      <c r="BB560" s="28">
        <f t="shared" si="336"/>
        <v>0</v>
      </c>
      <c r="BC560" s="28">
        <f t="shared" si="337"/>
        <v>0</v>
      </c>
      <c r="BD560" s="3439">
        <f t="shared" si="338"/>
        <v>0</v>
      </c>
      <c r="BE560" s="3439">
        <f t="shared" si="339"/>
        <v>0</v>
      </c>
      <c r="BF560" s="3439">
        <f t="shared" si="340"/>
        <v>0</v>
      </c>
      <c r="BG560" s="3439">
        <f t="shared" si="341"/>
        <v>0</v>
      </c>
      <c r="BH560" s="3439">
        <f t="shared" si="342"/>
        <v>0</v>
      </c>
      <c r="BI560" s="3439">
        <f t="shared" si="343"/>
        <v>0</v>
      </c>
      <c r="BJ560" s="3439">
        <f t="shared" si="344"/>
        <v>0</v>
      </c>
      <c r="BK560" s="3439">
        <f t="shared" si="345"/>
        <v>0</v>
      </c>
      <c r="BL560" s="28">
        <f t="shared" si="346"/>
        <v>0</v>
      </c>
      <c r="BM560" s="28">
        <f t="shared" si="347"/>
        <v>0</v>
      </c>
      <c r="BN560" s="28">
        <f t="shared" si="348"/>
        <v>0</v>
      </c>
      <c r="BO560" s="28">
        <f t="shared" si="349"/>
        <v>0</v>
      </c>
      <c r="BP560" s="28">
        <f t="shared" si="350"/>
        <v>0</v>
      </c>
      <c r="BQ560" s="3439">
        <f t="shared" si="351"/>
        <v>0</v>
      </c>
      <c r="BR560" s="3439">
        <f t="shared" si="352"/>
        <v>0</v>
      </c>
      <c r="BS560" s="3439">
        <f t="shared" si="353"/>
        <v>0</v>
      </c>
      <c r="BT560" s="3451">
        <f t="shared" si="354"/>
        <v>0</v>
      </c>
    </row>
    <row r="561" spans="1:72">
      <c r="A561" s="9"/>
      <c r="B561" s="27"/>
      <c r="C561" s="27"/>
      <c r="D561" s="1678"/>
      <c r="E561" s="28">
        <f t="shared" si="326"/>
        <v>0</v>
      </c>
      <c r="F561" s="29"/>
      <c r="G561" s="30">
        <f t="shared" si="327"/>
        <v>0</v>
      </c>
      <c r="H561" s="31">
        <f t="shared" si="328"/>
        <v>0</v>
      </c>
      <c r="I561" s="32"/>
      <c r="J561" s="32"/>
      <c r="K561" s="32"/>
      <c r="L561" s="32"/>
      <c r="M561" s="32"/>
      <c r="N561" s="32"/>
      <c r="O561" s="32"/>
      <c r="P561" s="32"/>
      <c r="Q561" s="32"/>
      <c r="R561" s="32"/>
      <c r="S561" s="32"/>
      <c r="T561" s="32"/>
      <c r="U561" s="32"/>
      <c r="V561" s="32"/>
      <c r="W561" s="32"/>
      <c r="X561" s="32"/>
      <c r="Y561" s="32"/>
      <c r="Z561" s="32"/>
      <c r="AA561" s="32"/>
      <c r="AB561" s="32"/>
      <c r="AC561" s="28">
        <f t="shared" si="329"/>
        <v>0</v>
      </c>
      <c r="AD561" s="33"/>
      <c r="AE561" s="33"/>
      <c r="AF561" s="33"/>
      <c r="AG561" s="33"/>
      <c r="AH561" s="33"/>
      <c r="AI561" s="33"/>
      <c r="AJ561" s="33"/>
      <c r="AK561" s="33"/>
      <c r="AL561" s="33"/>
      <c r="AM561" s="33"/>
      <c r="AN561" s="33"/>
      <c r="AO561" s="33"/>
      <c r="AP561" s="33"/>
      <c r="AQ561" s="33"/>
      <c r="AR561" s="33"/>
      <c r="AS561" s="33"/>
      <c r="AT561" s="34"/>
      <c r="AU561" s="1679"/>
      <c r="AV561" s="2256">
        <f t="shared" si="330"/>
        <v>0</v>
      </c>
      <c r="AW561" s="2256">
        <f t="shared" si="331"/>
        <v>0</v>
      </c>
      <c r="AX561" s="2256">
        <f t="shared" si="332"/>
        <v>0</v>
      </c>
      <c r="AY561" s="2781">
        <f t="shared" si="333"/>
        <v>0</v>
      </c>
      <c r="AZ561" s="28">
        <f t="shared" si="334"/>
        <v>0</v>
      </c>
      <c r="BA561" s="28">
        <f t="shared" si="335"/>
        <v>0</v>
      </c>
      <c r="BB561" s="28">
        <f t="shared" si="336"/>
        <v>0</v>
      </c>
      <c r="BC561" s="28">
        <f t="shared" si="337"/>
        <v>0</v>
      </c>
      <c r="BD561" s="3439">
        <f t="shared" si="338"/>
        <v>0</v>
      </c>
      <c r="BE561" s="3439">
        <f t="shared" si="339"/>
        <v>0</v>
      </c>
      <c r="BF561" s="3439">
        <f t="shared" si="340"/>
        <v>0</v>
      </c>
      <c r="BG561" s="3439">
        <f t="shared" si="341"/>
        <v>0</v>
      </c>
      <c r="BH561" s="3439">
        <f t="shared" si="342"/>
        <v>0</v>
      </c>
      <c r="BI561" s="3439">
        <f t="shared" si="343"/>
        <v>0</v>
      </c>
      <c r="BJ561" s="3439">
        <f t="shared" si="344"/>
        <v>0</v>
      </c>
      <c r="BK561" s="3439">
        <f t="shared" si="345"/>
        <v>0</v>
      </c>
      <c r="BL561" s="28">
        <f t="shared" si="346"/>
        <v>0</v>
      </c>
      <c r="BM561" s="28">
        <f t="shared" si="347"/>
        <v>0</v>
      </c>
      <c r="BN561" s="28">
        <f t="shared" si="348"/>
        <v>0</v>
      </c>
      <c r="BO561" s="28">
        <f t="shared" si="349"/>
        <v>0</v>
      </c>
      <c r="BP561" s="28">
        <f t="shared" si="350"/>
        <v>0</v>
      </c>
      <c r="BQ561" s="3439">
        <f t="shared" si="351"/>
        <v>0</v>
      </c>
      <c r="BR561" s="3439">
        <f t="shared" si="352"/>
        <v>0</v>
      </c>
      <c r="BS561" s="3439">
        <f t="shared" si="353"/>
        <v>0</v>
      </c>
      <c r="BT561" s="3451">
        <f t="shared" si="354"/>
        <v>0</v>
      </c>
    </row>
    <row r="562" spans="1:72">
      <c r="A562" s="9"/>
      <c r="B562" s="27"/>
      <c r="C562" s="27"/>
      <c r="D562" s="1678"/>
      <c r="E562" s="28">
        <f t="shared" si="326"/>
        <v>0</v>
      </c>
      <c r="F562" s="29"/>
      <c r="G562" s="30">
        <f t="shared" si="327"/>
        <v>0</v>
      </c>
      <c r="H562" s="31">
        <f t="shared" si="328"/>
        <v>0</v>
      </c>
      <c r="I562" s="32"/>
      <c r="J562" s="32"/>
      <c r="K562" s="32"/>
      <c r="L562" s="32"/>
      <c r="M562" s="32"/>
      <c r="N562" s="32"/>
      <c r="O562" s="32"/>
      <c r="P562" s="32"/>
      <c r="Q562" s="32"/>
      <c r="R562" s="32"/>
      <c r="S562" s="32"/>
      <c r="T562" s="32"/>
      <c r="U562" s="32"/>
      <c r="V562" s="32"/>
      <c r="W562" s="32"/>
      <c r="X562" s="32"/>
      <c r="Y562" s="32"/>
      <c r="Z562" s="32"/>
      <c r="AA562" s="32"/>
      <c r="AB562" s="32"/>
      <c r="AC562" s="28">
        <f t="shared" si="329"/>
        <v>0</v>
      </c>
      <c r="AD562" s="33"/>
      <c r="AE562" s="33"/>
      <c r="AF562" s="33"/>
      <c r="AG562" s="33"/>
      <c r="AH562" s="33"/>
      <c r="AI562" s="33"/>
      <c r="AJ562" s="33"/>
      <c r="AK562" s="33"/>
      <c r="AL562" s="33"/>
      <c r="AM562" s="33"/>
      <c r="AN562" s="33"/>
      <c r="AO562" s="33"/>
      <c r="AP562" s="33"/>
      <c r="AQ562" s="33"/>
      <c r="AR562" s="33"/>
      <c r="AS562" s="33"/>
      <c r="AT562" s="34"/>
      <c r="AU562" s="1679"/>
      <c r="AV562" s="2256">
        <f t="shared" si="330"/>
        <v>0</v>
      </c>
      <c r="AW562" s="2256">
        <f t="shared" si="331"/>
        <v>0</v>
      </c>
      <c r="AX562" s="2256">
        <f t="shared" si="332"/>
        <v>0</v>
      </c>
      <c r="AY562" s="2781">
        <f t="shared" si="333"/>
        <v>0</v>
      </c>
      <c r="AZ562" s="28">
        <f t="shared" si="334"/>
        <v>0</v>
      </c>
      <c r="BA562" s="28">
        <f t="shared" si="335"/>
        <v>0</v>
      </c>
      <c r="BB562" s="28">
        <f t="shared" si="336"/>
        <v>0</v>
      </c>
      <c r="BC562" s="28">
        <f t="shared" si="337"/>
        <v>0</v>
      </c>
      <c r="BD562" s="3439">
        <f t="shared" si="338"/>
        <v>0</v>
      </c>
      <c r="BE562" s="3439">
        <f t="shared" si="339"/>
        <v>0</v>
      </c>
      <c r="BF562" s="3439">
        <f t="shared" si="340"/>
        <v>0</v>
      </c>
      <c r="BG562" s="3439">
        <f t="shared" si="341"/>
        <v>0</v>
      </c>
      <c r="BH562" s="3439">
        <f t="shared" si="342"/>
        <v>0</v>
      </c>
      <c r="BI562" s="3439">
        <f t="shared" si="343"/>
        <v>0</v>
      </c>
      <c r="BJ562" s="3439">
        <f t="shared" si="344"/>
        <v>0</v>
      </c>
      <c r="BK562" s="3439">
        <f t="shared" si="345"/>
        <v>0</v>
      </c>
      <c r="BL562" s="28">
        <f t="shared" si="346"/>
        <v>0</v>
      </c>
      <c r="BM562" s="28">
        <f t="shared" si="347"/>
        <v>0</v>
      </c>
      <c r="BN562" s="28">
        <f t="shared" si="348"/>
        <v>0</v>
      </c>
      <c r="BO562" s="28">
        <f t="shared" si="349"/>
        <v>0</v>
      </c>
      <c r="BP562" s="28">
        <f t="shared" si="350"/>
        <v>0</v>
      </c>
      <c r="BQ562" s="3439">
        <f t="shared" si="351"/>
        <v>0</v>
      </c>
      <c r="BR562" s="3439">
        <f t="shared" si="352"/>
        <v>0</v>
      </c>
      <c r="BS562" s="3439">
        <f t="shared" si="353"/>
        <v>0</v>
      </c>
      <c r="BT562" s="3451">
        <f t="shared" si="354"/>
        <v>0</v>
      </c>
    </row>
    <row r="563" spans="1:72">
      <c r="A563" s="9"/>
      <c r="B563" s="27"/>
      <c r="C563" s="27"/>
      <c r="D563" s="1678"/>
      <c r="E563" s="28">
        <f t="shared" si="326"/>
        <v>0</v>
      </c>
      <c r="F563" s="29"/>
      <c r="G563" s="30">
        <f t="shared" si="327"/>
        <v>0</v>
      </c>
      <c r="H563" s="31">
        <f t="shared" si="328"/>
        <v>0</v>
      </c>
      <c r="I563" s="32"/>
      <c r="J563" s="32"/>
      <c r="K563" s="32"/>
      <c r="L563" s="32"/>
      <c r="M563" s="32"/>
      <c r="N563" s="32"/>
      <c r="O563" s="32"/>
      <c r="P563" s="32"/>
      <c r="Q563" s="32"/>
      <c r="R563" s="32"/>
      <c r="S563" s="32"/>
      <c r="T563" s="32"/>
      <c r="U563" s="32"/>
      <c r="V563" s="32"/>
      <c r="W563" s="32"/>
      <c r="X563" s="32"/>
      <c r="Y563" s="32"/>
      <c r="Z563" s="32"/>
      <c r="AA563" s="32"/>
      <c r="AB563" s="32"/>
      <c r="AC563" s="28">
        <f t="shared" si="329"/>
        <v>0</v>
      </c>
      <c r="AD563" s="33"/>
      <c r="AE563" s="33"/>
      <c r="AF563" s="33"/>
      <c r="AG563" s="33"/>
      <c r="AH563" s="33"/>
      <c r="AI563" s="33"/>
      <c r="AJ563" s="33"/>
      <c r="AK563" s="33"/>
      <c r="AL563" s="33"/>
      <c r="AM563" s="33"/>
      <c r="AN563" s="33"/>
      <c r="AO563" s="33"/>
      <c r="AP563" s="33"/>
      <c r="AQ563" s="33"/>
      <c r="AR563" s="33"/>
      <c r="AS563" s="33"/>
      <c r="AT563" s="34"/>
      <c r="AU563" s="1679"/>
      <c r="AV563" s="2256">
        <f t="shared" si="330"/>
        <v>0</v>
      </c>
      <c r="AW563" s="2256">
        <f t="shared" si="331"/>
        <v>0</v>
      </c>
      <c r="AX563" s="2256">
        <f t="shared" si="332"/>
        <v>0</v>
      </c>
      <c r="AY563" s="2781">
        <f t="shared" si="333"/>
        <v>0</v>
      </c>
      <c r="AZ563" s="28">
        <f t="shared" si="334"/>
        <v>0</v>
      </c>
      <c r="BA563" s="28">
        <f t="shared" si="335"/>
        <v>0</v>
      </c>
      <c r="BB563" s="28">
        <f t="shared" si="336"/>
        <v>0</v>
      </c>
      <c r="BC563" s="28">
        <f t="shared" si="337"/>
        <v>0</v>
      </c>
      <c r="BD563" s="3439">
        <f t="shared" si="338"/>
        <v>0</v>
      </c>
      <c r="BE563" s="3439">
        <f t="shared" si="339"/>
        <v>0</v>
      </c>
      <c r="BF563" s="3439">
        <f t="shared" si="340"/>
        <v>0</v>
      </c>
      <c r="BG563" s="3439">
        <f t="shared" si="341"/>
        <v>0</v>
      </c>
      <c r="BH563" s="3439">
        <f t="shared" si="342"/>
        <v>0</v>
      </c>
      <c r="BI563" s="3439">
        <f t="shared" si="343"/>
        <v>0</v>
      </c>
      <c r="BJ563" s="3439">
        <f t="shared" si="344"/>
        <v>0</v>
      </c>
      <c r="BK563" s="3439">
        <f t="shared" si="345"/>
        <v>0</v>
      </c>
      <c r="BL563" s="28">
        <f t="shared" si="346"/>
        <v>0</v>
      </c>
      <c r="BM563" s="28">
        <f t="shared" si="347"/>
        <v>0</v>
      </c>
      <c r="BN563" s="28">
        <f t="shared" si="348"/>
        <v>0</v>
      </c>
      <c r="BO563" s="28">
        <f t="shared" si="349"/>
        <v>0</v>
      </c>
      <c r="BP563" s="28">
        <f t="shared" si="350"/>
        <v>0</v>
      </c>
      <c r="BQ563" s="3439">
        <f t="shared" si="351"/>
        <v>0</v>
      </c>
      <c r="BR563" s="3439">
        <f t="shared" si="352"/>
        <v>0</v>
      </c>
      <c r="BS563" s="3439">
        <f t="shared" si="353"/>
        <v>0</v>
      </c>
      <c r="BT563" s="3451">
        <f t="shared" si="354"/>
        <v>0</v>
      </c>
    </row>
    <row r="564" spans="1:72">
      <c r="A564" s="9"/>
      <c r="B564" s="27"/>
      <c r="C564" s="27"/>
      <c r="D564" s="1678"/>
      <c r="E564" s="28">
        <f t="shared" si="326"/>
        <v>0</v>
      </c>
      <c r="F564" s="29"/>
      <c r="G564" s="30">
        <f t="shared" si="327"/>
        <v>0</v>
      </c>
      <c r="H564" s="31">
        <f t="shared" si="328"/>
        <v>0</v>
      </c>
      <c r="I564" s="32"/>
      <c r="J564" s="32"/>
      <c r="K564" s="32"/>
      <c r="L564" s="32"/>
      <c r="M564" s="32"/>
      <c r="N564" s="32"/>
      <c r="O564" s="32"/>
      <c r="P564" s="32"/>
      <c r="Q564" s="32"/>
      <c r="R564" s="32"/>
      <c r="S564" s="32"/>
      <c r="T564" s="32"/>
      <c r="U564" s="32"/>
      <c r="V564" s="32"/>
      <c r="W564" s="32"/>
      <c r="X564" s="32"/>
      <c r="Y564" s="32"/>
      <c r="Z564" s="32"/>
      <c r="AA564" s="32"/>
      <c r="AB564" s="32"/>
      <c r="AC564" s="28">
        <f t="shared" si="329"/>
        <v>0</v>
      </c>
      <c r="AD564" s="33"/>
      <c r="AE564" s="33"/>
      <c r="AF564" s="33"/>
      <c r="AG564" s="33"/>
      <c r="AH564" s="33"/>
      <c r="AI564" s="33"/>
      <c r="AJ564" s="33"/>
      <c r="AK564" s="33"/>
      <c r="AL564" s="33"/>
      <c r="AM564" s="33"/>
      <c r="AN564" s="33"/>
      <c r="AO564" s="33"/>
      <c r="AP564" s="33"/>
      <c r="AQ564" s="33"/>
      <c r="AR564" s="33"/>
      <c r="AS564" s="33"/>
      <c r="AT564" s="34"/>
      <c r="AU564" s="1679"/>
      <c r="AV564" s="2256">
        <f t="shared" si="330"/>
        <v>0</v>
      </c>
      <c r="AW564" s="2256">
        <f t="shared" si="331"/>
        <v>0</v>
      </c>
      <c r="AX564" s="2256">
        <f t="shared" si="332"/>
        <v>0</v>
      </c>
      <c r="AY564" s="2781">
        <f t="shared" si="333"/>
        <v>0</v>
      </c>
      <c r="AZ564" s="28">
        <f t="shared" si="334"/>
        <v>0</v>
      </c>
      <c r="BA564" s="28">
        <f t="shared" si="335"/>
        <v>0</v>
      </c>
      <c r="BB564" s="28">
        <f t="shared" si="336"/>
        <v>0</v>
      </c>
      <c r="BC564" s="28">
        <f t="shared" si="337"/>
        <v>0</v>
      </c>
      <c r="BD564" s="3439">
        <f t="shared" si="338"/>
        <v>0</v>
      </c>
      <c r="BE564" s="3439">
        <f t="shared" si="339"/>
        <v>0</v>
      </c>
      <c r="BF564" s="3439">
        <f t="shared" si="340"/>
        <v>0</v>
      </c>
      <c r="BG564" s="3439">
        <f t="shared" si="341"/>
        <v>0</v>
      </c>
      <c r="BH564" s="3439">
        <f t="shared" si="342"/>
        <v>0</v>
      </c>
      <c r="BI564" s="3439">
        <f t="shared" si="343"/>
        <v>0</v>
      </c>
      <c r="BJ564" s="3439">
        <f t="shared" si="344"/>
        <v>0</v>
      </c>
      <c r="BK564" s="3439">
        <f t="shared" si="345"/>
        <v>0</v>
      </c>
      <c r="BL564" s="28">
        <f t="shared" si="346"/>
        <v>0</v>
      </c>
      <c r="BM564" s="28">
        <f t="shared" si="347"/>
        <v>0</v>
      </c>
      <c r="BN564" s="28">
        <f t="shared" si="348"/>
        <v>0</v>
      </c>
      <c r="BO564" s="28">
        <f t="shared" si="349"/>
        <v>0</v>
      </c>
      <c r="BP564" s="28">
        <f t="shared" si="350"/>
        <v>0</v>
      </c>
      <c r="BQ564" s="3439">
        <f t="shared" si="351"/>
        <v>0</v>
      </c>
      <c r="BR564" s="3439">
        <f t="shared" si="352"/>
        <v>0</v>
      </c>
      <c r="BS564" s="3439">
        <f t="shared" si="353"/>
        <v>0</v>
      </c>
      <c r="BT564" s="3451">
        <f t="shared" si="354"/>
        <v>0</v>
      </c>
    </row>
    <row r="565" spans="1:72">
      <c r="A565" s="9"/>
      <c r="B565" s="27"/>
      <c r="C565" s="27"/>
      <c r="D565" s="1678"/>
      <c r="E565" s="28">
        <f t="shared" si="326"/>
        <v>0</v>
      </c>
      <c r="F565" s="29"/>
      <c r="G565" s="30">
        <f t="shared" si="327"/>
        <v>0</v>
      </c>
      <c r="H565" s="31">
        <f t="shared" si="328"/>
        <v>0</v>
      </c>
      <c r="I565" s="32"/>
      <c r="J565" s="32"/>
      <c r="K565" s="32"/>
      <c r="L565" s="32"/>
      <c r="M565" s="32"/>
      <c r="N565" s="32"/>
      <c r="O565" s="32"/>
      <c r="P565" s="32"/>
      <c r="Q565" s="32"/>
      <c r="R565" s="32"/>
      <c r="S565" s="32"/>
      <c r="T565" s="32"/>
      <c r="U565" s="32"/>
      <c r="V565" s="32"/>
      <c r="W565" s="32"/>
      <c r="X565" s="32"/>
      <c r="Y565" s="32"/>
      <c r="Z565" s="32"/>
      <c r="AA565" s="32"/>
      <c r="AB565" s="32"/>
      <c r="AC565" s="28">
        <f t="shared" si="329"/>
        <v>0</v>
      </c>
      <c r="AD565" s="33"/>
      <c r="AE565" s="33"/>
      <c r="AF565" s="33"/>
      <c r="AG565" s="33"/>
      <c r="AH565" s="33"/>
      <c r="AI565" s="33"/>
      <c r="AJ565" s="33"/>
      <c r="AK565" s="33"/>
      <c r="AL565" s="33"/>
      <c r="AM565" s="33"/>
      <c r="AN565" s="33"/>
      <c r="AO565" s="33"/>
      <c r="AP565" s="33"/>
      <c r="AQ565" s="33"/>
      <c r="AR565" s="33"/>
      <c r="AS565" s="33"/>
      <c r="AT565" s="34"/>
      <c r="AU565" s="1679"/>
      <c r="AV565" s="2256">
        <f t="shared" si="330"/>
        <v>0</v>
      </c>
      <c r="AW565" s="2256">
        <f t="shared" si="331"/>
        <v>0</v>
      </c>
      <c r="AX565" s="2256">
        <f t="shared" si="332"/>
        <v>0</v>
      </c>
      <c r="AY565" s="2781">
        <f t="shared" si="333"/>
        <v>0</v>
      </c>
      <c r="AZ565" s="28">
        <f t="shared" si="334"/>
        <v>0</v>
      </c>
      <c r="BA565" s="28">
        <f t="shared" si="335"/>
        <v>0</v>
      </c>
      <c r="BB565" s="28">
        <f t="shared" si="336"/>
        <v>0</v>
      </c>
      <c r="BC565" s="28">
        <f t="shared" si="337"/>
        <v>0</v>
      </c>
      <c r="BD565" s="3439">
        <f t="shared" si="338"/>
        <v>0</v>
      </c>
      <c r="BE565" s="3439">
        <f t="shared" si="339"/>
        <v>0</v>
      </c>
      <c r="BF565" s="3439">
        <f t="shared" si="340"/>
        <v>0</v>
      </c>
      <c r="BG565" s="3439">
        <f t="shared" si="341"/>
        <v>0</v>
      </c>
      <c r="BH565" s="3439">
        <f t="shared" si="342"/>
        <v>0</v>
      </c>
      <c r="BI565" s="3439">
        <f t="shared" si="343"/>
        <v>0</v>
      </c>
      <c r="BJ565" s="3439">
        <f t="shared" si="344"/>
        <v>0</v>
      </c>
      <c r="BK565" s="3439">
        <f t="shared" si="345"/>
        <v>0</v>
      </c>
      <c r="BL565" s="28">
        <f t="shared" si="346"/>
        <v>0</v>
      </c>
      <c r="BM565" s="28">
        <f t="shared" si="347"/>
        <v>0</v>
      </c>
      <c r="BN565" s="28">
        <f t="shared" si="348"/>
        <v>0</v>
      </c>
      <c r="BO565" s="28">
        <f t="shared" si="349"/>
        <v>0</v>
      </c>
      <c r="BP565" s="28">
        <f t="shared" si="350"/>
        <v>0</v>
      </c>
      <c r="BQ565" s="3439">
        <f t="shared" si="351"/>
        <v>0</v>
      </c>
      <c r="BR565" s="3439">
        <f t="shared" si="352"/>
        <v>0</v>
      </c>
      <c r="BS565" s="3439">
        <f t="shared" si="353"/>
        <v>0</v>
      </c>
      <c r="BT565" s="3451">
        <f t="shared" si="354"/>
        <v>0</v>
      </c>
    </row>
    <row r="566" spans="1:72">
      <c r="A566" s="9"/>
      <c r="B566" s="27"/>
      <c r="C566" s="27"/>
      <c r="D566" s="1678"/>
      <c r="E566" s="28">
        <f t="shared" si="326"/>
        <v>0</v>
      </c>
      <c r="F566" s="29"/>
      <c r="G566" s="30">
        <f t="shared" si="327"/>
        <v>0</v>
      </c>
      <c r="H566" s="31">
        <f t="shared" si="328"/>
        <v>0</v>
      </c>
      <c r="I566" s="32"/>
      <c r="J566" s="32"/>
      <c r="K566" s="32"/>
      <c r="L566" s="32"/>
      <c r="M566" s="32"/>
      <c r="N566" s="32"/>
      <c r="O566" s="32"/>
      <c r="P566" s="32"/>
      <c r="Q566" s="32"/>
      <c r="R566" s="32"/>
      <c r="S566" s="32"/>
      <c r="T566" s="32"/>
      <c r="U566" s="32"/>
      <c r="V566" s="32"/>
      <c r="W566" s="32"/>
      <c r="X566" s="32"/>
      <c r="Y566" s="32"/>
      <c r="Z566" s="32"/>
      <c r="AA566" s="32"/>
      <c r="AB566" s="32"/>
      <c r="AC566" s="28">
        <f t="shared" si="329"/>
        <v>0</v>
      </c>
      <c r="AD566" s="33"/>
      <c r="AE566" s="33"/>
      <c r="AF566" s="33"/>
      <c r="AG566" s="33"/>
      <c r="AH566" s="33"/>
      <c r="AI566" s="33"/>
      <c r="AJ566" s="33"/>
      <c r="AK566" s="33"/>
      <c r="AL566" s="33"/>
      <c r="AM566" s="33"/>
      <c r="AN566" s="33"/>
      <c r="AO566" s="33"/>
      <c r="AP566" s="33"/>
      <c r="AQ566" s="33"/>
      <c r="AR566" s="33"/>
      <c r="AS566" s="33"/>
      <c r="AT566" s="34"/>
      <c r="AU566" s="1679"/>
      <c r="AV566" s="2256">
        <f t="shared" si="330"/>
        <v>0</v>
      </c>
      <c r="AW566" s="2256">
        <f t="shared" si="331"/>
        <v>0</v>
      </c>
      <c r="AX566" s="2256">
        <f t="shared" si="332"/>
        <v>0</v>
      </c>
      <c r="AY566" s="2781">
        <f t="shared" si="333"/>
        <v>0</v>
      </c>
      <c r="AZ566" s="28">
        <f t="shared" si="334"/>
        <v>0</v>
      </c>
      <c r="BA566" s="28">
        <f t="shared" si="335"/>
        <v>0</v>
      </c>
      <c r="BB566" s="28">
        <f t="shared" si="336"/>
        <v>0</v>
      </c>
      <c r="BC566" s="28">
        <f t="shared" si="337"/>
        <v>0</v>
      </c>
      <c r="BD566" s="3439">
        <f t="shared" si="338"/>
        <v>0</v>
      </c>
      <c r="BE566" s="3439">
        <f t="shared" si="339"/>
        <v>0</v>
      </c>
      <c r="BF566" s="3439">
        <f t="shared" si="340"/>
        <v>0</v>
      </c>
      <c r="BG566" s="3439">
        <f t="shared" si="341"/>
        <v>0</v>
      </c>
      <c r="BH566" s="3439">
        <f t="shared" si="342"/>
        <v>0</v>
      </c>
      <c r="BI566" s="3439">
        <f t="shared" si="343"/>
        <v>0</v>
      </c>
      <c r="BJ566" s="3439">
        <f t="shared" si="344"/>
        <v>0</v>
      </c>
      <c r="BK566" s="3439">
        <f t="shared" si="345"/>
        <v>0</v>
      </c>
      <c r="BL566" s="28">
        <f t="shared" si="346"/>
        <v>0</v>
      </c>
      <c r="BM566" s="28">
        <f t="shared" si="347"/>
        <v>0</v>
      </c>
      <c r="BN566" s="28">
        <f t="shared" si="348"/>
        <v>0</v>
      </c>
      <c r="BO566" s="28">
        <f t="shared" si="349"/>
        <v>0</v>
      </c>
      <c r="BP566" s="28">
        <f t="shared" si="350"/>
        <v>0</v>
      </c>
      <c r="BQ566" s="3439">
        <f t="shared" si="351"/>
        <v>0</v>
      </c>
      <c r="BR566" s="3439">
        <f t="shared" si="352"/>
        <v>0</v>
      </c>
      <c r="BS566" s="3439">
        <f t="shared" si="353"/>
        <v>0</v>
      </c>
      <c r="BT566" s="3451">
        <f t="shared" si="354"/>
        <v>0</v>
      </c>
    </row>
    <row r="567" spans="1:72">
      <c r="A567" s="9"/>
      <c r="B567" s="27"/>
      <c r="C567" s="27"/>
      <c r="D567" s="1678"/>
      <c r="E567" s="28">
        <f t="shared" si="326"/>
        <v>0</v>
      </c>
      <c r="F567" s="29"/>
      <c r="G567" s="30">
        <f t="shared" si="327"/>
        <v>0</v>
      </c>
      <c r="H567" s="31">
        <f t="shared" si="328"/>
        <v>0</v>
      </c>
      <c r="I567" s="32"/>
      <c r="J567" s="32"/>
      <c r="K567" s="32"/>
      <c r="L567" s="32"/>
      <c r="M567" s="32"/>
      <c r="N567" s="32"/>
      <c r="O567" s="32"/>
      <c r="P567" s="32"/>
      <c r="Q567" s="32"/>
      <c r="R567" s="32"/>
      <c r="S567" s="32"/>
      <c r="T567" s="32"/>
      <c r="U567" s="32"/>
      <c r="V567" s="32"/>
      <c r="W567" s="32"/>
      <c r="X567" s="32"/>
      <c r="Y567" s="32"/>
      <c r="Z567" s="32"/>
      <c r="AA567" s="32"/>
      <c r="AB567" s="32"/>
      <c r="AC567" s="28">
        <f t="shared" si="329"/>
        <v>0</v>
      </c>
      <c r="AD567" s="33"/>
      <c r="AE567" s="33"/>
      <c r="AF567" s="33"/>
      <c r="AG567" s="33"/>
      <c r="AH567" s="33"/>
      <c r="AI567" s="33"/>
      <c r="AJ567" s="33"/>
      <c r="AK567" s="33"/>
      <c r="AL567" s="33"/>
      <c r="AM567" s="33"/>
      <c r="AN567" s="33"/>
      <c r="AO567" s="33"/>
      <c r="AP567" s="33"/>
      <c r="AQ567" s="33"/>
      <c r="AR567" s="33"/>
      <c r="AS567" s="33"/>
      <c r="AT567" s="34"/>
      <c r="AU567" s="1679"/>
      <c r="AV567" s="2256">
        <f t="shared" si="330"/>
        <v>0</v>
      </c>
      <c r="AW567" s="2256">
        <f t="shared" si="331"/>
        <v>0</v>
      </c>
      <c r="AX567" s="2256">
        <f t="shared" si="332"/>
        <v>0</v>
      </c>
      <c r="AY567" s="2781">
        <f t="shared" si="333"/>
        <v>0</v>
      </c>
      <c r="AZ567" s="28">
        <f t="shared" si="334"/>
        <v>0</v>
      </c>
      <c r="BA567" s="28">
        <f t="shared" si="335"/>
        <v>0</v>
      </c>
      <c r="BB567" s="28">
        <f t="shared" si="336"/>
        <v>0</v>
      </c>
      <c r="BC567" s="28">
        <f t="shared" si="337"/>
        <v>0</v>
      </c>
      <c r="BD567" s="3439">
        <f t="shared" si="338"/>
        <v>0</v>
      </c>
      <c r="BE567" s="3439">
        <f t="shared" si="339"/>
        <v>0</v>
      </c>
      <c r="BF567" s="3439">
        <f t="shared" si="340"/>
        <v>0</v>
      </c>
      <c r="BG567" s="3439">
        <f t="shared" si="341"/>
        <v>0</v>
      </c>
      <c r="BH567" s="3439">
        <f t="shared" si="342"/>
        <v>0</v>
      </c>
      <c r="BI567" s="3439">
        <f t="shared" si="343"/>
        <v>0</v>
      </c>
      <c r="BJ567" s="3439">
        <f t="shared" si="344"/>
        <v>0</v>
      </c>
      <c r="BK567" s="3439">
        <f t="shared" si="345"/>
        <v>0</v>
      </c>
      <c r="BL567" s="28">
        <f t="shared" si="346"/>
        <v>0</v>
      </c>
      <c r="BM567" s="28">
        <f t="shared" si="347"/>
        <v>0</v>
      </c>
      <c r="BN567" s="28">
        <f t="shared" si="348"/>
        <v>0</v>
      </c>
      <c r="BO567" s="28">
        <f t="shared" si="349"/>
        <v>0</v>
      </c>
      <c r="BP567" s="28">
        <f t="shared" si="350"/>
        <v>0</v>
      </c>
      <c r="BQ567" s="3439">
        <f t="shared" si="351"/>
        <v>0</v>
      </c>
      <c r="BR567" s="3439">
        <f t="shared" si="352"/>
        <v>0</v>
      </c>
      <c r="BS567" s="3439">
        <f t="shared" si="353"/>
        <v>0</v>
      </c>
      <c r="BT567" s="3451">
        <f t="shared" si="354"/>
        <v>0</v>
      </c>
    </row>
    <row r="568" spans="1:72">
      <c r="A568" s="9"/>
      <c r="B568" s="27"/>
      <c r="C568" s="27"/>
      <c r="D568" s="1678"/>
      <c r="E568" s="28">
        <f t="shared" si="326"/>
        <v>0</v>
      </c>
      <c r="F568" s="29"/>
      <c r="G568" s="30">
        <f t="shared" si="327"/>
        <v>0</v>
      </c>
      <c r="H568" s="31">
        <f t="shared" si="328"/>
        <v>0</v>
      </c>
      <c r="I568" s="32"/>
      <c r="J568" s="32"/>
      <c r="K568" s="32"/>
      <c r="L568" s="32"/>
      <c r="M568" s="32"/>
      <c r="N568" s="32"/>
      <c r="O568" s="32"/>
      <c r="P568" s="32"/>
      <c r="Q568" s="32"/>
      <c r="R568" s="32"/>
      <c r="S568" s="32"/>
      <c r="T568" s="32"/>
      <c r="U568" s="32"/>
      <c r="V568" s="32"/>
      <c r="W568" s="32"/>
      <c r="X568" s="32"/>
      <c r="Y568" s="32"/>
      <c r="Z568" s="32"/>
      <c r="AA568" s="32"/>
      <c r="AB568" s="32"/>
      <c r="AC568" s="28">
        <f t="shared" si="329"/>
        <v>0</v>
      </c>
      <c r="AD568" s="33"/>
      <c r="AE568" s="33"/>
      <c r="AF568" s="33"/>
      <c r="AG568" s="33"/>
      <c r="AH568" s="33"/>
      <c r="AI568" s="33"/>
      <c r="AJ568" s="33"/>
      <c r="AK568" s="33"/>
      <c r="AL568" s="33"/>
      <c r="AM568" s="33"/>
      <c r="AN568" s="33"/>
      <c r="AO568" s="33"/>
      <c r="AP568" s="33"/>
      <c r="AQ568" s="33"/>
      <c r="AR568" s="33"/>
      <c r="AS568" s="33"/>
      <c r="AT568" s="34"/>
      <c r="AU568" s="1679"/>
      <c r="AV568" s="2256">
        <f t="shared" si="330"/>
        <v>0</v>
      </c>
      <c r="AW568" s="2256">
        <f t="shared" si="331"/>
        <v>0</v>
      </c>
      <c r="AX568" s="2256">
        <f t="shared" si="332"/>
        <v>0</v>
      </c>
      <c r="AY568" s="2781">
        <f t="shared" si="333"/>
        <v>0</v>
      </c>
      <c r="AZ568" s="28">
        <f t="shared" si="334"/>
        <v>0</v>
      </c>
      <c r="BA568" s="28">
        <f t="shared" si="335"/>
        <v>0</v>
      </c>
      <c r="BB568" s="28">
        <f t="shared" si="336"/>
        <v>0</v>
      </c>
      <c r="BC568" s="28">
        <f t="shared" si="337"/>
        <v>0</v>
      </c>
      <c r="BD568" s="3439">
        <f t="shared" si="338"/>
        <v>0</v>
      </c>
      <c r="BE568" s="3439">
        <f t="shared" si="339"/>
        <v>0</v>
      </c>
      <c r="BF568" s="3439">
        <f t="shared" si="340"/>
        <v>0</v>
      </c>
      <c r="BG568" s="3439">
        <f t="shared" si="341"/>
        <v>0</v>
      </c>
      <c r="BH568" s="3439">
        <f t="shared" si="342"/>
        <v>0</v>
      </c>
      <c r="BI568" s="3439">
        <f t="shared" si="343"/>
        <v>0</v>
      </c>
      <c r="BJ568" s="3439">
        <f t="shared" si="344"/>
        <v>0</v>
      </c>
      <c r="BK568" s="3439">
        <f t="shared" si="345"/>
        <v>0</v>
      </c>
      <c r="BL568" s="28">
        <f t="shared" si="346"/>
        <v>0</v>
      </c>
      <c r="BM568" s="28">
        <f t="shared" si="347"/>
        <v>0</v>
      </c>
      <c r="BN568" s="28">
        <f t="shared" si="348"/>
        <v>0</v>
      </c>
      <c r="BO568" s="28">
        <f t="shared" si="349"/>
        <v>0</v>
      </c>
      <c r="BP568" s="28">
        <f t="shared" si="350"/>
        <v>0</v>
      </c>
      <c r="BQ568" s="3439">
        <f t="shared" si="351"/>
        <v>0</v>
      </c>
      <c r="BR568" s="3439">
        <f t="shared" si="352"/>
        <v>0</v>
      </c>
      <c r="BS568" s="3439">
        <f t="shared" si="353"/>
        <v>0</v>
      </c>
      <c r="BT568" s="3451">
        <f t="shared" si="354"/>
        <v>0</v>
      </c>
    </row>
    <row r="569" spans="1:72">
      <c r="A569" s="9"/>
      <c r="B569" s="27"/>
      <c r="C569" s="27"/>
      <c r="D569" s="1678"/>
      <c r="E569" s="28">
        <f t="shared" si="326"/>
        <v>0</v>
      </c>
      <c r="F569" s="29"/>
      <c r="G569" s="30">
        <f t="shared" si="327"/>
        <v>0</v>
      </c>
      <c r="H569" s="31">
        <f t="shared" si="328"/>
        <v>0</v>
      </c>
      <c r="I569" s="32"/>
      <c r="J569" s="32"/>
      <c r="K569" s="32"/>
      <c r="L569" s="32"/>
      <c r="M569" s="32"/>
      <c r="N569" s="32"/>
      <c r="O569" s="32"/>
      <c r="P569" s="32"/>
      <c r="Q569" s="32"/>
      <c r="R569" s="32"/>
      <c r="S569" s="32"/>
      <c r="T569" s="32"/>
      <c r="U569" s="32"/>
      <c r="V569" s="32"/>
      <c r="W569" s="32"/>
      <c r="X569" s="32"/>
      <c r="Y569" s="32"/>
      <c r="Z569" s="32"/>
      <c r="AA569" s="32"/>
      <c r="AB569" s="32"/>
      <c r="AC569" s="28">
        <f t="shared" si="329"/>
        <v>0</v>
      </c>
      <c r="AD569" s="33"/>
      <c r="AE569" s="33"/>
      <c r="AF569" s="33"/>
      <c r="AG569" s="33"/>
      <c r="AH569" s="33"/>
      <c r="AI569" s="33"/>
      <c r="AJ569" s="33"/>
      <c r="AK569" s="33"/>
      <c r="AL569" s="33"/>
      <c r="AM569" s="33"/>
      <c r="AN569" s="33"/>
      <c r="AO569" s="33"/>
      <c r="AP569" s="33"/>
      <c r="AQ569" s="33"/>
      <c r="AR569" s="33"/>
      <c r="AS569" s="33"/>
      <c r="AT569" s="34"/>
      <c r="AU569" s="1679"/>
      <c r="AV569" s="2256">
        <f t="shared" si="330"/>
        <v>0</v>
      </c>
      <c r="AW569" s="2256">
        <f t="shared" si="331"/>
        <v>0</v>
      </c>
      <c r="AX569" s="2256">
        <f t="shared" si="332"/>
        <v>0</v>
      </c>
      <c r="AY569" s="2781">
        <f t="shared" si="333"/>
        <v>0</v>
      </c>
      <c r="AZ569" s="28">
        <f t="shared" si="334"/>
        <v>0</v>
      </c>
      <c r="BA569" s="28">
        <f t="shared" si="335"/>
        <v>0</v>
      </c>
      <c r="BB569" s="28">
        <f t="shared" si="336"/>
        <v>0</v>
      </c>
      <c r="BC569" s="28">
        <f t="shared" si="337"/>
        <v>0</v>
      </c>
      <c r="BD569" s="3439">
        <f t="shared" si="338"/>
        <v>0</v>
      </c>
      <c r="BE569" s="3439">
        <f t="shared" si="339"/>
        <v>0</v>
      </c>
      <c r="BF569" s="3439">
        <f t="shared" si="340"/>
        <v>0</v>
      </c>
      <c r="BG569" s="3439">
        <f t="shared" si="341"/>
        <v>0</v>
      </c>
      <c r="BH569" s="3439">
        <f t="shared" si="342"/>
        <v>0</v>
      </c>
      <c r="BI569" s="3439">
        <f t="shared" si="343"/>
        <v>0</v>
      </c>
      <c r="BJ569" s="3439">
        <f t="shared" si="344"/>
        <v>0</v>
      </c>
      <c r="BK569" s="3439">
        <f t="shared" si="345"/>
        <v>0</v>
      </c>
      <c r="BL569" s="28">
        <f t="shared" si="346"/>
        <v>0</v>
      </c>
      <c r="BM569" s="28">
        <f t="shared" si="347"/>
        <v>0</v>
      </c>
      <c r="BN569" s="28">
        <f t="shared" si="348"/>
        <v>0</v>
      </c>
      <c r="BO569" s="28">
        <f t="shared" si="349"/>
        <v>0</v>
      </c>
      <c r="BP569" s="28">
        <f t="shared" si="350"/>
        <v>0</v>
      </c>
      <c r="BQ569" s="3439">
        <f t="shared" si="351"/>
        <v>0</v>
      </c>
      <c r="BR569" s="3439">
        <f t="shared" si="352"/>
        <v>0</v>
      </c>
      <c r="BS569" s="3439">
        <f t="shared" si="353"/>
        <v>0</v>
      </c>
      <c r="BT569" s="3451">
        <f t="shared" si="354"/>
        <v>0</v>
      </c>
    </row>
    <row r="570" spans="1:72">
      <c r="A570" s="9"/>
      <c r="B570" s="27"/>
      <c r="C570" s="27"/>
      <c r="D570" s="1678"/>
      <c r="E570" s="28">
        <f t="shared" si="326"/>
        <v>0</v>
      </c>
      <c r="F570" s="29"/>
      <c r="G570" s="30">
        <f t="shared" si="327"/>
        <v>0</v>
      </c>
      <c r="H570" s="31">
        <f t="shared" si="328"/>
        <v>0</v>
      </c>
      <c r="I570" s="32"/>
      <c r="J570" s="32"/>
      <c r="K570" s="32"/>
      <c r="L570" s="32"/>
      <c r="M570" s="32"/>
      <c r="N570" s="32"/>
      <c r="O570" s="32"/>
      <c r="P570" s="32"/>
      <c r="Q570" s="32"/>
      <c r="R570" s="32"/>
      <c r="S570" s="32"/>
      <c r="T570" s="32"/>
      <c r="U570" s="32"/>
      <c r="V570" s="32"/>
      <c r="W570" s="32"/>
      <c r="X570" s="32"/>
      <c r="Y570" s="32"/>
      <c r="Z570" s="32"/>
      <c r="AA570" s="32"/>
      <c r="AB570" s="32"/>
      <c r="AC570" s="28">
        <f t="shared" si="329"/>
        <v>0</v>
      </c>
      <c r="AD570" s="33"/>
      <c r="AE570" s="33"/>
      <c r="AF570" s="33"/>
      <c r="AG570" s="33"/>
      <c r="AH570" s="33"/>
      <c r="AI570" s="33"/>
      <c r="AJ570" s="33"/>
      <c r="AK570" s="33"/>
      <c r="AL570" s="33"/>
      <c r="AM570" s="33"/>
      <c r="AN570" s="33"/>
      <c r="AO570" s="33"/>
      <c r="AP570" s="33"/>
      <c r="AQ570" s="33"/>
      <c r="AR570" s="33"/>
      <c r="AS570" s="33"/>
      <c r="AT570" s="34"/>
      <c r="AU570" s="1679"/>
      <c r="AV570" s="2256">
        <f t="shared" si="330"/>
        <v>0</v>
      </c>
      <c r="AW570" s="2256">
        <f t="shared" si="331"/>
        <v>0</v>
      </c>
      <c r="AX570" s="2256">
        <f t="shared" si="332"/>
        <v>0</v>
      </c>
      <c r="AY570" s="2781">
        <f t="shared" si="333"/>
        <v>0</v>
      </c>
      <c r="AZ570" s="28">
        <f t="shared" si="334"/>
        <v>0</v>
      </c>
      <c r="BA570" s="28">
        <f t="shared" si="335"/>
        <v>0</v>
      </c>
      <c r="BB570" s="28">
        <f t="shared" si="336"/>
        <v>0</v>
      </c>
      <c r="BC570" s="28">
        <f t="shared" si="337"/>
        <v>0</v>
      </c>
      <c r="BD570" s="3439">
        <f t="shared" si="338"/>
        <v>0</v>
      </c>
      <c r="BE570" s="3439">
        <f t="shared" si="339"/>
        <v>0</v>
      </c>
      <c r="BF570" s="3439">
        <f t="shared" si="340"/>
        <v>0</v>
      </c>
      <c r="BG570" s="3439">
        <f t="shared" si="341"/>
        <v>0</v>
      </c>
      <c r="BH570" s="3439">
        <f t="shared" si="342"/>
        <v>0</v>
      </c>
      <c r="BI570" s="3439">
        <f t="shared" si="343"/>
        <v>0</v>
      </c>
      <c r="BJ570" s="3439">
        <f t="shared" si="344"/>
        <v>0</v>
      </c>
      <c r="BK570" s="3439">
        <f t="shared" si="345"/>
        <v>0</v>
      </c>
      <c r="BL570" s="28">
        <f t="shared" si="346"/>
        <v>0</v>
      </c>
      <c r="BM570" s="28">
        <f t="shared" si="347"/>
        <v>0</v>
      </c>
      <c r="BN570" s="28">
        <f t="shared" si="348"/>
        <v>0</v>
      </c>
      <c r="BO570" s="28">
        <f t="shared" si="349"/>
        <v>0</v>
      </c>
      <c r="BP570" s="28">
        <f t="shared" si="350"/>
        <v>0</v>
      </c>
      <c r="BQ570" s="3439">
        <f t="shared" si="351"/>
        <v>0</v>
      </c>
      <c r="BR570" s="3439">
        <f t="shared" si="352"/>
        <v>0</v>
      </c>
      <c r="BS570" s="3439">
        <f t="shared" si="353"/>
        <v>0</v>
      </c>
      <c r="BT570" s="3451">
        <f t="shared" si="354"/>
        <v>0</v>
      </c>
    </row>
    <row r="571" spans="1:72">
      <c r="A571" s="9"/>
      <c r="B571" s="27"/>
      <c r="C571" s="27"/>
      <c r="D571" s="1678"/>
      <c r="E571" s="28">
        <f t="shared" si="326"/>
        <v>0</v>
      </c>
      <c r="F571" s="29"/>
      <c r="G571" s="30">
        <f t="shared" si="327"/>
        <v>0</v>
      </c>
      <c r="H571" s="31">
        <f t="shared" si="328"/>
        <v>0</v>
      </c>
      <c r="I571" s="32"/>
      <c r="J571" s="32"/>
      <c r="K571" s="32"/>
      <c r="L571" s="32"/>
      <c r="M571" s="32"/>
      <c r="N571" s="32"/>
      <c r="O571" s="32"/>
      <c r="P571" s="32"/>
      <c r="Q571" s="32"/>
      <c r="R571" s="32"/>
      <c r="S571" s="32"/>
      <c r="T571" s="32"/>
      <c r="U571" s="32"/>
      <c r="V571" s="32"/>
      <c r="W571" s="32"/>
      <c r="X571" s="32"/>
      <c r="Y571" s="32"/>
      <c r="Z571" s="32"/>
      <c r="AA571" s="32"/>
      <c r="AB571" s="32"/>
      <c r="AC571" s="28">
        <f t="shared" si="329"/>
        <v>0</v>
      </c>
      <c r="AD571" s="33"/>
      <c r="AE571" s="33"/>
      <c r="AF571" s="33"/>
      <c r="AG571" s="33"/>
      <c r="AH571" s="33"/>
      <c r="AI571" s="33"/>
      <c r="AJ571" s="33"/>
      <c r="AK571" s="33"/>
      <c r="AL571" s="33"/>
      <c r="AM571" s="33"/>
      <c r="AN571" s="33"/>
      <c r="AO571" s="33"/>
      <c r="AP571" s="33"/>
      <c r="AQ571" s="33"/>
      <c r="AR571" s="33"/>
      <c r="AS571" s="33"/>
      <c r="AT571" s="34"/>
      <c r="AU571" s="1679"/>
      <c r="AV571" s="2256">
        <f t="shared" si="330"/>
        <v>0</v>
      </c>
      <c r="AW571" s="2256">
        <f t="shared" si="331"/>
        <v>0</v>
      </c>
      <c r="AX571" s="2256">
        <f t="shared" si="332"/>
        <v>0</v>
      </c>
      <c r="AY571" s="2781">
        <f t="shared" si="333"/>
        <v>0</v>
      </c>
      <c r="AZ571" s="28">
        <f t="shared" si="334"/>
        <v>0</v>
      </c>
      <c r="BA571" s="28">
        <f t="shared" si="335"/>
        <v>0</v>
      </c>
      <c r="BB571" s="28">
        <f t="shared" si="336"/>
        <v>0</v>
      </c>
      <c r="BC571" s="28">
        <f t="shared" si="337"/>
        <v>0</v>
      </c>
      <c r="BD571" s="3439">
        <f t="shared" si="338"/>
        <v>0</v>
      </c>
      <c r="BE571" s="3439">
        <f t="shared" si="339"/>
        <v>0</v>
      </c>
      <c r="BF571" s="3439">
        <f t="shared" si="340"/>
        <v>0</v>
      </c>
      <c r="BG571" s="3439">
        <f t="shared" si="341"/>
        <v>0</v>
      </c>
      <c r="BH571" s="3439">
        <f t="shared" si="342"/>
        <v>0</v>
      </c>
      <c r="BI571" s="3439">
        <f t="shared" si="343"/>
        <v>0</v>
      </c>
      <c r="BJ571" s="3439">
        <f t="shared" si="344"/>
        <v>0</v>
      </c>
      <c r="BK571" s="3439">
        <f t="shared" si="345"/>
        <v>0</v>
      </c>
      <c r="BL571" s="28">
        <f t="shared" si="346"/>
        <v>0</v>
      </c>
      <c r="BM571" s="28">
        <f t="shared" si="347"/>
        <v>0</v>
      </c>
      <c r="BN571" s="28">
        <f t="shared" si="348"/>
        <v>0</v>
      </c>
      <c r="BO571" s="28">
        <f t="shared" si="349"/>
        <v>0</v>
      </c>
      <c r="BP571" s="28">
        <f t="shared" si="350"/>
        <v>0</v>
      </c>
      <c r="BQ571" s="3439">
        <f t="shared" si="351"/>
        <v>0</v>
      </c>
      <c r="BR571" s="3439">
        <f t="shared" si="352"/>
        <v>0</v>
      </c>
      <c r="BS571" s="3439">
        <f t="shared" si="353"/>
        <v>0</v>
      </c>
      <c r="BT571" s="3451">
        <f t="shared" si="354"/>
        <v>0</v>
      </c>
    </row>
    <row r="572" spans="1:72">
      <c r="A572" s="9"/>
      <c r="B572" s="27"/>
      <c r="C572" s="27"/>
      <c r="D572" s="1678"/>
      <c r="E572" s="28">
        <f t="shared" si="326"/>
        <v>0</v>
      </c>
      <c r="F572" s="29"/>
      <c r="G572" s="30">
        <f t="shared" si="327"/>
        <v>0</v>
      </c>
      <c r="H572" s="31">
        <f t="shared" si="328"/>
        <v>0</v>
      </c>
      <c r="I572" s="32"/>
      <c r="J572" s="32"/>
      <c r="K572" s="32"/>
      <c r="L572" s="32"/>
      <c r="M572" s="32"/>
      <c r="N572" s="32"/>
      <c r="O572" s="32"/>
      <c r="P572" s="32"/>
      <c r="Q572" s="32"/>
      <c r="R572" s="32"/>
      <c r="S572" s="32"/>
      <c r="T572" s="32"/>
      <c r="U572" s="32"/>
      <c r="V572" s="32"/>
      <c r="W572" s="32"/>
      <c r="X572" s="32"/>
      <c r="Y572" s="32"/>
      <c r="Z572" s="32"/>
      <c r="AA572" s="32"/>
      <c r="AB572" s="32"/>
      <c r="AC572" s="28">
        <f t="shared" si="329"/>
        <v>0</v>
      </c>
      <c r="AD572" s="33"/>
      <c r="AE572" s="33"/>
      <c r="AF572" s="33"/>
      <c r="AG572" s="33"/>
      <c r="AH572" s="33"/>
      <c r="AI572" s="33"/>
      <c r="AJ572" s="33"/>
      <c r="AK572" s="33"/>
      <c r="AL572" s="33"/>
      <c r="AM572" s="33"/>
      <c r="AN572" s="33"/>
      <c r="AO572" s="33"/>
      <c r="AP572" s="33"/>
      <c r="AQ572" s="33"/>
      <c r="AR572" s="33"/>
      <c r="AS572" s="33"/>
      <c r="AT572" s="34"/>
      <c r="AU572" s="1679"/>
      <c r="AV572" s="2256">
        <f t="shared" si="330"/>
        <v>0</v>
      </c>
      <c r="AW572" s="2256">
        <f t="shared" si="331"/>
        <v>0</v>
      </c>
      <c r="AX572" s="2256">
        <f t="shared" si="332"/>
        <v>0</v>
      </c>
      <c r="AY572" s="2781">
        <f t="shared" si="333"/>
        <v>0</v>
      </c>
      <c r="AZ572" s="28">
        <f t="shared" si="334"/>
        <v>0</v>
      </c>
      <c r="BA572" s="28">
        <f t="shared" si="335"/>
        <v>0</v>
      </c>
      <c r="BB572" s="28">
        <f t="shared" si="336"/>
        <v>0</v>
      </c>
      <c r="BC572" s="28">
        <f t="shared" si="337"/>
        <v>0</v>
      </c>
      <c r="BD572" s="3439">
        <f t="shared" si="338"/>
        <v>0</v>
      </c>
      <c r="BE572" s="3439">
        <f t="shared" si="339"/>
        <v>0</v>
      </c>
      <c r="BF572" s="3439">
        <f t="shared" si="340"/>
        <v>0</v>
      </c>
      <c r="BG572" s="3439">
        <f t="shared" si="341"/>
        <v>0</v>
      </c>
      <c r="BH572" s="3439">
        <f t="shared" si="342"/>
        <v>0</v>
      </c>
      <c r="BI572" s="3439">
        <f t="shared" si="343"/>
        <v>0</v>
      </c>
      <c r="BJ572" s="3439">
        <f t="shared" si="344"/>
        <v>0</v>
      </c>
      <c r="BK572" s="3439">
        <f t="shared" si="345"/>
        <v>0</v>
      </c>
      <c r="BL572" s="28">
        <f t="shared" si="346"/>
        <v>0</v>
      </c>
      <c r="BM572" s="28">
        <f t="shared" si="347"/>
        <v>0</v>
      </c>
      <c r="BN572" s="28">
        <f t="shared" si="348"/>
        <v>0</v>
      </c>
      <c r="BO572" s="28">
        <f t="shared" si="349"/>
        <v>0</v>
      </c>
      <c r="BP572" s="28">
        <f t="shared" si="350"/>
        <v>0</v>
      </c>
      <c r="BQ572" s="3439">
        <f t="shared" si="351"/>
        <v>0</v>
      </c>
      <c r="BR572" s="3439">
        <f t="shared" si="352"/>
        <v>0</v>
      </c>
      <c r="BS572" s="3439">
        <f t="shared" si="353"/>
        <v>0</v>
      </c>
      <c r="BT572" s="3451">
        <f t="shared" si="354"/>
        <v>0</v>
      </c>
    </row>
    <row r="573" spans="1:72">
      <c r="A573" s="9"/>
      <c r="B573" s="27"/>
      <c r="C573" s="27"/>
      <c r="D573" s="1678"/>
      <c r="E573" s="28">
        <f t="shared" si="326"/>
        <v>0</v>
      </c>
      <c r="F573" s="29"/>
      <c r="G573" s="30">
        <f t="shared" si="327"/>
        <v>0</v>
      </c>
      <c r="H573" s="31">
        <f t="shared" si="328"/>
        <v>0</v>
      </c>
      <c r="I573" s="32"/>
      <c r="J573" s="32"/>
      <c r="K573" s="32"/>
      <c r="L573" s="32"/>
      <c r="M573" s="32"/>
      <c r="N573" s="32"/>
      <c r="O573" s="32"/>
      <c r="P573" s="32"/>
      <c r="Q573" s="32"/>
      <c r="R573" s="32"/>
      <c r="S573" s="32"/>
      <c r="T573" s="32"/>
      <c r="U573" s="32"/>
      <c r="V573" s="32"/>
      <c r="W573" s="32"/>
      <c r="X573" s="32"/>
      <c r="Y573" s="32"/>
      <c r="Z573" s="32"/>
      <c r="AA573" s="32"/>
      <c r="AB573" s="32"/>
      <c r="AC573" s="28">
        <f t="shared" si="329"/>
        <v>0</v>
      </c>
      <c r="AD573" s="33"/>
      <c r="AE573" s="33"/>
      <c r="AF573" s="33"/>
      <c r="AG573" s="33"/>
      <c r="AH573" s="33"/>
      <c r="AI573" s="33"/>
      <c r="AJ573" s="33"/>
      <c r="AK573" s="33"/>
      <c r="AL573" s="33"/>
      <c r="AM573" s="33"/>
      <c r="AN573" s="33"/>
      <c r="AO573" s="33"/>
      <c r="AP573" s="33"/>
      <c r="AQ573" s="33"/>
      <c r="AR573" s="33"/>
      <c r="AS573" s="33"/>
      <c r="AT573" s="34"/>
      <c r="AU573" s="1679"/>
      <c r="AV573" s="2256">
        <f t="shared" si="330"/>
        <v>0</v>
      </c>
      <c r="AW573" s="2256">
        <f t="shared" si="331"/>
        <v>0</v>
      </c>
      <c r="AX573" s="2256">
        <f t="shared" si="332"/>
        <v>0</v>
      </c>
      <c r="AY573" s="2781">
        <f t="shared" si="333"/>
        <v>0</v>
      </c>
      <c r="AZ573" s="28">
        <f t="shared" si="334"/>
        <v>0</v>
      </c>
      <c r="BA573" s="28">
        <f t="shared" si="335"/>
        <v>0</v>
      </c>
      <c r="BB573" s="28">
        <f t="shared" si="336"/>
        <v>0</v>
      </c>
      <c r="BC573" s="28">
        <f t="shared" si="337"/>
        <v>0</v>
      </c>
      <c r="BD573" s="3439">
        <f t="shared" si="338"/>
        <v>0</v>
      </c>
      <c r="BE573" s="3439">
        <f t="shared" si="339"/>
        <v>0</v>
      </c>
      <c r="BF573" s="3439">
        <f t="shared" si="340"/>
        <v>0</v>
      </c>
      <c r="BG573" s="3439">
        <f t="shared" si="341"/>
        <v>0</v>
      </c>
      <c r="BH573" s="3439">
        <f t="shared" si="342"/>
        <v>0</v>
      </c>
      <c r="BI573" s="3439">
        <f t="shared" si="343"/>
        <v>0</v>
      </c>
      <c r="BJ573" s="3439">
        <f t="shared" si="344"/>
        <v>0</v>
      </c>
      <c r="BK573" s="3439">
        <f t="shared" si="345"/>
        <v>0</v>
      </c>
      <c r="BL573" s="28">
        <f t="shared" si="346"/>
        <v>0</v>
      </c>
      <c r="BM573" s="28">
        <f t="shared" si="347"/>
        <v>0</v>
      </c>
      <c r="BN573" s="28">
        <f t="shared" si="348"/>
        <v>0</v>
      </c>
      <c r="BO573" s="28">
        <f t="shared" si="349"/>
        <v>0</v>
      </c>
      <c r="BP573" s="28">
        <f t="shared" si="350"/>
        <v>0</v>
      </c>
      <c r="BQ573" s="3439">
        <f t="shared" si="351"/>
        <v>0</v>
      </c>
      <c r="BR573" s="3439">
        <f t="shared" si="352"/>
        <v>0</v>
      </c>
      <c r="BS573" s="3439">
        <f t="shared" si="353"/>
        <v>0</v>
      </c>
      <c r="BT573" s="3451">
        <f t="shared" si="354"/>
        <v>0</v>
      </c>
    </row>
    <row r="574" spans="1:72">
      <c r="A574" s="9"/>
      <c r="B574" s="27"/>
      <c r="C574" s="27"/>
      <c r="D574" s="1678"/>
      <c r="E574" s="28">
        <f t="shared" si="326"/>
        <v>0</v>
      </c>
      <c r="F574" s="29"/>
      <c r="G574" s="30">
        <f t="shared" si="327"/>
        <v>0</v>
      </c>
      <c r="H574" s="31">
        <f t="shared" si="328"/>
        <v>0</v>
      </c>
      <c r="I574" s="32"/>
      <c r="J574" s="32"/>
      <c r="K574" s="32"/>
      <c r="L574" s="32"/>
      <c r="M574" s="32"/>
      <c r="N574" s="32"/>
      <c r="O574" s="32"/>
      <c r="P574" s="32"/>
      <c r="Q574" s="32"/>
      <c r="R574" s="32"/>
      <c r="S574" s="32"/>
      <c r="T574" s="32"/>
      <c r="U574" s="32"/>
      <c r="V574" s="32"/>
      <c r="W574" s="32"/>
      <c r="X574" s="32"/>
      <c r="Y574" s="32"/>
      <c r="Z574" s="32"/>
      <c r="AA574" s="32"/>
      <c r="AB574" s="32"/>
      <c r="AC574" s="28">
        <f t="shared" si="329"/>
        <v>0</v>
      </c>
      <c r="AD574" s="33"/>
      <c r="AE574" s="33"/>
      <c r="AF574" s="33"/>
      <c r="AG574" s="33"/>
      <c r="AH574" s="33"/>
      <c r="AI574" s="33"/>
      <c r="AJ574" s="33"/>
      <c r="AK574" s="33"/>
      <c r="AL574" s="33"/>
      <c r="AM574" s="33"/>
      <c r="AN574" s="33"/>
      <c r="AO574" s="33"/>
      <c r="AP574" s="33"/>
      <c r="AQ574" s="33"/>
      <c r="AR574" s="33"/>
      <c r="AS574" s="33"/>
      <c r="AT574" s="34"/>
      <c r="AU574" s="1679"/>
      <c r="AV574" s="2256">
        <f t="shared" si="330"/>
        <v>0</v>
      </c>
      <c r="AW574" s="2256">
        <f t="shared" si="331"/>
        <v>0</v>
      </c>
      <c r="AX574" s="2256">
        <f t="shared" si="332"/>
        <v>0</v>
      </c>
      <c r="AY574" s="2781">
        <f t="shared" si="333"/>
        <v>0</v>
      </c>
      <c r="AZ574" s="28">
        <f t="shared" si="334"/>
        <v>0</v>
      </c>
      <c r="BA574" s="28">
        <f t="shared" si="335"/>
        <v>0</v>
      </c>
      <c r="BB574" s="28">
        <f t="shared" si="336"/>
        <v>0</v>
      </c>
      <c r="BC574" s="28">
        <f t="shared" si="337"/>
        <v>0</v>
      </c>
      <c r="BD574" s="3439">
        <f t="shared" si="338"/>
        <v>0</v>
      </c>
      <c r="BE574" s="3439">
        <f t="shared" si="339"/>
        <v>0</v>
      </c>
      <c r="BF574" s="3439">
        <f t="shared" si="340"/>
        <v>0</v>
      </c>
      <c r="BG574" s="3439">
        <f t="shared" si="341"/>
        <v>0</v>
      </c>
      <c r="BH574" s="3439">
        <f t="shared" si="342"/>
        <v>0</v>
      </c>
      <c r="BI574" s="3439">
        <f t="shared" si="343"/>
        <v>0</v>
      </c>
      <c r="BJ574" s="3439">
        <f t="shared" si="344"/>
        <v>0</v>
      </c>
      <c r="BK574" s="3439">
        <f t="shared" si="345"/>
        <v>0</v>
      </c>
      <c r="BL574" s="28">
        <f t="shared" si="346"/>
        <v>0</v>
      </c>
      <c r="BM574" s="28">
        <f t="shared" si="347"/>
        <v>0</v>
      </c>
      <c r="BN574" s="28">
        <f t="shared" si="348"/>
        <v>0</v>
      </c>
      <c r="BO574" s="28">
        <f t="shared" si="349"/>
        <v>0</v>
      </c>
      <c r="BP574" s="28">
        <f t="shared" si="350"/>
        <v>0</v>
      </c>
      <c r="BQ574" s="3439">
        <f t="shared" si="351"/>
        <v>0</v>
      </c>
      <c r="BR574" s="3439">
        <f t="shared" si="352"/>
        <v>0</v>
      </c>
      <c r="BS574" s="3439">
        <f t="shared" si="353"/>
        <v>0</v>
      </c>
      <c r="BT574" s="3451">
        <f t="shared" si="354"/>
        <v>0</v>
      </c>
    </row>
    <row r="575" spans="1:72">
      <c r="A575" s="9"/>
      <c r="B575" s="27"/>
      <c r="C575" s="27"/>
      <c r="D575" s="1678"/>
      <c r="E575" s="28">
        <f t="shared" si="326"/>
        <v>0</v>
      </c>
      <c r="F575" s="29"/>
      <c r="G575" s="30">
        <f t="shared" si="327"/>
        <v>0</v>
      </c>
      <c r="H575" s="31">
        <f t="shared" si="328"/>
        <v>0</v>
      </c>
      <c r="I575" s="32"/>
      <c r="J575" s="32"/>
      <c r="K575" s="32"/>
      <c r="L575" s="32"/>
      <c r="M575" s="32"/>
      <c r="N575" s="32"/>
      <c r="O575" s="32"/>
      <c r="P575" s="32"/>
      <c r="Q575" s="32"/>
      <c r="R575" s="32"/>
      <c r="S575" s="32"/>
      <c r="T575" s="32"/>
      <c r="U575" s="32"/>
      <c r="V575" s="32"/>
      <c r="W575" s="32"/>
      <c r="X575" s="32"/>
      <c r="Y575" s="32"/>
      <c r="Z575" s="32"/>
      <c r="AA575" s="32"/>
      <c r="AB575" s="32"/>
      <c r="AC575" s="28">
        <f t="shared" si="329"/>
        <v>0</v>
      </c>
      <c r="AD575" s="33"/>
      <c r="AE575" s="33"/>
      <c r="AF575" s="33"/>
      <c r="AG575" s="33"/>
      <c r="AH575" s="33"/>
      <c r="AI575" s="33"/>
      <c r="AJ575" s="33"/>
      <c r="AK575" s="33"/>
      <c r="AL575" s="33"/>
      <c r="AM575" s="33"/>
      <c r="AN575" s="33"/>
      <c r="AO575" s="33"/>
      <c r="AP575" s="33"/>
      <c r="AQ575" s="33"/>
      <c r="AR575" s="33"/>
      <c r="AS575" s="33"/>
      <c r="AT575" s="34"/>
      <c r="AU575" s="1679"/>
      <c r="AV575" s="2256">
        <f t="shared" si="330"/>
        <v>0</v>
      </c>
      <c r="AW575" s="2256">
        <f t="shared" si="331"/>
        <v>0</v>
      </c>
      <c r="AX575" s="2256">
        <f t="shared" si="332"/>
        <v>0</v>
      </c>
      <c r="AY575" s="2781">
        <f t="shared" si="333"/>
        <v>0</v>
      </c>
      <c r="AZ575" s="28">
        <f t="shared" si="334"/>
        <v>0</v>
      </c>
      <c r="BA575" s="28">
        <f t="shared" si="335"/>
        <v>0</v>
      </c>
      <c r="BB575" s="28">
        <f t="shared" si="336"/>
        <v>0</v>
      </c>
      <c r="BC575" s="28">
        <f t="shared" si="337"/>
        <v>0</v>
      </c>
      <c r="BD575" s="3439">
        <f t="shared" si="338"/>
        <v>0</v>
      </c>
      <c r="BE575" s="3439">
        <f t="shared" si="339"/>
        <v>0</v>
      </c>
      <c r="BF575" s="3439">
        <f t="shared" si="340"/>
        <v>0</v>
      </c>
      <c r="BG575" s="3439">
        <f t="shared" si="341"/>
        <v>0</v>
      </c>
      <c r="BH575" s="3439">
        <f t="shared" si="342"/>
        <v>0</v>
      </c>
      <c r="BI575" s="3439">
        <f t="shared" si="343"/>
        <v>0</v>
      </c>
      <c r="BJ575" s="3439">
        <f t="shared" si="344"/>
        <v>0</v>
      </c>
      <c r="BK575" s="3439">
        <f t="shared" si="345"/>
        <v>0</v>
      </c>
      <c r="BL575" s="28">
        <f t="shared" si="346"/>
        <v>0</v>
      </c>
      <c r="BM575" s="28">
        <f t="shared" si="347"/>
        <v>0</v>
      </c>
      <c r="BN575" s="28">
        <f t="shared" si="348"/>
        <v>0</v>
      </c>
      <c r="BO575" s="28">
        <f t="shared" si="349"/>
        <v>0</v>
      </c>
      <c r="BP575" s="28">
        <f t="shared" si="350"/>
        <v>0</v>
      </c>
      <c r="BQ575" s="3439">
        <f t="shared" si="351"/>
        <v>0</v>
      </c>
      <c r="BR575" s="3439">
        <f t="shared" si="352"/>
        <v>0</v>
      </c>
      <c r="BS575" s="3439">
        <f t="shared" si="353"/>
        <v>0</v>
      </c>
      <c r="BT575" s="3451">
        <f t="shared" si="354"/>
        <v>0</v>
      </c>
    </row>
    <row r="576" spans="1:72">
      <c r="A576" s="9"/>
      <c r="B576" s="27"/>
      <c r="C576" s="27"/>
      <c r="D576" s="1678"/>
      <c r="E576" s="28">
        <f t="shared" si="326"/>
        <v>0</v>
      </c>
      <c r="F576" s="29"/>
      <c r="G576" s="30">
        <f t="shared" si="327"/>
        <v>0</v>
      </c>
      <c r="H576" s="31">
        <f t="shared" si="328"/>
        <v>0</v>
      </c>
      <c r="I576" s="32"/>
      <c r="J576" s="32"/>
      <c r="K576" s="32"/>
      <c r="L576" s="32"/>
      <c r="M576" s="32"/>
      <c r="N576" s="32"/>
      <c r="O576" s="32"/>
      <c r="P576" s="32"/>
      <c r="Q576" s="32"/>
      <c r="R576" s="32"/>
      <c r="S576" s="32"/>
      <c r="T576" s="32"/>
      <c r="U576" s="32"/>
      <c r="V576" s="32"/>
      <c r="W576" s="32"/>
      <c r="X576" s="32"/>
      <c r="Y576" s="32"/>
      <c r="Z576" s="32"/>
      <c r="AA576" s="32"/>
      <c r="AB576" s="32"/>
      <c r="AC576" s="28">
        <f t="shared" si="329"/>
        <v>0</v>
      </c>
      <c r="AD576" s="33"/>
      <c r="AE576" s="33"/>
      <c r="AF576" s="33"/>
      <c r="AG576" s="33"/>
      <c r="AH576" s="33"/>
      <c r="AI576" s="33"/>
      <c r="AJ576" s="33"/>
      <c r="AK576" s="33"/>
      <c r="AL576" s="33"/>
      <c r="AM576" s="33"/>
      <c r="AN576" s="33"/>
      <c r="AO576" s="33"/>
      <c r="AP576" s="33"/>
      <c r="AQ576" s="33"/>
      <c r="AR576" s="33"/>
      <c r="AS576" s="33"/>
      <c r="AT576" s="34"/>
      <c r="AU576" s="1679"/>
      <c r="AV576" s="2256">
        <f t="shared" si="330"/>
        <v>0</v>
      </c>
      <c r="AW576" s="2256">
        <f t="shared" si="331"/>
        <v>0</v>
      </c>
      <c r="AX576" s="2256">
        <f t="shared" si="332"/>
        <v>0</v>
      </c>
      <c r="AY576" s="2781">
        <f t="shared" si="333"/>
        <v>0</v>
      </c>
      <c r="AZ576" s="28">
        <f t="shared" si="334"/>
        <v>0</v>
      </c>
      <c r="BA576" s="28">
        <f t="shared" si="335"/>
        <v>0</v>
      </c>
      <c r="BB576" s="28">
        <f t="shared" si="336"/>
        <v>0</v>
      </c>
      <c r="BC576" s="28">
        <f t="shared" si="337"/>
        <v>0</v>
      </c>
      <c r="BD576" s="3439">
        <f t="shared" si="338"/>
        <v>0</v>
      </c>
      <c r="BE576" s="3439">
        <f t="shared" si="339"/>
        <v>0</v>
      </c>
      <c r="BF576" s="3439">
        <f t="shared" si="340"/>
        <v>0</v>
      </c>
      <c r="BG576" s="3439">
        <f t="shared" si="341"/>
        <v>0</v>
      </c>
      <c r="BH576" s="3439">
        <f t="shared" si="342"/>
        <v>0</v>
      </c>
      <c r="BI576" s="3439">
        <f t="shared" si="343"/>
        <v>0</v>
      </c>
      <c r="BJ576" s="3439">
        <f t="shared" si="344"/>
        <v>0</v>
      </c>
      <c r="BK576" s="3439">
        <f t="shared" si="345"/>
        <v>0</v>
      </c>
      <c r="BL576" s="28">
        <f t="shared" si="346"/>
        <v>0</v>
      </c>
      <c r="BM576" s="28">
        <f t="shared" si="347"/>
        <v>0</v>
      </c>
      <c r="BN576" s="28">
        <f t="shared" si="348"/>
        <v>0</v>
      </c>
      <c r="BO576" s="28">
        <f t="shared" si="349"/>
        <v>0</v>
      </c>
      <c r="BP576" s="28">
        <f t="shared" si="350"/>
        <v>0</v>
      </c>
      <c r="BQ576" s="3439">
        <f t="shared" si="351"/>
        <v>0</v>
      </c>
      <c r="BR576" s="3439">
        <f t="shared" si="352"/>
        <v>0</v>
      </c>
      <c r="BS576" s="3439">
        <f t="shared" si="353"/>
        <v>0</v>
      </c>
      <c r="BT576" s="3451">
        <f t="shared" si="354"/>
        <v>0</v>
      </c>
    </row>
    <row r="577" spans="1:72">
      <c r="A577" s="9"/>
      <c r="B577" s="27"/>
      <c r="C577" s="27"/>
      <c r="D577" s="1678"/>
      <c r="E577" s="28">
        <f t="shared" si="326"/>
        <v>0</v>
      </c>
      <c r="F577" s="29"/>
      <c r="G577" s="30">
        <f t="shared" si="327"/>
        <v>0</v>
      </c>
      <c r="H577" s="31">
        <f t="shared" si="328"/>
        <v>0</v>
      </c>
      <c r="I577" s="32"/>
      <c r="J577" s="32"/>
      <c r="K577" s="32"/>
      <c r="L577" s="32"/>
      <c r="M577" s="32"/>
      <c r="N577" s="32"/>
      <c r="O577" s="32"/>
      <c r="P577" s="32"/>
      <c r="Q577" s="32"/>
      <c r="R577" s="32"/>
      <c r="S577" s="32"/>
      <c r="T577" s="32"/>
      <c r="U577" s="32"/>
      <c r="V577" s="32"/>
      <c r="W577" s="32"/>
      <c r="X577" s="32"/>
      <c r="Y577" s="32"/>
      <c r="Z577" s="32"/>
      <c r="AA577" s="32"/>
      <c r="AB577" s="32"/>
      <c r="AC577" s="28">
        <f t="shared" si="329"/>
        <v>0</v>
      </c>
      <c r="AD577" s="33"/>
      <c r="AE577" s="33"/>
      <c r="AF577" s="33"/>
      <c r="AG577" s="33"/>
      <c r="AH577" s="33"/>
      <c r="AI577" s="33"/>
      <c r="AJ577" s="33"/>
      <c r="AK577" s="33"/>
      <c r="AL577" s="33"/>
      <c r="AM577" s="33"/>
      <c r="AN577" s="33"/>
      <c r="AO577" s="33"/>
      <c r="AP577" s="33"/>
      <c r="AQ577" s="33"/>
      <c r="AR577" s="33"/>
      <c r="AS577" s="33"/>
      <c r="AT577" s="34"/>
      <c r="AU577" s="1679"/>
      <c r="AV577" s="2256">
        <f t="shared" si="330"/>
        <v>0</v>
      </c>
      <c r="AW577" s="2256">
        <f t="shared" si="331"/>
        <v>0</v>
      </c>
      <c r="AX577" s="2256">
        <f t="shared" si="332"/>
        <v>0</v>
      </c>
      <c r="AY577" s="2781">
        <f t="shared" si="333"/>
        <v>0</v>
      </c>
      <c r="AZ577" s="28">
        <f t="shared" si="334"/>
        <v>0</v>
      </c>
      <c r="BA577" s="28">
        <f t="shared" si="335"/>
        <v>0</v>
      </c>
      <c r="BB577" s="28">
        <f t="shared" si="336"/>
        <v>0</v>
      </c>
      <c r="BC577" s="28">
        <f t="shared" si="337"/>
        <v>0</v>
      </c>
      <c r="BD577" s="3439">
        <f t="shared" si="338"/>
        <v>0</v>
      </c>
      <c r="BE577" s="3439">
        <f t="shared" si="339"/>
        <v>0</v>
      </c>
      <c r="BF577" s="3439">
        <f t="shared" si="340"/>
        <v>0</v>
      </c>
      <c r="BG577" s="3439">
        <f t="shared" si="341"/>
        <v>0</v>
      </c>
      <c r="BH577" s="3439">
        <f t="shared" si="342"/>
        <v>0</v>
      </c>
      <c r="BI577" s="3439">
        <f t="shared" si="343"/>
        <v>0</v>
      </c>
      <c r="BJ577" s="3439">
        <f t="shared" si="344"/>
        <v>0</v>
      </c>
      <c r="BK577" s="3439">
        <f t="shared" si="345"/>
        <v>0</v>
      </c>
      <c r="BL577" s="28">
        <f t="shared" si="346"/>
        <v>0</v>
      </c>
      <c r="BM577" s="28">
        <f t="shared" si="347"/>
        <v>0</v>
      </c>
      <c r="BN577" s="28">
        <f t="shared" si="348"/>
        <v>0</v>
      </c>
      <c r="BO577" s="28">
        <f t="shared" si="349"/>
        <v>0</v>
      </c>
      <c r="BP577" s="28">
        <f t="shared" si="350"/>
        <v>0</v>
      </c>
      <c r="BQ577" s="3439">
        <f t="shared" si="351"/>
        <v>0</v>
      </c>
      <c r="BR577" s="3439">
        <f t="shared" si="352"/>
        <v>0</v>
      </c>
      <c r="BS577" s="3439">
        <f t="shared" si="353"/>
        <v>0</v>
      </c>
      <c r="BT577" s="3451">
        <f t="shared" si="354"/>
        <v>0</v>
      </c>
    </row>
    <row r="578" spans="1:72">
      <c r="A578" s="9"/>
      <c r="B578" s="27"/>
      <c r="C578" s="27"/>
      <c r="D578" s="1678"/>
      <c r="E578" s="28">
        <f t="shared" si="326"/>
        <v>0</v>
      </c>
      <c r="F578" s="29"/>
      <c r="G578" s="30">
        <f t="shared" si="327"/>
        <v>0</v>
      </c>
      <c r="H578" s="31">
        <f t="shared" si="328"/>
        <v>0</v>
      </c>
      <c r="I578" s="32"/>
      <c r="J578" s="32"/>
      <c r="K578" s="32"/>
      <c r="L578" s="32"/>
      <c r="M578" s="32"/>
      <c r="N578" s="32"/>
      <c r="O578" s="32"/>
      <c r="P578" s="32"/>
      <c r="Q578" s="32"/>
      <c r="R578" s="32"/>
      <c r="S578" s="32"/>
      <c r="T578" s="32"/>
      <c r="U578" s="32"/>
      <c r="V578" s="32"/>
      <c r="W578" s="32"/>
      <c r="X578" s="32"/>
      <c r="Y578" s="32"/>
      <c r="Z578" s="32"/>
      <c r="AA578" s="32"/>
      <c r="AB578" s="32"/>
      <c r="AC578" s="28">
        <f t="shared" si="329"/>
        <v>0</v>
      </c>
      <c r="AD578" s="33"/>
      <c r="AE578" s="33"/>
      <c r="AF578" s="33"/>
      <c r="AG578" s="33"/>
      <c r="AH578" s="33"/>
      <c r="AI578" s="33"/>
      <c r="AJ578" s="33"/>
      <c r="AK578" s="33"/>
      <c r="AL578" s="33"/>
      <c r="AM578" s="33"/>
      <c r="AN578" s="33"/>
      <c r="AO578" s="33"/>
      <c r="AP578" s="33"/>
      <c r="AQ578" s="33"/>
      <c r="AR578" s="33"/>
      <c r="AS578" s="33"/>
      <c r="AT578" s="34"/>
      <c r="AU578" s="1679"/>
      <c r="AV578" s="2256">
        <f t="shared" si="330"/>
        <v>0</v>
      </c>
      <c r="AW578" s="2256">
        <f t="shared" si="331"/>
        <v>0</v>
      </c>
      <c r="AX578" s="2256">
        <f t="shared" si="332"/>
        <v>0</v>
      </c>
      <c r="AY578" s="2781">
        <f t="shared" si="333"/>
        <v>0</v>
      </c>
      <c r="AZ578" s="28">
        <f t="shared" si="334"/>
        <v>0</v>
      </c>
      <c r="BA578" s="28">
        <f t="shared" si="335"/>
        <v>0</v>
      </c>
      <c r="BB578" s="28">
        <f t="shared" si="336"/>
        <v>0</v>
      </c>
      <c r="BC578" s="28">
        <f t="shared" si="337"/>
        <v>0</v>
      </c>
      <c r="BD578" s="3439">
        <f t="shared" si="338"/>
        <v>0</v>
      </c>
      <c r="BE578" s="3439">
        <f t="shared" si="339"/>
        <v>0</v>
      </c>
      <c r="BF578" s="3439">
        <f t="shared" si="340"/>
        <v>0</v>
      </c>
      <c r="BG578" s="3439">
        <f t="shared" si="341"/>
        <v>0</v>
      </c>
      <c r="BH578" s="3439">
        <f t="shared" si="342"/>
        <v>0</v>
      </c>
      <c r="BI578" s="3439">
        <f t="shared" si="343"/>
        <v>0</v>
      </c>
      <c r="BJ578" s="3439">
        <f t="shared" si="344"/>
        <v>0</v>
      </c>
      <c r="BK578" s="3439">
        <f t="shared" si="345"/>
        <v>0</v>
      </c>
      <c r="BL578" s="28">
        <f t="shared" si="346"/>
        <v>0</v>
      </c>
      <c r="BM578" s="28">
        <f t="shared" si="347"/>
        <v>0</v>
      </c>
      <c r="BN578" s="28">
        <f t="shared" si="348"/>
        <v>0</v>
      </c>
      <c r="BO578" s="28">
        <f t="shared" si="349"/>
        <v>0</v>
      </c>
      <c r="BP578" s="28">
        <f t="shared" si="350"/>
        <v>0</v>
      </c>
      <c r="BQ578" s="3439">
        <f t="shared" si="351"/>
        <v>0</v>
      </c>
      <c r="BR578" s="3439">
        <f t="shared" si="352"/>
        <v>0</v>
      </c>
      <c r="BS578" s="3439">
        <f t="shared" si="353"/>
        <v>0</v>
      </c>
      <c r="BT578" s="3451">
        <f t="shared" si="354"/>
        <v>0</v>
      </c>
    </row>
    <row r="579" spans="1:72">
      <c r="A579" s="9"/>
      <c r="B579" s="27"/>
      <c r="C579" s="27"/>
      <c r="D579" s="1678"/>
      <c r="E579" s="28">
        <f t="shared" si="326"/>
        <v>0</v>
      </c>
      <c r="F579" s="29"/>
      <c r="G579" s="30">
        <f t="shared" si="327"/>
        <v>0</v>
      </c>
      <c r="H579" s="31">
        <f t="shared" si="328"/>
        <v>0</v>
      </c>
      <c r="I579" s="32"/>
      <c r="J579" s="32"/>
      <c r="K579" s="32"/>
      <c r="L579" s="32"/>
      <c r="M579" s="32"/>
      <c r="N579" s="32"/>
      <c r="O579" s="32"/>
      <c r="P579" s="32"/>
      <c r="Q579" s="32"/>
      <c r="R579" s="32"/>
      <c r="S579" s="32"/>
      <c r="T579" s="32"/>
      <c r="U579" s="32"/>
      <c r="V579" s="32"/>
      <c r="W579" s="32"/>
      <c r="X579" s="32"/>
      <c r="Y579" s="32"/>
      <c r="Z579" s="32"/>
      <c r="AA579" s="32"/>
      <c r="AB579" s="32"/>
      <c r="AC579" s="28">
        <f t="shared" si="329"/>
        <v>0</v>
      </c>
      <c r="AD579" s="33"/>
      <c r="AE579" s="33"/>
      <c r="AF579" s="33"/>
      <c r="AG579" s="33"/>
      <c r="AH579" s="33"/>
      <c r="AI579" s="33"/>
      <c r="AJ579" s="33"/>
      <c r="AK579" s="33"/>
      <c r="AL579" s="33"/>
      <c r="AM579" s="33"/>
      <c r="AN579" s="33"/>
      <c r="AO579" s="33"/>
      <c r="AP579" s="33"/>
      <c r="AQ579" s="33"/>
      <c r="AR579" s="33"/>
      <c r="AS579" s="33"/>
      <c r="AT579" s="34"/>
      <c r="AU579" s="1679"/>
      <c r="AV579" s="2256">
        <f t="shared" si="330"/>
        <v>0</v>
      </c>
      <c r="AW579" s="2256">
        <f t="shared" si="331"/>
        <v>0</v>
      </c>
      <c r="AX579" s="2256">
        <f t="shared" si="332"/>
        <v>0</v>
      </c>
      <c r="AY579" s="2781">
        <f t="shared" si="333"/>
        <v>0</v>
      </c>
      <c r="AZ579" s="28">
        <f t="shared" si="334"/>
        <v>0</v>
      </c>
      <c r="BA579" s="28">
        <f t="shared" si="335"/>
        <v>0</v>
      </c>
      <c r="BB579" s="28">
        <f t="shared" si="336"/>
        <v>0</v>
      </c>
      <c r="BC579" s="28">
        <f t="shared" si="337"/>
        <v>0</v>
      </c>
      <c r="BD579" s="3439">
        <f t="shared" si="338"/>
        <v>0</v>
      </c>
      <c r="BE579" s="3439">
        <f t="shared" si="339"/>
        <v>0</v>
      </c>
      <c r="BF579" s="3439">
        <f t="shared" si="340"/>
        <v>0</v>
      </c>
      <c r="BG579" s="3439">
        <f t="shared" si="341"/>
        <v>0</v>
      </c>
      <c r="BH579" s="3439">
        <f t="shared" si="342"/>
        <v>0</v>
      </c>
      <c r="BI579" s="3439">
        <f t="shared" si="343"/>
        <v>0</v>
      </c>
      <c r="BJ579" s="3439">
        <f t="shared" si="344"/>
        <v>0</v>
      </c>
      <c r="BK579" s="3439">
        <f t="shared" si="345"/>
        <v>0</v>
      </c>
      <c r="BL579" s="28">
        <f t="shared" si="346"/>
        <v>0</v>
      </c>
      <c r="BM579" s="28">
        <f t="shared" si="347"/>
        <v>0</v>
      </c>
      <c r="BN579" s="28">
        <f t="shared" si="348"/>
        <v>0</v>
      </c>
      <c r="BO579" s="28">
        <f t="shared" si="349"/>
        <v>0</v>
      </c>
      <c r="BP579" s="28">
        <f t="shared" si="350"/>
        <v>0</v>
      </c>
      <c r="BQ579" s="3439">
        <f t="shared" si="351"/>
        <v>0</v>
      </c>
      <c r="BR579" s="3439">
        <f t="shared" si="352"/>
        <v>0</v>
      </c>
      <c r="BS579" s="3439">
        <f t="shared" si="353"/>
        <v>0</v>
      </c>
      <c r="BT579" s="3451">
        <f t="shared" si="354"/>
        <v>0</v>
      </c>
    </row>
    <row r="580" spans="1:72">
      <c r="A580" s="9"/>
      <c r="B580" s="27"/>
      <c r="C580" s="27"/>
      <c r="D580" s="1678"/>
      <c r="E580" s="28">
        <f t="shared" si="326"/>
        <v>0</v>
      </c>
      <c r="F580" s="29"/>
      <c r="G580" s="30">
        <f t="shared" si="327"/>
        <v>0</v>
      </c>
      <c r="H580" s="31">
        <f t="shared" si="328"/>
        <v>0</v>
      </c>
      <c r="I580" s="32"/>
      <c r="J580" s="32"/>
      <c r="K580" s="32"/>
      <c r="L580" s="32"/>
      <c r="M580" s="32"/>
      <c r="N580" s="32"/>
      <c r="O580" s="32"/>
      <c r="P580" s="32"/>
      <c r="Q580" s="32"/>
      <c r="R580" s="32"/>
      <c r="S580" s="32"/>
      <c r="T580" s="32"/>
      <c r="U580" s="32"/>
      <c r="V580" s="32"/>
      <c r="W580" s="32"/>
      <c r="X580" s="32"/>
      <c r="Y580" s="32"/>
      <c r="Z580" s="32"/>
      <c r="AA580" s="32"/>
      <c r="AB580" s="32"/>
      <c r="AC580" s="28">
        <f t="shared" si="329"/>
        <v>0</v>
      </c>
      <c r="AD580" s="33"/>
      <c r="AE580" s="33"/>
      <c r="AF580" s="33"/>
      <c r="AG580" s="33"/>
      <c r="AH580" s="33"/>
      <c r="AI580" s="33"/>
      <c r="AJ580" s="33"/>
      <c r="AK580" s="33"/>
      <c r="AL580" s="33"/>
      <c r="AM580" s="33"/>
      <c r="AN580" s="33"/>
      <c r="AO580" s="33"/>
      <c r="AP580" s="33"/>
      <c r="AQ580" s="33"/>
      <c r="AR580" s="33"/>
      <c r="AS580" s="33"/>
      <c r="AT580" s="34"/>
      <c r="AU580" s="1679"/>
      <c r="AV580" s="2256">
        <f t="shared" si="330"/>
        <v>0</v>
      </c>
      <c r="AW580" s="2256">
        <f t="shared" si="331"/>
        <v>0</v>
      </c>
      <c r="AX580" s="2256">
        <f t="shared" si="332"/>
        <v>0</v>
      </c>
      <c r="AY580" s="2781">
        <f t="shared" si="333"/>
        <v>0</v>
      </c>
      <c r="AZ580" s="28">
        <f t="shared" si="334"/>
        <v>0</v>
      </c>
      <c r="BA580" s="28">
        <f t="shared" si="335"/>
        <v>0</v>
      </c>
      <c r="BB580" s="28">
        <f t="shared" si="336"/>
        <v>0</v>
      </c>
      <c r="BC580" s="28">
        <f t="shared" si="337"/>
        <v>0</v>
      </c>
      <c r="BD580" s="3439">
        <f t="shared" si="338"/>
        <v>0</v>
      </c>
      <c r="BE580" s="3439">
        <f t="shared" si="339"/>
        <v>0</v>
      </c>
      <c r="BF580" s="3439">
        <f t="shared" si="340"/>
        <v>0</v>
      </c>
      <c r="BG580" s="3439">
        <f t="shared" si="341"/>
        <v>0</v>
      </c>
      <c r="BH580" s="3439">
        <f t="shared" si="342"/>
        <v>0</v>
      </c>
      <c r="BI580" s="3439">
        <f t="shared" si="343"/>
        <v>0</v>
      </c>
      <c r="BJ580" s="3439">
        <f t="shared" si="344"/>
        <v>0</v>
      </c>
      <c r="BK580" s="3439">
        <f t="shared" si="345"/>
        <v>0</v>
      </c>
      <c r="BL580" s="28">
        <f t="shared" si="346"/>
        <v>0</v>
      </c>
      <c r="BM580" s="28">
        <f t="shared" si="347"/>
        <v>0</v>
      </c>
      <c r="BN580" s="28">
        <f t="shared" si="348"/>
        <v>0</v>
      </c>
      <c r="BO580" s="28">
        <f t="shared" si="349"/>
        <v>0</v>
      </c>
      <c r="BP580" s="28">
        <f t="shared" si="350"/>
        <v>0</v>
      </c>
      <c r="BQ580" s="3439">
        <f t="shared" si="351"/>
        <v>0</v>
      </c>
      <c r="BR580" s="3439">
        <f t="shared" si="352"/>
        <v>0</v>
      </c>
      <c r="BS580" s="3439">
        <f t="shared" si="353"/>
        <v>0</v>
      </c>
      <c r="BT580" s="3451">
        <f t="shared" si="354"/>
        <v>0</v>
      </c>
    </row>
    <row r="581" spans="1:72">
      <c r="A581" s="9"/>
      <c r="B581" s="27"/>
      <c r="C581" s="27"/>
      <c r="D581" s="1678"/>
      <c r="E581" s="28">
        <f t="shared" si="326"/>
        <v>0</v>
      </c>
      <c r="F581" s="29"/>
      <c r="G581" s="30">
        <f t="shared" si="327"/>
        <v>0</v>
      </c>
      <c r="H581" s="31">
        <f t="shared" si="328"/>
        <v>0</v>
      </c>
      <c r="I581" s="32"/>
      <c r="J581" s="32"/>
      <c r="K581" s="32"/>
      <c r="L581" s="32"/>
      <c r="M581" s="32"/>
      <c r="N581" s="32"/>
      <c r="O581" s="32"/>
      <c r="P581" s="32"/>
      <c r="Q581" s="32"/>
      <c r="R581" s="32"/>
      <c r="S581" s="32"/>
      <c r="T581" s="32"/>
      <c r="U581" s="32"/>
      <c r="V581" s="32"/>
      <c r="W581" s="32"/>
      <c r="X581" s="32"/>
      <c r="Y581" s="32"/>
      <c r="Z581" s="32"/>
      <c r="AA581" s="32"/>
      <c r="AB581" s="32"/>
      <c r="AC581" s="28">
        <f t="shared" si="329"/>
        <v>0</v>
      </c>
      <c r="AD581" s="33"/>
      <c r="AE581" s="33"/>
      <c r="AF581" s="33"/>
      <c r="AG581" s="33"/>
      <c r="AH581" s="33"/>
      <c r="AI581" s="33"/>
      <c r="AJ581" s="33"/>
      <c r="AK581" s="33"/>
      <c r="AL581" s="33"/>
      <c r="AM581" s="33"/>
      <c r="AN581" s="33"/>
      <c r="AO581" s="33"/>
      <c r="AP581" s="33"/>
      <c r="AQ581" s="33"/>
      <c r="AR581" s="33"/>
      <c r="AS581" s="33"/>
      <c r="AT581" s="34"/>
      <c r="AU581" s="1679"/>
      <c r="AV581" s="2256">
        <f t="shared" si="330"/>
        <v>0</v>
      </c>
      <c r="AW581" s="2256">
        <f t="shared" si="331"/>
        <v>0</v>
      </c>
      <c r="AX581" s="2256">
        <f t="shared" si="332"/>
        <v>0</v>
      </c>
      <c r="AY581" s="2781">
        <f t="shared" si="333"/>
        <v>0</v>
      </c>
      <c r="AZ581" s="28">
        <f t="shared" si="334"/>
        <v>0</v>
      </c>
      <c r="BA581" s="28">
        <f t="shared" si="335"/>
        <v>0</v>
      </c>
      <c r="BB581" s="28">
        <f t="shared" si="336"/>
        <v>0</v>
      </c>
      <c r="BC581" s="28">
        <f t="shared" si="337"/>
        <v>0</v>
      </c>
      <c r="BD581" s="3439">
        <f t="shared" si="338"/>
        <v>0</v>
      </c>
      <c r="BE581" s="3439">
        <f t="shared" si="339"/>
        <v>0</v>
      </c>
      <c r="BF581" s="3439">
        <f t="shared" si="340"/>
        <v>0</v>
      </c>
      <c r="BG581" s="3439">
        <f t="shared" si="341"/>
        <v>0</v>
      </c>
      <c r="BH581" s="3439">
        <f t="shared" si="342"/>
        <v>0</v>
      </c>
      <c r="BI581" s="3439">
        <f t="shared" si="343"/>
        <v>0</v>
      </c>
      <c r="BJ581" s="3439">
        <f t="shared" si="344"/>
        <v>0</v>
      </c>
      <c r="BK581" s="3439">
        <f t="shared" si="345"/>
        <v>0</v>
      </c>
      <c r="BL581" s="28">
        <f t="shared" si="346"/>
        <v>0</v>
      </c>
      <c r="BM581" s="28">
        <f t="shared" si="347"/>
        <v>0</v>
      </c>
      <c r="BN581" s="28">
        <f t="shared" si="348"/>
        <v>0</v>
      </c>
      <c r="BO581" s="28">
        <f t="shared" si="349"/>
        <v>0</v>
      </c>
      <c r="BP581" s="28">
        <f t="shared" si="350"/>
        <v>0</v>
      </c>
      <c r="BQ581" s="3439">
        <f t="shared" si="351"/>
        <v>0</v>
      </c>
      <c r="BR581" s="3439">
        <f t="shared" si="352"/>
        <v>0</v>
      </c>
      <c r="BS581" s="3439">
        <f t="shared" si="353"/>
        <v>0</v>
      </c>
      <c r="BT581" s="3451">
        <f t="shared" si="354"/>
        <v>0</v>
      </c>
    </row>
    <row r="582" spans="1:72">
      <c r="A582" s="9"/>
      <c r="B582" s="27"/>
      <c r="C582" s="27"/>
      <c r="D582" s="1678"/>
      <c r="E582" s="28">
        <f t="shared" si="326"/>
        <v>0</v>
      </c>
      <c r="F582" s="29"/>
      <c r="G582" s="30">
        <f t="shared" si="327"/>
        <v>0</v>
      </c>
      <c r="H582" s="31">
        <f t="shared" si="328"/>
        <v>0</v>
      </c>
      <c r="I582" s="32"/>
      <c r="J582" s="32"/>
      <c r="K582" s="32"/>
      <c r="L582" s="32"/>
      <c r="M582" s="32"/>
      <c r="N582" s="32"/>
      <c r="O582" s="32"/>
      <c r="P582" s="32"/>
      <c r="Q582" s="32"/>
      <c r="R582" s="32"/>
      <c r="S582" s="32"/>
      <c r="T582" s="32"/>
      <c r="U582" s="32"/>
      <c r="V582" s="32"/>
      <c r="W582" s="32"/>
      <c r="X582" s="32"/>
      <c r="Y582" s="32"/>
      <c r="Z582" s="32"/>
      <c r="AA582" s="32"/>
      <c r="AB582" s="32"/>
      <c r="AC582" s="28">
        <f t="shared" si="329"/>
        <v>0</v>
      </c>
      <c r="AD582" s="33"/>
      <c r="AE582" s="33"/>
      <c r="AF582" s="33"/>
      <c r="AG582" s="33"/>
      <c r="AH582" s="33"/>
      <c r="AI582" s="33"/>
      <c r="AJ582" s="33"/>
      <c r="AK582" s="33"/>
      <c r="AL582" s="33"/>
      <c r="AM582" s="33"/>
      <c r="AN582" s="33"/>
      <c r="AO582" s="33"/>
      <c r="AP582" s="33"/>
      <c r="AQ582" s="33"/>
      <c r="AR582" s="33"/>
      <c r="AS582" s="33"/>
      <c r="AT582" s="34"/>
      <c r="AU582" s="1679"/>
      <c r="AV582" s="2256">
        <f t="shared" si="330"/>
        <v>0</v>
      </c>
      <c r="AW582" s="2256">
        <f t="shared" si="331"/>
        <v>0</v>
      </c>
      <c r="AX582" s="2256">
        <f t="shared" si="332"/>
        <v>0</v>
      </c>
      <c r="AY582" s="2781">
        <f t="shared" si="333"/>
        <v>0</v>
      </c>
      <c r="AZ582" s="28">
        <f t="shared" si="334"/>
        <v>0</v>
      </c>
      <c r="BA582" s="28">
        <f t="shared" si="335"/>
        <v>0</v>
      </c>
      <c r="BB582" s="28">
        <f t="shared" si="336"/>
        <v>0</v>
      </c>
      <c r="BC582" s="28">
        <f t="shared" si="337"/>
        <v>0</v>
      </c>
      <c r="BD582" s="3439">
        <f t="shared" si="338"/>
        <v>0</v>
      </c>
      <c r="BE582" s="3439">
        <f t="shared" si="339"/>
        <v>0</v>
      </c>
      <c r="BF582" s="3439">
        <f t="shared" si="340"/>
        <v>0</v>
      </c>
      <c r="BG582" s="3439">
        <f t="shared" si="341"/>
        <v>0</v>
      </c>
      <c r="BH582" s="3439">
        <f t="shared" si="342"/>
        <v>0</v>
      </c>
      <c r="BI582" s="3439">
        <f t="shared" si="343"/>
        <v>0</v>
      </c>
      <c r="BJ582" s="3439">
        <f t="shared" si="344"/>
        <v>0</v>
      </c>
      <c r="BK582" s="3439">
        <f t="shared" si="345"/>
        <v>0</v>
      </c>
      <c r="BL582" s="28">
        <f t="shared" si="346"/>
        <v>0</v>
      </c>
      <c r="BM582" s="28">
        <f t="shared" si="347"/>
        <v>0</v>
      </c>
      <c r="BN582" s="28">
        <f t="shared" si="348"/>
        <v>0</v>
      </c>
      <c r="BO582" s="28">
        <f t="shared" si="349"/>
        <v>0</v>
      </c>
      <c r="BP582" s="28">
        <f t="shared" si="350"/>
        <v>0</v>
      </c>
      <c r="BQ582" s="3439">
        <f t="shared" si="351"/>
        <v>0</v>
      </c>
      <c r="BR582" s="3439">
        <f t="shared" si="352"/>
        <v>0</v>
      </c>
      <c r="BS582" s="3439">
        <f t="shared" si="353"/>
        <v>0</v>
      </c>
      <c r="BT582" s="3451">
        <f t="shared" si="354"/>
        <v>0</v>
      </c>
    </row>
    <row r="583" spans="1:72">
      <c r="A583" s="9"/>
      <c r="B583" s="27"/>
      <c r="C583" s="27"/>
      <c r="D583" s="1678"/>
      <c r="E583" s="28">
        <f t="shared" si="326"/>
        <v>0</v>
      </c>
      <c r="F583" s="29"/>
      <c r="G583" s="30">
        <f t="shared" si="327"/>
        <v>0</v>
      </c>
      <c r="H583" s="31">
        <f t="shared" si="328"/>
        <v>0</v>
      </c>
      <c r="I583" s="32"/>
      <c r="J583" s="32"/>
      <c r="K583" s="32"/>
      <c r="L583" s="32"/>
      <c r="M583" s="32"/>
      <c r="N583" s="32"/>
      <c r="O583" s="32"/>
      <c r="P583" s="32"/>
      <c r="Q583" s="32"/>
      <c r="R583" s="32"/>
      <c r="S583" s="32"/>
      <c r="T583" s="32"/>
      <c r="U583" s="32"/>
      <c r="V583" s="32"/>
      <c r="W583" s="32"/>
      <c r="X583" s="32"/>
      <c r="Y583" s="32"/>
      <c r="Z583" s="32"/>
      <c r="AA583" s="32"/>
      <c r="AB583" s="32"/>
      <c r="AC583" s="28">
        <f t="shared" si="329"/>
        <v>0</v>
      </c>
      <c r="AD583" s="33"/>
      <c r="AE583" s="33"/>
      <c r="AF583" s="33"/>
      <c r="AG583" s="33"/>
      <c r="AH583" s="33"/>
      <c r="AI583" s="33"/>
      <c r="AJ583" s="33"/>
      <c r="AK583" s="33"/>
      <c r="AL583" s="33"/>
      <c r="AM583" s="33"/>
      <c r="AN583" s="33"/>
      <c r="AO583" s="33"/>
      <c r="AP583" s="33"/>
      <c r="AQ583" s="33"/>
      <c r="AR583" s="33"/>
      <c r="AS583" s="33"/>
      <c r="AT583" s="34"/>
      <c r="AU583" s="1679"/>
      <c r="AV583" s="2256">
        <f t="shared" si="330"/>
        <v>0</v>
      </c>
      <c r="AW583" s="2256">
        <f t="shared" si="331"/>
        <v>0</v>
      </c>
      <c r="AX583" s="2256">
        <f t="shared" si="332"/>
        <v>0</v>
      </c>
      <c r="AY583" s="2781">
        <f t="shared" si="333"/>
        <v>0</v>
      </c>
      <c r="AZ583" s="28">
        <f t="shared" si="334"/>
        <v>0</v>
      </c>
      <c r="BA583" s="28">
        <f t="shared" si="335"/>
        <v>0</v>
      </c>
      <c r="BB583" s="28">
        <f t="shared" si="336"/>
        <v>0</v>
      </c>
      <c r="BC583" s="28">
        <f t="shared" si="337"/>
        <v>0</v>
      </c>
      <c r="BD583" s="3439">
        <f t="shared" si="338"/>
        <v>0</v>
      </c>
      <c r="BE583" s="3439">
        <f t="shared" si="339"/>
        <v>0</v>
      </c>
      <c r="BF583" s="3439">
        <f t="shared" si="340"/>
        <v>0</v>
      </c>
      <c r="BG583" s="3439">
        <f t="shared" si="341"/>
        <v>0</v>
      </c>
      <c r="BH583" s="3439">
        <f t="shared" si="342"/>
        <v>0</v>
      </c>
      <c r="BI583" s="3439">
        <f t="shared" si="343"/>
        <v>0</v>
      </c>
      <c r="BJ583" s="3439">
        <f t="shared" si="344"/>
        <v>0</v>
      </c>
      <c r="BK583" s="3439">
        <f t="shared" si="345"/>
        <v>0</v>
      </c>
      <c r="BL583" s="28">
        <f t="shared" si="346"/>
        <v>0</v>
      </c>
      <c r="BM583" s="28">
        <f t="shared" si="347"/>
        <v>0</v>
      </c>
      <c r="BN583" s="28">
        <f t="shared" si="348"/>
        <v>0</v>
      </c>
      <c r="BO583" s="28">
        <f t="shared" si="349"/>
        <v>0</v>
      </c>
      <c r="BP583" s="28">
        <f t="shared" si="350"/>
        <v>0</v>
      </c>
      <c r="BQ583" s="3439">
        <f t="shared" si="351"/>
        <v>0</v>
      </c>
      <c r="BR583" s="3439">
        <f t="shared" si="352"/>
        <v>0</v>
      </c>
      <c r="BS583" s="3439">
        <f t="shared" si="353"/>
        <v>0</v>
      </c>
      <c r="BT583" s="3451">
        <f t="shared" si="354"/>
        <v>0</v>
      </c>
    </row>
    <row r="584" spans="1:72">
      <c r="A584" s="9"/>
      <c r="B584" s="27"/>
      <c r="C584" s="27"/>
      <c r="D584" s="1678"/>
      <c r="E584" s="28">
        <f t="shared" si="326"/>
        <v>0</v>
      </c>
      <c r="F584" s="29"/>
      <c r="G584" s="30">
        <f t="shared" si="327"/>
        <v>0</v>
      </c>
      <c r="H584" s="31">
        <f t="shared" si="328"/>
        <v>0</v>
      </c>
      <c r="I584" s="32"/>
      <c r="J584" s="32"/>
      <c r="K584" s="32"/>
      <c r="L584" s="32"/>
      <c r="M584" s="32"/>
      <c r="N584" s="32"/>
      <c r="O584" s="32"/>
      <c r="P584" s="32"/>
      <c r="Q584" s="32"/>
      <c r="R584" s="32"/>
      <c r="S584" s="32"/>
      <c r="T584" s="32"/>
      <c r="U584" s="32"/>
      <c r="V584" s="32"/>
      <c r="W584" s="32"/>
      <c r="X584" s="32"/>
      <c r="Y584" s="32"/>
      <c r="Z584" s="32"/>
      <c r="AA584" s="32"/>
      <c r="AB584" s="32"/>
      <c r="AC584" s="28">
        <f t="shared" si="329"/>
        <v>0</v>
      </c>
      <c r="AD584" s="33"/>
      <c r="AE584" s="33"/>
      <c r="AF584" s="33"/>
      <c r="AG584" s="33"/>
      <c r="AH584" s="33"/>
      <c r="AI584" s="33"/>
      <c r="AJ584" s="33"/>
      <c r="AK584" s="33"/>
      <c r="AL584" s="33"/>
      <c r="AM584" s="33"/>
      <c r="AN584" s="33"/>
      <c r="AO584" s="33"/>
      <c r="AP584" s="33"/>
      <c r="AQ584" s="33"/>
      <c r="AR584" s="33"/>
      <c r="AS584" s="33"/>
      <c r="AT584" s="34"/>
      <c r="AU584" s="1679"/>
      <c r="AV584" s="2256">
        <f t="shared" si="330"/>
        <v>0</v>
      </c>
      <c r="AW584" s="2256">
        <f t="shared" si="331"/>
        <v>0</v>
      </c>
      <c r="AX584" s="2256">
        <f t="shared" si="332"/>
        <v>0</v>
      </c>
      <c r="AY584" s="2781">
        <f t="shared" si="333"/>
        <v>0</v>
      </c>
      <c r="AZ584" s="28">
        <f t="shared" si="334"/>
        <v>0</v>
      </c>
      <c r="BA584" s="28">
        <f t="shared" si="335"/>
        <v>0</v>
      </c>
      <c r="BB584" s="28">
        <f t="shared" si="336"/>
        <v>0</v>
      </c>
      <c r="BC584" s="28">
        <f t="shared" si="337"/>
        <v>0</v>
      </c>
      <c r="BD584" s="3439">
        <f t="shared" si="338"/>
        <v>0</v>
      </c>
      <c r="BE584" s="3439">
        <f t="shared" si="339"/>
        <v>0</v>
      </c>
      <c r="BF584" s="3439">
        <f t="shared" si="340"/>
        <v>0</v>
      </c>
      <c r="BG584" s="3439">
        <f t="shared" si="341"/>
        <v>0</v>
      </c>
      <c r="BH584" s="3439">
        <f t="shared" si="342"/>
        <v>0</v>
      </c>
      <c r="BI584" s="3439">
        <f t="shared" si="343"/>
        <v>0</v>
      </c>
      <c r="BJ584" s="3439">
        <f t="shared" si="344"/>
        <v>0</v>
      </c>
      <c r="BK584" s="3439">
        <f t="shared" si="345"/>
        <v>0</v>
      </c>
      <c r="BL584" s="28">
        <f t="shared" si="346"/>
        <v>0</v>
      </c>
      <c r="BM584" s="28">
        <f t="shared" si="347"/>
        <v>0</v>
      </c>
      <c r="BN584" s="28">
        <f t="shared" si="348"/>
        <v>0</v>
      </c>
      <c r="BO584" s="28">
        <f t="shared" si="349"/>
        <v>0</v>
      </c>
      <c r="BP584" s="28">
        <f t="shared" si="350"/>
        <v>0</v>
      </c>
      <c r="BQ584" s="3439">
        <f t="shared" si="351"/>
        <v>0</v>
      </c>
      <c r="BR584" s="3439">
        <f t="shared" si="352"/>
        <v>0</v>
      </c>
      <c r="BS584" s="3439">
        <f t="shared" si="353"/>
        <v>0</v>
      </c>
      <c r="BT584" s="3451">
        <f t="shared" si="354"/>
        <v>0</v>
      </c>
    </row>
    <row r="585" spans="1:72">
      <c r="A585" s="9"/>
      <c r="B585" s="9"/>
      <c r="C585" s="9"/>
      <c r="D585" s="1678"/>
      <c r="E585" s="28">
        <f t="shared" si="326"/>
        <v>0</v>
      </c>
      <c r="F585" s="37"/>
      <c r="G585" s="30">
        <f>H585+AC585+AT585</f>
        <v>0</v>
      </c>
      <c r="H585" s="31">
        <f>SUMIF(I$12:AB$12,"总值",I585:AB585)</f>
        <v>0</v>
      </c>
      <c r="I585" s="10"/>
      <c r="J585" s="10"/>
      <c r="K585" s="32"/>
      <c r="L585" s="32"/>
      <c r="M585" s="32"/>
      <c r="N585" s="32"/>
      <c r="O585" s="32"/>
      <c r="P585" s="32"/>
      <c r="Q585" s="32"/>
      <c r="R585" s="32"/>
      <c r="S585" s="32"/>
      <c r="T585" s="32"/>
      <c r="U585" s="32"/>
      <c r="V585" s="32"/>
      <c r="W585" s="32"/>
      <c r="X585" s="32"/>
      <c r="Y585" s="32"/>
      <c r="Z585" s="32"/>
      <c r="AA585" s="32"/>
      <c r="AB585" s="32"/>
      <c r="AC585" s="28">
        <f>SUMIF(AD$12:AS$12,"总值",AD585:AS585)</f>
        <v>0</v>
      </c>
      <c r="AD585" s="33"/>
      <c r="AE585" s="33"/>
      <c r="AF585" s="33"/>
      <c r="AG585" s="33"/>
      <c r="AH585" s="33"/>
      <c r="AI585" s="33"/>
      <c r="AJ585" s="33"/>
      <c r="AK585" s="33"/>
      <c r="AL585" s="33"/>
      <c r="AM585" s="33"/>
      <c r="AN585" s="33"/>
      <c r="AO585" s="33"/>
      <c r="AP585" s="33"/>
      <c r="AQ585" s="33"/>
      <c r="AR585" s="33"/>
      <c r="AS585" s="33"/>
      <c r="AT585" s="33"/>
      <c r="AU585" s="1626"/>
      <c r="AV585" s="2256">
        <f t="shared" si="330"/>
        <v>0</v>
      </c>
      <c r="AW585" s="2256">
        <f t="shared" si="331"/>
        <v>0</v>
      </c>
      <c r="AX585" s="2256">
        <f t="shared" si="332"/>
        <v>0</v>
      </c>
      <c r="AY585" s="2781">
        <f>ROUND($AY$6*AZ585/$AZ$5,2)</f>
        <v>0</v>
      </c>
      <c r="AZ585" s="28">
        <f>BA585+BL585</f>
        <v>0</v>
      </c>
      <c r="BA585" s="28">
        <f>SUM(BB585:BK585)</f>
        <v>0</v>
      </c>
      <c r="BB585" s="28">
        <f>IF($D585="是",I585-J585,0)</f>
        <v>0</v>
      </c>
      <c r="BC585" s="28">
        <f>IF($D585="是",K585-L585,0)</f>
        <v>0</v>
      </c>
      <c r="BD585" s="3439">
        <f>IF($D585="是",M585-N585,0)</f>
        <v>0</v>
      </c>
      <c r="BE585" s="3439">
        <f>IF($D585="是",O585-P585,0)</f>
        <v>0</v>
      </c>
      <c r="BF585" s="3439">
        <f>IF($D585="是",Q585-R585,0)</f>
        <v>0</v>
      </c>
      <c r="BG585" s="3439">
        <f>IF($D585="是",S585-T585,0)</f>
        <v>0</v>
      </c>
      <c r="BH585" s="3439">
        <f>IF($D585="是",U585-V585,0)</f>
        <v>0</v>
      </c>
      <c r="BI585" s="3439">
        <f>IF($D585="是",W585-X585,0)</f>
        <v>0</v>
      </c>
      <c r="BJ585" s="3439">
        <f>IF($D585="是",Y585-Z585,0)</f>
        <v>0</v>
      </c>
      <c r="BK585" s="3439">
        <f>IF($D585="是",AA585-AB585,0)</f>
        <v>0</v>
      </c>
      <c r="BL585" s="28">
        <f>SUM(BM585:BT585)</f>
        <v>0</v>
      </c>
      <c r="BM585" s="28">
        <f>IF($D585="是",AD585-AE585,0)</f>
        <v>0</v>
      </c>
      <c r="BN585" s="28">
        <f>IF($D585="是",AF585-AG585,0)</f>
        <v>0</v>
      </c>
      <c r="BO585" s="28">
        <f>IF($D585="是",AH585-AI585,0)</f>
        <v>0</v>
      </c>
      <c r="BP585" s="28">
        <f>IF($D585="是",AJ585-AK585,0)</f>
        <v>0</v>
      </c>
      <c r="BQ585" s="3439">
        <f>IF($D585="是",AL585-AM585,0)</f>
        <v>0</v>
      </c>
      <c r="BR585" s="3439">
        <f>IF($D585="是",AN585-AO585,0)</f>
        <v>0</v>
      </c>
      <c r="BS585" s="3439">
        <f>IF($D585="是",AP585-AQ585,0)</f>
        <v>0</v>
      </c>
      <c r="BT585" s="3451">
        <f>IF($D585="是",AR585-AS585,0)</f>
        <v>0</v>
      </c>
    </row>
    <row r="586" spans="1:72">
      <c r="A586" s="9"/>
      <c r="B586" s="9"/>
      <c r="C586" s="9"/>
      <c r="D586" s="1678"/>
      <c r="E586" s="28">
        <f t="shared" si="326"/>
        <v>0</v>
      </c>
      <c r="F586" s="37"/>
      <c r="G586" s="30">
        <f>H586+AC586+AT586</f>
        <v>0</v>
      </c>
      <c r="H586" s="31">
        <f>SUMIF(I$12:AB$12,"总值",I586:AB586)</f>
        <v>0</v>
      </c>
      <c r="I586" s="32"/>
      <c r="J586" s="32"/>
      <c r="K586" s="32"/>
      <c r="L586" s="32"/>
      <c r="M586" s="32"/>
      <c r="N586" s="32"/>
      <c r="O586" s="32"/>
      <c r="P586" s="32"/>
      <c r="Q586" s="32"/>
      <c r="R586" s="32"/>
      <c r="S586" s="32"/>
      <c r="T586" s="32"/>
      <c r="U586" s="32"/>
      <c r="V586" s="32"/>
      <c r="W586" s="32"/>
      <c r="X586" s="32"/>
      <c r="Y586" s="32"/>
      <c r="Z586" s="32"/>
      <c r="AA586" s="32"/>
      <c r="AB586" s="32"/>
      <c r="AC586" s="28">
        <f>SUMIF(AD$12:AS$12,"总值",AD586:AS586)</f>
        <v>0</v>
      </c>
      <c r="AD586" s="33"/>
      <c r="AE586" s="33"/>
      <c r="AF586" s="33"/>
      <c r="AG586" s="33"/>
      <c r="AH586" s="33"/>
      <c r="AI586" s="33"/>
      <c r="AJ586" s="33"/>
      <c r="AK586" s="33"/>
      <c r="AL586" s="33"/>
      <c r="AM586" s="33"/>
      <c r="AN586" s="33"/>
      <c r="AO586" s="33"/>
      <c r="AP586" s="33"/>
      <c r="AQ586" s="33"/>
      <c r="AR586" s="33"/>
      <c r="AS586" s="33"/>
      <c r="AT586" s="33"/>
      <c r="AU586" s="1626"/>
      <c r="AV586" s="2256">
        <f t="shared" si="330"/>
        <v>0</v>
      </c>
      <c r="AW586" s="2256">
        <f t="shared" si="331"/>
        <v>0</v>
      </c>
      <c r="AX586" s="2256">
        <f t="shared" si="332"/>
        <v>0</v>
      </c>
      <c r="AY586" s="2781">
        <f>ROUND($AY$6*AZ586/$AZ$5,2)</f>
        <v>0</v>
      </c>
      <c r="AZ586" s="28">
        <f>BA586+BL586</f>
        <v>0</v>
      </c>
      <c r="BA586" s="28">
        <f>SUM(BB586:BK586)</f>
        <v>0</v>
      </c>
      <c r="BB586" s="28">
        <f>IF($D586="是",I586-J586,0)</f>
        <v>0</v>
      </c>
      <c r="BC586" s="28">
        <f>IF($D586="是",K586-L586,0)</f>
        <v>0</v>
      </c>
      <c r="BD586" s="3439">
        <f>IF($D586="是",M586-N586,0)</f>
        <v>0</v>
      </c>
      <c r="BE586" s="3439">
        <f>IF($D586="是",O586-P586,0)</f>
        <v>0</v>
      </c>
      <c r="BF586" s="3439">
        <f>IF($D586="是",Q586-R586,0)</f>
        <v>0</v>
      </c>
      <c r="BG586" s="3439">
        <f>IF($D586="是",S586-T586,0)</f>
        <v>0</v>
      </c>
      <c r="BH586" s="3439">
        <f>IF($D586="是",U586-V586,0)</f>
        <v>0</v>
      </c>
      <c r="BI586" s="3439">
        <f>IF($D586="是",W586-X586,0)</f>
        <v>0</v>
      </c>
      <c r="BJ586" s="3439">
        <f>IF($D586="是",Y586-Z586,0)</f>
        <v>0</v>
      </c>
      <c r="BK586" s="3439">
        <f>IF($D586="是",AA586-AB586,0)</f>
        <v>0</v>
      </c>
      <c r="BL586" s="28">
        <f>SUM(BM586:BT586)</f>
        <v>0</v>
      </c>
      <c r="BM586" s="28">
        <f>IF($D586="是",AD586-AE586,0)</f>
        <v>0</v>
      </c>
      <c r="BN586" s="28">
        <f>IF($D586="是",AF586-AG586,0)</f>
        <v>0</v>
      </c>
      <c r="BO586" s="28">
        <f>IF($D586="是",AH586-AI586,0)</f>
        <v>0</v>
      </c>
      <c r="BP586" s="28">
        <f>IF($D586="是",AJ586-AK586,0)</f>
        <v>0</v>
      </c>
      <c r="BQ586" s="3439">
        <f>IF($D586="是",AL586-AM586,0)</f>
        <v>0</v>
      </c>
      <c r="BR586" s="3439">
        <f>IF($D586="是",AN586-AO586,0)</f>
        <v>0</v>
      </c>
      <c r="BS586" s="3439">
        <f>IF($D586="是",AP586-AQ586,0)</f>
        <v>0</v>
      </c>
      <c r="BT586" s="3451">
        <f>IF($D586="是",AR586-AS586,0)</f>
        <v>0</v>
      </c>
    </row>
    <row r="587" spans="1:72">
      <c r="A587" s="9"/>
      <c r="B587" s="9"/>
      <c r="C587" s="9"/>
      <c r="D587" s="1678"/>
      <c r="E587" s="28">
        <f t="shared" si="326"/>
        <v>0</v>
      </c>
      <c r="F587" s="37"/>
      <c r="G587" s="30">
        <f>H587+AC587+AT587</f>
        <v>0</v>
      </c>
      <c r="H587" s="31">
        <f>SUMIF(I$12:AB$12,"总值",I587:AB587)</f>
        <v>0</v>
      </c>
      <c r="I587" s="32"/>
      <c r="J587" s="32"/>
      <c r="K587" s="32"/>
      <c r="L587" s="32"/>
      <c r="M587" s="32"/>
      <c r="N587" s="32"/>
      <c r="O587" s="32"/>
      <c r="P587" s="32"/>
      <c r="Q587" s="32"/>
      <c r="R587" s="32"/>
      <c r="S587" s="32"/>
      <c r="T587" s="32"/>
      <c r="U587" s="32"/>
      <c r="V587" s="32"/>
      <c r="W587" s="32"/>
      <c r="X587" s="32"/>
      <c r="Y587" s="32"/>
      <c r="Z587" s="32"/>
      <c r="AA587" s="32"/>
      <c r="AB587" s="32"/>
      <c r="AC587" s="28">
        <f>SUMIF(AD$12:AS$12,"总值",AD587:AS587)</f>
        <v>0</v>
      </c>
      <c r="AD587" s="33"/>
      <c r="AE587" s="33"/>
      <c r="AF587" s="33"/>
      <c r="AG587" s="33"/>
      <c r="AH587" s="33"/>
      <c r="AI587" s="33"/>
      <c r="AJ587" s="33"/>
      <c r="AK587" s="33"/>
      <c r="AL587" s="33"/>
      <c r="AM587" s="33"/>
      <c r="AN587" s="33"/>
      <c r="AO587" s="33"/>
      <c r="AP587" s="33"/>
      <c r="AQ587" s="33"/>
      <c r="AR587" s="33"/>
      <c r="AS587" s="33"/>
      <c r="AT587" s="33"/>
      <c r="AU587" s="1626"/>
      <c r="AV587" s="2256">
        <f t="shared" si="330"/>
        <v>0</v>
      </c>
      <c r="AW587" s="2256">
        <f t="shared" si="331"/>
        <v>0</v>
      </c>
      <c r="AX587" s="2256">
        <f t="shared" si="332"/>
        <v>0</v>
      </c>
      <c r="AY587" s="2781">
        <f>ROUND($AY$6*AZ587/$AZ$5,2)</f>
        <v>0</v>
      </c>
      <c r="AZ587" s="28">
        <f>BA587+BL587</f>
        <v>0</v>
      </c>
      <c r="BA587" s="28">
        <f>SUM(BB587:BK587)</f>
        <v>0</v>
      </c>
      <c r="BB587" s="28">
        <f>IF($D587="是",I587-J587,0)</f>
        <v>0</v>
      </c>
      <c r="BC587" s="28">
        <f>IF($D587="是",K587-L587,0)</f>
        <v>0</v>
      </c>
      <c r="BD587" s="3439">
        <f>IF($D587="是",M587-N587,0)</f>
        <v>0</v>
      </c>
      <c r="BE587" s="3439">
        <f>IF($D587="是",O587-P587,0)</f>
        <v>0</v>
      </c>
      <c r="BF587" s="3439">
        <f>IF($D587="是",Q587-R587,0)</f>
        <v>0</v>
      </c>
      <c r="BG587" s="3439">
        <f>IF($D587="是",S587-T587,0)</f>
        <v>0</v>
      </c>
      <c r="BH587" s="3439">
        <f>IF($D587="是",U587-V587,0)</f>
        <v>0</v>
      </c>
      <c r="BI587" s="3439">
        <f>IF($D587="是",W587-X587,0)</f>
        <v>0</v>
      </c>
      <c r="BJ587" s="3439">
        <f>IF($D587="是",Y587-Z587,0)</f>
        <v>0</v>
      </c>
      <c r="BK587" s="3439">
        <f>IF($D587="是",AA587-AB587,0)</f>
        <v>0</v>
      </c>
      <c r="BL587" s="28">
        <f>SUM(BM587:BT587)</f>
        <v>0</v>
      </c>
      <c r="BM587" s="28">
        <f>IF($D587="是",AD587-AE587,0)</f>
        <v>0</v>
      </c>
      <c r="BN587" s="28">
        <f>IF($D587="是",AF587-AG587,0)</f>
        <v>0</v>
      </c>
      <c r="BO587" s="28">
        <f>IF($D587="是",AH587-AI587,0)</f>
        <v>0</v>
      </c>
      <c r="BP587" s="28">
        <f>IF($D587="是",AJ587-AK587,0)</f>
        <v>0</v>
      </c>
      <c r="BQ587" s="3439">
        <f>IF($D587="是",AL587-AM587,0)</f>
        <v>0</v>
      </c>
      <c r="BR587" s="3439">
        <f>IF($D587="是",AN587-AO587,0)</f>
        <v>0</v>
      </c>
      <c r="BS587" s="3439">
        <f>IF($D587="是",AP587-AQ587,0)</f>
        <v>0</v>
      </c>
      <c r="BT587" s="3451">
        <f>IF($D587="是",AR587-AS587,0)</f>
        <v>0</v>
      </c>
    </row>
    <row r="588" spans="1:72" s="1682" customFormat="1">
      <c r="A588" s="1680"/>
      <c r="B588" s="1680"/>
      <c r="C588" s="1680"/>
      <c r="D588" s="1680"/>
      <c r="E588" s="1681"/>
      <c r="F588" s="1681"/>
      <c r="G588" s="1680"/>
      <c r="H588" s="1681"/>
      <c r="I588" s="1681"/>
      <c r="J588" s="1681"/>
      <c r="K588" s="1681"/>
      <c r="L588" s="1681"/>
      <c r="M588" s="1681"/>
      <c r="N588" s="1681"/>
      <c r="O588" s="1681"/>
      <c r="P588" s="1681"/>
      <c r="Q588" s="1681"/>
      <c r="R588" s="1681"/>
      <c r="S588" s="1681"/>
      <c r="T588" s="1681"/>
      <c r="U588" s="1681"/>
      <c r="V588" s="1681"/>
      <c r="W588" s="1681"/>
      <c r="X588" s="1681"/>
      <c r="Y588" s="1681"/>
      <c r="Z588" s="1681"/>
      <c r="AA588" s="1681"/>
      <c r="AB588" s="1681"/>
      <c r="AC588" s="1681"/>
      <c r="AD588" s="1681"/>
      <c r="AE588" s="1681"/>
      <c r="AF588" s="1681"/>
      <c r="AG588" s="1681"/>
      <c r="AH588" s="1681"/>
      <c r="AI588" s="1681"/>
      <c r="AJ588" s="1681"/>
      <c r="AK588" s="1681"/>
      <c r="AL588" s="1681"/>
      <c r="AM588" s="1681"/>
      <c r="AN588" s="1681"/>
      <c r="AO588" s="1681"/>
      <c r="AP588" s="1681"/>
      <c r="AQ588" s="1681"/>
      <c r="AR588" s="1681"/>
      <c r="AS588" s="1681"/>
      <c r="AT588" s="1681"/>
      <c r="AU588" s="1680"/>
      <c r="AV588" s="1681"/>
      <c r="AW588" s="1681"/>
      <c r="AX588" s="1681"/>
      <c r="AY588" s="3426"/>
      <c r="BD588" s="3440"/>
      <c r="BE588" s="3440"/>
      <c r="BF588" s="3440"/>
      <c r="BG588" s="3440"/>
      <c r="BH588" s="3440"/>
      <c r="BI588" s="3440"/>
      <c r="BJ588" s="3440"/>
      <c r="BK588" s="3440"/>
      <c r="BQ588" s="3440"/>
      <c r="BR588" s="3440"/>
      <c r="BS588" s="3440"/>
      <c r="BT588" s="3440"/>
    </row>
    <row r="589" spans="1:72" s="1683" customFormat="1">
      <c r="C589" s="1684"/>
      <c r="D589" s="1684"/>
      <c r="AV589" s="3427"/>
      <c r="AW589" s="3427"/>
      <c r="AX589" s="3427"/>
      <c r="AY589" s="3427"/>
      <c r="BD589" s="3441"/>
      <c r="BE589" s="3441"/>
      <c r="BF589" s="3441"/>
      <c r="BG589" s="3441"/>
      <c r="BH589" s="3441"/>
      <c r="BI589" s="3441"/>
      <c r="BJ589" s="3441"/>
      <c r="BK589" s="3441"/>
      <c r="BQ589" s="3441"/>
      <c r="BR589" s="3441"/>
      <c r="BS589" s="3441"/>
      <c r="BT589" s="3441"/>
    </row>
    <row r="590" spans="1:72" s="1683" customFormat="1">
      <c r="C590" s="1684"/>
      <c r="D590" s="1684"/>
      <c r="AV590" s="3427"/>
      <c r="AW590" s="3427"/>
      <c r="AX590" s="3427"/>
      <c r="AY590" s="3427"/>
      <c r="BD590" s="3441"/>
      <c r="BE590" s="3441"/>
      <c r="BF590" s="3441"/>
      <c r="BG590" s="3441"/>
      <c r="BH590" s="3441"/>
      <c r="BI590" s="3441"/>
      <c r="BJ590" s="3441"/>
      <c r="BK590" s="3441"/>
      <c r="BQ590" s="3441"/>
      <c r="BR590" s="3441"/>
      <c r="BS590" s="3441"/>
      <c r="BT590" s="3441"/>
    </row>
    <row r="593" spans="2:2">
      <c r="B593" s="1684"/>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36"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714" t="s">
        <v>0</v>
      </c>
      <c r="B1" s="3714" t="s">
        <v>4</v>
      </c>
      <c r="C1" s="3714" t="s">
        <v>5</v>
      </c>
      <c r="D1" s="3715" t="s">
        <v>53</v>
      </c>
      <c r="E1" s="3715" t="s">
        <v>54</v>
      </c>
      <c r="F1" s="3715"/>
      <c r="G1" s="3715"/>
      <c r="H1" s="3715"/>
      <c r="I1" s="3715"/>
      <c r="J1" s="3715"/>
      <c r="K1" s="3715"/>
      <c r="L1" s="3715"/>
      <c r="M1" s="3715"/>
    </row>
    <row r="2" spans="1:13" ht="27" customHeight="1">
      <c r="A2" s="3714"/>
      <c r="B2" s="3714"/>
      <c r="C2" s="3714"/>
      <c r="D2" s="3715"/>
      <c r="E2" s="3715" t="s">
        <v>37</v>
      </c>
      <c r="F2" s="3715" t="s">
        <v>38</v>
      </c>
      <c r="G2" s="3715"/>
      <c r="H2" s="3715"/>
      <c r="I2" s="3715"/>
      <c r="J2" s="3715" t="s">
        <v>39</v>
      </c>
      <c r="K2" s="3715"/>
      <c r="L2" s="3715"/>
      <c r="M2" s="3715"/>
    </row>
    <row r="3" spans="1:13" ht="28.5">
      <c r="A3" s="3714"/>
      <c r="B3" s="3714"/>
      <c r="C3" s="3714"/>
      <c r="D3" s="3715"/>
      <c r="E3" s="3715"/>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715" t="s">
        <v>55</v>
      </c>
      <c r="B9" s="3715"/>
      <c r="C9" s="3715"/>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2"/>
  <sheetViews>
    <sheetView view="pageBreakPreview" zoomScale="90" zoomScaleNormal="100" zoomScaleSheetLayoutView="90" workbookViewId="0">
      <selection activeCell="C27" sqref="C27"/>
    </sheetView>
  </sheetViews>
  <sheetFormatPr defaultColWidth="9.25" defaultRowHeight="14.25"/>
  <cols>
    <col min="1" max="1" width="12.125" style="1692" customWidth="1"/>
    <col min="2" max="2" width="10.25" style="1692" customWidth="1"/>
    <col min="3" max="3" width="18.5" style="1692" customWidth="1"/>
    <col min="4" max="4" width="11.625" style="1692" customWidth="1"/>
    <col min="5" max="5" width="13.375" style="1692" customWidth="1"/>
    <col min="6" max="8" width="11.5" style="1692" customWidth="1"/>
    <col min="9" max="9" width="11.125" style="1692" customWidth="1"/>
    <col min="10" max="10" width="3.125" style="1692" customWidth="1"/>
    <col min="11" max="16" width="10" style="1692" customWidth="1"/>
    <col min="17" max="17" width="2.625" style="1692" customWidth="1"/>
    <col min="18" max="18" width="9.375" style="1692" bestFit="1" customWidth="1"/>
    <col min="19" max="19" width="10.5" style="1692" bestFit="1" customWidth="1"/>
    <col min="20" max="16384" width="9.25" style="1692"/>
  </cols>
  <sheetData>
    <row r="1" spans="1:16" ht="18.75">
      <c r="A1" s="2294" t="s">
        <v>1940</v>
      </c>
      <c r="B1" s="2295"/>
      <c r="C1" s="2295"/>
      <c r="D1" s="2295"/>
      <c r="E1" s="2295"/>
      <c r="F1" s="2295"/>
      <c r="G1" s="2295"/>
      <c r="H1" s="2295"/>
      <c r="I1" s="2295"/>
      <c r="J1" s="2295"/>
      <c r="K1" s="2295"/>
      <c r="L1" s="2295"/>
      <c r="M1" s="2295"/>
      <c r="N1" s="2295"/>
      <c r="O1" s="2295"/>
      <c r="P1" s="2295"/>
    </row>
    <row r="2" spans="1:16" ht="15">
      <c r="A2" s="3725" t="s">
        <v>1941</v>
      </c>
      <c r="B2" s="3725"/>
      <c r="C2" s="3725"/>
      <c r="D2" s="1069" t="s">
        <v>1917</v>
      </c>
      <c r="E2" s="1685" t="s">
        <v>1918</v>
      </c>
      <c r="F2" s="2295"/>
      <c r="G2" s="2296"/>
      <c r="H2" s="2297"/>
      <c r="I2" s="2298" t="s">
        <v>1942</v>
      </c>
      <c r="J2" s="2295"/>
      <c r="K2" s="2295"/>
      <c r="L2" s="2295"/>
      <c r="M2" s="2295"/>
      <c r="N2" s="2299"/>
      <c r="O2" s="2295"/>
      <c r="P2" s="2295"/>
    </row>
    <row r="3" spans="1:16" ht="15.75" thickBot="1">
      <c r="A3" s="3726" t="s">
        <v>1915</v>
      </c>
      <c r="B3" s="3726"/>
      <c r="C3" s="3726"/>
      <c r="D3" s="2300">
        <f>'数据-基础表'!AY6</f>
        <v>13197.02</v>
      </c>
      <c r="E3" s="2300">
        <f>'数据-基础表'!AZ5</f>
        <v>44516.22</v>
      </c>
      <c r="F3" s="2295"/>
      <c r="G3" s="2301"/>
      <c r="H3" s="949" t="s">
        <v>1916</v>
      </c>
      <c r="I3" s="2302">
        <f>ROUND('数据-基础表'!B3/'数据-基础表'!A3,2)</f>
        <v>3.37</v>
      </c>
      <c r="J3" s="2295"/>
      <c r="K3" s="2295"/>
      <c r="L3" s="2295"/>
      <c r="M3" s="2295"/>
      <c r="N3" s="2299"/>
      <c r="O3" s="2295"/>
      <c r="P3" s="2295"/>
    </row>
    <row r="4" spans="1:16" ht="15">
      <c r="A4" s="3727"/>
      <c r="B4" s="3728"/>
      <c r="C4" s="3729"/>
      <c r="D4" s="2303" t="s">
        <v>1917</v>
      </c>
      <c r="E4" s="1686" t="s">
        <v>1918</v>
      </c>
      <c r="F4" s="2295"/>
      <c r="G4" s="2304" t="s">
        <v>1943</v>
      </c>
      <c r="H4" s="949" t="s">
        <v>1923</v>
      </c>
      <c r="I4" s="2302">
        <f>ROUND(SUMIF('数据-基础表'!I9:AS9,"地上",'数据-基础表'!I5:AS5)/'数据-基础表'!A3,2)</f>
        <v>1.73</v>
      </c>
      <c r="J4" s="2295"/>
      <c r="K4" s="2295"/>
      <c r="L4" s="2295"/>
      <c r="M4" s="2295"/>
      <c r="N4" s="2299"/>
      <c r="O4" s="2295"/>
      <c r="P4" s="2295"/>
    </row>
    <row r="5" spans="1:16">
      <c r="A5" s="2305" t="s">
        <v>1919</v>
      </c>
      <c r="B5" s="3730" t="s">
        <v>1920</v>
      </c>
      <c r="C5" s="3730"/>
      <c r="D5" s="41">
        <f>ROUND($D$3*E5/$E$3,2)</f>
        <v>0</v>
      </c>
      <c r="E5" s="39">
        <f>SUMIF('数据-基础表'!$11:$11,"住宅",'数据-基础表'!$5:$5)</f>
        <v>0</v>
      </c>
      <c r="F5" s="2295"/>
      <c r="G5" s="2301"/>
      <c r="H5" s="949" t="s">
        <v>1916</v>
      </c>
      <c r="I5" s="2302">
        <f>ROUND(E31/D31,2)</f>
        <v>3.37</v>
      </c>
      <c r="J5" s="2295"/>
      <c r="K5" s="2295"/>
      <c r="L5" s="2295"/>
      <c r="M5" s="2295"/>
      <c r="N5" s="2295"/>
      <c r="O5" s="2295"/>
      <c r="P5" s="2295"/>
    </row>
    <row r="6" spans="1:16" ht="15" thickBot="1">
      <c r="A6" s="2307"/>
      <c r="B6" s="3730" t="s">
        <v>1921</v>
      </c>
      <c r="C6" s="3730"/>
      <c r="D6" s="41">
        <f>ROUND($D$3*E6/$E$3,2)</f>
        <v>13197.02</v>
      </c>
      <c r="E6" s="39">
        <f>E3-E5</f>
        <v>44516.22</v>
      </c>
      <c r="F6" s="2295"/>
      <c r="G6" s="2308" t="s">
        <v>1922</v>
      </c>
      <c r="H6" s="2301" t="s">
        <v>1923</v>
      </c>
      <c r="I6" s="2309">
        <f>ROUND(F31/D31,2)</f>
        <v>1.73</v>
      </c>
      <c r="J6" s="2295"/>
      <c r="K6" s="2295"/>
      <c r="L6" s="2295"/>
      <c r="M6" s="2295"/>
      <c r="N6" s="2295"/>
      <c r="O6" s="2295"/>
      <c r="P6" s="2295"/>
    </row>
    <row r="7" spans="1:16" ht="15">
      <c r="A7" s="3722"/>
      <c r="B7" s="3723"/>
      <c r="C7" s="3724"/>
      <c r="D7" s="2303" t="s">
        <v>1917</v>
      </c>
      <c r="E7" s="1687" t="s">
        <v>1924</v>
      </c>
      <c r="F7" s="2295"/>
      <c r="G7" s="2296" t="s">
        <v>1925</v>
      </c>
      <c r="H7" s="2310"/>
      <c r="I7" s="2311"/>
      <c r="J7" s="2295"/>
      <c r="K7" s="2295"/>
      <c r="L7" s="2295"/>
      <c r="M7" s="2295"/>
      <c r="N7" s="2295"/>
      <c r="O7" s="2295"/>
      <c r="P7" s="2295"/>
    </row>
    <row r="8" spans="1:16">
      <c r="A8" s="2305" t="s">
        <v>1926</v>
      </c>
      <c r="B8" s="2312" t="s">
        <v>1927</v>
      </c>
      <c r="C8" s="41" t="s">
        <v>1928</v>
      </c>
      <c r="D8" s="41">
        <f t="shared" ref="D8:D15" si="0">ROUND($D$3*E8/$E$3,2)</f>
        <v>6748.9</v>
      </c>
      <c r="E8" s="39">
        <f>SUMIF('数据-基础表'!BB10:BK10,"地上",'数据-基础表'!BB5:BK5)</f>
        <v>22765.390000000003</v>
      </c>
      <c r="F8" s="2295"/>
      <c r="G8" s="2313"/>
      <c r="H8" s="2313"/>
      <c r="I8" s="2295"/>
      <c r="J8" s="2295"/>
      <c r="K8" s="2295"/>
      <c r="L8" s="2295"/>
      <c r="M8" s="2295"/>
      <c r="N8" s="2295"/>
      <c r="O8" s="2295"/>
      <c r="P8" s="2295"/>
    </row>
    <row r="9" spans="1:16">
      <c r="A9" s="2314"/>
      <c r="B9" s="2315"/>
      <c r="C9" s="41" t="s">
        <v>1929</v>
      </c>
      <c r="D9" s="41">
        <f t="shared" si="0"/>
        <v>0</v>
      </c>
      <c r="E9" s="2316">
        <v>0</v>
      </c>
      <c r="F9" s="2295"/>
      <c r="G9" s="2313"/>
      <c r="H9" s="2313"/>
      <c r="I9" s="2295"/>
      <c r="J9" s="2295"/>
      <c r="K9" s="2295"/>
      <c r="L9" s="2295"/>
      <c r="M9" s="2295"/>
      <c r="N9" s="2295"/>
      <c r="O9" s="2295"/>
      <c r="P9" s="2295"/>
    </row>
    <row r="10" spans="1:16">
      <c r="A10" s="2314"/>
      <c r="B10" s="2315"/>
      <c r="C10" s="41" t="s">
        <v>1938</v>
      </c>
      <c r="D10" s="41">
        <f t="shared" si="0"/>
        <v>6448.12</v>
      </c>
      <c r="E10" s="39">
        <f>SUMPRODUCT(('数据-基础表'!BB10:BK10="地下")*('数据-基础表'!BB11:BK11="商业")*('数据-基础表'!BB5:BK5))</f>
        <v>21750.83</v>
      </c>
      <c r="F10" s="2295"/>
      <c r="G10" s="2313"/>
      <c r="H10" s="2313"/>
      <c r="I10" s="2295"/>
      <c r="J10" s="2295"/>
      <c r="K10" s="2295"/>
      <c r="L10" s="2295"/>
      <c r="M10" s="2295"/>
      <c r="N10" s="2295"/>
      <c r="O10" s="2295"/>
      <c r="P10" s="2295"/>
    </row>
    <row r="11" spans="1:16">
      <c r="A11" s="2314"/>
      <c r="B11" s="2315"/>
      <c r="C11" s="41" t="s">
        <v>1930</v>
      </c>
      <c r="D11" s="41">
        <f t="shared" si="0"/>
        <v>0</v>
      </c>
      <c r="E11" s="39">
        <f>SUMPRODUCT(('数据-基础表'!BB10:BK10="地下")*('数据-基础表'!BB11:BK11="办公")*('数据-基础表'!BB5:BK5))+'数据-基础表'!BP5</f>
        <v>0</v>
      </c>
      <c r="F11" s="2295"/>
      <c r="G11" s="2313"/>
      <c r="H11" s="2313"/>
      <c r="I11" s="2295"/>
      <c r="J11" s="2295"/>
      <c r="K11" s="2295"/>
      <c r="L11" s="2295"/>
      <c r="M11" s="2295"/>
      <c r="N11" s="2295"/>
      <c r="O11" s="2295"/>
      <c r="P11" s="2295"/>
    </row>
    <row r="12" spans="1:16">
      <c r="A12" s="2314"/>
      <c r="B12" s="2315"/>
      <c r="C12" s="41" t="s">
        <v>1931</v>
      </c>
      <c r="D12" s="41">
        <f t="shared" si="0"/>
        <v>0</v>
      </c>
      <c r="E12" s="39">
        <f>SUMPRODUCT(('数据-基础表'!BB10:BK10="地下")*('数据-基础表'!BB11:BK11="仓储")*('数据-基础表'!BB5:BK5))</f>
        <v>0</v>
      </c>
      <c r="F12" s="2295"/>
      <c r="G12" s="2313"/>
      <c r="H12" s="2313"/>
      <c r="I12" s="2295"/>
      <c r="J12" s="2295"/>
      <c r="K12" s="2295"/>
      <c r="L12" s="2295"/>
      <c r="M12" s="2295"/>
      <c r="N12" s="2295"/>
      <c r="O12" s="2295"/>
      <c r="P12" s="2295"/>
    </row>
    <row r="13" spans="1:16">
      <c r="A13" s="2314"/>
      <c r="B13" s="2315"/>
      <c r="C13" s="41" t="s">
        <v>1932</v>
      </c>
      <c r="D13" s="41">
        <f t="shared" si="0"/>
        <v>0</v>
      </c>
      <c r="E13" s="39">
        <f>SUMPRODUCT(('数据-基础表'!BB10:BK10="地下")*('数据-基础表'!BB11:BK11="车库")*('数据-基础表'!BB5:BK5))</f>
        <v>0</v>
      </c>
      <c r="F13" s="2295"/>
      <c r="G13" s="2313"/>
      <c r="H13" s="2313"/>
      <c r="I13" s="2295"/>
      <c r="J13" s="2295"/>
      <c r="K13" s="2295"/>
      <c r="L13" s="2295"/>
      <c r="M13" s="2295"/>
      <c r="N13" s="2295"/>
      <c r="O13" s="2295"/>
      <c r="P13" s="2295"/>
    </row>
    <row r="14" spans="1:16">
      <c r="A14" s="2314"/>
      <c r="B14" s="2315"/>
      <c r="C14" s="41" t="s">
        <v>1944</v>
      </c>
      <c r="D14" s="41">
        <f t="shared" si="0"/>
        <v>0</v>
      </c>
      <c r="E14" s="39">
        <f>SUMPRODUCT(('数据-基础表'!BB10:BK10="地下")*('数据-基础表'!BB11:BK11="车库—商业")*('数据-基础表'!BB5:BK5))</f>
        <v>0</v>
      </c>
      <c r="F14" s="2295"/>
      <c r="G14" s="2313"/>
      <c r="H14" s="2313"/>
      <c r="I14" s="2295"/>
      <c r="J14" s="2295"/>
      <c r="K14" s="2295"/>
      <c r="L14" s="2295"/>
      <c r="M14" s="2295"/>
      <c r="N14" s="2295"/>
      <c r="O14" s="2295"/>
      <c r="P14" s="2295"/>
    </row>
    <row r="15" spans="1:16" ht="15" thickBot="1">
      <c r="A15" s="2314"/>
      <c r="B15" s="2315"/>
      <c r="C15" s="41" t="s">
        <v>1939</v>
      </c>
      <c r="D15" s="41">
        <f t="shared" si="0"/>
        <v>0</v>
      </c>
      <c r="E15" s="39">
        <f>SUMPRODUCT(('数据-基础表'!BB10:BK10="地下")*('数据-基础表'!BB11:BK11="车库—办公")*('数据-基础表'!BB5:BK5))</f>
        <v>0</v>
      </c>
      <c r="F15" s="2295"/>
      <c r="G15" s="2313"/>
      <c r="H15" s="2313"/>
      <c r="I15" s="2295"/>
      <c r="J15" s="2295"/>
      <c r="K15" s="2295"/>
      <c r="L15" s="2295"/>
      <c r="M15" s="2295"/>
      <c r="N15" s="2295"/>
      <c r="O15" s="2295"/>
      <c r="P15" s="2295"/>
    </row>
    <row r="16" spans="1:16" ht="15.75" thickBot="1">
      <c r="A16" s="2307"/>
      <c r="B16" s="2315"/>
      <c r="C16" s="2312" t="s">
        <v>1933</v>
      </c>
      <c r="D16" s="2312">
        <f>SUM(D8:D15)</f>
        <v>13197.02</v>
      </c>
      <c r="E16" s="2317">
        <f>SUM(E8:E15)</f>
        <v>44516.22</v>
      </c>
      <c r="F16" s="2295"/>
      <c r="G16" s="2313"/>
      <c r="H16" s="2318" t="s">
        <v>1945</v>
      </c>
      <c r="I16" s="2319"/>
      <c r="J16" s="2295"/>
      <c r="K16" s="3719" t="s">
        <v>1945</v>
      </c>
      <c r="L16" s="3720"/>
      <c r="M16" s="3720"/>
      <c r="N16" s="3720"/>
      <c r="O16" s="3720"/>
      <c r="P16" s="3721"/>
    </row>
    <row r="17" spans="1:19" ht="15">
      <c r="A17" s="2320" t="s">
        <v>1946</v>
      </c>
      <c r="B17" s="2321" t="s">
        <v>1947</v>
      </c>
      <c r="C17" s="2322" t="s">
        <v>1948</v>
      </c>
      <c r="D17" s="2323" t="s">
        <v>1936</v>
      </c>
      <c r="E17" s="1688" t="s">
        <v>1937</v>
      </c>
      <c r="F17" s="1689"/>
      <c r="G17" s="1690"/>
      <c r="H17" s="2324" t="s">
        <v>1949</v>
      </c>
      <c r="I17" s="2325" t="s">
        <v>1934</v>
      </c>
      <c r="J17" s="2295"/>
      <c r="K17" s="3716" t="s">
        <v>1950</v>
      </c>
      <c r="L17" s="3717"/>
      <c r="M17" s="3718"/>
      <c r="N17" s="3716" t="s">
        <v>1951</v>
      </c>
      <c r="O17" s="3717"/>
      <c r="P17" s="3718"/>
      <c r="R17" s="2296" t="s">
        <v>1952</v>
      </c>
      <c r="S17" s="2310"/>
    </row>
    <row r="18" spans="1:19" ht="15">
      <c r="A18" s="2314"/>
      <c r="B18" s="2326"/>
      <c r="C18" s="2327"/>
      <c r="D18" s="2328"/>
      <c r="E18" s="1691" t="s">
        <v>1953</v>
      </c>
      <c r="F18" s="2329" t="s">
        <v>1954</v>
      </c>
      <c r="G18" s="2330" t="s">
        <v>1955</v>
      </c>
      <c r="H18" s="2331" t="s">
        <v>1956</v>
      </c>
      <c r="I18" s="2332" t="s">
        <v>1957</v>
      </c>
      <c r="J18" s="2295"/>
      <c r="K18" s="2331" t="s">
        <v>1958</v>
      </c>
      <c r="L18" s="2333" t="s">
        <v>1959</v>
      </c>
      <c r="M18" s="2332" t="s">
        <v>1960</v>
      </c>
      <c r="N18" s="2331" t="s">
        <v>1958</v>
      </c>
      <c r="O18" s="2333" t="s">
        <v>1959</v>
      </c>
      <c r="P18" s="2332" t="s">
        <v>1960</v>
      </c>
      <c r="R18" s="949" t="s">
        <v>1961</v>
      </c>
      <c r="S18" s="949" t="s">
        <v>1962</v>
      </c>
    </row>
    <row r="19" spans="1:19">
      <c r="A19" s="2334"/>
      <c r="B19" s="2312" t="s">
        <v>1935</v>
      </c>
      <c r="C19" s="2335" t="str">
        <f>'数据-基础表'!C13</f>
        <v>1层</v>
      </c>
      <c r="D19" s="41">
        <f>ROUND($D$3*E19/$E$3,2)</f>
        <v>4738.18</v>
      </c>
      <c r="E19" s="41">
        <f t="shared" ref="E19:E26" si="1">SUM(F19:G19)</f>
        <v>15982.84</v>
      </c>
      <c r="F19" s="2336">
        <f>'数据-基础表'!I13</f>
        <v>15982.84</v>
      </c>
      <c r="G19" s="2337"/>
      <c r="H19" s="2338">
        <f>ROUND($D$3*I19/$E$3,2)</f>
        <v>0</v>
      </c>
      <c r="I19" s="39">
        <f t="shared" ref="I19:I26" si="2">IF($I$17="自定义",P19,M19)</f>
        <v>0</v>
      </c>
      <c r="J19" s="2295"/>
      <c r="K19" s="2339">
        <f t="shared" ref="K19:K26" si="3">ROUND(E$28*E19/E$27,2)</f>
        <v>0</v>
      </c>
      <c r="L19" s="949">
        <f t="shared" ref="L19:L26" si="4">ROUND(IF(COUNTIF(C19,"*住宅*")&gt;0,E$29*E19/E$32,0),2)</f>
        <v>0</v>
      </c>
      <c r="M19" s="2340">
        <f>K19+L19</f>
        <v>0</v>
      </c>
      <c r="N19" s="2341"/>
      <c r="O19" s="2342"/>
      <c r="P19" s="2340">
        <f>N19+O19</f>
        <v>0</v>
      </c>
      <c r="R19" s="949">
        <f t="shared" ref="R19:S26" si="5">D19+H19</f>
        <v>4738.18</v>
      </c>
      <c r="S19" s="949">
        <f t="shared" si="5"/>
        <v>15982.84</v>
      </c>
    </row>
    <row r="20" spans="1:19">
      <c r="A20" s="2343"/>
      <c r="B20" s="2312" t="s">
        <v>1963</v>
      </c>
      <c r="C20" s="2335" t="str">
        <f>'数据-基础表'!C14</f>
        <v>2层</v>
      </c>
      <c r="D20" s="41">
        <f t="shared" ref="D20:D26" si="6">ROUND($D$3*E20/$E$3,2)</f>
        <v>475.31</v>
      </c>
      <c r="E20" s="41">
        <f t="shared" si="1"/>
        <v>1603.32</v>
      </c>
      <c r="F20" s="2336">
        <f>'数据-基础表'!I14</f>
        <v>1603.32</v>
      </c>
      <c r="G20" s="2337"/>
      <c r="H20" s="2338">
        <f t="shared" ref="H20:H26" si="7">ROUND($D$3*I20/$E$3,2)</f>
        <v>0</v>
      </c>
      <c r="I20" s="39">
        <f t="shared" si="2"/>
        <v>0</v>
      </c>
      <c r="J20" s="2295"/>
      <c r="K20" s="2339">
        <f t="shared" si="3"/>
        <v>0</v>
      </c>
      <c r="L20" s="949">
        <f t="shared" si="4"/>
        <v>0</v>
      </c>
      <c r="M20" s="2340">
        <f t="shared" ref="M20:M26" si="8">K20+L20</f>
        <v>0</v>
      </c>
      <c r="N20" s="2341"/>
      <c r="O20" s="2342"/>
      <c r="P20" s="2340">
        <f t="shared" ref="P20:P26" si="9">N20+O20</f>
        <v>0</v>
      </c>
      <c r="R20" s="949">
        <f t="shared" si="5"/>
        <v>475.31</v>
      </c>
      <c r="S20" s="949">
        <f t="shared" si="5"/>
        <v>1603.32</v>
      </c>
    </row>
    <row r="21" spans="1:19">
      <c r="A21" s="2343"/>
      <c r="B21" s="2312" t="s">
        <v>1963</v>
      </c>
      <c r="C21" s="2335" t="str">
        <f>'数据-基础表'!C15</f>
        <v>3层</v>
      </c>
      <c r="D21" s="41">
        <f t="shared" si="6"/>
        <v>308.72000000000003</v>
      </c>
      <c r="E21" s="41">
        <f t="shared" si="1"/>
        <v>1041.3799999999999</v>
      </c>
      <c r="F21" s="2336">
        <f>'数据-基础表'!I15</f>
        <v>1041.3799999999999</v>
      </c>
      <c r="G21" s="2337"/>
      <c r="H21" s="2338">
        <f t="shared" si="7"/>
        <v>0</v>
      </c>
      <c r="I21" s="39">
        <f t="shared" si="2"/>
        <v>0</v>
      </c>
      <c r="J21" s="2295"/>
      <c r="K21" s="2339">
        <f t="shared" si="3"/>
        <v>0</v>
      </c>
      <c r="L21" s="949">
        <f t="shared" si="4"/>
        <v>0</v>
      </c>
      <c r="M21" s="2340">
        <f t="shared" si="8"/>
        <v>0</v>
      </c>
      <c r="N21" s="2341"/>
      <c r="O21" s="2342"/>
      <c r="P21" s="2340">
        <f t="shared" si="9"/>
        <v>0</v>
      </c>
      <c r="R21" s="949">
        <f t="shared" si="5"/>
        <v>308.72000000000003</v>
      </c>
      <c r="S21" s="949">
        <f t="shared" si="5"/>
        <v>1041.3799999999999</v>
      </c>
    </row>
    <row r="22" spans="1:19">
      <c r="A22" s="2343"/>
      <c r="B22" s="2312" t="s">
        <v>1963</v>
      </c>
      <c r="C22" s="2335" t="s">
        <v>7097</v>
      </c>
      <c r="D22" s="41">
        <f t="shared" si="6"/>
        <v>1226.68</v>
      </c>
      <c r="E22" s="41">
        <f t="shared" si="1"/>
        <v>4137.8500000000004</v>
      </c>
      <c r="F22" s="2336">
        <f>'数据-基础表'!I16+'数据-基础表'!I17</f>
        <v>4137.8500000000004</v>
      </c>
      <c r="G22" s="2344"/>
      <c r="H22" s="2338">
        <f t="shared" si="7"/>
        <v>0</v>
      </c>
      <c r="I22" s="39">
        <f t="shared" si="2"/>
        <v>0</v>
      </c>
      <c r="J22" s="2295"/>
      <c r="K22" s="2339">
        <f t="shared" si="3"/>
        <v>0</v>
      </c>
      <c r="L22" s="949">
        <f t="shared" si="4"/>
        <v>0</v>
      </c>
      <c r="M22" s="2340">
        <f t="shared" si="8"/>
        <v>0</v>
      </c>
      <c r="N22" s="2341"/>
      <c r="O22" s="2342"/>
      <c r="P22" s="2340">
        <f t="shared" si="9"/>
        <v>0</v>
      </c>
      <c r="R22" s="949">
        <f t="shared" si="5"/>
        <v>1226.68</v>
      </c>
      <c r="S22" s="949">
        <f t="shared" si="5"/>
        <v>4137.8500000000004</v>
      </c>
    </row>
    <row r="23" spans="1:19">
      <c r="A23" s="2343"/>
      <c r="B23" s="2312" t="s">
        <v>1963</v>
      </c>
      <c r="C23" s="2335"/>
      <c r="D23" s="41">
        <f>ROUND($D$3*E23/$E$3,2)</f>
        <v>0</v>
      </c>
      <c r="E23" s="41">
        <f>SUM(F23:G23)</f>
        <v>0</v>
      </c>
      <c r="F23" s="2336"/>
      <c r="G23" s="2344"/>
      <c r="H23" s="2338">
        <f>ROUND($D$3*I23/$E$3,2)</f>
        <v>0</v>
      </c>
      <c r="I23" s="39">
        <f t="shared" si="2"/>
        <v>0</v>
      </c>
      <c r="J23" s="2295"/>
      <c r="K23" s="2339">
        <f t="shared" si="3"/>
        <v>0</v>
      </c>
      <c r="L23" s="949">
        <f t="shared" si="4"/>
        <v>0</v>
      </c>
      <c r="M23" s="2340">
        <f t="shared" si="8"/>
        <v>0</v>
      </c>
      <c r="N23" s="2341"/>
      <c r="O23" s="2342"/>
      <c r="P23" s="2340">
        <f t="shared" si="9"/>
        <v>0</v>
      </c>
      <c r="R23" s="949">
        <f t="shared" si="5"/>
        <v>0</v>
      </c>
      <c r="S23" s="949">
        <f t="shared" si="5"/>
        <v>0</v>
      </c>
    </row>
    <row r="24" spans="1:19">
      <c r="A24" s="2343"/>
      <c r="B24" s="2312" t="s">
        <v>1963</v>
      </c>
      <c r="C24" s="2335" t="str">
        <f>'数据-基础表'!C18</f>
        <v>—1层</v>
      </c>
      <c r="D24" s="41">
        <f>ROUND($D$3*E24/$E$3,2)</f>
        <v>4428.21</v>
      </c>
      <c r="E24" s="41">
        <f>SUM(F24:G24)</f>
        <v>14937.26</v>
      </c>
      <c r="F24" s="2336"/>
      <c r="G24" s="2344">
        <f>'数据-基础表'!K18</f>
        <v>14937.26</v>
      </c>
      <c r="H24" s="2338">
        <f>ROUND($D$3*I24/$E$3,2)</f>
        <v>0</v>
      </c>
      <c r="I24" s="39">
        <f t="shared" si="2"/>
        <v>0</v>
      </c>
      <c r="J24" s="2295"/>
      <c r="K24" s="2339">
        <f t="shared" si="3"/>
        <v>0</v>
      </c>
      <c r="L24" s="949">
        <f t="shared" si="4"/>
        <v>0</v>
      </c>
      <c r="M24" s="2340">
        <f t="shared" si="8"/>
        <v>0</v>
      </c>
      <c r="N24" s="2341"/>
      <c r="O24" s="2342"/>
      <c r="P24" s="2340">
        <f t="shared" si="9"/>
        <v>0</v>
      </c>
      <c r="R24" s="949">
        <f t="shared" si="5"/>
        <v>4428.21</v>
      </c>
      <c r="S24" s="949">
        <f t="shared" si="5"/>
        <v>14937.26</v>
      </c>
    </row>
    <row r="25" spans="1:19">
      <c r="A25" s="2343"/>
      <c r="B25" s="2312" t="s">
        <v>1963</v>
      </c>
      <c r="C25" s="2335" t="str">
        <f>'数据-基础表'!C19</f>
        <v>—2层</v>
      </c>
      <c r="D25" s="41">
        <f t="shared" si="6"/>
        <v>2019.91</v>
      </c>
      <c r="E25" s="41">
        <f t="shared" si="1"/>
        <v>6813.5700000000006</v>
      </c>
      <c r="F25" s="2336"/>
      <c r="G25" s="2344">
        <f>'数据-基础表'!K19</f>
        <v>6813.5700000000006</v>
      </c>
      <c r="H25" s="2305">
        <f t="shared" si="7"/>
        <v>0</v>
      </c>
      <c r="I25" s="39">
        <f t="shared" si="2"/>
        <v>0</v>
      </c>
      <c r="J25" s="2295"/>
      <c r="K25" s="2339">
        <f t="shared" si="3"/>
        <v>0</v>
      </c>
      <c r="L25" s="949">
        <f t="shared" si="4"/>
        <v>0</v>
      </c>
      <c r="M25" s="2340">
        <f t="shared" si="8"/>
        <v>0</v>
      </c>
      <c r="N25" s="2341"/>
      <c r="O25" s="2342"/>
      <c r="P25" s="2340">
        <f t="shared" si="9"/>
        <v>0</v>
      </c>
      <c r="R25" s="949">
        <f t="shared" si="5"/>
        <v>2019.91</v>
      </c>
      <c r="S25" s="949">
        <f t="shared" si="5"/>
        <v>6813.5700000000006</v>
      </c>
    </row>
    <row r="26" spans="1:19">
      <c r="A26" s="2343"/>
      <c r="B26" s="2312" t="s">
        <v>1963</v>
      </c>
      <c r="C26" s="2335"/>
      <c r="D26" s="41">
        <f t="shared" si="6"/>
        <v>0</v>
      </c>
      <c r="E26" s="41">
        <f t="shared" si="1"/>
        <v>0</v>
      </c>
      <c r="F26" s="2345"/>
      <c r="G26" s="2344"/>
      <c r="H26" s="2305">
        <f t="shared" si="7"/>
        <v>0</v>
      </c>
      <c r="I26" s="39">
        <f t="shared" si="2"/>
        <v>0</v>
      </c>
      <c r="J26" s="2295"/>
      <c r="K26" s="2346">
        <f t="shared" si="3"/>
        <v>0</v>
      </c>
      <c r="L26" s="2301">
        <f t="shared" si="4"/>
        <v>0</v>
      </c>
      <c r="M26" s="2347">
        <f t="shared" si="8"/>
        <v>0</v>
      </c>
      <c r="N26" s="2348"/>
      <c r="O26" s="2349"/>
      <c r="P26" s="2347">
        <f t="shared" si="9"/>
        <v>0</v>
      </c>
      <c r="R26" s="949">
        <f t="shared" si="5"/>
        <v>0</v>
      </c>
      <c r="S26" s="949">
        <f t="shared" si="5"/>
        <v>0</v>
      </c>
    </row>
    <row r="27" spans="1:19" ht="29.25" thickBot="1">
      <c r="A27" s="2343"/>
      <c r="B27" s="41"/>
      <c r="C27" s="2350" t="s">
        <v>1964</v>
      </c>
      <c r="D27" s="1068">
        <f>SUM(D19:D26)</f>
        <v>13197.010000000002</v>
      </c>
      <c r="E27" s="1069">
        <f>IF(SUM(E19:E26)='数据-基础表'!BA5,SUM(E19:E26),IF(F27="地上面积有误","面积有误","地下面积有误"))</f>
        <v>44516.22</v>
      </c>
      <c r="F27" s="1068">
        <f>IF(SUM(F19:F26)=E8,SUM(F19:F26),"地上面积有误")</f>
        <v>22765.39</v>
      </c>
      <c r="G27" s="1070">
        <f>SUM(G19:G26)</f>
        <v>21750.83</v>
      </c>
      <c r="H27" s="1071">
        <f>SUM(H19:H26)</f>
        <v>0</v>
      </c>
      <c r="I27" s="1072">
        <f>SUM(I19:I26)</f>
        <v>0</v>
      </c>
      <c r="J27" s="2295"/>
      <c r="K27" s="2351">
        <f>SUM(K19:K26)</f>
        <v>0</v>
      </c>
      <c r="L27" s="2352">
        <f>SUM(L19:L26)</f>
        <v>0</v>
      </c>
      <c r="M27" s="2353">
        <f>SUM(M19:M26)</f>
        <v>0</v>
      </c>
      <c r="N27" s="2351">
        <f t="shared" ref="N27:O27" si="10">SUM(N19:N26)</f>
        <v>0</v>
      </c>
      <c r="O27" s="2352">
        <f t="shared" si="10"/>
        <v>0</v>
      </c>
      <c r="P27" s="2354">
        <f>SUM(P19:P26)</f>
        <v>0</v>
      </c>
      <c r="R27" s="2355" t="str">
        <f>IF(SUM(R19:R26)=$D$3,SUM(R19:R26),SUM(R19:R26)&amp;"误差"&amp;ROUND(SUM(R19:R26)-$D$3,2))</f>
        <v>13197.01误差-0.01</v>
      </c>
      <c r="S27" s="949">
        <f>IF(SUM(S19:S26)=$E$3,SUM(S19:S26),SUM(S19:S26)&amp;"误差"&amp;ROUND(SUM(S19:S26)-E3,2))</f>
        <v>44516.22</v>
      </c>
    </row>
    <row r="28" spans="1:19">
      <c r="A28" s="2343"/>
      <c r="B28" s="2312" t="s">
        <v>1965</v>
      </c>
      <c r="C28" s="2356" t="s">
        <v>1966</v>
      </c>
      <c r="D28" s="41">
        <f>ROUND($D$3*E28/$E$3,2)</f>
        <v>0</v>
      </c>
      <c r="E28" s="41">
        <f>SUM(F28:G28)</f>
        <v>0</v>
      </c>
      <c r="F28" s="2310">
        <f>'数据-基础表'!BQ5+'数据-基础表'!BS5</f>
        <v>0</v>
      </c>
      <c r="G28" s="2357">
        <f>'数据-基础表'!BR5+'数据-基础表'!BT5</f>
        <v>0</v>
      </c>
      <c r="H28" s="2295"/>
      <c r="I28" s="2295"/>
      <c r="J28" s="2295"/>
      <c r="K28" s="2295"/>
      <c r="L28" s="2295"/>
      <c r="M28" s="2295"/>
      <c r="N28" s="2295"/>
      <c r="O28" s="2295"/>
      <c r="P28" s="2295"/>
    </row>
    <row r="29" spans="1:19">
      <c r="A29" s="2343"/>
      <c r="B29" s="2312" t="s">
        <v>1965</v>
      </c>
      <c r="C29" s="2358" t="s">
        <v>1967</v>
      </c>
      <c r="D29" s="41">
        <f>ROUND($D$3*E29/$E$3,2)</f>
        <v>0</v>
      </c>
      <c r="E29" s="41">
        <f>SUM(F29:G29)</f>
        <v>0</v>
      </c>
      <c r="F29" s="2359">
        <f>'数据-基础表'!BM5+'数据-基础表'!BO5</f>
        <v>0</v>
      </c>
      <c r="G29" s="2347">
        <f>'数据-基础表'!BN5+'数据-基础表'!BP5</f>
        <v>0</v>
      </c>
      <c r="H29" s="2295"/>
      <c r="I29" s="2295"/>
      <c r="J29" s="2295"/>
      <c r="K29" s="2295"/>
      <c r="L29" s="2295"/>
      <c r="M29" s="2295"/>
      <c r="N29" s="2295"/>
      <c r="O29" s="2295"/>
      <c r="P29" s="2295"/>
    </row>
    <row r="30" spans="1:19" ht="15">
      <c r="A30" s="2343"/>
      <c r="B30" s="2312"/>
      <c r="C30" s="2360" t="s">
        <v>1964</v>
      </c>
      <c r="D30" s="1068">
        <f>SUM(D28:D29)</f>
        <v>0</v>
      </c>
      <c r="E30" s="1068">
        <f>SUM(E28:E29)</f>
        <v>0</v>
      </c>
      <c r="F30" s="1068">
        <f>SUM(F28:F29)</f>
        <v>0</v>
      </c>
      <c r="G30" s="1070">
        <f>SUM(G28:G29)</f>
        <v>0</v>
      </c>
      <c r="H30" s="2295"/>
      <c r="I30" s="2295"/>
      <c r="J30" s="2295"/>
      <c r="K30" s="2295"/>
      <c r="L30" s="2295"/>
      <c r="M30" s="2295"/>
      <c r="N30" s="2295"/>
      <c r="O30" s="2295"/>
      <c r="P30" s="2295"/>
    </row>
    <row r="31" spans="1:19" ht="15.75" thickBot="1">
      <c r="A31" s="2361"/>
      <c r="B31" s="2362"/>
      <c r="C31" s="2363" t="s">
        <v>1968</v>
      </c>
      <c r="D31" s="2364">
        <f>D27+D30</f>
        <v>13197.010000000002</v>
      </c>
      <c r="E31" s="2364">
        <f>E27+E30</f>
        <v>44516.22</v>
      </c>
      <c r="F31" s="2363">
        <f>F27+F30</f>
        <v>22765.39</v>
      </c>
      <c r="G31" s="2365">
        <f>G27+G30</f>
        <v>21750.83</v>
      </c>
      <c r="H31" s="2295"/>
      <c r="I31" s="2295"/>
      <c r="J31" s="2295"/>
      <c r="K31" s="2295"/>
      <c r="L31" s="2295"/>
      <c r="M31" s="2295"/>
      <c r="N31" s="2295"/>
      <c r="O31" s="2295"/>
      <c r="P31" s="2295"/>
    </row>
    <row r="32" spans="1:19">
      <c r="A32" s="2304"/>
      <c r="B32" s="2304" t="s">
        <v>1969</v>
      </c>
      <c r="C32" s="2304"/>
      <c r="D32" s="2304"/>
      <c r="E32" s="2304">
        <f>SUMIF(C19:C26,"*住宅*",E19:E26)</f>
        <v>0</v>
      </c>
      <c r="F32" s="2304"/>
      <c r="G32" s="2304"/>
      <c r="H32" s="2295"/>
      <c r="I32" s="2295"/>
      <c r="J32" s="2295"/>
      <c r="K32" s="2295"/>
      <c r="L32" s="2295"/>
      <c r="M32" s="2295"/>
      <c r="N32" s="2295"/>
      <c r="O32" s="2295"/>
      <c r="P32" s="2295"/>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0" priority="1" stopIfTrue="1" operator="containsText" text="面积有误">
      <formula>NOT(ISERROR(SEARCH("面积有误",E27)))</formula>
    </cfRule>
    <cfRule type="cellIs" dxfId="169" priority="3" stopIfTrue="1" operator="equal">
      <formula>"地下面积有误"</formula>
    </cfRule>
  </conditionalFormatting>
  <conditionalFormatting sqref="F27">
    <cfRule type="cellIs" dxfId="16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N6" activePane="bottomRight" state="frozen"/>
      <selection activeCell="C50" sqref="C50"/>
      <selection pane="topRight" activeCell="C50" sqref="C50"/>
      <selection pane="bottomLeft" activeCell="C50" sqref="C50"/>
      <selection pane="bottomRight" activeCell="N6" sqref="N6"/>
    </sheetView>
  </sheetViews>
  <sheetFormatPr defaultColWidth="13.75" defaultRowHeight="12.75"/>
  <cols>
    <col min="1" max="1" width="20.875" style="2491" customWidth="1"/>
    <col min="2" max="2" width="12" style="2371" customWidth="1"/>
    <col min="3" max="3" width="10.75" style="2371" customWidth="1"/>
    <col min="4" max="4" width="9.125" style="2371" customWidth="1"/>
    <col min="5" max="5" width="15" style="2371" bestFit="1" customWidth="1"/>
    <col min="6" max="10" width="8.875" style="2371" customWidth="1"/>
    <col min="11" max="12" width="12.375" style="2492" customWidth="1"/>
    <col min="13" max="13" width="8.625" style="2371" customWidth="1"/>
    <col min="14" max="14" width="11.875" style="2371" customWidth="1"/>
    <col min="15" max="15" width="8.5" style="2371" customWidth="1"/>
    <col min="16" max="17" width="10.875" style="2371" customWidth="1"/>
    <col min="18" max="19" width="12.5" style="2371" customWidth="1"/>
    <col min="20" max="20" width="12.125" style="2371" customWidth="1"/>
    <col min="21" max="21" width="7.5" style="2371" customWidth="1"/>
    <col min="22" max="22" width="6.375" style="2371" customWidth="1"/>
    <col min="23" max="25" width="6.75" style="2371" customWidth="1"/>
    <col min="26" max="30" width="6.75" style="2371" hidden="1" customWidth="1"/>
    <col min="31" max="31" width="8" style="2371" hidden="1" customWidth="1"/>
    <col min="32" max="33" width="7.25" style="2371" hidden="1" customWidth="1"/>
    <col min="34" max="34" width="7.25" style="2371" customWidth="1"/>
    <col min="35" max="39" width="8" style="2371" customWidth="1"/>
    <col min="40" max="40" width="13.75" style="2370"/>
    <col min="41" max="41" width="11.625" style="2370" customWidth="1"/>
    <col min="42" max="42" width="9.75" style="2370" customWidth="1"/>
    <col min="43" max="67" width="13.75" style="2370"/>
    <col min="68" max="16384" width="13.75" style="2371"/>
  </cols>
  <sheetData>
    <row r="1" spans="1:67" ht="19.5" thickBot="1">
      <c r="A1" s="2366" t="s">
        <v>1970</v>
      </c>
      <c r="B1" s="2367"/>
      <c r="C1" s="2368"/>
      <c r="D1" s="2368"/>
      <c r="E1" s="2368"/>
      <c r="F1" s="2368"/>
      <c r="G1" s="2368"/>
      <c r="H1" s="2368"/>
      <c r="I1" s="2368"/>
      <c r="J1" s="2368"/>
      <c r="K1" s="2369"/>
      <c r="L1" s="2369"/>
      <c r="M1" s="2368"/>
      <c r="N1" s="2368"/>
      <c r="O1" s="2368"/>
      <c r="P1" s="2368"/>
      <c r="Q1" s="2368"/>
      <c r="R1" s="2368"/>
      <c r="S1" s="2368"/>
      <c r="T1" s="2368"/>
      <c r="U1" s="2368"/>
      <c r="V1" s="2368"/>
      <c r="W1" s="2368"/>
      <c r="X1" s="2368"/>
      <c r="Y1" s="2368"/>
      <c r="Z1" s="2368"/>
      <c r="AA1" s="2368"/>
      <c r="AB1" s="2368"/>
      <c r="AC1" s="2368"/>
      <c r="AD1" s="2368"/>
      <c r="AE1" s="2368"/>
      <c r="AF1" s="2368"/>
      <c r="AG1" s="2368"/>
      <c r="AH1" s="2368"/>
      <c r="AI1" s="2368"/>
      <c r="AJ1" s="2368"/>
      <c r="AK1" s="2368"/>
      <c r="AL1" s="2368"/>
      <c r="AM1" s="2368"/>
    </row>
    <row r="2" spans="1:67" s="2150" customFormat="1" ht="15.75" thickBot="1">
      <c r="A2" s="2372" t="s">
        <v>1971</v>
      </c>
      <c r="B2" s="3571">
        <f>项目基本情况!D3</f>
        <v>43071</v>
      </c>
      <c r="C2" s="2373"/>
      <c r="D2" s="2373"/>
      <c r="E2" s="2373"/>
      <c r="F2" s="2373"/>
      <c r="G2" s="2373"/>
      <c r="H2" s="2373"/>
      <c r="I2" s="2373"/>
      <c r="J2" s="2373"/>
      <c r="K2" s="2299"/>
      <c r="L2" s="2299"/>
      <c r="M2" s="2373"/>
      <c r="N2" s="2373"/>
      <c r="O2" s="2373"/>
      <c r="P2" s="2373"/>
      <c r="Q2" s="2373"/>
      <c r="R2" s="2373"/>
      <c r="S2" s="2373"/>
      <c r="T2" s="2373"/>
      <c r="U2" s="2373"/>
      <c r="V2" s="2373"/>
      <c r="W2" s="2373"/>
      <c r="X2" s="2373"/>
      <c r="Y2" s="2373"/>
      <c r="Z2" s="2373"/>
      <c r="AA2" s="2373"/>
      <c r="AB2" s="2373"/>
      <c r="AC2" s="2373"/>
      <c r="AD2" s="2373"/>
      <c r="AE2" s="2373"/>
      <c r="AF2" s="2373"/>
      <c r="AG2" s="2373"/>
      <c r="AH2" s="2373"/>
      <c r="AI2" s="2373"/>
      <c r="AJ2" s="2373"/>
      <c r="AK2" s="2373"/>
      <c r="AL2" s="2373"/>
      <c r="AM2" s="2373"/>
      <c r="AN2" s="2374"/>
      <c r="AO2" s="2374"/>
      <c r="AP2" s="2374"/>
      <c r="AQ2" s="2374"/>
      <c r="AR2" s="2374"/>
      <c r="AS2" s="2374"/>
      <c r="AT2" s="2374"/>
      <c r="AU2" s="2374"/>
      <c r="AV2" s="2374"/>
      <c r="AW2" s="2374"/>
      <c r="AX2" s="2374"/>
      <c r="AY2" s="2374"/>
      <c r="AZ2" s="2374"/>
      <c r="BA2" s="2374"/>
      <c r="BB2" s="2374"/>
      <c r="BC2" s="2374"/>
      <c r="BD2" s="2374"/>
      <c r="BE2" s="2374"/>
      <c r="BF2" s="2374"/>
      <c r="BG2" s="2374"/>
      <c r="BH2" s="2374"/>
      <c r="BI2" s="2374"/>
      <c r="BJ2" s="2374"/>
      <c r="BK2" s="2374"/>
      <c r="BL2" s="2374"/>
      <c r="BM2" s="2374"/>
      <c r="BN2" s="2374"/>
      <c r="BO2" s="2374"/>
    </row>
    <row r="3" spans="1:67" s="2150" customFormat="1" ht="15" thickBot="1">
      <c r="A3" s="2149"/>
      <c r="B3" s="2375"/>
      <c r="C3" s="2373"/>
      <c r="D3" s="2373"/>
      <c r="E3" s="2373"/>
      <c r="F3" s="2373"/>
      <c r="G3" s="2373"/>
      <c r="H3" s="2373"/>
      <c r="I3" s="2373"/>
      <c r="J3" s="2373"/>
      <c r="K3" s="2299"/>
      <c r="L3" s="2299"/>
      <c r="M3" s="2373"/>
      <c r="N3" s="2373"/>
      <c r="O3" s="2373"/>
      <c r="P3" s="2373"/>
      <c r="Q3" s="2373"/>
      <c r="R3" s="2373"/>
      <c r="S3" s="2373"/>
      <c r="T3" s="2373"/>
      <c r="U3" s="2373"/>
      <c r="V3" s="2373"/>
      <c r="W3" s="2373"/>
      <c r="X3" s="2373"/>
      <c r="Y3" s="2373"/>
      <c r="Z3" s="2373"/>
      <c r="AA3" s="2373"/>
      <c r="AB3" s="2373"/>
      <c r="AC3" s="2373"/>
      <c r="AD3" s="2373"/>
      <c r="AE3" s="2373"/>
      <c r="AF3" s="2373"/>
      <c r="AG3" s="2373"/>
      <c r="AH3" s="2373"/>
      <c r="AI3" s="2373"/>
      <c r="AJ3" s="2373"/>
      <c r="AK3" s="2373"/>
      <c r="AL3" s="2373"/>
      <c r="AM3" s="2373"/>
      <c r="AN3" s="2374"/>
      <c r="AO3" s="2374"/>
      <c r="AP3" s="2374"/>
      <c r="AQ3" s="2374"/>
      <c r="AR3" s="2374"/>
      <c r="AS3" s="2374"/>
      <c r="AT3" s="2374"/>
      <c r="AU3" s="2374"/>
      <c r="AV3" s="2374"/>
      <c r="AW3" s="2374"/>
      <c r="AX3" s="2374"/>
      <c r="AY3" s="2374"/>
      <c r="AZ3" s="2374"/>
      <c r="BA3" s="2374"/>
      <c r="BB3" s="2374"/>
      <c r="BC3" s="2374"/>
      <c r="BD3" s="2374"/>
      <c r="BE3" s="2374"/>
      <c r="BF3" s="2374"/>
      <c r="BG3" s="2374"/>
      <c r="BH3" s="2374"/>
      <c r="BI3" s="2374"/>
      <c r="BJ3" s="2374"/>
      <c r="BK3" s="2374"/>
      <c r="BL3" s="2374"/>
      <c r="BM3" s="2374"/>
      <c r="BN3" s="2374"/>
      <c r="BO3" s="2374"/>
    </row>
    <row r="4" spans="1:67" s="2150" customFormat="1" ht="15" thickBot="1">
      <c r="A4" s="2376" t="s">
        <v>1972</v>
      </c>
      <c r="B4" s="2377"/>
      <c r="C4" s="2378"/>
      <c r="D4" s="2378"/>
      <c r="E4" s="2378" t="s">
        <v>1973</v>
      </c>
      <c r="F4" s="2378"/>
      <c r="G4" s="2378"/>
      <c r="H4" s="2378"/>
      <c r="I4" s="2378"/>
      <c r="J4" s="2379"/>
      <c r="K4" s="2380"/>
      <c r="L4" s="2381"/>
      <c r="M4" s="2378"/>
      <c r="N4" s="2378" t="s">
        <v>1974</v>
      </c>
      <c r="O4" s="2378"/>
      <c r="P4" s="2378"/>
      <c r="Q4" s="2378"/>
      <c r="R4" s="2378"/>
      <c r="S4" s="2379"/>
      <c r="T4" s="2382" t="str">
        <f>'数据-汇总表'!I17</f>
        <v>按面积比例</v>
      </c>
      <c r="U4" s="2377" t="s">
        <v>1975</v>
      </c>
      <c r="V4" s="2378"/>
      <c r="W4" s="2378"/>
      <c r="X4" s="2378"/>
      <c r="Y4" s="2379"/>
      <c r="Z4" s="2322" t="s">
        <v>1976</v>
      </c>
      <c r="AA4" s="2322"/>
      <c r="AB4" s="2322"/>
      <c r="AC4" s="2322"/>
      <c r="AD4" s="2322"/>
      <c r="AE4" s="2320" t="s">
        <v>1977</v>
      </c>
      <c r="AF4" s="2322"/>
      <c r="AG4" s="2383"/>
      <c r="AH4" s="2377"/>
      <c r="AI4" s="2378"/>
      <c r="AJ4" s="2378"/>
      <c r="AK4" s="2378"/>
      <c r="AL4" s="2378"/>
      <c r="AM4" s="2379"/>
      <c r="AN4" s="2374"/>
      <c r="AO4" s="2374"/>
      <c r="AP4" s="2374"/>
      <c r="AQ4" s="2374"/>
      <c r="AR4" s="2374"/>
      <c r="AS4" s="2374"/>
      <c r="AT4" s="2374"/>
      <c r="AU4" s="2374"/>
      <c r="AV4" s="2374"/>
      <c r="AW4" s="2374"/>
      <c r="AX4" s="2374"/>
      <c r="AY4" s="2374"/>
      <c r="AZ4" s="2374"/>
      <c r="BA4" s="2374"/>
      <c r="BB4" s="2374"/>
      <c r="BC4" s="2374"/>
      <c r="BD4" s="2374"/>
      <c r="BE4" s="2374"/>
      <c r="BF4" s="2374"/>
      <c r="BG4" s="2374"/>
      <c r="BH4" s="2374"/>
      <c r="BI4" s="2374"/>
      <c r="BJ4" s="2374"/>
      <c r="BK4" s="2374"/>
      <c r="BL4" s="2374"/>
      <c r="BM4" s="2374"/>
      <c r="BN4" s="2374"/>
      <c r="BO4" s="2374"/>
    </row>
    <row r="5" spans="1:67" s="2151" customFormat="1" ht="42">
      <c r="A5" s="2384" t="s">
        <v>1978</v>
      </c>
      <c r="B5" s="2385" t="s">
        <v>1979</v>
      </c>
      <c r="C5" s="2386" t="s">
        <v>1980</v>
      </c>
      <c r="D5" s="2387" t="s">
        <v>1981</v>
      </c>
      <c r="E5" s="2388" t="s">
        <v>1982</v>
      </c>
      <c r="F5" s="2388" t="s">
        <v>1983</v>
      </c>
      <c r="G5" s="2388" t="s">
        <v>1984</v>
      </c>
      <c r="H5" s="2388" t="s">
        <v>1985</v>
      </c>
      <c r="I5" s="2388" t="s">
        <v>1986</v>
      </c>
      <c r="J5" s="2389" t="s">
        <v>1987</v>
      </c>
      <c r="K5" s="2390" t="s">
        <v>1988</v>
      </c>
      <c r="L5" s="2391" t="s">
        <v>1989</v>
      </c>
      <c r="M5" s="2391" t="s">
        <v>1990</v>
      </c>
      <c r="N5" s="2392" t="s">
        <v>3065</v>
      </c>
      <c r="O5" s="2391" t="s">
        <v>1991</v>
      </c>
      <c r="P5" s="2393" t="s">
        <v>1992</v>
      </c>
      <c r="Q5" s="2394" t="s">
        <v>1993</v>
      </c>
      <c r="R5" s="2390" t="s">
        <v>1994</v>
      </c>
      <c r="S5" s="2395" t="s">
        <v>1995</v>
      </c>
      <c r="T5" s="2396" t="s">
        <v>1996</v>
      </c>
      <c r="U5" s="2397" t="s">
        <v>1997</v>
      </c>
      <c r="V5" s="2388" t="s">
        <v>1998</v>
      </c>
      <c r="W5" s="2388" t="s">
        <v>1999</v>
      </c>
      <c r="X5" s="2398"/>
      <c r="Y5" s="2399" t="s">
        <v>2000</v>
      </c>
      <c r="Z5" s="2400" t="s">
        <v>1997</v>
      </c>
      <c r="AA5" s="2388" t="s">
        <v>1998</v>
      </c>
      <c r="AB5" s="2388" t="s">
        <v>1999</v>
      </c>
      <c r="AC5" s="2398"/>
      <c r="AD5" s="2398" t="s">
        <v>2000</v>
      </c>
      <c r="AE5" s="2397" t="s">
        <v>2001</v>
      </c>
      <c r="AF5" s="2388" t="s">
        <v>2002</v>
      </c>
      <c r="AG5" s="2399" t="s">
        <v>2003</v>
      </c>
      <c r="AH5" s="2397" t="s">
        <v>2004</v>
      </c>
      <c r="AI5" s="2400" t="s">
        <v>2005</v>
      </c>
      <c r="AJ5" s="2400" t="s">
        <v>2006</v>
      </c>
      <c r="AK5" s="2388" t="s">
        <v>2007</v>
      </c>
      <c r="AL5" s="2388" t="s">
        <v>2008</v>
      </c>
      <c r="AM5" s="2399" t="s">
        <v>2009</v>
      </c>
      <c r="AN5" s="2401" t="s">
        <v>2010</v>
      </c>
      <c r="AO5" s="2194" t="s">
        <v>2011</v>
      </c>
      <c r="AP5" s="2355" t="s">
        <v>2012</v>
      </c>
      <c r="AQ5" s="2402" t="s">
        <v>2013</v>
      </c>
      <c r="AR5" s="2402" t="s">
        <v>2014</v>
      </c>
      <c r="AS5" s="2276"/>
      <c r="AT5" s="2276"/>
      <c r="AU5" s="2276"/>
      <c r="AV5" s="2276"/>
      <c r="AW5" s="2276"/>
      <c r="AX5" s="2276"/>
      <c r="AY5" s="2276"/>
      <c r="AZ5" s="2276"/>
      <c r="BA5" s="2276"/>
      <c r="BB5" s="2276"/>
      <c r="BC5" s="2276"/>
      <c r="BD5" s="2276"/>
      <c r="BE5" s="2276"/>
      <c r="BF5" s="2276"/>
      <c r="BG5" s="2276"/>
      <c r="BH5" s="2276"/>
      <c r="BI5" s="2276"/>
      <c r="BJ5" s="2276"/>
      <c r="BK5" s="2276"/>
      <c r="BL5" s="2276"/>
      <c r="BM5" s="2276"/>
      <c r="BN5" s="2276"/>
      <c r="BO5" s="2276"/>
    </row>
    <row r="6" spans="1:67" s="2150" customFormat="1" ht="14.25">
      <c r="A6" s="2403" t="str">
        <f>'数据-汇总表'!C19</f>
        <v>1层</v>
      </c>
      <c r="B6" s="2404" t="str">
        <f>IF(A6=0,"","经营性")</f>
        <v>经营性</v>
      </c>
      <c r="C6" s="2405" t="s">
        <v>1378</v>
      </c>
      <c r="D6" s="2406">
        <f>SUMIF(项目基本情况!D$12:I$12,C6,项目基本情况!D$14:I$14)</f>
        <v>40</v>
      </c>
      <c r="E6" s="3572">
        <f>IF(B6="","",SUMIF(项目基本情况!D$12:I$12,C6,项目基本情况!D$13:I$13))</f>
        <v>56019</v>
      </c>
      <c r="F6" s="2408">
        <f>SUMIF(项目基本情况!D$12:I$12,C6,项目基本情况!D$15:I$15)</f>
        <v>35.47</v>
      </c>
      <c r="G6" s="2408">
        <f>IF(ISERROR(ROUND(POWER(1+H6,D6-F6)*(POWER(1+H6,F6)-1)/(POWER(1+H6,D6)-1),3)),0,ROUND(POWER(1+H6,D6-F6)*(POWER(1+H6,F6)-1)/(POWER(1+H6,D6)-1),3))</f>
        <v>0.95399999999999996</v>
      </c>
      <c r="H6" s="3411">
        <v>4.4999999999999998E-2</v>
      </c>
      <c r="I6" s="3411">
        <v>0.05</v>
      </c>
      <c r="J6" s="3412">
        <v>8.5000000000000006E-2</v>
      </c>
      <c r="K6" s="2406">
        <f>SUMIF('数据-汇总表'!C$19:C$33,A6,'数据-汇总表'!E$19:E$33)</f>
        <v>15982.84</v>
      </c>
      <c r="L6" s="2409">
        <v>2500</v>
      </c>
      <c r="M6" s="2410">
        <f t="shared" ref="M6:M14" si="0">ROUND(K6*L6/10000,0)</f>
        <v>3996</v>
      </c>
      <c r="N6" s="3573">
        <v>0.98</v>
      </c>
      <c r="O6" s="2410" t="str">
        <f>IF($N$5="成新度","——",ROUND(M6*N6,0))</f>
        <v>——</v>
      </c>
      <c r="P6" s="2411" t="str">
        <f>IF($N$5="成新度","——",M6-O6)</f>
        <v>——</v>
      </c>
      <c r="Q6" s="3542">
        <v>0.2</v>
      </c>
      <c r="R6" s="2412">
        <f ca="1">SUMIF('数据-汇总表'!C$19:C$33,A6,'数据-汇总表'!R$19:R$27)</f>
        <v>4738.18</v>
      </c>
      <c r="S6" s="2302">
        <f>IF('数据-汇总表'!$I$17="按面积比例",SUMIF('数据-汇总表'!C$19:C$33,A6,'数据-汇总表'!K$19:K$33),SUMIF('数据-汇总表'!C$19:C$33,A6,'数据-汇总表'!N$19:N$33))</f>
        <v>0</v>
      </c>
      <c r="T6" s="2413">
        <f>ROUND($L$14*S6/10000,0)</f>
        <v>0</v>
      </c>
      <c r="U6" s="2414">
        <v>3.6</v>
      </c>
      <c r="V6" s="3555">
        <v>0.03</v>
      </c>
      <c r="W6" s="3460">
        <v>0.1</v>
      </c>
      <c r="X6" s="2411"/>
      <c r="Y6" s="2416">
        <v>0.98</v>
      </c>
      <c r="Z6" s="2417"/>
      <c r="AA6" s="2311"/>
      <c r="AB6" s="2311"/>
      <c r="AC6" s="2411"/>
      <c r="AD6" s="2418"/>
      <c r="AE6" s="2331">
        <f ca="1">IF(AN6="",0,SUMIF(INDIRECT("'"&amp;AN6&amp;"'"&amp;"!E:E"),$AE$5,INDIRECT("'"&amp;AN6&amp;"'"&amp;"!F:F")))</f>
        <v>35.47</v>
      </c>
      <c r="AF6" s="2419"/>
      <c r="AG6" s="2420">
        <f>IF(AF6="",0,AE6-AF6)</f>
        <v>0</v>
      </c>
      <c r="AH6" s="2421"/>
      <c r="AI6" s="2422">
        <v>365</v>
      </c>
      <c r="AJ6" s="2419"/>
      <c r="AK6" s="3462">
        <v>1.4999999999999999E-2</v>
      </c>
      <c r="AL6" s="3462">
        <v>1.5E-3</v>
      </c>
      <c r="AM6" s="3462">
        <v>0.01</v>
      </c>
      <c r="AN6" s="2424" t="s">
        <v>7101</v>
      </c>
      <c r="AO6" s="2302">
        <f ca="1">SUMIF(INDIRECT("'"&amp;AN6&amp;"'"&amp;"!A:A"),"总价",INDIRECT("'"&amp;AN6&amp;"'"&amp;"!B:B"))</f>
        <v>40001</v>
      </c>
      <c r="AP6" s="2425">
        <f>IF(C6="住宅",K6*L6,0)</f>
        <v>0</v>
      </c>
      <c r="AQ6" s="2302">
        <f>ROUND($L$14*$N$14*S6/10000,0)</f>
        <v>0</v>
      </c>
      <c r="AR6" s="2302">
        <f>ROUND($L$14*(1-$N$14)*S6/10000,0)</f>
        <v>0</v>
      </c>
      <c r="AS6" s="2374"/>
      <c r="AT6" s="2374"/>
      <c r="AU6" s="2374"/>
      <c r="AV6" s="2374"/>
      <c r="AW6" s="2374"/>
      <c r="AX6" s="2374"/>
      <c r="AY6" s="2374"/>
      <c r="AZ6" s="2374"/>
      <c r="BA6" s="2374"/>
      <c r="BB6" s="2374"/>
      <c r="BC6" s="2374"/>
      <c r="BD6" s="2374"/>
      <c r="BE6" s="2374"/>
      <c r="BF6" s="2374"/>
      <c r="BG6" s="2374"/>
      <c r="BH6" s="2374"/>
      <c r="BI6" s="2374"/>
      <c r="BJ6" s="2374"/>
      <c r="BK6" s="2374"/>
      <c r="BL6" s="2374"/>
      <c r="BM6" s="2374"/>
      <c r="BN6" s="2374"/>
      <c r="BO6" s="2374"/>
    </row>
    <row r="7" spans="1:67" s="2150" customFormat="1" ht="14.25">
      <c r="A7" s="2403" t="str">
        <f>'数据-汇总表'!C20</f>
        <v>2层</v>
      </c>
      <c r="B7" s="2404" t="str">
        <f t="shared" ref="B7:B13" si="1">IF(A7=0,"","经营性")</f>
        <v>经营性</v>
      </c>
      <c r="C7" s="2405" t="s">
        <v>1378</v>
      </c>
      <c r="D7" s="2406">
        <f>SUMIF(项目基本情况!D$12:I$12,C7,项目基本情况!D$14:I$14)</f>
        <v>40</v>
      </c>
      <c r="E7" s="3572">
        <f>IF(B7="","",SUMIF(项目基本情况!D$12:I$12,C7,项目基本情况!D$13:I$13))</f>
        <v>56019</v>
      </c>
      <c r="F7" s="2408">
        <f>SUMIF(项目基本情况!D$12:I$12,C7,项目基本情况!D$15:I$15)</f>
        <v>35.47</v>
      </c>
      <c r="G7" s="2408">
        <f t="shared" ref="G7:G11" si="2">IF(ISERROR(ROUND(POWER(1+H7,D7-F7)*(POWER(1+H7,F7)-1)/(POWER(1+H7,D7)-1),3)),0,ROUND(POWER(1+H7,D7-F7)*(POWER(1+H7,F7)-1)/(POWER(1+H7,D7)-1),3))</f>
        <v>0</v>
      </c>
      <c r="H7" s="3411"/>
      <c r="I7" s="3411"/>
      <c r="J7" s="3412"/>
      <c r="K7" s="2406">
        <f>SUMIF('数据-汇总表'!C$19:C$33,A7,'数据-汇总表'!E$19:E$33)</f>
        <v>1603.32</v>
      </c>
      <c r="L7" s="2409"/>
      <c r="M7" s="2410">
        <f t="shared" si="0"/>
        <v>0</v>
      </c>
      <c r="N7" s="2409"/>
      <c r="O7" s="2410" t="str">
        <f t="shared" ref="O7:O14" si="3">IF($N$5="成新度","——",ROUND(M7*N7,0))</f>
        <v>——</v>
      </c>
      <c r="P7" s="2411" t="str">
        <f t="shared" ref="P7:P14" si="4">IF($N$5="成新度","——",M7-O7)</f>
        <v>——</v>
      </c>
      <c r="Q7" s="3542"/>
      <c r="R7" s="2412">
        <f ca="1">SUMIF('数据-汇总表'!C$19:C$33,A7,'数据-汇总表'!R$19:R$27)</f>
        <v>475.31</v>
      </c>
      <c r="S7" s="2302">
        <f>IF('数据-汇总表'!$I$17="按面积比例",SUMIF('数据-汇总表'!C$19:C$33,A7,'数据-汇总表'!K$19:K$33),SUMIF('数据-汇总表'!C$19:C$33,A7,'数据-汇总表'!N$19:N$33))</f>
        <v>0</v>
      </c>
      <c r="T7" s="2413">
        <f t="shared" ref="T7:T13" si="5">ROUND($L$14*S7/10000,0)</f>
        <v>0</v>
      </c>
      <c r="U7" s="2414"/>
      <c r="V7" s="3461"/>
      <c r="W7" s="3460"/>
      <c r="X7" s="2411"/>
      <c r="Y7" s="2416"/>
      <c r="Z7" s="2417"/>
      <c r="AA7" s="2311"/>
      <c r="AB7" s="2311"/>
      <c r="AC7" s="2411"/>
      <c r="AD7" s="2418"/>
      <c r="AE7" s="2331">
        <f t="shared" ref="AE7:AE13" ca="1" si="6">IF(AN7="",0,SUMIF(INDIRECT("'"&amp;AN7&amp;"'"&amp;"!E:E"),$AE$5,INDIRECT("'"&amp;AN7&amp;"'"&amp;"!F:F")))</f>
        <v>0</v>
      </c>
      <c r="AF7" s="2419"/>
      <c r="AG7" s="2420">
        <f t="shared" ref="AG7:AG13" si="7">IF(AF7="",0,AE7-AF7)</f>
        <v>0</v>
      </c>
      <c r="AH7" s="2421"/>
      <c r="AI7" s="2422">
        <v>365</v>
      </c>
      <c r="AJ7" s="2419"/>
      <c r="AK7" s="3462"/>
      <c r="AL7" s="3462"/>
      <c r="AM7" s="3462"/>
      <c r="AN7" s="2424"/>
      <c r="AO7" s="2302" t="e">
        <f t="shared" ref="AO7:AO13" ca="1" si="8">SUMIF(INDIRECT("'"&amp;AN7&amp;"'"&amp;"!A:A"),"总价",INDIRECT("'"&amp;AN7&amp;"'"&amp;"!B:B"))</f>
        <v>#REF!</v>
      </c>
      <c r="AP7" s="2425">
        <f t="shared" ref="AP7:AP13" si="9">IF(C7="住宅",K7*L7,0)</f>
        <v>0</v>
      </c>
      <c r="AQ7" s="2302">
        <f t="shared" ref="AQ7:AQ13" si="10">ROUND($L$14*$N$14*S7/10000,0)</f>
        <v>0</v>
      </c>
      <c r="AR7" s="2302">
        <f t="shared" ref="AR7:AR13" si="11">ROUND($L$14*(1-$N$14)*S7/10000,0)</f>
        <v>0</v>
      </c>
      <c r="AS7" s="2374"/>
      <c r="AT7" s="2374"/>
      <c r="AU7" s="2374"/>
      <c r="AV7" s="2374"/>
      <c r="AW7" s="2374"/>
      <c r="AX7" s="2374"/>
      <c r="AY7" s="2374"/>
      <c r="AZ7" s="2374"/>
      <c r="BA7" s="2374"/>
      <c r="BB7" s="2374"/>
      <c r="BC7" s="2374"/>
      <c r="BD7" s="2374"/>
      <c r="BE7" s="2374"/>
      <c r="BF7" s="2374"/>
      <c r="BG7" s="2374"/>
      <c r="BH7" s="2374"/>
      <c r="BI7" s="2374"/>
      <c r="BJ7" s="2374"/>
      <c r="BK7" s="2374"/>
      <c r="BL7" s="2374"/>
      <c r="BM7" s="2374"/>
      <c r="BN7" s="2374"/>
      <c r="BO7" s="2374"/>
    </row>
    <row r="8" spans="1:67" s="2150" customFormat="1" ht="14.25">
      <c r="A8" s="2403" t="str">
        <f>'数据-汇总表'!C21</f>
        <v>3层</v>
      </c>
      <c r="B8" s="2404" t="str">
        <f t="shared" si="1"/>
        <v>经营性</v>
      </c>
      <c r="C8" s="2405" t="s">
        <v>1378</v>
      </c>
      <c r="D8" s="2406">
        <f>SUMIF(项目基本情况!D$12:I$12,C8,项目基本情况!D$14:I$14)</f>
        <v>40</v>
      </c>
      <c r="E8" s="3572">
        <f>IF(B8="","",SUMIF(项目基本情况!D$12:I$12,C8,项目基本情况!D$13:I$13))</f>
        <v>56019</v>
      </c>
      <c r="F8" s="2408">
        <f>SUMIF(项目基本情况!D$12:I$12,C8,项目基本情况!D$15:I$15)</f>
        <v>35.47</v>
      </c>
      <c r="G8" s="2408">
        <f t="shared" si="2"/>
        <v>0</v>
      </c>
      <c r="H8" s="3411"/>
      <c r="I8" s="3411"/>
      <c r="J8" s="3412"/>
      <c r="K8" s="2406">
        <f>SUMIF('数据-汇总表'!C$19:C$33,A8,'数据-汇总表'!E$19:E$33)</f>
        <v>1041.3799999999999</v>
      </c>
      <c r="L8" s="2409"/>
      <c r="M8" s="2410">
        <f>ROUND(K8*L8/10000,0)</f>
        <v>0</v>
      </c>
      <c r="N8" s="2409"/>
      <c r="O8" s="2410" t="str">
        <f t="shared" si="3"/>
        <v>——</v>
      </c>
      <c r="P8" s="2411" t="str">
        <f t="shared" si="4"/>
        <v>——</v>
      </c>
      <c r="Q8" s="3542"/>
      <c r="R8" s="2412">
        <f ca="1">SUMIF('数据-汇总表'!C$19:C$33,A8,'数据-汇总表'!R$19:R$27)</f>
        <v>308.72000000000003</v>
      </c>
      <c r="S8" s="2302">
        <f>IF('数据-汇总表'!$I$17="按面积比例",SUMIF('数据-汇总表'!C$19:C$33,A8,'数据-汇总表'!K$19:K$33),SUMIF('数据-汇总表'!C$19:C$33,A8,'数据-汇总表'!N$19:N$33))</f>
        <v>0</v>
      </c>
      <c r="T8" s="2413">
        <f t="shared" si="5"/>
        <v>0</v>
      </c>
      <c r="U8" s="2426"/>
      <c r="V8" s="3461"/>
      <c r="W8" s="3460"/>
      <c r="X8" s="2411"/>
      <c r="Y8" s="2416"/>
      <c r="Z8" s="2417"/>
      <c r="AA8" s="2311"/>
      <c r="AB8" s="2311"/>
      <c r="AC8" s="2411"/>
      <c r="AD8" s="2418"/>
      <c r="AE8" s="2331">
        <f t="shared" ca="1" si="6"/>
        <v>0</v>
      </c>
      <c r="AF8" s="2419"/>
      <c r="AG8" s="2420">
        <f t="shared" si="7"/>
        <v>0</v>
      </c>
      <c r="AH8" s="2427"/>
      <c r="AI8" s="2422">
        <v>365</v>
      </c>
      <c r="AJ8" s="2419"/>
      <c r="AK8" s="3462"/>
      <c r="AL8" s="3462"/>
      <c r="AM8" s="3462"/>
      <c r="AN8" s="2424"/>
      <c r="AO8" s="2302" t="e">
        <f t="shared" ca="1" si="8"/>
        <v>#REF!</v>
      </c>
      <c r="AP8" s="2425">
        <f t="shared" si="9"/>
        <v>0</v>
      </c>
      <c r="AQ8" s="2302">
        <f t="shared" si="10"/>
        <v>0</v>
      </c>
      <c r="AR8" s="2302">
        <f t="shared" si="11"/>
        <v>0</v>
      </c>
      <c r="AS8" s="2374"/>
      <c r="AT8" s="2374"/>
      <c r="AU8" s="2374"/>
      <c r="AV8" s="2374"/>
      <c r="AW8" s="2374"/>
      <c r="AX8" s="2374"/>
      <c r="AY8" s="2374"/>
      <c r="AZ8" s="2374"/>
      <c r="BA8" s="2374"/>
      <c r="BB8" s="2374"/>
      <c r="BC8" s="2374"/>
      <c r="BD8" s="2374"/>
      <c r="BE8" s="2374"/>
      <c r="BF8" s="2374"/>
      <c r="BG8" s="2374"/>
      <c r="BH8" s="2374"/>
      <c r="BI8" s="2374"/>
      <c r="BJ8" s="2374"/>
      <c r="BK8" s="2374"/>
      <c r="BL8" s="2374"/>
      <c r="BM8" s="2374"/>
      <c r="BN8" s="2374"/>
      <c r="BO8" s="2374"/>
    </row>
    <row r="9" spans="1:67" s="2150" customFormat="1" ht="14.25">
      <c r="A9" s="2403" t="str">
        <f>'数据-汇总表'!C22</f>
        <v>4/5层</v>
      </c>
      <c r="B9" s="2404" t="str">
        <f t="shared" si="1"/>
        <v>经营性</v>
      </c>
      <c r="C9" s="2405" t="s">
        <v>1378</v>
      </c>
      <c r="D9" s="2406">
        <f>SUMIF(项目基本情况!D$12:I$12,C9,项目基本情况!D$14:I$14)</f>
        <v>40</v>
      </c>
      <c r="E9" s="3572">
        <f>IF(B9="","",SUMIF(项目基本情况!D$12:I$12,C9,项目基本情况!D$13:I$13))</f>
        <v>56019</v>
      </c>
      <c r="F9" s="2408">
        <f>SUMIF(项目基本情况!D$12:I$12,C9,项目基本情况!D$15:I$15)</f>
        <v>35.47</v>
      </c>
      <c r="G9" s="2408">
        <f t="shared" si="2"/>
        <v>0</v>
      </c>
      <c r="H9" s="3411"/>
      <c r="I9" s="3411"/>
      <c r="J9" s="3412"/>
      <c r="K9" s="2406">
        <f>SUMIF('数据-汇总表'!C$19:C$33,A9,'数据-汇总表'!E$19:E$33)</f>
        <v>4137.8500000000004</v>
      </c>
      <c r="L9" s="2409"/>
      <c r="M9" s="2410">
        <f t="shared" si="0"/>
        <v>0</v>
      </c>
      <c r="N9" s="2409"/>
      <c r="O9" s="2410" t="str">
        <f t="shared" si="3"/>
        <v>——</v>
      </c>
      <c r="P9" s="2411" t="str">
        <f t="shared" si="4"/>
        <v>——</v>
      </c>
      <c r="Q9" s="3543"/>
      <c r="R9" s="2412">
        <f ca="1">SUMIF('数据-汇总表'!C$19:C$33,A9,'数据-汇总表'!R$19:R$27)</f>
        <v>1226.68</v>
      </c>
      <c r="S9" s="2302">
        <f>IF('数据-汇总表'!$I$17="按面积比例",SUMIF('数据-汇总表'!C$19:C$33,A9,'数据-汇总表'!K$19:K$33),SUMIF('数据-汇总表'!C$19:C$33,A9,'数据-汇总表'!N$19:N$33))</f>
        <v>0</v>
      </c>
      <c r="T9" s="2413">
        <f t="shared" si="5"/>
        <v>0</v>
      </c>
      <c r="U9" s="2414"/>
      <c r="V9" s="3461"/>
      <c r="W9" s="3460"/>
      <c r="X9" s="2411"/>
      <c r="Y9" s="2416"/>
      <c r="Z9" s="2417"/>
      <c r="AA9" s="2311"/>
      <c r="AB9" s="2311"/>
      <c r="AC9" s="2411"/>
      <c r="AD9" s="2418"/>
      <c r="AE9" s="2331">
        <f t="shared" ca="1" si="6"/>
        <v>0</v>
      </c>
      <c r="AF9" s="2419"/>
      <c r="AG9" s="2420">
        <f t="shared" si="7"/>
        <v>0</v>
      </c>
      <c r="AH9" s="2421"/>
      <c r="AI9" s="2422">
        <v>365</v>
      </c>
      <c r="AJ9" s="2419"/>
      <c r="AK9" s="3462"/>
      <c r="AL9" s="3462"/>
      <c r="AM9" s="3462"/>
      <c r="AN9" s="2424"/>
      <c r="AO9" s="2302" t="e">
        <f t="shared" ca="1" si="8"/>
        <v>#REF!</v>
      </c>
      <c r="AP9" s="2425">
        <f t="shared" si="9"/>
        <v>0</v>
      </c>
      <c r="AQ9" s="2302">
        <f t="shared" si="10"/>
        <v>0</v>
      </c>
      <c r="AR9" s="2302">
        <f t="shared" si="11"/>
        <v>0</v>
      </c>
      <c r="AS9" s="2374"/>
      <c r="AT9" s="2374"/>
      <c r="AU9" s="2374"/>
      <c r="AV9" s="2374"/>
      <c r="AW9" s="2374"/>
      <c r="AX9" s="2374"/>
      <c r="AY9" s="2374"/>
      <c r="AZ9" s="2374"/>
      <c r="BA9" s="2374"/>
      <c r="BB9" s="2374"/>
      <c r="BC9" s="2374"/>
      <c r="BD9" s="2374"/>
      <c r="BE9" s="2374"/>
      <c r="BF9" s="2374"/>
      <c r="BG9" s="2374"/>
      <c r="BH9" s="2374"/>
      <c r="BI9" s="2374"/>
      <c r="BJ9" s="2374"/>
      <c r="BK9" s="2374"/>
      <c r="BL9" s="2374"/>
      <c r="BM9" s="2374"/>
      <c r="BN9" s="2374"/>
      <c r="BO9" s="2374"/>
    </row>
    <row r="10" spans="1:67" s="2150" customFormat="1" ht="14.25">
      <c r="A10" s="2403">
        <f>'数据-汇总表'!C23</f>
        <v>0</v>
      </c>
      <c r="B10" s="2404" t="str">
        <f t="shared" si="1"/>
        <v/>
      </c>
      <c r="C10" s="2405"/>
      <c r="D10" s="2406">
        <f>SUMIF(项目基本情况!D$12:I$12,C10,项目基本情况!D$14:I$14)</f>
        <v>0</v>
      </c>
      <c r="E10" s="3572" t="str">
        <f>IF(B10="","",SUMIF(项目基本情况!D$12:I$12,C10,项目基本情况!D$13:I$13))</f>
        <v/>
      </c>
      <c r="F10" s="2408">
        <f>SUMIF(项目基本情况!D$12:I$12,C10,项目基本情况!D$15:I$15)</f>
        <v>0</v>
      </c>
      <c r="G10" s="2408">
        <f t="shared" si="2"/>
        <v>0</v>
      </c>
      <c r="H10" s="3411"/>
      <c r="I10" s="3411"/>
      <c r="J10" s="3412"/>
      <c r="K10" s="2406">
        <f>SUMIF('数据-汇总表'!C$19:C$33,A10,'数据-汇总表'!E$19:E$33)</f>
        <v>0</v>
      </c>
      <c r="L10" s="2409"/>
      <c r="M10" s="2410">
        <f t="shared" si="0"/>
        <v>0</v>
      </c>
      <c r="N10" s="2409"/>
      <c r="O10" s="2410" t="str">
        <f t="shared" si="3"/>
        <v>——</v>
      </c>
      <c r="P10" s="2411" t="str">
        <f t="shared" si="4"/>
        <v>——</v>
      </c>
      <c r="Q10" s="3543"/>
      <c r="R10" s="2412">
        <f ca="1">SUMIF('数据-汇总表'!C$19:C$33,A10,'数据-汇总表'!R$19:R$27)</f>
        <v>0</v>
      </c>
      <c r="S10" s="2302">
        <f>IF('数据-汇总表'!$I$17="按面积比例",SUMIF('数据-汇总表'!C$19:C$33,A10,'数据-汇总表'!K$19:K$33),SUMIF('数据-汇总表'!C$19:C$33,A10,'数据-汇总表'!N$19:N$33))</f>
        <v>0</v>
      </c>
      <c r="T10" s="2413">
        <f t="shared" si="5"/>
        <v>0</v>
      </c>
      <c r="U10" s="2414"/>
      <c r="V10" s="3460"/>
      <c r="W10" s="3460"/>
      <c r="X10" s="2411"/>
      <c r="Y10" s="2416"/>
      <c r="Z10" s="2417"/>
      <c r="AA10" s="2311"/>
      <c r="AB10" s="2311"/>
      <c r="AC10" s="2411"/>
      <c r="AD10" s="2418"/>
      <c r="AE10" s="2331">
        <f t="shared" ca="1" si="6"/>
        <v>0</v>
      </c>
      <c r="AF10" s="2419"/>
      <c r="AG10" s="2420">
        <f t="shared" si="7"/>
        <v>0</v>
      </c>
      <c r="AH10" s="2421"/>
      <c r="AI10" s="2422">
        <v>365</v>
      </c>
      <c r="AJ10" s="2419"/>
      <c r="AK10" s="3462"/>
      <c r="AL10" s="3462"/>
      <c r="AM10" s="3462"/>
      <c r="AN10" s="2424"/>
      <c r="AO10" s="2302" t="e">
        <f t="shared" ca="1" si="8"/>
        <v>#REF!</v>
      </c>
      <c r="AP10" s="2425">
        <f t="shared" si="9"/>
        <v>0</v>
      </c>
      <c r="AQ10" s="2302">
        <f t="shared" si="10"/>
        <v>0</v>
      </c>
      <c r="AR10" s="2302">
        <f t="shared" si="11"/>
        <v>0</v>
      </c>
      <c r="AS10" s="2374"/>
      <c r="AT10" s="2374"/>
      <c r="AU10" s="2374"/>
      <c r="AV10" s="2374"/>
      <c r="AW10" s="2374"/>
      <c r="AX10" s="2374"/>
      <c r="AY10" s="2374"/>
      <c r="AZ10" s="2374"/>
      <c r="BA10" s="2374"/>
      <c r="BB10" s="2374"/>
      <c r="BC10" s="2374"/>
      <c r="BD10" s="2374"/>
      <c r="BE10" s="2374"/>
      <c r="BF10" s="2374"/>
      <c r="BG10" s="2374"/>
      <c r="BH10" s="2374"/>
      <c r="BI10" s="2374"/>
      <c r="BJ10" s="2374"/>
      <c r="BK10" s="2374"/>
      <c r="BL10" s="2374"/>
      <c r="BM10" s="2374"/>
      <c r="BN10" s="2374"/>
      <c r="BO10" s="2374"/>
    </row>
    <row r="11" spans="1:67" s="2150" customFormat="1" ht="14.25">
      <c r="A11" s="2403" t="str">
        <f>'数据-汇总表'!C24</f>
        <v>—1层</v>
      </c>
      <c r="B11" s="2404" t="str">
        <f t="shared" si="1"/>
        <v>经营性</v>
      </c>
      <c r="C11" s="2405" t="s">
        <v>1378</v>
      </c>
      <c r="D11" s="2406">
        <f>SUMIF(项目基本情况!D$12:I$12,C11,项目基本情况!D$14:I$14)</f>
        <v>40</v>
      </c>
      <c r="E11" s="3572">
        <f>IF(B11="","",SUMIF(项目基本情况!D$12:I$12,C11,项目基本情况!D$13:I$13))</f>
        <v>56019</v>
      </c>
      <c r="F11" s="2408">
        <f>SUMIF(项目基本情况!D$12:I$12,C11,项目基本情况!D$15:I$15)</f>
        <v>35.47</v>
      </c>
      <c r="G11" s="2408">
        <f t="shared" si="2"/>
        <v>0</v>
      </c>
      <c r="H11" s="3411"/>
      <c r="I11" s="3411"/>
      <c r="J11" s="3412"/>
      <c r="K11" s="2406">
        <f>SUMIF('数据-汇总表'!C$19:C$33,A11,'数据-汇总表'!E$19:E$33)</f>
        <v>14937.26</v>
      </c>
      <c r="L11" s="2409"/>
      <c r="M11" s="2410">
        <f t="shared" si="0"/>
        <v>0</v>
      </c>
      <c r="N11" s="2409"/>
      <c r="O11" s="2410" t="str">
        <f t="shared" si="3"/>
        <v>——</v>
      </c>
      <c r="P11" s="2411" t="str">
        <f t="shared" si="4"/>
        <v>——</v>
      </c>
      <c r="Q11" s="3543"/>
      <c r="R11" s="2412">
        <f ca="1">SUMIF('数据-汇总表'!C$19:C$33,A11,'数据-汇总表'!R$19:R$27)</f>
        <v>4428.21</v>
      </c>
      <c r="S11" s="2302">
        <f>IF('数据-汇总表'!$I$17="按面积比例",SUMIF('数据-汇总表'!C$19:C$33,A11,'数据-汇总表'!K$19:K$33),SUMIF('数据-汇总表'!C$19:C$33,A11,'数据-汇总表'!N$19:N$33))</f>
        <v>0</v>
      </c>
      <c r="T11" s="2413">
        <f t="shared" si="5"/>
        <v>0</v>
      </c>
      <c r="U11" s="2414"/>
      <c r="V11" s="3461"/>
      <c r="W11" s="3460"/>
      <c r="X11" s="2411"/>
      <c r="Y11" s="2416"/>
      <c r="Z11" s="2429"/>
      <c r="AA11" s="2311"/>
      <c r="AB11" s="2311"/>
      <c r="AC11" s="2411"/>
      <c r="AD11" s="2418"/>
      <c r="AE11" s="2331">
        <f t="shared" ca="1" si="6"/>
        <v>0</v>
      </c>
      <c r="AF11" s="2419"/>
      <c r="AG11" s="2420">
        <f t="shared" si="7"/>
        <v>0</v>
      </c>
      <c r="AH11" s="2421"/>
      <c r="AI11" s="2422">
        <v>365</v>
      </c>
      <c r="AJ11" s="2419"/>
      <c r="AK11" s="3462"/>
      <c r="AL11" s="3462"/>
      <c r="AM11" s="3462"/>
      <c r="AN11" s="2424"/>
      <c r="AO11" s="2302" t="e">
        <f t="shared" ca="1" si="8"/>
        <v>#REF!</v>
      </c>
      <c r="AP11" s="2425">
        <f t="shared" si="9"/>
        <v>0</v>
      </c>
      <c r="AQ11" s="2302">
        <f t="shared" si="10"/>
        <v>0</v>
      </c>
      <c r="AR11" s="2302">
        <f t="shared" si="11"/>
        <v>0</v>
      </c>
      <c r="AS11" s="2374"/>
      <c r="AT11" s="2374"/>
      <c r="AU11" s="2374"/>
      <c r="AV11" s="2374"/>
      <c r="AW11" s="2374"/>
      <c r="AX11" s="2374"/>
      <c r="AY11" s="2374"/>
      <c r="AZ11" s="2374"/>
      <c r="BA11" s="2374"/>
      <c r="BB11" s="2374"/>
      <c r="BC11" s="2374"/>
      <c r="BD11" s="2374"/>
      <c r="BE11" s="2374"/>
      <c r="BF11" s="2374"/>
      <c r="BG11" s="2374"/>
      <c r="BH11" s="2374"/>
      <c r="BI11" s="2374"/>
      <c r="BJ11" s="2374"/>
      <c r="BK11" s="2374"/>
      <c r="BL11" s="2374"/>
      <c r="BM11" s="2374"/>
      <c r="BN11" s="2374"/>
      <c r="BO11" s="2374"/>
    </row>
    <row r="12" spans="1:67" s="2150" customFormat="1" ht="14.25">
      <c r="A12" s="2403" t="str">
        <f>'数据-汇总表'!C25</f>
        <v>—2层</v>
      </c>
      <c r="B12" s="2404" t="str">
        <f t="shared" si="1"/>
        <v>经营性</v>
      </c>
      <c r="C12" s="2405" t="s">
        <v>1378</v>
      </c>
      <c r="D12" s="2406">
        <f>SUMIF(项目基本情况!D$12:I$12,C12,项目基本情况!D$14:I$14)</f>
        <v>40</v>
      </c>
      <c r="E12" s="3572">
        <f>IF(B12="","",SUMIF(项目基本情况!D$12:I$12,C12,项目基本情况!D$13:I$13))</f>
        <v>56019</v>
      </c>
      <c r="F12" s="2408">
        <f>SUMIF(项目基本情况!D$12:I$12,C12,项目基本情况!D$15:I$15)</f>
        <v>35.47</v>
      </c>
      <c r="G12" s="2408">
        <f>IF(ISERROR(ROUND(POWER(1+H12,D12-F12)*(POWER(1+H12,F12)-1)/(POWER(1+H12,D12)-1),3)),0,ROUND(POWER(1+H12,D12-F12)*(POWER(1+H12,F12)-1)/(POWER(1+H12,D12)-1),3))</f>
        <v>0</v>
      </c>
      <c r="H12" s="3411"/>
      <c r="I12" s="3411"/>
      <c r="J12" s="3412"/>
      <c r="K12" s="2406">
        <f>SUMIF('数据-汇总表'!C$19:C$33,A12,'数据-汇总表'!E$19:E$33)</f>
        <v>6813.5700000000006</v>
      </c>
      <c r="L12" s="2409"/>
      <c r="M12" s="2410">
        <f>ROUND(K12*L12/10000,0)</f>
        <v>0</v>
      </c>
      <c r="N12" s="2409"/>
      <c r="O12" s="2410" t="str">
        <f t="shared" si="3"/>
        <v>——</v>
      </c>
      <c r="P12" s="2411" t="str">
        <f t="shared" si="4"/>
        <v>——</v>
      </c>
      <c r="Q12" s="3543"/>
      <c r="R12" s="2412">
        <f ca="1">SUMIF('数据-汇总表'!C$19:C$33,A12,'数据-汇总表'!R$19:R$27)</f>
        <v>2019.91</v>
      </c>
      <c r="S12" s="2302">
        <f>IF('数据-汇总表'!$I$17="按面积比例",SUMIF('数据-汇总表'!C$19:C$33,A12,'数据-汇总表'!K$19:K$33),SUMIF('数据-汇总表'!C$19:C$33,A12,'数据-汇总表'!N$19:N$33))</f>
        <v>0</v>
      </c>
      <c r="T12" s="2413">
        <f t="shared" si="5"/>
        <v>0</v>
      </c>
      <c r="U12" s="2414"/>
      <c r="V12" s="3461"/>
      <c r="W12" s="3460"/>
      <c r="X12" s="2411"/>
      <c r="Y12" s="2416"/>
      <c r="Z12" s="2429"/>
      <c r="AA12" s="2311"/>
      <c r="AB12" s="2311"/>
      <c r="AC12" s="2411"/>
      <c r="AD12" s="2418"/>
      <c r="AE12" s="2331">
        <f t="shared" ca="1" si="6"/>
        <v>0</v>
      </c>
      <c r="AF12" s="2419"/>
      <c r="AG12" s="2420">
        <f t="shared" si="7"/>
        <v>0</v>
      </c>
      <c r="AH12" s="2421"/>
      <c r="AI12" s="2422">
        <v>365</v>
      </c>
      <c r="AJ12" s="2419"/>
      <c r="AK12" s="3462"/>
      <c r="AL12" s="3462"/>
      <c r="AM12" s="3462"/>
      <c r="AN12" s="2424"/>
      <c r="AO12" s="2302" t="e">
        <f t="shared" ca="1" si="8"/>
        <v>#REF!</v>
      </c>
      <c r="AP12" s="2425">
        <f t="shared" si="9"/>
        <v>0</v>
      </c>
      <c r="AQ12" s="2302">
        <f t="shared" si="10"/>
        <v>0</v>
      </c>
      <c r="AR12" s="2302">
        <f t="shared" si="11"/>
        <v>0</v>
      </c>
      <c r="AS12" s="2374"/>
      <c r="AT12" s="2374"/>
      <c r="AU12" s="2374"/>
      <c r="AV12" s="2374"/>
      <c r="AW12" s="2374"/>
      <c r="AX12" s="2374"/>
      <c r="AY12" s="2374"/>
      <c r="AZ12" s="2374"/>
      <c r="BA12" s="2374"/>
      <c r="BB12" s="2374"/>
      <c r="BC12" s="2374"/>
      <c r="BD12" s="2374"/>
      <c r="BE12" s="2374"/>
      <c r="BF12" s="2374"/>
      <c r="BG12" s="2374"/>
      <c r="BH12" s="2374"/>
      <c r="BI12" s="2374"/>
      <c r="BJ12" s="2374"/>
      <c r="BK12" s="2374"/>
      <c r="BL12" s="2374"/>
      <c r="BM12" s="2374"/>
      <c r="BN12" s="2374"/>
      <c r="BO12" s="2374"/>
    </row>
    <row r="13" spans="1:67" s="2150" customFormat="1" ht="14.25">
      <c r="A13" s="2403">
        <f>'数据-汇总表'!C26</f>
        <v>0</v>
      </c>
      <c r="B13" s="2404" t="str">
        <f t="shared" si="1"/>
        <v/>
      </c>
      <c r="C13" s="2405"/>
      <c r="D13" s="2406">
        <f>SUMIF(项目基本情况!D$12:I$12,C13,项目基本情况!D$14:I$14)</f>
        <v>0</v>
      </c>
      <c r="E13" s="2407" t="str">
        <f>IF(B13="","",SUMIF(项目基本情况!D$12:I$12,C13,项目基本情况!D$13:I$13))</f>
        <v/>
      </c>
      <c r="F13" s="2408">
        <f>SUMIF(项目基本情况!D$12:I$12,C13,项目基本情况!D$15:I$15)</f>
        <v>0</v>
      </c>
      <c r="G13" s="2408">
        <f>IF(ISERROR(ROUND(POWER(1+H13,D13-F13)*(POWER(1+H13,F13)-1)/(POWER(1+H13,D13)-1),3)),0,ROUND(POWER(1+H13,D13-F13)*(POWER(1+H13,F13)-1)/(POWER(1+H13,D13)-1),3))</f>
        <v>0</v>
      </c>
      <c r="H13" s="2311"/>
      <c r="I13" s="2311"/>
      <c r="J13" s="2311"/>
      <c r="K13" s="2406">
        <f>SUMIF('数据-汇总表'!C$19:C$33,A13,'数据-汇总表'!E$19:E$33)</f>
        <v>0</v>
      </c>
      <c r="L13" s="2430"/>
      <c r="M13" s="2410">
        <f>ROUND(K13*L13/10000,0)</f>
        <v>0</v>
      </c>
      <c r="N13" s="2430"/>
      <c r="O13" s="2410" t="str">
        <f t="shared" si="3"/>
        <v>——</v>
      </c>
      <c r="P13" s="2411" t="str">
        <f t="shared" si="4"/>
        <v>——</v>
      </c>
      <c r="Q13" s="2428"/>
      <c r="R13" s="2412">
        <f ca="1">SUMIF('数据-汇总表'!C$19:C$33,A13,'数据-汇总表'!R$19:R$27)</f>
        <v>0</v>
      </c>
      <c r="S13" s="2302">
        <f>IF('数据-汇总表'!$I$17="按面积比例",SUMIF('数据-汇总表'!C$19:C$33,A13,'数据-汇总表'!K$19:K$33),SUMIF('数据-汇总表'!C$19:C$33,A13,'数据-汇总表'!N$19:N$33))</f>
        <v>0</v>
      </c>
      <c r="T13" s="2413">
        <f t="shared" si="5"/>
        <v>0</v>
      </c>
      <c r="U13" s="2414"/>
      <c r="V13" s="2415"/>
      <c r="W13" s="2415"/>
      <c r="X13" s="2411"/>
      <c r="Y13" s="2416"/>
      <c r="Z13" s="2417"/>
      <c r="AA13" s="2311"/>
      <c r="AB13" s="2311"/>
      <c r="AC13" s="2411"/>
      <c r="AD13" s="2418"/>
      <c r="AE13" s="2331">
        <f t="shared" ca="1" si="6"/>
        <v>0</v>
      </c>
      <c r="AF13" s="2419"/>
      <c r="AG13" s="2420">
        <f t="shared" si="7"/>
        <v>0</v>
      </c>
      <c r="AH13" s="2421"/>
      <c r="AI13" s="2422"/>
      <c r="AJ13" s="2419"/>
      <c r="AK13" s="2419"/>
      <c r="AL13" s="2419"/>
      <c r="AM13" s="2423"/>
      <c r="AN13" s="2424"/>
      <c r="AO13" s="2302" t="e">
        <f t="shared" ca="1" si="8"/>
        <v>#REF!</v>
      </c>
      <c r="AP13" s="2425">
        <f t="shared" si="9"/>
        <v>0</v>
      </c>
      <c r="AQ13" s="2302">
        <f t="shared" si="10"/>
        <v>0</v>
      </c>
      <c r="AR13" s="2302">
        <f t="shared" si="11"/>
        <v>0</v>
      </c>
      <c r="AS13" s="2374"/>
      <c r="AT13" s="2374"/>
      <c r="AU13" s="2374"/>
      <c r="AV13" s="2374"/>
      <c r="AW13" s="2374"/>
      <c r="AX13" s="2374"/>
      <c r="AY13" s="2374"/>
      <c r="AZ13" s="2374"/>
      <c r="BA13" s="2374"/>
      <c r="BB13" s="2374"/>
      <c r="BC13" s="2374"/>
      <c r="BD13" s="2374"/>
      <c r="BE13" s="2374"/>
      <c r="BF13" s="2374"/>
      <c r="BG13" s="2374"/>
      <c r="BH13" s="2374"/>
      <c r="BI13" s="2374"/>
      <c r="BJ13" s="2374"/>
      <c r="BK13" s="2374"/>
      <c r="BL13" s="2374"/>
      <c r="BM13" s="2374"/>
      <c r="BN13" s="2374"/>
      <c r="BO13" s="2374"/>
    </row>
    <row r="14" spans="1:67" s="2150" customFormat="1" ht="14.25">
      <c r="A14" s="2431" t="s">
        <v>2015</v>
      </c>
      <c r="B14" s="2404" t="s">
        <v>2016</v>
      </c>
      <c r="C14" s="2432" t="s">
        <v>2015</v>
      </c>
      <c r="D14" s="2406"/>
      <c r="E14" s="2407"/>
      <c r="F14" s="2408"/>
      <c r="G14" s="2408"/>
      <c r="H14" s="2433"/>
      <c r="I14" s="2433"/>
      <c r="J14" s="2433"/>
      <c r="K14" s="2406">
        <f>SUMIF('数据-汇总表'!C$19:C$33,A14,'数据-汇总表'!E$19:E$33)</f>
        <v>0</v>
      </c>
      <c r="L14" s="2430"/>
      <c r="M14" s="2410">
        <f t="shared" si="0"/>
        <v>0</v>
      </c>
      <c r="N14" s="2430"/>
      <c r="O14" s="2410" t="str">
        <f t="shared" si="3"/>
        <v>——</v>
      </c>
      <c r="P14" s="2411" t="str">
        <f t="shared" si="4"/>
        <v>——</v>
      </c>
      <c r="Q14" s="2411"/>
      <c r="R14" s="2412"/>
      <c r="S14" s="2302"/>
      <c r="T14" s="2413"/>
      <c r="U14" s="2338"/>
      <c r="V14" s="41"/>
      <c r="W14" s="41"/>
      <c r="X14" s="2434"/>
      <c r="Y14" s="39"/>
      <c r="Z14" s="2356"/>
      <c r="AA14" s="2302"/>
      <c r="AB14" s="2302"/>
      <c r="AC14" s="2411"/>
      <c r="AD14" s="2434"/>
      <c r="AE14" s="2331"/>
      <c r="AF14" s="2302"/>
      <c r="AG14" s="2420"/>
      <c r="AH14" s="2331"/>
      <c r="AI14" s="2435"/>
      <c r="AJ14" s="2302"/>
      <c r="AK14" s="2302"/>
      <c r="AL14" s="2302"/>
      <c r="AM14" s="2332"/>
      <c r="AN14" s="2370"/>
      <c r="AO14" s="2374"/>
      <c r="AP14" s="2374"/>
      <c r="AQ14" s="2374"/>
      <c r="AR14" s="2374"/>
      <c r="AS14" s="2374"/>
      <c r="AT14" s="2374"/>
      <c r="AU14" s="2374"/>
      <c r="AV14" s="2374"/>
      <c r="AW14" s="2374"/>
      <c r="AX14" s="2374"/>
      <c r="AY14" s="2374"/>
      <c r="AZ14" s="2374"/>
      <c r="BA14" s="2374"/>
      <c r="BB14" s="2374"/>
      <c r="BC14" s="2374"/>
      <c r="BD14" s="2374"/>
      <c r="BE14" s="2374"/>
      <c r="BF14" s="2374"/>
      <c r="BG14" s="2374"/>
      <c r="BH14" s="2374"/>
      <c r="BI14" s="2374"/>
      <c r="BJ14" s="2374"/>
      <c r="BK14" s="2374"/>
      <c r="BL14" s="2374"/>
      <c r="BM14" s="2374"/>
      <c r="BN14" s="2374"/>
      <c r="BO14" s="2374"/>
    </row>
    <row r="15" spans="1:67" s="2150" customFormat="1" ht="27">
      <c r="A15" s="2431" t="s">
        <v>2017</v>
      </c>
      <c r="B15" s="2404" t="s">
        <v>2016</v>
      </c>
      <c r="C15" s="2432" t="s">
        <v>2018</v>
      </c>
      <c r="D15" s="2406"/>
      <c r="E15" s="2407"/>
      <c r="F15" s="2408"/>
      <c r="G15" s="2408"/>
      <c r="H15" s="2433"/>
      <c r="I15" s="2433"/>
      <c r="J15" s="2433"/>
      <c r="K15" s="2406">
        <f>SUMIF('数据-汇总表'!C$19:C$33,A15,'数据-汇总表'!E$19:E$33)</f>
        <v>0</v>
      </c>
      <c r="L15" s="2410"/>
      <c r="M15" s="2410"/>
      <c r="N15" s="2410"/>
      <c r="O15" s="2410"/>
      <c r="P15" s="2411"/>
      <c r="Q15" s="2411"/>
      <c r="R15" s="2412"/>
      <c r="S15" s="2302"/>
      <c r="T15" s="2413"/>
      <c r="U15" s="2338"/>
      <c r="V15" s="41"/>
      <c r="W15" s="41"/>
      <c r="X15" s="2434"/>
      <c r="Y15" s="39"/>
      <c r="Z15" s="2356"/>
      <c r="AA15" s="2302"/>
      <c r="AB15" s="2302"/>
      <c r="AC15" s="2411"/>
      <c r="AD15" s="2434"/>
      <c r="AE15" s="2331"/>
      <c r="AF15" s="2302"/>
      <c r="AG15" s="2420"/>
      <c r="AH15" s="2331"/>
      <c r="AI15" s="2435"/>
      <c r="AJ15" s="2302"/>
      <c r="AK15" s="2302"/>
      <c r="AL15" s="2302"/>
      <c r="AM15" s="2332"/>
      <c r="AN15" s="2370"/>
      <c r="AO15" s="2374"/>
      <c r="AP15" s="2374"/>
      <c r="AQ15" s="2374"/>
      <c r="AR15" s="2374"/>
      <c r="AS15" s="2374"/>
      <c r="AT15" s="2374"/>
      <c r="AU15" s="2374"/>
      <c r="AV15" s="2374"/>
      <c r="AW15" s="2374"/>
      <c r="AX15" s="2374"/>
      <c r="AY15" s="2374"/>
      <c r="AZ15" s="2374"/>
      <c r="BA15" s="2374"/>
      <c r="BB15" s="2374"/>
      <c r="BC15" s="2374"/>
      <c r="BD15" s="2374"/>
      <c r="BE15" s="2374"/>
      <c r="BF15" s="2374"/>
      <c r="BG15" s="2374"/>
      <c r="BH15" s="2374"/>
      <c r="BI15" s="2374"/>
      <c r="BJ15" s="2374"/>
      <c r="BK15" s="2374"/>
      <c r="BL15" s="2374"/>
      <c r="BM15" s="2374"/>
      <c r="BN15" s="2374"/>
      <c r="BO15" s="2374"/>
    </row>
    <row r="16" spans="1:67" s="2150" customFormat="1" ht="15.75" thickBot="1">
      <c r="A16" s="2436" t="s">
        <v>2019</v>
      </c>
      <c r="B16" s="2437"/>
      <c r="C16" s="2438"/>
      <c r="D16" s="2439"/>
      <c r="E16" s="2437"/>
      <c r="F16" s="2437"/>
      <c r="G16" s="2440">
        <f>ROUND(SUMPRODUCT(G6:G13,K6:K13)/SUMPRODUCT((G6:G13&gt;0)*(K6:K13)),3)</f>
        <v>0.95399999999999996</v>
      </c>
      <c r="H16" s="2437">
        <f>ROUND(SUMPRODUCT(H6:H13,K6:K13)/SUMPRODUCT((H6:H13&gt;0)*(K6:K13)),3)</f>
        <v>4.4999999999999998E-2</v>
      </c>
      <c r="I16" s="2441"/>
      <c r="J16" s="2441"/>
      <c r="K16" s="46">
        <f>SUM(K6:K15)</f>
        <v>44516.22</v>
      </c>
      <c r="L16" s="2442">
        <f>ROUND(M16*10000/SUM(K6:K14),0)</f>
        <v>898</v>
      </c>
      <c r="M16" s="2442">
        <f>SUM(M6:M14)</f>
        <v>3996</v>
      </c>
      <c r="N16" s="2442">
        <f>ROUND(SUMPRODUCT(M6:M14,N6:N14)/M16,3)</f>
        <v>0.98</v>
      </c>
      <c r="O16" s="2442">
        <f>SUM(O6:O14)</f>
        <v>0</v>
      </c>
      <c r="P16" s="2442">
        <f>SUM(P6:P14)</f>
        <v>0</v>
      </c>
      <c r="Q16" s="2443">
        <f>ROUND(SUMPRODUCT(Q6:Q13,K6:K13)/SUMPRODUCT((Q6:Q13&gt;0)*(K6:K13)),2)</f>
        <v>0.2</v>
      </c>
      <c r="R16" s="2444">
        <f ca="1">SUM(R6:R13)</f>
        <v>13197.010000000002</v>
      </c>
      <c r="S16" s="2445">
        <f>SUM(S6:S13)</f>
        <v>0</v>
      </c>
      <c r="T16" s="2446">
        <f>IF(SUMIF(T6:T13,"&lt;9E307")=M14,SUMIF(T6:T13,"&lt;9E307"),"有误，请检查")</f>
        <v>0</v>
      </c>
      <c r="U16" s="2447"/>
      <c r="V16" s="2448"/>
      <c r="W16" s="2448"/>
      <c r="X16" s="2449"/>
      <c r="Y16" s="2450"/>
      <c r="Z16" s="2451"/>
      <c r="AA16" s="2448"/>
      <c r="AB16" s="2448"/>
      <c r="AC16" s="2449"/>
      <c r="AD16" s="2449"/>
      <c r="AE16" s="2447"/>
      <c r="AF16" s="2448"/>
      <c r="AG16" s="2450"/>
      <c r="AH16" s="2447"/>
      <c r="AI16" s="2451"/>
      <c r="AJ16" s="2451"/>
      <c r="AK16" s="2448"/>
      <c r="AL16" s="2448"/>
      <c r="AM16" s="2450"/>
      <c r="AN16" s="2370"/>
      <c r="AO16" s="2374"/>
      <c r="AP16" s="2374"/>
      <c r="AQ16" s="2374"/>
      <c r="AR16" s="2374"/>
      <c r="AS16" s="2374"/>
      <c r="AT16" s="2374"/>
      <c r="AU16" s="2374"/>
      <c r="AV16" s="2374"/>
      <c r="AW16" s="2374"/>
      <c r="AX16" s="2374"/>
      <c r="AY16" s="2374"/>
      <c r="AZ16" s="2374"/>
      <c r="BA16" s="2374"/>
      <c r="BB16" s="2374"/>
      <c r="BC16" s="2374"/>
      <c r="BD16" s="2374"/>
      <c r="BE16" s="2374"/>
      <c r="BF16" s="2374"/>
      <c r="BG16" s="2374"/>
      <c r="BH16" s="2374"/>
      <c r="BI16" s="2374"/>
      <c r="BJ16" s="2374"/>
      <c r="BK16" s="2374"/>
      <c r="BL16" s="2374"/>
      <c r="BM16" s="2374"/>
      <c r="BN16" s="2374"/>
      <c r="BO16" s="2374"/>
    </row>
    <row r="17" spans="1:67" ht="13.5" thickBot="1">
      <c r="A17" s="2452"/>
      <c r="B17" s="2367"/>
      <c r="C17" s="2368"/>
      <c r="D17" s="2368"/>
      <c r="E17" s="2368"/>
      <c r="F17" s="2368"/>
      <c r="G17" s="2368"/>
      <c r="H17" s="2368"/>
      <c r="I17" s="2368"/>
      <c r="J17" s="2368"/>
      <c r="K17" s="2369"/>
      <c r="L17" s="2369"/>
      <c r="M17" s="2368"/>
      <c r="N17" s="2368"/>
      <c r="O17" s="2368"/>
      <c r="P17" s="2368"/>
      <c r="Q17" s="2368"/>
      <c r="R17" s="2368"/>
      <c r="S17" s="2368"/>
      <c r="T17" s="2368"/>
      <c r="U17" s="2368"/>
      <c r="V17" s="2368"/>
      <c r="W17" s="2368"/>
      <c r="X17" s="2368"/>
      <c r="Y17" s="2368"/>
      <c r="Z17" s="2368"/>
      <c r="AA17" s="2368"/>
      <c r="AB17" s="2368"/>
      <c r="AC17" s="2368"/>
      <c r="AD17" s="2368"/>
      <c r="AE17" s="2368"/>
      <c r="AF17" s="2368"/>
      <c r="AG17" s="2368"/>
      <c r="AH17" s="2368"/>
      <c r="AI17" s="2368"/>
      <c r="AJ17" s="2368"/>
      <c r="AK17" s="2368"/>
      <c r="AL17" s="2368"/>
      <c r="AM17" s="2368"/>
    </row>
    <row r="18" spans="1:67" ht="15" thickBot="1">
      <c r="A18" s="2376" t="s">
        <v>2020</v>
      </c>
      <c r="B18" s="2375"/>
      <c r="C18" s="2373"/>
      <c r="D18" s="2373"/>
      <c r="E18" s="2373"/>
      <c r="F18" s="2373"/>
      <c r="G18" s="2373"/>
      <c r="H18" s="2373"/>
      <c r="I18" s="2373"/>
      <c r="J18" s="2373"/>
      <c r="K18" s="2369"/>
      <c r="L18" s="2369"/>
      <c r="M18" s="2368"/>
      <c r="N18" s="2368"/>
      <c r="O18" s="2368"/>
      <c r="P18" s="2368"/>
      <c r="Q18" s="2368"/>
      <c r="R18" s="2368"/>
      <c r="S18" s="2368"/>
      <c r="T18" s="2368"/>
      <c r="U18" s="2368"/>
      <c r="V18" s="2368"/>
      <c r="W18" s="2368"/>
      <c r="X18" s="2368"/>
      <c r="Y18" s="2368"/>
      <c r="Z18" s="2368"/>
      <c r="AA18" s="2368"/>
      <c r="AB18" s="2368"/>
      <c r="AC18" s="2368"/>
      <c r="AD18" s="2368"/>
      <c r="AE18" s="2368"/>
      <c r="AF18" s="2368"/>
      <c r="AG18" s="2368"/>
      <c r="AH18" s="2368"/>
      <c r="AI18" s="2368"/>
      <c r="AJ18" s="2368"/>
      <c r="AK18" s="2368"/>
      <c r="AL18" s="2368"/>
      <c r="AM18" s="2368"/>
    </row>
    <row r="19" spans="1:67" ht="14.25">
      <c r="A19" s="1694" t="s">
        <v>2021</v>
      </c>
      <c r="B19" s="47">
        <v>0</v>
      </c>
      <c r="C19" s="2373" t="s">
        <v>2022</v>
      </c>
      <c r="D19" s="2373"/>
      <c r="E19" s="2373"/>
      <c r="F19" s="2373"/>
      <c r="G19" s="2373"/>
      <c r="H19" s="2373"/>
      <c r="I19" s="2373"/>
      <c r="J19" s="2373"/>
      <c r="K19" s="2369"/>
      <c r="L19" s="2369"/>
      <c r="M19" s="2368"/>
      <c r="N19" s="2368"/>
      <c r="O19" s="2368"/>
      <c r="P19" s="2368"/>
      <c r="Q19" s="2368"/>
      <c r="R19" s="2368"/>
      <c r="S19" s="2368"/>
      <c r="T19" s="2368"/>
      <c r="U19" s="2368"/>
      <c r="V19" s="2368"/>
      <c r="W19" s="2368"/>
      <c r="X19" s="2368"/>
      <c r="Y19" s="2368"/>
      <c r="Z19" s="2368"/>
      <c r="AA19" s="2368"/>
      <c r="AB19" s="2368"/>
      <c r="AC19" s="2368"/>
      <c r="AD19" s="2368"/>
      <c r="AE19" s="2368"/>
      <c r="AF19" s="2368"/>
      <c r="AG19" s="2368"/>
      <c r="AH19" s="2368"/>
      <c r="AI19" s="2368"/>
      <c r="AJ19" s="2368"/>
      <c r="AK19" s="2368"/>
      <c r="AL19" s="2368"/>
      <c r="AM19" s="2368"/>
    </row>
    <row r="20" spans="1:67" ht="14.25">
      <c r="A20" s="1695" t="s">
        <v>2023</v>
      </c>
      <c r="B20" s="48">
        <v>2</v>
      </c>
      <c r="C20" s="2373" t="s">
        <v>2024</v>
      </c>
      <c r="D20" s="2373"/>
      <c r="E20" s="2373"/>
      <c r="F20" s="2373"/>
      <c r="G20" s="2373"/>
      <c r="H20" s="2373"/>
      <c r="I20" s="2373"/>
      <c r="J20" s="2373"/>
      <c r="K20" s="2369"/>
      <c r="L20" s="2369"/>
      <c r="M20" s="2368"/>
      <c r="N20" s="2368"/>
      <c r="O20" s="2368"/>
      <c r="P20" s="2368"/>
      <c r="Q20" s="2368"/>
      <c r="R20" s="2368"/>
      <c r="S20" s="2368"/>
      <c r="T20" s="2368"/>
      <c r="U20" s="2368"/>
      <c r="V20" s="2368"/>
      <c r="W20" s="2368"/>
      <c r="X20" s="2368"/>
      <c r="Y20" s="2368"/>
      <c r="Z20" s="2368"/>
      <c r="AA20" s="2368"/>
      <c r="AB20" s="2368"/>
      <c r="AC20" s="2368"/>
      <c r="AD20" s="2368"/>
      <c r="AE20" s="2368"/>
      <c r="AF20" s="2368"/>
      <c r="AG20" s="2368"/>
      <c r="AH20" s="2368"/>
      <c r="AI20" s="2368"/>
      <c r="AJ20" s="2368"/>
      <c r="AK20" s="2368"/>
      <c r="AL20" s="2368"/>
      <c r="AM20" s="2368"/>
    </row>
    <row r="21" spans="1:67" ht="14.25">
      <c r="A21" s="1696" t="s">
        <v>2025</v>
      </c>
      <c r="B21" s="48">
        <v>2</v>
      </c>
      <c r="C21" s="2373"/>
      <c r="D21" s="2373"/>
      <c r="E21" s="2373"/>
      <c r="F21" s="2373"/>
      <c r="G21" s="2373"/>
      <c r="H21" s="2373"/>
      <c r="I21" s="2373"/>
      <c r="J21" s="2373"/>
      <c r="K21" s="2369"/>
      <c r="L21" s="2369"/>
      <c r="M21" s="2368"/>
      <c r="N21" s="2368"/>
      <c r="O21" s="2368"/>
      <c r="P21" s="2368"/>
      <c r="Q21" s="2368"/>
      <c r="R21" s="2368"/>
      <c r="S21" s="2368"/>
      <c r="T21" s="2368"/>
      <c r="U21" s="2368"/>
      <c r="V21" s="2368"/>
      <c r="W21" s="2368"/>
      <c r="X21" s="2368"/>
      <c r="Y21" s="2368"/>
      <c r="Z21" s="2368"/>
      <c r="AA21" s="2368"/>
      <c r="AB21" s="2368"/>
      <c r="AC21" s="2368"/>
      <c r="AD21" s="2368"/>
      <c r="AE21" s="2368"/>
      <c r="AF21" s="2368"/>
      <c r="AG21" s="2368"/>
      <c r="AH21" s="2368"/>
      <c r="AI21" s="2368"/>
      <c r="AJ21" s="2368"/>
      <c r="AK21" s="2368"/>
      <c r="AL21" s="2368"/>
      <c r="AM21" s="2368"/>
    </row>
    <row r="22" spans="1:67" ht="14.25">
      <c r="A22" s="1695" t="s">
        <v>2026</v>
      </c>
      <c r="B22" s="49">
        <f>B19+B20</f>
        <v>2</v>
      </c>
      <c r="C22" s="2373"/>
      <c r="D22" s="2373"/>
      <c r="E22" s="2373"/>
      <c r="F22" s="2373"/>
      <c r="G22" s="2373"/>
      <c r="H22" s="2373"/>
      <c r="I22" s="2373"/>
      <c r="J22" s="2373"/>
      <c r="K22" s="2369"/>
      <c r="L22" s="2369"/>
      <c r="M22" s="2368"/>
      <c r="N22" s="2368"/>
      <c r="O22" s="2368"/>
      <c r="P22" s="2368"/>
      <c r="Q22" s="2368"/>
      <c r="R22" s="2368"/>
      <c r="S22" s="2368"/>
      <c r="T22" s="2368"/>
      <c r="U22" s="2368"/>
      <c r="V22" s="2368"/>
      <c r="W22" s="2368"/>
      <c r="X22" s="2368"/>
      <c r="Y22" s="2368"/>
      <c r="Z22" s="2368"/>
      <c r="AA22" s="2368"/>
      <c r="AB22" s="2368"/>
      <c r="AC22" s="2368"/>
      <c r="AD22" s="2368"/>
      <c r="AE22" s="2368"/>
      <c r="AF22" s="2368"/>
      <c r="AG22" s="2368"/>
      <c r="AH22" s="2368"/>
      <c r="AI22" s="2368"/>
      <c r="AJ22" s="2368"/>
      <c r="AK22" s="2368"/>
      <c r="AL22" s="2368"/>
      <c r="AM22" s="2368"/>
    </row>
    <row r="23" spans="1:67" ht="14.25">
      <c r="A23" s="1696" t="s">
        <v>2027</v>
      </c>
      <c r="B23" s="49">
        <f>B19+B21</f>
        <v>2</v>
      </c>
      <c r="C23" s="2373"/>
      <c r="D23" s="2373"/>
      <c r="E23" s="2373"/>
      <c r="F23" s="2373"/>
      <c r="G23" s="2373"/>
      <c r="H23" s="2373"/>
      <c r="I23" s="2373"/>
      <c r="J23" s="2373"/>
      <c r="K23" s="2369"/>
      <c r="L23" s="2369"/>
      <c r="M23" s="2368"/>
      <c r="N23" s="2368"/>
      <c r="O23" s="2368"/>
      <c r="P23" s="2368"/>
      <c r="Q23" s="2368"/>
      <c r="R23" s="2368"/>
      <c r="S23" s="2368"/>
      <c r="T23" s="2368"/>
      <c r="U23" s="2368"/>
      <c r="V23" s="2368"/>
      <c r="W23" s="2368"/>
      <c r="X23" s="2368"/>
      <c r="Y23" s="2368"/>
      <c r="Z23" s="2368"/>
      <c r="AA23" s="2368"/>
      <c r="AB23" s="2368"/>
      <c r="AC23" s="2368"/>
      <c r="AD23" s="2368"/>
      <c r="AE23" s="2368"/>
      <c r="AF23" s="2368"/>
      <c r="AG23" s="2368"/>
      <c r="AH23" s="2368"/>
      <c r="AI23" s="2368"/>
      <c r="AJ23" s="2368"/>
      <c r="AK23" s="2368"/>
      <c r="AL23" s="2368"/>
      <c r="AM23" s="2368"/>
    </row>
    <row r="24" spans="1:67" ht="15" thickBot="1">
      <c r="A24" s="1697" t="s">
        <v>2028</v>
      </c>
      <c r="B24" s="50">
        <f>B20-B21</f>
        <v>0</v>
      </c>
      <c r="C24" s="2373"/>
      <c r="D24" s="2373"/>
      <c r="E24" s="2373"/>
      <c r="F24" s="2373"/>
      <c r="G24" s="2373"/>
      <c r="H24" s="2373"/>
      <c r="I24" s="2373"/>
      <c r="J24" s="2373"/>
      <c r="K24" s="2369"/>
      <c r="L24" s="2369"/>
      <c r="M24" s="2368"/>
      <c r="N24" s="2368"/>
      <c r="O24" s="2368"/>
      <c r="P24" s="2368"/>
      <c r="Q24" s="2368"/>
      <c r="R24" s="2368"/>
      <c r="S24" s="2368"/>
      <c r="T24" s="2368"/>
      <c r="U24" s="2368"/>
      <c r="V24" s="2368"/>
      <c r="W24" s="2368"/>
      <c r="X24" s="2368"/>
      <c r="Y24" s="2368"/>
      <c r="Z24" s="2368"/>
      <c r="AA24" s="2368"/>
      <c r="AB24" s="2368"/>
      <c r="AC24" s="2368"/>
      <c r="AD24" s="2368"/>
      <c r="AE24" s="2368"/>
      <c r="AF24" s="2368"/>
      <c r="AG24" s="2368"/>
      <c r="AH24" s="2368"/>
      <c r="AI24" s="2368"/>
      <c r="AJ24" s="2368"/>
      <c r="AK24" s="2368"/>
      <c r="AL24" s="2368"/>
      <c r="AM24" s="2368"/>
    </row>
    <row r="25" spans="1:67" ht="15" thickBot="1">
      <c r="A25" s="2149"/>
      <c r="B25" s="2375"/>
      <c r="C25" s="2373"/>
      <c r="D25" s="2373"/>
      <c r="E25" s="2373"/>
      <c r="F25" s="2373"/>
      <c r="G25" s="2373"/>
      <c r="H25" s="2373"/>
      <c r="I25" s="2373"/>
      <c r="J25" s="2373"/>
      <c r="K25" s="2369"/>
      <c r="L25" s="2369"/>
      <c r="M25" s="2368"/>
      <c r="N25" s="2368"/>
      <c r="O25" s="2368"/>
      <c r="P25" s="2368"/>
      <c r="Q25" s="2368"/>
      <c r="R25" s="2368"/>
      <c r="S25" s="2368"/>
      <c r="T25" s="2368"/>
      <c r="U25" s="2368"/>
      <c r="V25" s="2368"/>
      <c r="W25" s="2368"/>
      <c r="X25" s="2368"/>
      <c r="Y25" s="2368"/>
      <c r="Z25" s="2368"/>
      <c r="AA25" s="2368"/>
      <c r="AB25" s="2368"/>
      <c r="AC25" s="2368"/>
      <c r="AD25" s="2368"/>
      <c r="AE25" s="2368"/>
      <c r="AF25" s="2368"/>
      <c r="AG25" s="2368"/>
      <c r="AH25" s="2368"/>
      <c r="AI25" s="2368"/>
      <c r="AJ25" s="2368"/>
      <c r="AK25" s="2368"/>
      <c r="AL25" s="2368"/>
      <c r="AM25" s="2368"/>
    </row>
    <row r="26" spans="1:67" ht="15" thickBot="1">
      <c r="A26" s="2372" t="s">
        <v>2029</v>
      </c>
      <c r="B26" s="2453" t="s">
        <v>2030</v>
      </c>
      <c r="C26" s="2454" t="s">
        <v>2031</v>
      </c>
      <c r="D26" s="2373"/>
      <c r="E26" s="2373"/>
      <c r="F26" s="2373"/>
      <c r="G26" s="2373"/>
      <c r="H26" s="2373"/>
      <c r="I26" s="2373"/>
      <c r="J26" s="2373"/>
      <c r="K26" s="2369"/>
      <c r="L26" s="2369"/>
      <c r="M26" s="2368"/>
      <c r="N26" s="2368"/>
      <c r="O26" s="2368"/>
      <c r="P26" s="2368"/>
      <c r="Q26" s="2368"/>
      <c r="R26" s="2368"/>
      <c r="S26" s="2368"/>
      <c r="T26" s="2368"/>
      <c r="U26" s="2368"/>
      <c r="V26" s="2368"/>
      <c r="W26" s="2368"/>
      <c r="X26" s="2368"/>
      <c r="Y26" s="2368"/>
      <c r="Z26" s="2368"/>
      <c r="AA26" s="2368"/>
      <c r="AB26" s="2368"/>
      <c r="AC26" s="2368"/>
      <c r="AD26" s="2368"/>
      <c r="AE26" s="2368"/>
      <c r="AF26" s="2368"/>
      <c r="AG26" s="2368"/>
      <c r="AH26" s="2368"/>
      <c r="AI26" s="2368"/>
      <c r="AJ26" s="2368"/>
      <c r="AK26" s="2368"/>
      <c r="AL26" s="2368"/>
      <c r="AM26" s="2368"/>
    </row>
    <row r="27" spans="1:67" s="2459" customFormat="1" ht="27.75">
      <c r="A27" s="2455" t="s">
        <v>2032</v>
      </c>
      <c r="B27" s="2456"/>
      <c r="C27" s="2457" t="s">
        <v>2033</v>
      </c>
      <c r="D27" s="2299"/>
      <c r="E27" s="2299"/>
      <c r="F27" s="2299"/>
      <c r="G27" s="2373"/>
      <c r="H27" s="2373"/>
      <c r="I27" s="2373"/>
      <c r="J27" s="2373"/>
      <c r="K27" s="2369"/>
      <c r="L27" s="2369"/>
      <c r="M27" s="2368"/>
      <c r="N27" s="2368"/>
      <c r="O27" s="2368"/>
      <c r="P27" s="2368"/>
      <c r="Q27" s="2368"/>
      <c r="R27" s="2368"/>
      <c r="S27" s="2368"/>
      <c r="T27" s="2368"/>
      <c r="U27" s="2368"/>
      <c r="V27" s="2368"/>
      <c r="W27" s="2368"/>
      <c r="X27" s="2368"/>
      <c r="Y27" s="2368"/>
      <c r="Z27" s="2368"/>
      <c r="AA27" s="2368"/>
      <c r="AB27" s="2368"/>
      <c r="AC27" s="2368"/>
      <c r="AD27" s="2368"/>
      <c r="AE27" s="2368"/>
      <c r="AF27" s="2368"/>
      <c r="AG27" s="2368"/>
      <c r="AH27" s="2368"/>
      <c r="AI27" s="2368"/>
      <c r="AJ27" s="2368"/>
      <c r="AK27" s="2368"/>
      <c r="AL27" s="2368"/>
      <c r="AM27" s="2368"/>
      <c r="AN27" s="2458"/>
      <c r="AO27" s="2458"/>
      <c r="AP27" s="2458"/>
      <c r="AQ27" s="2458"/>
      <c r="AR27" s="2458"/>
      <c r="AS27" s="2458"/>
      <c r="AT27" s="2458"/>
      <c r="AU27" s="2458"/>
      <c r="AV27" s="2458"/>
      <c r="AW27" s="2458"/>
      <c r="AX27" s="2458"/>
      <c r="AY27" s="2458"/>
      <c r="AZ27" s="2458"/>
      <c r="BA27" s="2458"/>
      <c r="BB27" s="2458"/>
      <c r="BC27" s="2458"/>
      <c r="BD27" s="2458"/>
      <c r="BE27" s="2458"/>
      <c r="BF27" s="2458"/>
      <c r="BG27" s="2458"/>
      <c r="BH27" s="2458"/>
      <c r="BI27" s="2458"/>
      <c r="BJ27" s="2458"/>
      <c r="BK27" s="2458"/>
      <c r="BL27" s="2458"/>
      <c r="BM27" s="2458"/>
      <c r="BN27" s="2458"/>
      <c r="BO27" s="2458"/>
    </row>
    <row r="28" spans="1:67" s="2459" customFormat="1" ht="27.75">
      <c r="A28" s="2460" t="s">
        <v>2034</v>
      </c>
      <c r="B28" s="2461"/>
      <c r="C28" s="2462"/>
      <c r="D28" s="2299"/>
      <c r="E28" s="2299"/>
      <c r="F28" s="2299"/>
      <c r="G28" s="2373"/>
      <c r="H28" s="2373"/>
      <c r="I28" s="2373"/>
      <c r="J28" s="2373"/>
      <c r="K28" s="2369"/>
      <c r="L28" s="2369"/>
      <c r="M28" s="2368"/>
      <c r="N28" s="2368"/>
      <c r="O28" s="2368"/>
      <c r="P28" s="2368"/>
      <c r="Q28" s="2368"/>
      <c r="R28" s="2368"/>
      <c r="S28" s="2368"/>
      <c r="T28" s="2368"/>
      <c r="U28" s="2368"/>
      <c r="V28" s="2368"/>
      <c r="W28" s="2368"/>
      <c r="X28" s="2368"/>
      <c r="Y28" s="2368"/>
      <c r="Z28" s="2368"/>
      <c r="AA28" s="2368"/>
      <c r="AB28" s="2368"/>
      <c r="AC28" s="2368"/>
      <c r="AD28" s="2368"/>
      <c r="AE28" s="2368"/>
      <c r="AF28" s="2368"/>
      <c r="AG28" s="2368"/>
      <c r="AH28" s="2368"/>
      <c r="AI28" s="2368"/>
      <c r="AJ28" s="2368"/>
      <c r="AK28" s="2368"/>
      <c r="AL28" s="2368"/>
      <c r="AM28" s="2368"/>
      <c r="AN28" s="2458"/>
      <c r="AO28" s="2458"/>
      <c r="AP28" s="2458"/>
      <c r="AQ28" s="2458"/>
      <c r="AR28" s="2458"/>
      <c r="AS28" s="2458"/>
      <c r="AT28" s="2458"/>
      <c r="AU28" s="2458"/>
      <c r="AV28" s="2458"/>
      <c r="AW28" s="2458"/>
      <c r="AX28" s="2458"/>
      <c r="AY28" s="2458"/>
      <c r="AZ28" s="2458"/>
      <c r="BA28" s="2458"/>
      <c r="BB28" s="2458"/>
      <c r="BC28" s="2458"/>
      <c r="BD28" s="2458"/>
      <c r="BE28" s="2458"/>
      <c r="BF28" s="2458"/>
      <c r="BG28" s="2458"/>
      <c r="BH28" s="2458"/>
      <c r="BI28" s="2458"/>
      <c r="BJ28" s="2458"/>
      <c r="BK28" s="2458"/>
      <c r="BL28" s="2458"/>
      <c r="BM28" s="2458"/>
      <c r="BN28" s="2458"/>
      <c r="BO28" s="2458"/>
    </row>
    <row r="29" spans="1:67" s="2459" customFormat="1" ht="28.5" thickBot="1">
      <c r="A29" s="2463" t="s">
        <v>2035</v>
      </c>
      <c r="B29" s="2464"/>
      <c r="C29" s="2457" t="s">
        <v>2036</v>
      </c>
      <c r="D29" s="2299"/>
      <c r="E29" s="2299"/>
      <c r="F29" s="2299"/>
      <c r="G29" s="2373"/>
      <c r="H29" s="2373"/>
      <c r="I29" s="2373"/>
      <c r="J29" s="2373"/>
      <c r="K29" s="2369"/>
      <c r="L29" s="2369"/>
      <c r="M29" s="2368"/>
      <c r="N29" s="2368"/>
      <c r="O29" s="2368"/>
      <c r="P29" s="2368"/>
      <c r="Q29" s="2368"/>
      <c r="R29" s="2368"/>
      <c r="S29" s="2368"/>
      <c r="T29" s="2368"/>
      <c r="U29" s="2368"/>
      <c r="V29" s="2368"/>
      <c r="W29" s="2368"/>
      <c r="X29" s="2368"/>
      <c r="Y29" s="2368"/>
      <c r="Z29" s="2368"/>
      <c r="AA29" s="2368"/>
      <c r="AB29" s="2368"/>
      <c r="AC29" s="2368"/>
      <c r="AD29" s="2368"/>
      <c r="AE29" s="2368"/>
      <c r="AF29" s="2368"/>
      <c r="AG29" s="2368"/>
      <c r="AH29" s="2368"/>
      <c r="AI29" s="2368"/>
      <c r="AJ29" s="2368"/>
      <c r="AK29" s="2368"/>
      <c r="AL29" s="2368"/>
      <c r="AM29" s="2368"/>
      <c r="AN29" s="2458"/>
      <c r="AO29" s="2458"/>
      <c r="AP29" s="2458"/>
      <c r="AQ29" s="2458"/>
      <c r="AR29" s="2458"/>
      <c r="AS29" s="2458"/>
      <c r="AT29" s="2458"/>
      <c r="AU29" s="2458"/>
      <c r="AV29" s="2458"/>
      <c r="AW29" s="2458"/>
      <c r="AX29" s="2458"/>
      <c r="AY29" s="2458"/>
      <c r="AZ29" s="2458"/>
      <c r="BA29" s="2458"/>
      <c r="BB29" s="2458"/>
      <c r="BC29" s="2458"/>
      <c r="BD29" s="2458"/>
      <c r="BE29" s="2458"/>
      <c r="BF29" s="2458"/>
      <c r="BG29" s="2458"/>
      <c r="BH29" s="2458"/>
      <c r="BI29" s="2458"/>
      <c r="BJ29" s="2458"/>
      <c r="BK29" s="2458"/>
      <c r="BL29" s="2458"/>
      <c r="BM29" s="2458"/>
      <c r="BN29" s="2458"/>
      <c r="BO29" s="2458"/>
    </row>
    <row r="30" spans="1:67" s="2459" customFormat="1" ht="27">
      <c r="A30" s="2465" t="s">
        <v>2037</v>
      </c>
      <c r="B30" s="2466">
        <v>200</v>
      </c>
      <c r="C30" s="2462"/>
      <c r="D30" s="2299"/>
      <c r="E30" s="2299"/>
      <c r="F30" s="2299"/>
      <c r="G30" s="2373"/>
      <c r="H30" s="2373"/>
      <c r="I30" s="2373"/>
      <c r="J30" s="2373"/>
      <c r="K30" s="2369"/>
      <c r="L30" s="2369"/>
      <c r="M30" s="2368"/>
      <c r="N30" s="2368"/>
      <c r="O30" s="2368"/>
      <c r="P30" s="2368"/>
      <c r="Q30" s="2368"/>
      <c r="R30" s="2368"/>
      <c r="S30" s="2368"/>
      <c r="T30" s="2368"/>
      <c r="U30" s="2368"/>
      <c r="V30" s="2368"/>
      <c r="W30" s="2368"/>
      <c r="X30" s="2368"/>
      <c r="Y30" s="2368"/>
      <c r="Z30" s="2368"/>
      <c r="AA30" s="2368"/>
      <c r="AB30" s="2368"/>
      <c r="AC30" s="2368"/>
      <c r="AD30" s="2368"/>
      <c r="AE30" s="2368"/>
      <c r="AF30" s="2368"/>
      <c r="AG30" s="2368"/>
      <c r="AH30" s="2368"/>
      <c r="AI30" s="2368"/>
      <c r="AJ30" s="2368"/>
      <c r="AK30" s="2368"/>
      <c r="AL30" s="2368"/>
      <c r="AM30" s="2368"/>
      <c r="AN30" s="2458"/>
      <c r="AO30" s="2458"/>
      <c r="AP30" s="2458"/>
      <c r="AQ30" s="2458"/>
      <c r="AR30" s="2458"/>
      <c r="AS30" s="2458"/>
      <c r="AT30" s="2458"/>
      <c r="AU30" s="2458"/>
      <c r="AV30" s="2458"/>
      <c r="AW30" s="2458"/>
      <c r="AX30" s="2458"/>
      <c r="AY30" s="2458"/>
      <c r="AZ30" s="2458"/>
      <c r="BA30" s="2458"/>
      <c r="BB30" s="2458"/>
      <c r="BC30" s="2458"/>
      <c r="BD30" s="2458"/>
      <c r="BE30" s="2458"/>
      <c r="BF30" s="2458"/>
      <c r="BG30" s="2458"/>
      <c r="BH30" s="2458"/>
      <c r="BI30" s="2458"/>
      <c r="BJ30" s="2458"/>
      <c r="BK30" s="2458"/>
      <c r="BL30" s="2458"/>
      <c r="BM30" s="2458"/>
      <c r="BN30" s="2458"/>
      <c r="BO30" s="2458"/>
    </row>
    <row r="31" spans="1:67" s="2459" customFormat="1" ht="27">
      <c r="A31" s="2460" t="s">
        <v>2038</v>
      </c>
      <c r="B31" s="49">
        <f>B30-B32</f>
        <v>200</v>
      </c>
      <c r="C31" s="2457"/>
      <c r="D31" s="2299"/>
      <c r="E31" s="2299"/>
      <c r="F31" s="2299"/>
      <c r="G31" s="2373"/>
      <c r="H31" s="2373"/>
      <c r="I31" s="2373"/>
      <c r="J31" s="2373"/>
      <c r="K31" s="2369"/>
      <c r="L31" s="2369"/>
      <c r="M31" s="2368"/>
      <c r="N31" s="2368"/>
      <c r="O31" s="2368"/>
      <c r="P31" s="2368"/>
      <c r="Q31" s="2368"/>
      <c r="R31" s="2368"/>
      <c r="S31" s="2368"/>
      <c r="T31" s="2368"/>
      <c r="U31" s="2368"/>
      <c r="V31" s="2368"/>
      <c r="W31" s="2368"/>
      <c r="X31" s="2368"/>
      <c r="Y31" s="2368"/>
      <c r="Z31" s="2368"/>
      <c r="AA31" s="2368"/>
      <c r="AB31" s="2368"/>
      <c r="AC31" s="2368"/>
      <c r="AD31" s="2368"/>
      <c r="AE31" s="2368"/>
      <c r="AF31" s="2368"/>
      <c r="AG31" s="2368"/>
      <c r="AH31" s="2368"/>
      <c r="AI31" s="2368"/>
      <c r="AJ31" s="2368"/>
      <c r="AK31" s="2368"/>
      <c r="AL31" s="2368"/>
      <c r="AM31" s="2368"/>
      <c r="AN31" s="2458"/>
      <c r="AO31" s="2458"/>
      <c r="AP31" s="2458"/>
      <c r="AQ31" s="2458"/>
      <c r="AR31" s="2458"/>
      <c r="AS31" s="2458"/>
      <c r="AT31" s="2458"/>
      <c r="AU31" s="2458"/>
      <c r="AV31" s="2458"/>
      <c r="AW31" s="2458"/>
      <c r="AX31" s="2458"/>
      <c r="AY31" s="2458"/>
      <c r="AZ31" s="2458"/>
      <c r="BA31" s="2458"/>
      <c r="BB31" s="2458"/>
      <c r="BC31" s="2458"/>
      <c r="BD31" s="2458"/>
      <c r="BE31" s="2458"/>
      <c r="BF31" s="2458"/>
      <c r="BG31" s="2458"/>
      <c r="BH31" s="2458"/>
      <c r="BI31" s="2458"/>
      <c r="BJ31" s="2458"/>
      <c r="BK31" s="2458"/>
      <c r="BL31" s="2458"/>
      <c r="BM31" s="2458"/>
      <c r="BN31" s="2458"/>
      <c r="BO31" s="2458"/>
    </row>
    <row r="32" spans="1:67" s="2459" customFormat="1" ht="27.75" thickBot="1">
      <c r="A32" s="2467" t="s">
        <v>2039</v>
      </c>
      <c r="B32" s="2468">
        <v>0</v>
      </c>
      <c r="C32" s="2462"/>
      <c r="D32" s="2373"/>
      <c r="E32" s="2373"/>
      <c r="F32" s="2373"/>
      <c r="G32" s="2373"/>
      <c r="H32" s="2373"/>
      <c r="I32" s="2373"/>
      <c r="J32" s="2373"/>
      <c r="K32" s="2369"/>
      <c r="L32" s="2369"/>
      <c r="M32" s="2368"/>
      <c r="N32" s="2368"/>
      <c r="O32" s="2368"/>
      <c r="P32" s="2368"/>
      <c r="Q32" s="2368"/>
      <c r="R32" s="2368"/>
      <c r="S32" s="2368"/>
      <c r="T32" s="2368"/>
      <c r="U32" s="2368"/>
      <c r="V32" s="2368"/>
      <c r="W32" s="2368"/>
      <c r="X32" s="2368"/>
      <c r="Y32" s="2368"/>
      <c r="Z32" s="2368"/>
      <c r="AA32" s="2368"/>
      <c r="AB32" s="2368"/>
      <c r="AC32" s="2368"/>
      <c r="AD32" s="2368"/>
      <c r="AE32" s="2368"/>
      <c r="AF32" s="2368"/>
      <c r="AG32" s="2368"/>
      <c r="AH32" s="2368"/>
      <c r="AI32" s="2368"/>
      <c r="AJ32" s="2368"/>
      <c r="AK32" s="2368"/>
      <c r="AL32" s="2368"/>
      <c r="AM32" s="2368"/>
      <c r="AN32" s="2458"/>
      <c r="AO32" s="2458"/>
      <c r="AP32" s="2458"/>
      <c r="AQ32" s="2458"/>
      <c r="AR32" s="2458"/>
      <c r="AS32" s="2458"/>
      <c r="AT32" s="2458"/>
      <c r="AU32" s="2458"/>
      <c r="AV32" s="2458"/>
      <c r="AW32" s="2458"/>
      <c r="AX32" s="2458"/>
      <c r="AY32" s="2458"/>
      <c r="AZ32" s="2458"/>
      <c r="BA32" s="2458"/>
      <c r="BB32" s="2458"/>
      <c r="BC32" s="2458"/>
      <c r="BD32" s="2458"/>
      <c r="BE32" s="2458"/>
      <c r="BF32" s="2458"/>
      <c r="BG32" s="2458"/>
      <c r="BH32" s="2458"/>
      <c r="BI32" s="2458"/>
      <c r="BJ32" s="2458"/>
      <c r="BK32" s="2458"/>
      <c r="BL32" s="2458"/>
      <c r="BM32" s="2458"/>
      <c r="BN32" s="2458"/>
      <c r="BO32" s="2458"/>
    </row>
    <row r="33" spans="1:67" s="2459" customFormat="1" ht="14.25">
      <c r="A33" s="2455" t="s">
        <v>2040</v>
      </c>
      <c r="B33" s="3544">
        <v>0.05</v>
      </c>
      <c r="C33" s="2469" t="s">
        <v>2041</v>
      </c>
      <c r="D33" s="2373"/>
      <c r="E33" s="2373"/>
      <c r="F33" s="2373"/>
      <c r="G33" s="2373"/>
      <c r="H33" s="2373"/>
      <c r="I33" s="2373"/>
      <c r="J33" s="2373"/>
      <c r="K33" s="2369"/>
      <c r="L33" s="2369"/>
      <c r="M33" s="2368"/>
      <c r="N33" s="2368"/>
      <c r="O33" s="2368"/>
      <c r="P33" s="2368"/>
      <c r="Q33" s="2368"/>
      <c r="R33" s="2368"/>
      <c r="S33" s="2368"/>
      <c r="T33" s="2368"/>
      <c r="U33" s="2368"/>
      <c r="V33" s="2368"/>
      <c r="W33" s="2368"/>
      <c r="X33" s="2368"/>
      <c r="Y33" s="2368"/>
      <c r="Z33" s="2368"/>
      <c r="AA33" s="2368"/>
      <c r="AB33" s="2368"/>
      <c r="AC33" s="2368"/>
      <c r="AD33" s="2368"/>
      <c r="AE33" s="2368"/>
      <c r="AF33" s="2368"/>
      <c r="AG33" s="2368"/>
      <c r="AH33" s="2368"/>
      <c r="AI33" s="2368"/>
      <c r="AJ33" s="2368"/>
      <c r="AK33" s="2368"/>
      <c r="AL33" s="2368"/>
      <c r="AM33" s="2368"/>
      <c r="AN33" s="2458"/>
      <c r="AO33" s="2458"/>
      <c r="AP33" s="2458"/>
      <c r="AQ33" s="2458"/>
      <c r="AR33" s="2458"/>
      <c r="AS33" s="2458"/>
      <c r="AT33" s="2458"/>
      <c r="AU33" s="2458"/>
      <c r="AV33" s="2458"/>
      <c r="AW33" s="2458"/>
      <c r="AX33" s="2458"/>
      <c r="AY33" s="2458"/>
      <c r="AZ33" s="2458"/>
      <c r="BA33" s="2458"/>
      <c r="BB33" s="2458"/>
      <c r="BC33" s="2458"/>
      <c r="BD33" s="2458"/>
      <c r="BE33" s="2458"/>
      <c r="BF33" s="2458"/>
      <c r="BG33" s="2458"/>
      <c r="BH33" s="2458"/>
      <c r="BI33" s="2458"/>
      <c r="BJ33" s="2458"/>
      <c r="BK33" s="2458"/>
      <c r="BL33" s="2458"/>
      <c r="BM33" s="2458"/>
      <c r="BN33" s="2458"/>
      <c r="BO33" s="2458"/>
    </row>
    <row r="34" spans="1:67" s="2459" customFormat="1" ht="14.25">
      <c r="A34" s="2460" t="s">
        <v>2042</v>
      </c>
      <c r="B34" s="3545">
        <v>0</v>
      </c>
      <c r="C34" s="2469" t="s">
        <v>2043</v>
      </c>
      <c r="D34" s="2373" t="s">
        <v>2044</v>
      </c>
      <c r="E34" s="2367"/>
      <c r="F34" s="2373"/>
      <c r="G34" s="2373"/>
      <c r="H34" s="2373"/>
      <c r="I34" s="2373"/>
      <c r="J34" s="2373"/>
      <c r="K34" s="2369"/>
      <c r="L34" s="2369"/>
      <c r="M34" s="2368"/>
      <c r="N34" s="2368"/>
      <c r="O34" s="2368"/>
      <c r="P34" s="2368"/>
      <c r="Q34" s="2368"/>
      <c r="R34" s="2368"/>
      <c r="S34" s="2368"/>
      <c r="T34" s="2368"/>
      <c r="U34" s="2368"/>
      <c r="V34" s="2368"/>
      <c r="W34" s="2368"/>
      <c r="X34" s="2368"/>
      <c r="Y34" s="2368"/>
      <c r="Z34" s="2368"/>
      <c r="AA34" s="2368"/>
      <c r="AB34" s="2368"/>
      <c r="AC34" s="2368"/>
      <c r="AD34" s="2368"/>
      <c r="AE34" s="2368"/>
      <c r="AF34" s="2368"/>
      <c r="AG34" s="2368"/>
      <c r="AH34" s="2368"/>
      <c r="AI34" s="2368"/>
      <c r="AJ34" s="2368"/>
      <c r="AK34" s="2368"/>
      <c r="AL34" s="2368"/>
      <c r="AM34" s="2368"/>
      <c r="AN34" s="2458"/>
      <c r="AO34" s="2458"/>
      <c r="AP34" s="2458"/>
      <c r="AQ34" s="2458"/>
      <c r="AR34" s="2458"/>
      <c r="AS34" s="2458"/>
      <c r="AT34" s="2458"/>
      <c r="AU34" s="2458"/>
      <c r="AV34" s="2458"/>
      <c r="AW34" s="2458"/>
      <c r="AX34" s="2458"/>
      <c r="AY34" s="2458"/>
      <c r="AZ34" s="2458"/>
      <c r="BA34" s="2458"/>
      <c r="BB34" s="2458"/>
      <c r="BC34" s="2458"/>
      <c r="BD34" s="2458"/>
      <c r="BE34" s="2458"/>
      <c r="BF34" s="2458"/>
      <c r="BG34" s="2458"/>
      <c r="BH34" s="2458"/>
      <c r="BI34" s="2458"/>
      <c r="BJ34" s="2458"/>
      <c r="BK34" s="2458"/>
      <c r="BL34" s="2458"/>
      <c r="BM34" s="2458"/>
      <c r="BN34" s="2458"/>
      <c r="BO34" s="2458"/>
    </row>
    <row r="35" spans="1:67" s="2459" customFormat="1" ht="14.25">
      <c r="A35" s="2460" t="s">
        <v>2045</v>
      </c>
      <c r="B35" s="2461">
        <v>200</v>
      </c>
      <c r="C35" s="2469" t="s">
        <v>2046</v>
      </c>
      <c r="D35" s="2299"/>
      <c r="E35" s="2299"/>
      <c r="F35" s="2299"/>
      <c r="G35" s="2373"/>
      <c r="H35" s="2373"/>
      <c r="I35" s="2373"/>
      <c r="J35" s="2373"/>
      <c r="K35" s="2369"/>
      <c r="L35" s="2369"/>
      <c r="M35" s="2368"/>
      <c r="N35" s="2368"/>
      <c r="O35" s="2368"/>
      <c r="P35" s="2368"/>
      <c r="Q35" s="2368"/>
      <c r="R35" s="2368"/>
      <c r="S35" s="2368"/>
      <c r="T35" s="2368"/>
      <c r="U35" s="2368"/>
      <c r="V35" s="2368"/>
      <c r="W35" s="2368"/>
      <c r="X35" s="2368"/>
      <c r="Y35" s="2368"/>
      <c r="Z35" s="2368"/>
      <c r="AA35" s="2368"/>
      <c r="AB35" s="2368"/>
      <c r="AC35" s="2368"/>
      <c r="AD35" s="2368"/>
      <c r="AE35" s="2368"/>
      <c r="AF35" s="2368"/>
      <c r="AG35" s="2368"/>
      <c r="AH35" s="2368"/>
      <c r="AI35" s="2368"/>
      <c r="AJ35" s="2368"/>
      <c r="AK35" s="2368"/>
      <c r="AL35" s="2368"/>
      <c r="AM35" s="2368"/>
      <c r="AN35" s="2458"/>
      <c r="AO35" s="2458"/>
      <c r="AP35" s="2458"/>
      <c r="AQ35" s="2458"/>
      <c r="AR35" s="2458"/>
      <c r="AS35" s="2458"/>
      <c r="AT35" s="2458"/>
      <c r="AU35" s="2458"/>
      <c r="AV35" s="2458"/>
      <c r="AW35" s="2458"/>
      <c r="AX35" s="2458"/>
      <c r="AY35" s="2458"/>
      <c r="AZ35" s="2458"/>
      <c r="BA35" s="2458"/>
      <c r="BB35" s="2458"/>
      <c r="BC35" s="2458"/>
      <c r="BD35" s="2458"/>
      <c r="BE35" s="2458"/>
      <c r="BF35" s="2458"/>
      <c r="BG35" s="2458"/>
      <c r="BH35" s="2458"/>
      <c r="BI35" s="2458"/>
      <c r="BJ35" s="2458"/>
      <c r="BK35" s="2458"/>
      <c r="BL35" s="2458"/>
      <c r="BM35" s="2458"/>
      <c r="BN35" s="2458"/>
      <c r="BO35" s="2458"/>
    </row>
    <row r="36" spans="1:67" ht="15" thickBot="1">
      <c r="A36" s="2463" t="s">
        <v>2047</v>
      </c>
      <c r="B36" s="3546">
        <v>1.4999999999999999E-2</v>
      </c>
      <c r="C36" s="2469" t="s">
        <v>2048</v>
      </c>
      <c r="D36" s="2373"/>
      <c r="E36" s="2373"/>
      <c r="F36" s="2373"/>
      <c r="G36" s="2373"/>
      <c r="H36" s="2373"/>
      <c r="I36" s="2373"/>
      <c r="J36" s="2373"/>
      <c r="K36" s="2369"/>
      <c r="L36" s="2369"/>
      <c r="M36" s="2368"/>
      <c r="N36" s="2368"/>
      <c r="O36" s="2368"/>
      <c r="P36" s="2368"/>
      <c r="Q36" s="2368"/>
      <c r="R36" s="2368"/>
      <c r="S36" s="2368"/>
      <c r="T36" s="2368"/>
      <c r="U36" s="2368"/>
      <c r="V36" s="2368"/>
      <c r="W36" s="2368"/>
      <c r="X36" s="2368"/>
      <c r="Y36" s="2368"/>
      <c r="Z36" s="2368"/>
      <c r="AA36" s="2368"/>
      <c r="AB36" s="2368"/>
      <c r="AC36" s="2368"/>
      <c r="AD36" s="2368"/>
      <c r="AE36" s="2368"/>
      <c r="AF36" s="2368"/>
      <c r="AG36" s="2368"/>
      <c r="AH36" s="2368"/>
      <c r="AI36" s="2368"/>
      <c r="AJ36" s="2368"/>
      <c r="AK36" s="2368"/>
      <c r="AL36" s="2368"/>
      <c r="AM36" s="2368"/>
    </row>
    <row r="37" spans="1:67" ht="14.25">
      <c r="A37" s="2465" t="s">
        <v>2049</v>
      </c>
      <c r="B37" s="3547">
        <v>0.03</v>
      </c>
      <c r="C37" s="2469" t="s">
        <v>2050</v>
      </c>
      <c r="D37" s="2373"/>
      <c r="E37" s="2373"/>
      <c r="F37" s="2373"/>
      <c r="G37" s="2373"/>
      <c r="H37" s="2373"/>
      <c r="I37" s="2373"/>
      <c r="J37" s="2373"/>
      <c r="K37" s="2369"/>
      <c r="L37" s="2369"/>
      <c r="M37" s="2368"/>
      <c r="N37" s="2368"/>
      <c r="O37" s="2368"/>
      <c r="P37" s="2368"/>
      <c r="Q37" s="2368"/>
      <c r="R37" s="2368"/>
      <c r="S37" s="2368"/>
      <c r="T37" s="2368"/>
      <c r="U37" s="2368"/>
      <c r="V37" s="2368"/>
      <c r="W37" s="2368"/>
      <c r="X37" s="2368"/>
      <c r="Y37" s="2368"/>
      <c r="Z37" s="2368"/>
      <c r="AA37" s="2368"/>
      <c r="AB37" s="2368"/>
      <c r="AC37" s="2368"/>
      <c r="AD37" s="2368"/>
      <c r="AE37" s="2368"/>
      <c r="AF37" s="2368"/>
      <c r="AG37" s="2368"/>
      <c r="AH37" s="2368"/>
      <c r="AI37" s="2368"/>
      <c r="AJ37" s="2368"/>
      <c r="AK37" s="2368"/>
      <c r="AL37" s="2368"/>
      <c r="AM37" s="2368"/>
    </row>
    <row r="38" spans="1:67" ht="14.25">
      <c r="A38" s="2460" t="s">
        <v>2051</v>
      </c>
      <c r="B38" s="3545">
        <v>0.03</v>
      </c>
      <c r="C38" s="2469" t="s">
        <v>2050</v>
      </c>
      <c r="D38" s="2373"/>
      <c r="E38" s="2373"/>
      <c r="F38" s="2373"/>
      <c r="G38" s="2373"/>
      <c r="H38" s="2373"/>
      <c r="I38" s="2373"/>
      <c r="J38" s="2373"/>
      <c r="K38" s="2369"/>
      <c r="L38" s="2369"/>
      <c r="M38" s="2368"/>
      <c r="N38" s="2368"/>
      <c r="O38" s="2368"/>
      <c r="P38" s="2368"/>
      <c r="Q38" s="2368"/>
      <c r="R38" s="2368"/>
      <c r="S38" s="2368"/>
      <c r="T38" s="2368"/>
      <c r="U38" s="2368"/>
      <c r="V38" s="2368"/>
      <c r="W38" s="2368"/>
      <c r="X38" s="2368"/>
      <c r="Y38" s="2368"/>
      <c r="Z38" s="2368"/>
      <c r="AA38" s="2368"/>
      <c r="AB38" s="2368"/>
      <c r="AC38" s="2368"/>
      <c r="AD38" s="2368"/>
      <c r="AE38" s="2368"/>
      <c r="AF38" s="2368"/>
      <c r="AG38" s="2368"/>
      <c r="AH38" s="2368"/>
      <c r="AI38" s="2368"/>
      <c r="AJ38" s="2368"/>
      <c r="AK38" s="2368"/>
      <c r="AL38" s="2368"/>
      <c r="AM38" s="2368"/>
    </row>
    <row r="39" spans="1:67" ht="14.25">
      <c r="A39" s="2467" t="s">
        <v>2052</v>
      </c>
      <c r="B39" s="3548">
        <f ca="1">存贷款利率!I1</f>
        <v>1.4999999999999999E-2</v>
      </c>
      <c r="C39" s="2469"/>
      <c r="D39" s="2373"/>
      <c r="E39" s="2373"/>
      <c r="F39" s="2373"/>
      <c r="G39" s="2373"/>
      <c r="H39" s="2373"/>
      <c r="I39" s="2373"/>
      <c r="J39" s="2373"/>
      <c r="K39" s="2369"/>
      <c r="L39" s="2369"/>
      <c r="M39" s="2368"/>
      <c r="N39" s="2368"/>
      <c r="O39" s="2368"/>
      <c r="P39" s="2368"/>
      <c r="Q39" s="2368"/>
      <c r="R39" s="2368"/>
      <c r="S39" s="2368"/>
      <c r="T39" s="2368"/>
      <c r="U39" s="2368"/>
      <c r="V39" s="2368"/>
      <c r="W39" s="2368"/>
      <c r="X39" s="2368"/>
      <c r="Y39" s="2368"/>
      <c r="Z39" s="2368"/>
      <c r="AA39" s="2368"/>
      <c r="AB39" s="2368"/>
      <c r="AC39" s="2368"/>
      <c r="AD39" s="2368"/>
      <c r="AE39" s="2368"/>
      <c r="AF39" s="2368"/>
      <c r="AG39" s="2368"/>
      <c r="AH39" s="2368"/>
      <c r="AI39" s="2368"/>
      <c r="AJ39" s="2368"/>
      <c r="AK39" s="2368"/>
      <c r="AL39" s="2368"/>
      <c r="AM39" s="2368"/>
    </row>
    <row r="40" spans="1:67" ht="15" thickBot="1">
      <c r="A40" s="2467" t="s">
        <v>2053</v>
      </c>
      <c r="B40" s="3548">
        <f ca="1">存贷款利率!G1</f>
        <v>4.7500000000000001E-2</v>
      </c>
      <c r="C40" s="2469" t="s">
        <v>2054</v>
      </c>
      <c r="D40" s="2368"/>
      <c r="E40" s="2373"/>
      <c r="F40" s="2373"/>
      <c r="G40" s="2373"/>
      <c r="H40" s="2373"/>
      <c r="I40" s="2373"/>
      <c r="J40" s="2373"/>
      <c r="K40" s="2369"/>
      <c r="L40" s="2369"/>
      <c r="M40" s="2368"/>
      <c r="N40" s="2368"/>
      <c r="O40" s="2368"/>
      <c r="P40" s="2368"/>
      <c r="Q40" s="2368"/>
      <c r="R40" s="2368"/>
      <c r="S40" s="2368"/>
      <c r="T40" s="2368"/>
      <c r="U40" s="2368"/>
      <c r="V40" s="2368"/>
      <c r="W40" s="2368"/>
      <c r="X40" s="2368"/>
      <c r="Y40" s="2368"/>
      <c r="Z40" s="2368"/>
      <c r="AA40" s="2368"/>
      <c r="AB40" s="2368"/>
      <c r="AC40" s="2368"/>
      <c r="AD40" s="2368"/>
      <c r="AE40" s="2368"/>
      <c r="AF40" s="2368"/>
      <c r="AG40" s="2368"/>
      <c r="AH40" s="2368"/>
      <c r="AI40" s="2368"/>
      <c r="AJ40" s="2368"/>
      <c r="AK40" s="2368"/>
      <c r="AL40" s="2368"/>
      <c r="AM40" s="2368"/>
    </row>
    <row r="41" spans="1:67" ht="14.25">
      <c r="A41" s="2455" t="s">
        <v>2055</v>
      </c>
      <c r="B41" s="3549">
        <f>B42+B43</f>
        <v>5.6000000000000001E-2</v>
      </c>
      <c r="C41" s="2457"/>
      <c r="D41" s="2368"/>
      <c r="E41" s="2373"/>
      <c r="F41" s="2373"/>
      <c r="G41" s="2373"/>
      <c r="H41" s="2373"/>
      <c r="I41" s="2373"/>
      <c r="J41" s="2373"/>
      <c r="K41" s="2369"/>
      <c r="L41" s="2369"/>
      <c r="M41" s="2368"/>
      <c r="N41" s="2368"/>
      <c r="O41" s="2368"/>
      <c r="P41" s="2368"/>
      <c r="Q41" s="2368"/>
      <c r="R41" s="2368"/>
      <c r="S41" s="2368"/>
      <c r="T41" s="2368"/>
      <c r="U41" s="2368"/>
      <c r="V41" s="2368"/>
      <c r="W41" s="2368"/>
      <c r="X41" s="2368"/>
      <c r="Y41" s="2368"/>
      <c r="Z41" s="2368"/>
      <c r="AA41" s="2368"/>
      <c r="AB41" s="2368"/>
      <c r="AC41" s="2368"/>
      <c r="AD41" s="2368"/>
      <c r="AE41" s="2368"/>
      <c r="AF41" s="2368"/>
      <c r="AG41" s="2368"/>
      <c r="AH41" s="2368"/>
      <c r="AI41" s="2368"/>
      <c r="AJ41" s="2368"/>
      <c r="AK41" s="2368"/>
      <c r="AL41" s="2368"/>
      <c r="AM41" s="2368"/>
    </row>
    <row r="42" spans="1:67" ht="14.25">
      <c r="A42" s="2471" t="s">
        <v>2056</v>
      </c>
      <c r="B42" s="3550">
        <v>0.05</v>
      </c>
      <c r="C42" s="2472">
        <f>IF(B2&lt;DATE(2016,5,1),0,B42)</f>
        <v>0.05</v>
      </c>
      <c r="D42" s="2373"/>
      <c r="E42" s="2373"/>
      <c r="F42" s="2373"/>
      <c r="G42" s="2373"/>
      <c r="H42" s="2373"/>
      <c r="I42" s="2373"/>
      <c r="J42" s="2373"/>
      <c r="K42" s="2369"/>
      <c r="L42" s="2369"/>
      <c r="M42" s="2368"/>
      <c r="N42" s="2368"/>
      <c r="O42" s="2368"/>
      <c r="P42" s="2368"/>
      <c r="Q42" s="2368"/>
      <c r="R42" s="2368"/>
      <c r="S42" s="2368"/>
      <c r="T42" s="2368"/>
      <c r="U42" s="2368"/>
      <c r="V42" s="2368"/>
      <c r="W42" s="2368"/>
      <c r="X42" s="2368"/>
      <c r="Y42" s="2368"/>
      <c r="Z42" s="2368"/>
      <c r="AA42" s="2368"/>
      <c r="AB42" s="2368"/>
      <c r="AC42" s="2368"/>
      <c r="AD42" s="2368"/>
      <c r="AE42" s="2368"/>
      <c r="AF42" s="2368"/>
      <c r="AG42" s="2368"/>
      <c r="AH42" s="2368"/>
      <c r="AI42" s="2368"/>
      <c r="AJ42" s="2368"/>
      <c r="AK42" s="2368"/>
      <c r="AL42" s="2368"/>
      <c r="AM42" s="2368"/>
    </row>
    <row r="43" spans="1:67" ht="14.25">
      <c r="A43" s="2471" t="s">
        <v>2057</v>
      </c>
      <c r="B43" s="3551">
        <f>B42*(B44+B45+B46)+B47</f>
        <v>6.000000000000001E-3</v>
      </c>
      <c r="C43" s="2457"/>
      <c r="D43" s="2373"/>
      <c r="E43" s="2373"/>
      <c r="F43" s="2373"/>
      <c r="G43" s="2373"/>
      <c r="H43" s="2373"/>
      <c r="I43" s="2373"/>
      <c r="J43" s="2373"/>
      <c r="K43" s="2369"/>
      <c r="L43" s="2369"/>
      <c r="M43" s="2368"/>
      <c r="N43" s="2368"/>
      <c r="O43" s="2368"/>
      <c r="P43" s="2368"/>
      <c r="Q43" s="2368"/>
      <c r="R43" s="2368"/>
      <c r="S43" s="2368"/>
      <c r="T43" s="2368"/>
      <c r="U43" s="2368"/>
      <c r="V43" s="2368"/>
      <c r="W43" s="2368"/>
      <c r="X43" s="2368"/>
      <c r="Y43" s="2368"/>
      <c r="Z43" s="2368"/>
      <c r="AA43" s="2368"/>
      <c r="AB43" s="2368"/>
      <c r="AC43" s="2368"/>
      <c r="AD43" s="2368"/>
      <c r="AE43" s="2368"/>
      <c r="AF43" s="2368"/>
      <c r="AG43" s="2368"/>
      <c r="AH43" s="2368"/>
      <c r="AI43" s="2368"/>
      <c r="AJ43" s="2368"/>
      <c r="AK43" s="2368"/>
      <c r="AL43" s="2368"/>
      <c r="AM43" s="2368"/>
    </row>
    <row r="44" spans="1:67" ht="14.25">
      <c r="A44" s="2473" t="s">
        <v>2058</v>
      </c>
      <c r="B44" s="3552">
        <v>7.0000000000000007E-2</v>
      </c>
      <c r="C44" s="2469" t="s">
        <v>2059</v>
      </c>
      <c r="D44" s="2373"/>
      <c r="E44" s="2373"/>
      <c r="F44" s="2373"/>
      <c r="G44" s="2373"/>
      <c r="H44" s="2373"/>
      <c r="I44" s="2373"/>
      <c r="J44" s="2373"/>
      <c r="K44" s="2369"/>
      <c r="L44" s="2369"/>
      <c r="M44" s="2368"/>
      <c r="N44" s="2368"/>
      <c r="O44" s="2368"/>
      <c r="P44" s="2368"/>
      <c r="Q44" s="2368"/>
      <c r="R44" s="2368"/>
      <c r="S44" s="2368"/>
      <c r="T44" s="2368"/>
      <c r="U44" s="2368"/>
      <c r="V44" s="2368"/>
      <c r="W44" s="2368"/>
      <c r="X44" s="2368"/>
      <c r="Y44" s="2368"/>
      <c r="Z44" s="2368"/>
      <c r="AA44" s="2368"/>
      <c r="AB44" s="2368"/>
      <c r="AC44" s="2368"/>
      <c r="AD44" s="2368"/>
      <c r="AE44" s="2368"/>
      <c r="AF44" s="2368"/>
      <c r="AG44" s="2368"/>
      <c r="AH44" s="2368"/>
      <c r="AI44" s="2368"/>
      <c r="AJ44" s="2368"/>
      <c r="AK44" s="2368"/>
      <c r="AL44" s="2368"/>
      <c r="AM44" s="2368"/>
    </row>
    <row r="45" spans="1:67" ht="14.25">
      <c r="A45" s="2473" t="s">
        <v>2060</v>
      </c>
      <c r="B45" s="3550">
        <v>0.03</v>
      </c>
      <c r="C45" s="2457" t="s">
        <v>2061</v>
      </c>
      <c r="D45" s="2373"/>
      <c r="E45" s="2373"/>
      <c r="F45" s="2373"/>
      <c r="G45" s="2373"/>
      <c r="H45" s="2373"/>
      <c r="I45" s="2373"/>
      <c r="J45" s="2373"/>
      <c r="K45" s="2369"/>
      <c r="L45" s="2369"/>
      <c r="M45" s="2368"/>
      <c r="N45" s="2368"/>
      <c r="O45" s="2368"/>
      <c r="P45" s="2368"/>
      <c r="Q45" s="2368"/>
      <c r="R45" s="2368"/>
      <c r="S45" s="2368"/>
      <c r="T45" s="2368"/>
      <c r="U45" s="2368"/>
      <c r="V45" s="2368"/>
      <c r="W45" s="2368"/>
      <c r="X45" s="2368"/>
      <c r="Y45" s="2368"/>
      <c r="Z45" s="2368"/>
      <c r="AA45" s="2368"/>
      <c r="AB45" s="2368"/>
      <c r="AC45" s="2368"/>
      <c r="AD45" s="2368"/>
      <c r="AE45" s="2368"/>
      <c r="AF45" s="2368"/>
      <c r="AG45" s="2368"/>
      <c r="AH45" s="2368"/>
      <c r="AI45" s="2368"/>
      <c r="AJ45" s="2368"/>
      <c r="AK45" s="2368"/>
      <c r="AL45" s="2368"/>
      <c r="AM45" s="2368"/>
    </row>
    <row r="46" spans="1:67" ht="14.25">
      <c r="A46" s="2473" t="s">
        <v>2062</v>
      </c>
      <c r="B46" s="3550">
        <v>0.02</v>
      </c>
      <c r="C46" s="2457" t="s">
        <v>2063</v>
      </c>
      <c r="D46" s="2373"/>
      <c r="E46" s="2373"/>
      <c r="F46" s="2373"/>
      <c r="G46" s="2373"/>
      <c r="H46" s="2373"/>
      <c r="I46" s="2373"/>
      <c r="J46" s="2373"/>
      <c r="K46" s="2369"/>
      <c r="L46" s="2369"/>
      <c r="M46" s="2368"/>
      <c r="N46" s="2368"/>
      <c r="O46" s="2368"/>
      <c r="P46" s="2368"/>
      <c r="Q46" s="2368"/>
      <c r="R46" s="2368"/>
      <c r="S46" s="2368"/>
      <c r="T46" s="2368"/>
      <c r="U46" s="2368"/>
      <c r="V46" s="2368"/>
      <c r="W46" s="2368"/>
      <c r="X46" s="2368"/>
      <c r="Y46" s="2368"/>
      <c r="Z46" s="2368"/>
      <c r="AA46" s="2368"/>
      <c r="AB46" s="2368"/>
      <c r="AC46" s="2368"/>
      <c r="AD46" s="2368"/>
      <c r="AE46" s="2368"/>
      <c r="AF46" s="2368"/>
      <c r="AG46" s="2368"/>
      <c r="AH46" s="2368"/>
      <c r="AI46" s="2368"/>
      <c r="AJ46" s="2368"/>
      <c r="AK46" s="2368"/>
      <c r="AL46" s="2368"/>
      <c r="AM46" s="2368"/>
    </row>
    <row r="47" spans="1:67" ht="15" thickBot="1">
      <c r="A47" s="2474" t="s">
        <v>2064</v>
      </c>
      <c r="B47" s="3553"/>
      <c r="C47" s="2457" t="s">
        <v>2065</v>
      </c>
      <c r="D47" s="2373"/>
      <c r="E47" s="2373"/>
      <c r="F47" s="2373"/>
      <c r="G47" s="2373"/>
      <c r="H47" s="2373"/>
      <c r="I47" s="2373"/>
      <c r="J47" s="2373"/>
      <c r="K47" s="2369"/>
      <c r="L47" s="2369"/>
      <c r="M47" s="2368"/>
      <c r="N47" s="2368"/>
      <c r="O47" s="2368"/>
      <c r="P47" s="2368"/>
      <c r="Q47" s="2368"/>
      <c r="R47" s="2368"/>
      <c r="S47" s="2368"/>
      <c r="T47" s="2368"/>
      <c r="U47" s="2368"/>
      <c r="V47" s="2368"/>
      <c r="W47" s="2368"/>
      <c r="X47" s="2368"/>
      <c r="Y47" s="2368"/>
      <c r="Z47" s="2368"/>
      <c r="AA47" s="2368"/>
      <c r="AB47" s="2368"/>
      <c r="AC47" s="2368"/>
      <c r="AD47" s="2368"/>
      <c r="AE47" s="2368"/>
      <c r="AF47" s="2368"/>
      <c r="AG47" s="2368"/>
      <c r="AH47" s="2368"/>
      <c r="AI47" s="2368"/>
      <c r="AJ47" s="2368"/>
      <c r="AK47" s="2368"/>
      <c r="AL47" s="2368"/>
      <c r="AM47" s="2368"/>
    </row>
    <row r="48" spans="1:67" ht="14.25">
      <c r="A48" s="2475" t="s">
        <v>2066</v>
      </c>
      <c r="B48" s="3554">
        <v>0.03</v>
      </c>
      <c r="C48" s="2476" t="s">
        <v>2067</v>
      </c>
      <c r="D48" s="2373"/>
      <c r="E48" s="2373"/>
      <c r="F48" s="2373"/>
      <c r="G48" s="2373"/>
      <c r="H48" s="2373"/>
      <c r="I48" s="2373"/>
      <c r="J48" s="2373"/>
      <c r="K48" s="2369"/>
      <c r="L48" s="2369"/>
      <c r="M48" s="2368"/>
      <c r="N48" s="2368"/>
      <c r="O48" s="2368"/>
      <c r="P48" s="2368"/>
      <c r="Q48" s="2368"/>
      <c r="R48" s="2368"/>
      <c r="S48" s="2368"/>
      <c r="T48" s="2368"/>
      <c r="U48" s="2368"/>
      <c r="V48" s="2368"/>
      <c r="W48" s="2368"/>
      <c r="X48" s="2368"/>
      <c r="Y48" s="2368"/>
      <c r="Z48" s="2368"/>
      <c r="AA48" s="2368"/>
      <c r="AB48" s="2368"/>
      <c r="AC48" s="2368"/>
      <c r="AD48" s="2368"/>
      <c r="AE48" s="2368"/>
      <c r="AF48" s="2368"/>
      <c r="AG48" s="2368"/>
      <c r="AH48" s="2368"/>
      <c r="AI48" s="2368"/>
      <c r="AJ48" s="2368"/>
      <c r="AK48" s="2368"/>
      <c r="AL48" s="2368"/>
      <c r="AM48" s="2368"/>
    </row>
    <row r="49" spans="1:39" ht="15" thickBot="1">
      <c r="A49" s="2467" t="s">
        <v>2068</v>
      </c>
      <c r="B49" s="3550">
        <v>5.0000000000000001E-4</v>
      </c>
      <c r="C49" s="2476" t="s">
        <v>2069</v>
      </c>
      <c r="D49" s="2373"/>
      <c r="E49" s="2373"/>
      <c r="F49" s="2373"/>
      <c r="G49" s="2373"/>
      <c r="H49" s="2373"/>
      <c r="I49" s="2373"/>
      <c r="J49" s="2373"/>
      <c r="K49" s="2369"/>
      <c r="L49" s="2369"/>
      <c r="M49" s="2368"/>
      <c r="N49" s="2368"/>
      <c r="O49" s="2368"/>
      <c r="P49" s="2368"/>
      <c r="Q49" s="2368"/>
      <c r="R49" s="2368"/>
      <c r="S49" s="2368"/>
      <c r="T49" s="2368"/>
      <c r="U49" s="2368"/>
      <c r="V49" s="2368"/>
      <c r="W49" s="2368"/>
      <c r="X49" s="2368"/>
      <c r="Y49" s="2368"/>
      <c r="Z49" s="2368"/>
      <c r="AA49" s="2368"/>
      <c r="AB49" s="2368"/>
      <c r="AC49" s="2368"/>
      <c r="AD49" s="2368"/>
      <c r="AE49" s="2368"/>
      <c r="AF49" s="2368"/>
      <c r="AG49" s="2368"/>
      <c r="AH49" s="2368"/>
      <c r="AI49" s="2368"/>
      <c r="AJ49" s="2368"/>
      <c r="AK49" s="2368"/>
      <c r="AL49" s="2368"/>
      <c r="AM49" s="2368"/>
    </row>
    <row r="50" spans="1:39" ht="14.25">
      <c r="A50" s="2477" t="s">
        <v>2070</v>
      </c>
      <c r="B50" s="2478">
        <v>1.2E-2</v>
      </c>
      <c r="C50" s="2299"/>
      <c r="D50" s="2373"/>
      <c r="E50" s="2373"/>
      <c r="F50" s="2373"/>
      <c r="G50" s="2373"/>
      <c r="H50" s="2373"/>
      <c r="I50" s="2373"/>
      <c r="J50" s="2373"/>
      <c r="K50" s="2369"/>
      <c r="L50" s="2369"/>
      <c r="M50" s="2368"/>
      <c r="N50" s="2368"/>
      <c r="O50" s="2368"/>
      <c r="P50" s="2368"/>
      <c r="Q50" s="2368"/>
      <c r="R50" s="2368"/>
      <c r="S50" s="2368"/>
      <c r="T50" s="2368"/>
      <c r="U50" s="2368"/>
      <c r="V50" s="2368"/>
      <c r="W50" s="2368"/>
      <c r="X50" s="2368"/>
      <c r="Y50" s="2368"/>
      <c r="Z50" s="2368"/>
      <c r="AA50" s="2368"/>
      <c r="AB50" s="2368"/>
      <c r="AC50" s="2368"/>
      <c r="AD50" s="2368"/>
      <c r="AE50" s="2368"/>
      <c r="AF50" s="2368"/>
      <c r="AG50" s="2368"/>
      <c r="AH50" s="2368"/>
      <c r="AI50" s="2368"/>
      <c r="AJ50" s="2368"/>
      <c r="AK50" s="2368"/>
      <c r="AL50" s="2368"/>
      <c r="AM50" s="2368"/>
    </row>
    <row r="51" spans="1:39" ht="15" thickBot="1">
      <c r="A51" s="2463" t="s">
        <v>2071</v>
      </c>
      <c r="B51" s="2479">
        <v>0.12</v>
      </c>
      <c r="C51" s="2299"/>
      <c r="D51" s="2373"/>
      <c r="E51" s="2373"/>
      <c r="F51" s="2373"/>
      <c r="G51" s="2373"/>
      <c r="H51" s="2373"/>
      <c r="I51" s="2373"/>
      <c r="J51" s="2373"/>
      <c r="K51" s="2369"/>
      <c r="L51" s="2369"/>
      <c r="M51" s="2368"/>
      <c r="N51" s="2368"/>
      <c r="O51" s="2368"/>
      <c r="P51" s="2368"/>
      <c r="Q51" s="2368"/>
      <c r="R51" s="2368"/>
      <c r="S51" s="2368"/>
      <c r="T51" s="2368"/>
      <c r="U51" s="2368"/>
      <c r="V51" s="2368"/>
      <c r="W51" s="2368"/>
      <c r="X51" s="2368"/>
      <c r="Y51" s="2368"/>
      <c r="Z51" s="2368"/>
      <c r="AA51" s="2368"/>
      <c r="AB51" s="2368"/>
      <c r="AC51" s="2368"/>
      <c r="AD51" s="2368"/>
      <c r="AE51" s="2368"/>
      <c r="AF51" s="2368"/>
      <c r="AG51" s="2368"/>
      <c r="AH51" s="2368"/>
      <c r="AI51" s="2368"/>
      <c r="AJ51" s="2368"/>
      <c r="AK51" s="2368"/>
      <c r="AL51" s="2368"/>
      <c r="AM51" s="2368"/>
    </row>
    <row r="52" spans="1:39" ht="14.25">
      <c r="A52" s="2477" t="s">
        <v>2072</v>
      </c>
      <c r="B52" s="2478">
        <f>SUMIF(A54:A63,B53,B54:B63)</f>
        <v>8</v>
      </c>
      <c r="C52" s="2476" t="s">
        <v>7124</v>
      </c>
      <c r="D52" s="2373"/>
      <c r="E52" s="2373"/>
      <c r="F52" s="2373"/>
      <c r="G52" s="2373"/>
      <c r="H52" s="2373"/>
      <c r="I52" s="2373"/>
      <c r="J52" s="2373"/>
      <c r="K52" s="2369"/>
      <c r="L52" s="2369"/>
      <c r="M52" s="2368"/>
      <c r="N52" s="2368"/>
      <c r="O52" s="2368"/>
      <c r="P52" s="2368"/>
      <c r="Q52" s="2368"/>
      <c r="R52" s="2368"/>
      <c r="S52" s="2368"/>
      <c r="T52" s="2368"/>
      <c r="U52" s="2368"/>
      <c r="V52" s="2368"/>
      <c r="W52" s="2368"/>
      <c r="X52" s="2368"/>
      <c r="Y52" s="2368"/>
      <c r="Z52" s="2368"/>
      <c r="AA52" s="2368"/>
      <c r="AB52" s="2368"/>
      <c r="AC52" s="2368"/>
      <c r="AD52" s="2368"/>
      <c r="AE52" s="2368"/>
      <c r="AF52" s="2368"/>
      <c r="AG52" s="2368"/>
      <c r="AH52" s="2368"/>
      <c r="AI52" s="2368"/>
      <c r="AJ52" s="2368"/>
      <c r="AK52" s="2368"/>
      <c r="AL52" s="2368"/>
      <c r="AM52" s="2368"/>
    </row>
    <row r="53" spans="1:39" ht="27">
      <c r="A53" s="2460" t="s">
        <v>2073</v>
      </c>
      <c r="B53" s="2480" t="s">
        <v>137</v>
      </c>
      <c r="C53" s="2299" t="s">
        <v>2074</v>
      </c>
      <c r="D53" s="2481" t="s">
        <v>2075</v>
      </c>
      <c r="E53" s="2373"/>
      <c r="F53" s="2373"/>
      <c r="G53" s="2373"/>
      <c r="H53" s="2373"/>
      <c r="I53" s="2373"/>
      <c r="J53" s="2373"/>
      <c r="K53" s="2369"/>
      <c r="L53" s="2369"/>
      <c r="M53" s="2368"/>
      <c r="N53" s="2368"/>
      <c r="O53" s="2368"/>
      <c r="P53" s="2368"/>
      <c r="Q53" s="2368"/>
      <c r="R53" s="2368"/>
      <c r="S53" s="2368"/>
      <c r="T53" s="2368"/>
      <c r="U53" s="2368"/>
      <c r="V53" s="2368"/>
      <c r="W53" s="2368"/>
      <c r="X53" s="2368"/>
      <c r="Y53" s="2368"/>
      <c r="Z53" s="2368"/>
      <c r="AA53" s="2368"/>
      <c r="AB53" s="2368"/>
      <c r="AC53" s="2368"/>
      <c r="AD53" s="2368"/>
      <c r="AE53" s="2368"/>
      <c r="AF53" s="2368"/>
      <c r="AG53" s="2368"/>
      <c r="AH53" s="2368"/>
      <c r="AI53" s="2368"/>
      <c r="AJ53" s="2368"/>
      <c r="AK53" s="2368"/>
      <c r="AL53" s="2368"/>
      <c r="AM53" s="2368"/>
    </row>
    <row r="54" spans="1:39" ht="14.25">
      <c r="A54" s="2482" t="s">
        <v>2076</v>
      </c>
      <c r="B54" s="2423"/>
      <c r="C54" s="2299">
        <v>30</v>
      </c>
      <c r="D54" s="2373"/>
      <c r="E54" s="2373"/>
      <c r="F54" s="2373"/>
      <c r="G54" s="2373"/>
      <c r="H54" s="2373"/>
      <c r="I54" s="2373"/>
      <c r="J54" s="2373"/>
      <c r="K54" s="2369"/>
      <c r="L54" s="2369"/>
      <c r="M54" s="2368"/>
      <c r="N54" s="2368"/>
      <c r="O54" s="2368"/>
      <c r="P54" s="2368"/>
      <c r="Q54" s="2368"/>
      <c r="R54" s="2368"/>
      <c r="S54" s="2368"/>
      <c r="T54" s="2368"/>
      <c r="U54" s="2368"/>
      <c r="V54" s="2368"/>
      <c r="W54" s="2368"/>
      <c r="X54" s="2368"/>
      <c r="Y54" s="2368"/>
      <c r="Z54" s="2368"/>
      <c r="AA54" s="2368"/>
      <c r="AB54" s="2368"/>
      <c r="AC54" s="2368"/>
      <c r="AD54" s="2368"/>
      <c r="AE54" s="2368"/>
      <c r="AF54" s="2368"/>
      <c r="AG54" s="2368"/>
      <c r="AH54" s="2368"/>
      <c r="AI54" s="2368"/>
      <c r="AJ54" s="2368"/>
      <c r="AK54" s="2368"/>
      <c r="AL54" s="2368"/>
      <c r="AM54" s="2368"/>
    </row>
    <row r="55" spans="1:39" ht="14.25">
      <c r="A55" s="2482" t="s">
        <v>2077</v>
      </c>
      <c r="B55" s="2423"/>
      <c r="C55" s="2299">
        <v>24</v>
      </c>
      <c r="D55" s="2373"/>
      <c r="E55" s="2373"/>
      <c r="F55" s="2373"/>
      <c r="G55" s="2373"/>
      <c r="H55" s="2373"/>
      <c r="I55" s="2483"/>
      <c r="J55" s="2373"/>
      <c r="K55" s="2369"/>
      <c r="L55" s="2369"/>
      <c r="M55" s="2368"/>
      <c r="N55" s="2368"/>
      <c r="O55" s="2368"/>
      <c r="P55" s="2368"/>
      <c r="Q55" s="2368"/>
      <c r="R55" s="2368"/>
      <c r="S55" s="2368"/>
      <c r="T55" s="2368"/>
      <c r="U55" s="2368"/>
      <c r="V55" s="2368"/>
      <c r="W55" s="2368"/>
      <c r="X55" s="2368"/>
      <c r="Y55" s="2368"/>
      <c r="Z55" s="2368"/>
      <c r="AA55" s="2368"/>
      <c r="AB55" s="2368"/>
      <c r="AC55" s="2368"/>
      <c r="AD55" s="2368"/>
      <c r="AE55" s="2368"/>
      <c r="AF55" s="2368"/>
      <c r="AG55" s="2368"/>
      <c r="AH55" s="2368"/>
      <c r="AI55" s="2368"/>
      <c r="AJ55" s="2368"/>
      <c r="AK55" s="2368"/>
      <c r="AL55" s="2368"/>
      <c r="AM55" s="2368"/>
    </row>
    <row r="56" spans="1:39" ht="14.25">
      <c r="A56" s="2482" t="s">
        <v>2078</v>
      </c>
      <c r="B56" s="2423"/>
      <c r="C56" s="2299">
        <v>18</v>
      </c>
      <c r="D56" s="2373"/>
      <c r="E56" s="2373"/>
      <c r="F56" s="2373"/>
      <c r="G56" s="2373"/>
      <c r="H56" s="2373"/>
      <c r="I56" s="2373"/>
      <c r="J56" s="2373"/>
      <c r="K56" s="2369"/>
      <c r="L56" s="2369"/>
      <c r="M56" s="2368"/>
      <c r="N56" s="2368"/>
      <c r="O56" s="2368"/>
      <c r="P56" s="2368"/>
      <c r="Q56" s="2368"/>
      <c r="R56" s="2368"/>
      <c r="S56" s="2368"/>
      <c r="T56" s="2368"/>
      <c r="U56" s="2368"/>
      <c r="V56" s="2368"/>
      <c r="W56" s="2368"/>
      <c r="X56" s="2368"/>
      <c r="Y56" s="2368"/>
      <c r="Z56" s="2368"/>
      <c r="AA56" s="2368"/>
      <c r="AB56" s="2368"/>
      <c r="AC56" s="2368"/>
      <c r="AD56" s="2368"/>
      <c r="AE56" s="2368"/>
      <c r="AF56" s="2368"/>
      <c r="AG56" s="2368"/>
      <c r="AH56" s="2368"/>
      <c r="AI56" s="2368"/>
      <c r="AJ56" s="2368"/>
      <c r="AK56" s="2368"/>
      <c r="AL56" s="2368"/>
      <c r="AM56" s="2368"/>
    </row>
    <row r="57" spans="1:39" ht="14.25">
      <c r="A57" s="2482" t="s">
        <v>2079</v>
      </c>
      <c r="B57" s="2423">
        <v>8</v>
      </c>
      <c r="C57" s="2299">
        <v>12</v>
      </c>
      <c r="D57" s="2373"/>
      <c r="E57" s="2373"/>
      <c r="F57" s="2373"/>
      <c r="G57" s="2373"/>
      <c r="H57" s="2373"/>
      <c r="I57" s="2373"/>
      <c r="J57" s="2373"/>
      <c r="K57" s="2369"/>
      <c r="L57" s="2369"/>
      <c r="M57" s="2368"/>
      <c r="N57" s="2368"/>
      <c r="O57" s="2368"/>
      <c r="P57" s="2368"/>
      <c r="Q57" s="2368"/>
      <c r="R57" s="2368"/>
      <c r="S57" s="2368"/>
      <c r="T57" s="2368"/>
      <c r="U57" s="2368"/>
      <c r="V57" s="2368"/>
      <c r="W57" s="2368"/>
      <c r="X57" s="2368"/>
      <c r="Y57" s="2368"/>
      <c r="Z57" s="2368"/>
      <c r="AA57" s="2368"/>
      <c r="AB57" s="2368"/>
      <c r="AC57" s="2368"/>
      <c r="AD57" s="2368"/>
      <c r="AE57" s="2368"/>
      <c r="AF57" s="2368"/>
      <c r="AG57" s="2368"/>
      <c r="AH57" s="2368"/>
      <c r="AI57" s="2368"/>
      <c r="AJ57" s="2368"/>
      <c r="AK57" s="2368"/>
      <c r="AL57" s="2368"/>
      <c r="AM57" s="2368"/>
    </row>
    <row r="58" spans="1:39" ht="14.25">
      <c r="A58" s="2482" t="s">
        <v>2080</v>
      </c>
      <c r="B58" s="2423"/>
      <c r="C58" s="2299">
        <v>3</v>
      </c>
      <c r="D58" s="2373"/>
      <c r="E58" s="2373"/>
      <c r="F58" s="2373"/>
      <c r="G58" s="2373"/>
      <c r="H58" s="2373"/>
      <c r="I58" s="2373"/>
      <c r="J58" s="2373"/>
      <c r="K58" s="2369"/>
      <c r="L58" s="2369"/>
      <c r="M58" s="2368"/>
      <c r="N58" s="2368"/>
      <c r="O58" s="2368"/>
      <c r="P58" s="2368"/>
      <c r="Q58" s="2368"/>
      <c r="R58" s="2368"/>
      <c r="S58" s="2368"/>
      <c r="T58" s="2368"/>
      <c r="U58" s="2368"/>
      <c r="V58" s="2368"/>
      <c r="W58" s="2368"/>
      <c r="X58" s="2368"/>
      <c r="Y58" s="2368"/>
      <c r="Z58" s="2368"/>
      <c r="AA58" s="2368"/>
      <c r="AB58" s="2368"/>
      <c r="AC58" s="2368"/>
      <c r="AD58" s="2368"/>
      <c r="AE58" s="2368"/>
      <c r="AF58" s="2368"/>
      <c r="AG58" s="2368"/>
      <c r="AH58" s="2368"/>
      <c r="AI58" s="2368"/>
      <c r="AJ58" s="2368"/>
      <c r="AK58" s="2368"/>
      <c r="AL58" s="2368"/>
      <c r="AM58" s="2368"/>
    </row>
    <row r="59" spans="1:39" ht="14.25">
      <c r="A59" s="2482" t="s">
        <v>2081</v>
      </c>
      <c r="B59" s="2423"/>
      <c r="C59" s="2299">
        <v>1.5</v>
      </c>
      <c r="D59" s="2373"/>
      <c r="E59" s="2373"/>
      <c r="F59" s="2373"/>
      <c r="G59" s="2373"/>
      <c r="H59" s="2373"/>
      <c r="I59" s="2373"/>
      <c r="J59" s="2373"/>
      <c r="K59" s="2369"/>
      <c r="L59" s="2369"/>
      <c r="M59" s="2368"/>
      <c r="N59" s="2368"/>
      <c r="O59" s="2368"/>
      <c r="P59" s="2368"/>
      <c r="Q59" s="2368"/>
      <c r="R59" s="2368"/>
      <c r="S59" s="2368"/>
      <c r="T59" s="2368"/>
      <c r="U59" s="2368"/>
      <c r="V59" s="2368"/>
      <c r="W59" s="2368"/>
      <c r="X59" s="2368"/>
      <c r="Y59" s="2368"/>
      <c r="Z59" s="2368"/>
      <c r="AA59" s="2368"/>
      <c r="AB59" s="2368"/>
      <c r="AC59" s="2368"/>
      <c r="AD59" s="2368"/>
      <c r="AE59" s="2368"/>
      <c r="AF59" s="2368"/>
      <c r="AG59" s="2368"/>
      <c r="AH59" s="2368"/>
      <c r="AI59" s="2368"/>
      <c r="AJ59" s="2368"/>
      <c r="AK59" s="2368"/>
      <c r="AL59" s="2368"/>
      <c r="AM59" s="2368"/>
    </row>
    <row r="60" spans="1:39" ht="14.25">
      <c r="A60" s="2482" t="s">
        <v>2082</v>
      </c>
      <c r="B60" s="2423"/>
      <c r="C60" s="2373"/>
      <c r="D60" s="2373"/>
      <c r="E60" s="2373"/>
      <c r="F60" s="2373"/>
      <c r="G60" s="2373"/>
      <c r="H60" s="2373"/>
      <c r="I60" s="2373"/>
      <c r="J60" s="2373"/>
      <c r="K60" s="2369"/>
      <c r="L60" s="2369"/>
      <c r="M60" s="2368"/>
      <c r="N60" s="2368"/>
      <c r="O60" s="2368"/>
      <c r="P60" s="2368"/>
      <c r="Q60" s="2368"/>
      <c r="R60" s="2368"/>
      <c r="S60" s="2368"/>
      <c r="T60" s="2368"/>
      <c r="U60" s="2368"/>
      <c r="V60" s="2368"/>
      <c r="W60" s="2368"/>
      <c r="X60" s="2368"/>
      <c r="Y60" s="2368"/>
      <c r="Z60" s="2368"/>
      <c r="AA60" s="2368"/>
      <c r="AB60" s="2368"/>
      <c r="AC60" s="2368"/>
      <c r="AD60" s="2368"/>
      <c r="AE60" s="2368"/>
      <c r="AF60" s="2368"/>
      <c r="AG60" s="2368"/>
      <c r="AH60" s="2368"/>
      <c r="AI60" s="2368"/>
      <c r="AJ60" s="2368"/>
      <c r="AK60" s="2368"/>
      <c r="AL60" s="2368"/>
      <c r="AM60" s="2368"/>
    </row>
    <row r="61" spans="1:39" ht="14.25">
      <c r="A61" s="2482" t="s">
        <v>2083</v>
      </c>
      <c r="B61" s="2423"/>
      <c r="C61" s="2373"/>
      <c r="D61" s="2373"/>
      <c r="E61" s="2373"/>
      <c r="F61" s="2373"/>
      <c r="G61" s="2373"/>
      <c r="H61" s="2373"/>
      <c r="I61" s="2373"/>
      <c r="J61" s="2373"/>
      <c r="K61" s="2369"/>
      <c r="L61" s="2369"/>
      <c r="M61" s="2368"/>
      <c r="N61" s="2368"/>
      <c r="O61" s="2368"/>
      <c r="P61" s="2368"/>
      <c r="Q61" s="2368"/>
      <c r="R61" s="2368"/>
      <c r="S61" s="2368"/>
      <c r="T61" s="2368"/>
      <c r="U61" s="2368"/>
      <c r="V61" s="2368"/>
      <c r="W61" s="2368"/>
      <c r="X61" s="2368"/>
      <c r="Y61" s="2368"/>
      <c r="Z61" s="2368"/>
      <c r="AA61" s="2368"/>
      <c r="AB61" s="2368"/>
      <c r="AC61" s="2368"/>
      <c r="AD61" s="2368"/>
      <c r="AE61" s="2368"/>
      <c r="AF61" s="2368"/>
      <c r="AG61" s="2368"/>
      <c r="AH61" s="2368"/>
      <c r="AI61" s="2368"/>
      <c r="AJ61" s="2368"/>
      <c r="AK61" s="2368"/>
      <c r="AL61" s="2368"/>
      <c r="AM61" s="2368"/>
    </row>
    <row r="62" spans="1:39" ht="14.25">
      <c r="A62" s="2482" t="s">
        <v>2084</v>
      </c>
      <c r="B62" s="2423"/>
      <c r="C62" s="2373"/>
      <c r="D62" s="2373"/>
      <c r="E62" s="2373"/>
      <c r="F62" s="2373"/>
      <c r="G62" s="2373"/>
      <c r="H62" s="2373"/>
      <c r="I62" s="2373"/>
      <c r="J62" s="2373"/>
      <c r="K62" s="2369"/>
      <c r="L62" s="2369"/>
      <c r="M62" s="2368"/>
      <c r="N62" s="2368"/>
      <c r="O62" s="2368"/>
      <c r="P62" s="2368"/>
      <c r="Q62" s="2368"/>
      <c r="R62" s="2368"/>
      <c r="S62" s="2368"/>
      <c r="T62" s="2368"/>
      <c r="U62" s="2368"/>
      <c r="V62" s="2368"/>
      <c r="W62" s="2368"/>
      <c r="X62" s="2368"/>
      <c r="Y62" s="2368"/>
      <c r="Z62" s="2368"/>
      <c r="AA62" s="2368"/>
      <c r="AB62" s="2368"/>
      <c r="AC62" s="2368"/>
      <c r="AD62" s="2368"/>
      <c r="AE62" s="2368"/>
      <c r="AF62" s="2368"/>
      <c r="AG62" s="2368"/>
      <c r="AH62" s="2368"/>
      <c r="AI62" s="2368"/>
      <c r="AJ62" s="2368"/>
      <c r="AK62" s="2368"/>
      <c r="AL62" s="2368"/>
      <c r="AM62" s="2368"/>
    </row>
    <row r="63" spans="1:39" ht="15" thickBot="1">
      <c r="A63" s="2484" t="s">
        <v>2085</v>
      </c>
      <c r="B63" s="2485"/>
      <c r="C63" s="2373"/>
      <c r="D63" s="2373"/>
      <c r="E63" s="2373"/>
      <c r="F63" s="2373"/>
      <c r="G63" s="2373"/>
      <c r="H63" s="2373"/>
      <c r="I63" s="2373"/>
      <c r="J63" s="2373"/>
      <c r="K63" s="2369"/>
      <c r="L63" s="2369"/>
      <c r="M63" s="2368"/>
      <c r="N63" s="2368"/>
      <c r="O63" s="2368"/>
      <c r="P63" s="2368"/>
      <c r="Q63" s="2368"/>
      <c r="R63" s="2368"/>
      <c r="S63" s="2368"/>
      <c r="T63" s="2368"/>
      <c r="U63" s="2368"/>
      <c r="V63" s="2368"/>
      <c r="W63" s="2368"/>
      <c r="X63" s="2368"/>
      <c r="Y63" s="2368"/>
      <c r="Z63" s="2368"/>
      <c r="AA63" s="2368"/>
      <c r="AB63" s="2368"/>
      <c r="AC63" s="2368"/>
      <c r="AD63" s="2368"/>
      <c r="AE63" s="2368"/>
      <c r="AF63" s="2368"/>
      <c r="AG63" s="2368"/>
      <c r="AH63" s="2368"/>
      <c r="AI63" s="2368"/>
      <c r="AJ63" s="2368"/>
      <c r="AK63" s="2368"/>
      <c r="AL63" s="2368"/>
      <c r="AM63" s="2368"/>
    </row>
    <row r="64" spans="1:39" s="2487" customFormat="1">
      <c r="A64" s="2486"/>
      <c r="K64" s="2488"/>
      <c r="L64" s="2488"/>
    </row>
    <row r="65" spans="1:12" s="2487" customFormat="1">
      <c r="A65" s="2486"/>
      <c r="K65" s="2488"/>
      <c r="L65" s="2488"/>
    </row>
    <row r="66" spans="1:12" s="2487" customFormat="1">
      <c r="A66" s="2486"/>
      <c r="K66" s="2488"/>
      <c r="L66" s="2488"/>
    </row>
    <row r="67" spans="1:12" s="2487" customFormat="1">
      <c r="A67" s="2486"/>
      <c r="K67" s="2488"/>
      <c r="L67" s="2488"/>
    </row>
    <row r="68" spans="1:12" s="2487" customFormat="1">
      <c r="A68" s="2486"/>
      <c r="K68" s="2488"/>
      <c r="L68" s="2488"/>
    </row>
    <row r="69" spans="1:12" s="2487" customFormat="1">
      <c r="A69" s="2486"/>
      <c r="K69" s="2488"/>
      <c r="L69" s="2488"/>
    </row>
    <row r="70" spans="1:12" s="2487" customFormat="1">
      <c r="A70" s="2486"/>
      <c r="K70" s="2488"/>
      <c r="L70" s="2488"/>
    </row>
    <row r="71" spans="1:12" s="2487" customFormat="1">
      <c r="A71" s="2486"/>
      <c r="K71" s="2488"/>
      <c r="L71" s="2488"/>
    </row>
    <row r="72" spans="1:12" s="2487" customFormat="1">
      <c r="A72" s="2486"/>
      <c r="K72" s="2488"/>
      <c r="L72" s="2488"/>
    </row>
    <row r="73" spans="1:12" s="2487" customFormat="1">
      <c r="A73" s="2486"/>
      <c r="K73" s="2488"/>
      <c r="L73" s="2488"/>
    </row>
    <row r="74" spans="1:12" s="2487" customFormat="1">
      <c r="A74" s="2486"/>
      <c r="K74" s="2488"/>
      <c r="L74" s="2488"/>
    </row>
    <row r="75" spans="1:12" s="2487" customFormat="1">
      <c r="A75" s="2486"/>
      <c r="K75" s="2488"/>
      <c r="L75" s="2488"/>
    </row>
    <row r="76" spans="1:12" s="2487" customFormat="1">
      <c r="A76" s="2486"/>
      <c r="K76" s="2488"/>
      <c r="L76" s="2488"/>
    </row>
    <row r="77" spans="1:12" s="2487" customFormat="1">
      <c r="A77" s="2486"/>
      <c r="K77" s="2488"/>
      <c r="L77" s="2488"/>
    </row>
    <row r="78" spans="1:12" s="2487" customFormat="1">
      <c r="A78" s="2486"/>
      <c r="K78" s="2488"/>
      <c r="L78" s="2488"/>
    </row>
    <row r="79" spans="1:12" s="2487" customFormat="1">
      <c r="A79" s="2486"/>
      <c r="K79" s="2488"/>
      <c r="L79" s="2488"/>
    </row>
    <row r="80" spans="1:12" s="2487" customFormat="1">
      <c r="A80" s="2486"/>
      <c r="K80" s="2488"/>
      <c r="L80" s="2488"/>
    </row>
    <row r="81" spans="1:12" s="2487" customFormat="1">
      <c r="A81" s="2486"/>
      <c r="K81" s="2488"/>
      <c r="L81" s="2488"/>
    </row>
    <row r="82" spans="1:12" s="2487" customFormat="1">
      <c r="A82" s="2486"/>
      <c r="K82" s="2488"/>
      <c r="L82" s="2488"/>
    </row>
    <row r="83" spans="1:12" s="2487" customFormat="1">
      <c r="A83" s="2486"/>
      <c r="K83" s="2488"/>
      <c r="L83" s="2488"/>
    </row>
    <row r="84" spans="1:12" s="2487" customFormat="1">
      <c r="A84" s="2486"/>
      <c r="K84" s="2488"/>
      <c r="L84" s="2488"/>
    </row>
    <row r="85" spans="1:12" s="2487" customFormat="1">
      <c r="A85" s="2486"/>
      <c r="K85" s="2488"/>
      <c r="L85" s="2488"/>
    </row>
    <row r="86" spans="1:12" s="2487" customFormat="1">
      <c r="A86" s="2486"/>
      <c r="K86" s="2488"/>
      <c r="L86" s="2488"/>
    </row>
    <row r="87" spans="1:12" s="2487" customFormat="1">
      <c r="A87" s="2486"/>
      <c r="K87" s="2488"/>
      <c r="L87" s="2488"/>
    </row>
    <row r="88" spans="1:12" s="2487" customFormat="1">
      <c r="A88" s="2486"/>
      <c r="K88" s="2488"/>
      <c r="L88" s="2488"/>
    </row>
    <row r="89" spans="1:12" s="2487" customFormat="1">
      <c r="A89" s="2486"/>
      <c r="K89" s="2488"/>
      <c r="L89" s="2488"/>
    </row>
    <row r="90" spans="1:12" s="2487" customFormat="1">
      <c r="A90" s="2486"/>
      <c r="K90" s="2488"/>
      <c r="L90" s="2488"/>
    </row>
    <row r="91" spans="1:12" s="2487" customFormat="1">
      <c r="A91" s="2486"/>
      <c r="K91" s="2488"/>
      <c r="L91" s="2488"/>
    </row>
    <row r="92" spans="1:12" s="2487" customFormat="1">
      <c r="A92" s="2486"/>
      <c r="K92" s="2488"/>
      <c r="L92" s="2488"/>
    </row>
    <row r="93" spans="1:12" s="2487" customFormat="1">
      <c r="A93" s="2486"/>
      <c r="K93" s="2488"/>
      <c r="L93" s="2488"/>
    </row>
    <row r="94" spans="1:12" s="2487" customFormat="1">
      <c r="A94" s="2486"/>
      <c r="K94" s="2488"/>
      <c r="L94" s="2488"/>
    </row>
    <row r="95" spans="1:12" s="2487" customFormat="1">
      <c r="A95" s="2486"/>
      <c r="K95" s="2488"/>
      <c r="L95" s="2488"/>
    </row>
    <row r="96" spans="1:12" s="2487" customFormat="1">
      <c r="A96" s="2486"/>
      <c r="K96" s="2488"/>
      <c r="L96" s="2488"/>
    </row>
    <row r="97" spans="1:12" s="2487" customFormat="1">
      <c r="A97" s="2486"/>
      <c r="K97" s="2488"/>
      <c r="L97" s="2488"/>
    </row>
    <row r="98" spans="1:12" s="2487" customFormat="1">
      <c r="A98" s="2486"/>
      <c r="K98" s="2488"/>
      <c r="L98" s="2488"/>
    </row>
    <row r="99" spans="1:12" s="2487" customFormat="1">
      <c r="A99" s="2486"/>
      <c r="K99" s="2488"/>
      <c r="L99" s="2488"/>
    </row>
    <row r="100" spans="1:12" s="2487" customFormat="1">
      <c r="A100" s="2486"/>
      <c r="K100" s="2488"/>
      <c r="L100" s="2488"/>
    </row>
    <row r="101" spans="1:12" s="2487" customFormat="1">
      <c r="A101" s="2486"/>
      <c r="K101" s="2488"/>
      <c r="L101" s="2488"/>
    </row>
    <row r="102" spans="1:12" s="2487" customFormat="1">
      <c r="A102" s="2486"/>
      <c r="K102" s="2488"/>
      <c r="L102" s="2488"/>
    </row>
    <row r="103" spans="1:12" s="2487" customFormat="1">
      <c r="A103" s="2486"/>
      <c r="K103" s="2488"/>
      <c r="L103" s="2488"/>
    </row>
    <row r="104" spans="1:12" s="2487" customFormat="1">
      <c r="A104" s="2486"/>
      <c r="K104" s="2488"/>
      <c r="L104" s="2488"/>
    </row>
    <row r="105" spans="1:12" s="2487" customFormat="1">
      <c r="A105" s="2486"/>
      <c r="K105" s="2488"/>
      <c r="L105" s="2488"/>
    </row>
    <row r="106" spans="1:12" s="2487" customFormat="1">
      <c r="A106" s="2486"/>
      <c r="K106" s="2488"/>
      <c r="L106" s="2488"/>
    </row>
    <row r="107" spans="1:12" s="2487" customFormat="1">
      <c r="A107" s="2486"/>
      <c r="K107" s="2488"/>
      <c r="L107" s="2488"/>
    </row>
    <row r="108" spans="1:12" s="2487" customFormat="1">
      <c r="A108" s="2486"/>
      <c r="K108" s="2488"/>
      <c r="L108" s="2488"/>
    </row>
    <row r="109" spans="1:12" s="2487" customFormat="1">
      <c r="A109" s="2486"/>
      <c r="K109" s="2488"/>
      <c r="L109" s="2488"/>
    </row>
    <row r="110" spans="1:12" s="2487" customFormat="1">
      <c r="A110" s="2486"/>
      <c r="K110" s="2488"/>
      <c r="L110" s="2488"/>
    </row>
    <row r="111" spans="1:12" s="2487" customFormat="1">
      <c r="A111" s="2486"/>
      <c r="K111" s="2488"/>
      <c r="L111" s="2488"/>
    </row>
    <row r="112" spans="1:12" s="2487" customFormat="1">
      <c r="A112" s="2486"/>
      <c r="K112" s="2488"/>
      <c r="L112" s="2488"/>
    </row>
    <row r="113" spans="1:12" s="2487" customFormat="1">
      <c r="A113" s="2486"/>
      <c r="K113" s="2488"/>
      <c r="L113" s="2488"/>
    </row>
    <row r="114" spans="1:12" s="2487" customFormat="1">
      <c r="A114" s="2486"/>
      <c r="K114" s="2488"/>
      <c r="L114" s="2488"/>
    </row>
    <row r="115" spans="1:12" s="2487" customFormat="1">
      <c r="A115" s="2486"/>
      <c r="K115" s="2488"/>
      <c r="L115" s="2488"/>
    </row>
    <row r="116" spans="1:12" s="2487" customFormat="1">
      <c r="A116" s="2486"/>
      <c r="K116" s="2488"/>
      <c r="L116" s="2488"/>
    </row>
    <row r="117" spans="1:12" s="2487" customFormat="1">
      <c r="A117" s="2486"/>
      <c r="K117" s="2488"/>
      <c r="L117" s="2488"/>
    </row>
    <row r="118" spans="1:12" s="2487" customFormat="1">
      <c r="A118" s="2486"/>
      <c r="K118" s="2488"/>
      <c r="L118" s="2488"/>
    </row>
    <row r="119" spans="1:12" s="2487" customFormat="1">
      <c r="A119" s="2486"/>
      <c r="K119" s="2488"/>
      <c r="L119" s="2488"/>
    </row>
    <row r="120" spans="1:12" s="2487" customFormat="1">
      <c r="A120" s="2486"/>
      <c r="K120" s="2488"/>
      <c r="L120" s="2488"/>
    </row>
    <row r="121" spans="1:12" s="2487" customFormat="1">
      <c r="A121" s="2486"/>
      <c r="K121" s="2488"/>
      <c r="L121" s="2488"/>
    </row>
    <row r="122" spans="1:12" s="2487" customFormat="1">
      <c r="A122" s="2486"/>
      <c r="K122" s="2488"/>
      <c r="L122" s="2488"/>
    </row>
    <row r="123" spans="1:12" s="2487" customFormat="1">
      <c r="A123" s="2486"/>
      <c r="K123" s="2488"/>
      <c r="L123" s="2488"/>
    </row>
    <row r="124" spans="1:12" s="2487" customFormat="1">
      <c r="A124" s="2486"/>
      <c r="K124" s="2488"/>
      <c r="L124" s="2488"/>
    </row>
    <row r="125" spans="1:12" s="2487" customFormat="1">
      <c r="A125" s="2486"/>
      <c r="K125" s="2488"/>
      <c r="L125" s="2488"/>
    </row>
    <row r="126" spans="1:12" s="2487" customFormat="1">
      <c r="A126" s="2486"/>
      <c r="K126" s="2488"/>
      <c r="L126" s="2488"/>
    </row>
    <row r="127" spans="1:12" s="2487" customFormat="1">
      <c r="A127" s="2486"/>
      <c r="K127" s="2488"/>
      <c r="L127" s="2488"/>
    </row>
    <row r="128" spans="1:12" s="2487" customFormat="1">
      <c r="A128" s="2486"/>
      <c r="K128" s="2488"/>
      <c r="L128" s="2488"/>
    </row>
    <row r="129" spans="1:12" s="2487" customFormat="1">
      <c r="A129" s="2486"/>
      <c r="K129" s="2488"/>
      <c r="L129" s="2488"/>
    </row>
    <row r="130" spans="1:12" s="2487" customFormat="1">
      <c r="A130" s="2486"/>
      <c r="K130" s="2488"/>
      <c r="L130" s="2488"/>
    </row>
    <row r="131" spans="1:12" s="2487" customFormat="1">
      <c r="A131" s="2486"/>
      <c r="K131" s="2488"/>
      <c r="L131" s="2488"/>
    </row>
    <row r="132" spans="1:12" s="2487" customFormat="1">
      <c r="A132" s="2486"/>
      <c r="K132" s="2488"/>
      <c r="L132" s="2488"/>
    </row>
    <row r="133" spans="1:12" s="2487" customFormat="1">
      <c r="A133" s="2486"/>
      <c r="K133" s="2488"/>
      <c r="L133" s="2488"/>
    </row>
    <row r="134" spans="1:12" s="2370" customFormat="1">
      <c r="A134" s="2489"/>
      <c r="K134" s="2490"/>
      <c r="L134" s="2490"/>
    </row>
    <row r="135" spans="1:12" s="2370" customFormat="1">
      <c r="A135" s="2489"/>
      <c r="K135" s="2490"/>
      <c r="L135" s="2490"/>
    </row>
    <row r="136" spans="1:12" s="2370" customFormat="1">
      <c r="A136" s="2489"/>
      <c r="K136" s="2490"/>
      <c r="L136" s="2490"/>
    </row>
    <row r="137" spans="1:12" s="2370" customFormat="1">
      <c r="A137" s="2489"/>
      <c r="K137" s="2490"/>
      <c r="L137" s="2490"/>
    </row>
    <row r="138" spans="1:12" s="2370" customFormat="1">
      <c r="A138" s="2489"/>
      <c r="K138" s="2490"/>
      <c r="L138" s="2490"/>
    </row>
    <row r="139" spans="1:12" s="2370" customFormat="1">
      <c r="A139" s="2489"/>
      <c r="K139" s="2490"/>
      <c r="L139" s="2490"/>
    </row>
    <row r="140" spans="1:12" s="2370" customFormat="1">
      <c r="A140" s="2489"/>
      <c r="K140" s="2490"/>
      <c r="L140" s="2490"/>
    </row>
    <row r="141" spans="1:12" s="2370" customFormat="1">
      <c r="A141" s="2489"/>
      <c r="K141" s="2490"/>
      <c r="L141" s="2490"/>
    </row>
    <row r="142" spans="1:12" s="2370" customFormat="1">
      <c r="A142" s="2489"/>
      <c r="K142" s="2490"/>
      <c r="L142" s="2490"/>
    </row>
    <row r="143" spans="1:12" s="2370" customFormat="1">
      <c r="A143" s="2489"/>
      <c r="K143" s="2490"/>
      <c r="L143" s="2490"/>
    </row>
    <row r="144" spans="1:12" s="2370" customFormat="1">
      <c r="A144" s="2489"/>
      <c r="K144" s="2490"/>
      <c r="L144" s="2490"/>
    </row>
    <row r="145" spans="1:12" s="2370" customFormat="1">
      <c r="A145" s="2489"/>
      <c r="K145" s="2490"/>
      <c r="L145" s="2490"/>
    </row>
    <row r="146" spans="1:12" s="2370" customFormat="1">
      <c r="A146" s="2489"/>
      <c r="K146" s="2490"/>
      <c r="L146" s="2490"/>
    </row>
    <row r="147" spans="1:12" s="2370" customFormat="1">
      <c r="A147" s="2489"/>
      <c r="K147" s="2490"/>
      <c r="L147" s="2490"/>
    </row>
    <row r="148" spans="1:12" s="2370" customFormat="1">
      <c r="A148" s="2489"/>
      <c r="K148" s="2490"/>
      <c r="L148" s="2490"/>
    </row>
    <row r="149" spans="1:12" s="2370" customFormat="1">
      <c r="A149" s="2489"/>
      <c r="K149" s="2490"/>
      <c r="L149" s="2490"/>
    </row>
    <row r="150" spans="1:12" s="2370" customFormat="1">
      <c r="A150" s="2489"/>
      <c r="K150" s="2490"/>
      <c r="L150" s="2490"/>
    </row>
    <row r="151" spans="1:12" s="2370" customFormat="1">
      <c r="A151" s="2489"/>
      <c r="K151" s="2490"/>
      <c r="L151" s="2490"/>
    </row>
    <row r="152" spans="1:12" s="2370" customFormat="1">
      <c r="A152" s="2489"/>
      <c r="K152" s="2490"/>
      <c r="L152" s="2490"/>
    </row>
    <row r="153" spans="1:12" s="2370" customFormat="1">
      <c r="A153" s="2489"/>
      <c r="K153" s="2490"/>
      <c r="L153" s="2490"/>
    </row>
    <row r="154" spans="1:12" s="2370" customFormat="1">
      <c r="A154" s="2489"/>
      <c r="K154" s="2490"/>
      <c r="L154" s="2490"/>
    </row>
    <row r="155" spans="1:12" s="2370" customFormat="1">
      <c r="A155" s="2489"/>
      <c r="K155" s="2490"/>
      <c r="L155" s="2490"/>
    </row>
    <row r="156" spans="1:12" s="2370" customFormat="1">
      <c r="A156" s="2489"/>
      <c r="K156" s="2490"/>
      <c r="L156" s="2490"/>
    </row>
    <row r="157" spans="1:12" s="2370" customFormat="1">
      <c r="A157" s="2489"/>
      <c r="K157" s="2490"/>
      <c r="L157" s="2490"/>
    </row>
    <row r="158" spans="1:12" s="2370" customFormat="1">
      <c r="A158" s="2489"/>
      <c r="K158" s="2490"/>
      <c r="L158" s="2490"/>
    </row>
    <row r="159" spans="1:12" s="2370" customFormat="1">
      <c r="A159" s="2489"/>
      <c r="K159" s="2490"/>
      <c r="L159" s="2490"/>
    </row>
    <row r="160" spans="1:12" s="2370" customFormat="1">
      <c r="A160" s="2489"/>
      <c r="K160" s="2490"/>
      <c r="L160" s="2490"/>
    </row>
    <row r="161" spans="1:12" s="2370" customFormat="1">
      <c r="A161" s="2489"/>
      <c r="K161" s="2490"/>
      <c r="L161" s="2490"/>
    </row>
    <row r="162" spans="1:12" s="2370" customFormat="1">
      <c r="A162" s="2489"/>
      <c r="K162" s="2490"/>
      <c r="L162" s="2490"/>
    </row>
    <row r="163" spans="1:12" s="2370" customFormat="1">
      <c r="A163" s="2489"/>
      <c r="K163" s="2490"/>
      <c r="L163" s="2490"/>
    </row>
    <row r="164" spans="1:12" s="2370" customFormat="1">
      <c r="A164" s="2489"/>
      <c r="K164" s="2490"/>
      <c r="L164" s="2490"/>
    </row>
    <row r="165" spans="1:12" s="2370" customFormat="1">
      <c r="A165" s="2489"/>
      <c r="K165" s="2490"/>
      <c r="L165" s="2490"/>
    </row>
    <row r="166" spans="1:12" s="2370" customFormat="1">
      <c r="A166" s="2489"/>
      <c r="K166" s="2490"/>
      <c r="L166" s="2490"/>
    </row>
    <row r="167" spans="1:12" s="2370" customFormat="1">
      <c r="A167" s="2489"/>
      <c r="K167" s="2490"/>
      <c r="L167" s="2490"/>
    </row>
    <row r="168" spans="1:12" s="2370" customFormat="1">
      <c r="A168" s="2489"/>
      <c r="K168" s="2490"/>
      <c r="L168" s="2490"/>
    </row>
    <row r="169" spans="1:12" s="2370" customFormat="1">
      <c r="A169" s="2489"/>
      <c r="K169" s="2490"/>
      <c r="L169" s="2490"/>
    </row>
    <row r="170" spans="1:12" s="2370" customFormat="1">
      <c r="A170" s="2489"/>
      <c r="K170" s="2490"/>
      <c r="L170" s="2490"/>
    </row>
    <row r="171" spans="1:12" s="2370" customFormat="1">
      <c r="A171" s="2489"/>
      <c r="K171" s="2490"/>
      <c r="L171" s="2490"/>
    </row>
    <row r="172" spans="1:12" s="2370" customFormat="1">
      <c r="A172" s="2489"/>
      <c r="K172" s="2490"/>
      <c r="L172" s="2490"/>
    </row>
    <row r="173" spans="1:12" s="2370" customFormat="1">
      <c r="A173" s="2489"/>
      <c r="K173" s="2490"/>
      <c r="L173" s="2490"/>
    </row>
    <row r="174" spans="1:12" s="2370" customFormat="1">
      <c r="A174" s="2489"/>
      <c r="K174" s="2490"/>
      <c r="L174" s="2490"/>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36" fitToHeight="0" orientation="landscape"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F41" sqref="F41"/>
    </sheetView>
  </sheetViews>
  <sheetFormatPr defaultRowHeight="14.25"/>
  <cols>
    <col min="1" max="1" width="9.5" style="1720" customWidth="1"/>
    <col min="2" max="2" width="24.5" style="1768" customWidth="1"/>
    <col min="3" max="3" width="24.5" style="1767" customWidth="1"/>
    <col min="4" max="4" width="2.625" style="1767" customWidth="1"/>
    <col min="5" max="5" width="5.875" style="1767" customWidth="1"/>
    <col min="6" max="6" width="27" style="1768" customWidth="1"/>
    <col min="7" max="7" width="27" style="1769" customWidth="1"/>
    <col min="8" max="8" width="11.875" style="1747" customWidth="1"/>
    <col min="9" max="9" width="16.75" style="1748" customWidth="1"/>
    <col min="10" max="10" width="2.625" style="1747" customWidth="1"/>
    <col min="11" max="11" width="11.875" style="1747" customWidth="1"/>
    <col min="12" max="12" width="16.75" style="1748" customWidth="1"/>
    <col min="13" max="13" width="2.625" style="1747" customWidth="1"/>
    <col min="14" max="14" width="11.875" style="1747" customWidth="1"/>
    <col min="15" max="15" width="16.75" style="1748" customWidth="1"/>
    <col min="16" max="16" width="2.625" style="1747" customWidth="1"/>
    <col min="17" max="17" width="11.875" style="1747" customWidth="1"/>
    <col min="18" max="18" width="16.75" style="1749" customWidth="1"/>
    <col min="19" max="29" width="9" style="1719"/>
    <col min="30" max="16384" width="9" style="1720"/>
  </cols>
  <sheetData>
    <row r="1" spans="1:29" s="1713" customFormat="1" ht="19.5" thickBot="1">
      <c r="A1" s="3731" t="s">
        <v>2086</v>
      </c>
      <c r="B1" s="3732"/>
      <c r="C1" s="3732"/>
      <c r="D1" s="3732"/>
      <c r="E1" s="3732"/>
      <c r="F1" s="3732"/>
      <c r="G1" s="3732"/>
      <c r="H1" s="1708"/>
      <c r="I1" s="1709"/>
      <c r="J1" s="1708"/>
      <c r="K1" s="1708"/>
      <c r="L1" s="1709"/>
      <c r="M1" s="1708"/>
      <c r="N1" s="1708"/>
      <c r="O1" s="1709"/>
      <c r="P1" s="1708"/>
      <c r="Q1" s="1710"/>
      <c r="R1" s="1711"/>
      <c r="S1" s="1712"/>
      <c r="T1" s="1712"/>
      <c r="U1" s="1712"/>
      <c r="V1" s="1712"/>
      <c r="W1" s="1712"/>
      <c r="X1" s="1712"/>
      <c r="Y1" s="1712"/>
      <c r="Z1" s="1712"/>
      <c r="AA1" s="1712"/>
      <c r="AB1" s="1712"/>
      <c r="AC1" s="1712"/>
    </row>
    <row r="2" spans="1:29" ht="15.75" thickBot="1">
      <c r="A2" s="1714"/>
      <c r="B2" s="1715"/>
      <c r="C2" s="1716" t="s">
        <v>2087</v>
      </c>
      <c r="D2" s="1717"/>
      <c r="E2" s="1718"/>
      <c r="F2" s="1693"/>
      <c r="G2" s="1716" t="s">
        <v>2088</v>
      </c>
      <c r="H2" s="1719"/>
      <c r="I2" s="1719"/>
      <c r="J2" s="1719"/>
      <c r="K2" s="1719"/>
      <c r="L2" s="1719"/>
      <c r="M2" s="1719"/>
      <c r="N2" s="1719"/>
      <c r="O2" s="1719"/>
      <c r="P2" s="1719"/>
      <c r="Q2" s="1719"/>
      <c r="R2" s="1719"/>
    </row>
    <row r="3" spans="1:29" ht="54">
      <c r="A3" s="239" t="s">
        <v>2089</v>
      </c>
      <c r="B3" s="951" t="s">
        <v>2090</v>
      </c>
      <c r="C3" s="1721" t="s">
        <v>2091</v>
      </c>
      <c r="D3" s="1722"/>
      <c r="E3" s="254" t="s">
        <v>2089</v>
      </c>
      <c r="F3" s="1723" t="s">
        <v>2092</v>
      </c>
      <c r="G3" s="1724" t="s">
        <v>2093</v>
      </c>
      <c r="H3" s="1719"/>
      <c r="I3" s="1719"/>
      <c r="J3" s="1719"/>
      <c r="K3" s="1719"/>
      <c r="L3" s="1719"/>
      <c r="M3" s="1719"/>
      <c r="N3" s="1719"/>
      <c r="O3" s="1719"/>
      <c r="P3" s="1719"/>
      <c r="Q3" s="1719"/>
      <c r="R3" s="1719"/>
    </row>
    <row r="4" spans="1:29" ht="41.25">
      <c r="A4" s="254"/>
      <c r="B4" s="1403" t="s">
        <v>2094</v>
      </c>
      <c r="C4" s="1725" t="s">
        <v>2095</v>
      </c>
      <c r="D4" s="1722"/>
      <c r="E4" s="1726"/>
      <c r="F4" s="35" t="s">
        <v>2096</v>
      </c>
      <c r="G4" s="1727" t="s">
        <v>2097</v>
      </c>
      <c r="H4" s="1719"/>
      <c r="I4" s="1719"/>
      <c r="J4" s="1719"/>
      <c r="K4" s="1719"/>
      <c r="L4" s="1719"/>
      <c r="M4" s="1719"/>
      <c r="N4" s="1719"/>
      <c r="O4" s="1719"/>
      <c r="P4" s="1719"/>
      <c r="Q4" s="1719"/>
      <c r="R4" s="1719"/>
    </row>
    <row r="5" spans="1:29" ht="41.25">
      <c r="A5" s="254"/>
      <c r="B5" s="1403" t="s">
        <v>2098</v>
      </c>
      <c r="C5" s="1725" t="s">
        <v>2099</v>
      </c>
      <c r="D5" s="1722"/>
      <c r="E5" s="1726"/>
      <c r="F5" s="1403" t="s">
        <v>2100</v>
      </c>
      <c r="G5" s="1727" t="s">
        <v>2101</v>
      </c>
      <c r="H5" s="1719"/>
      <c r="I5" s="1719"/>
      <c r="J5" s="1719"/>
      <c r="K5" s="1719"/>
      <c r="L5" s="1719"/>
      <c r="M5" s="1719"/>
      <c r="N5" s="1719"/>
      <c r="O5" s="1719"/>
      <c r="P5" s="1719"/>
      <c r="Q5" s="1719"/>
      <c r="R5" s="1719"/>
    </row>
    <row r="6" spans="1:29" ht="54">
      <c r="A6" s="254"/>
      <c r="B6" s="1403" t="s">
        <v>2102</v>
      </c>
      <c r="C6" s="1727" t="s">
        <v>2097</v>
      </c>
      <c r="D6" s="1722"/>
      <c r="E6" s="1726"/>
      <c r="F6" s="1403" t="s">
        <v>2103</v>
      </c>
      <c r="G6" s="1727" t="s">
        <v>2104</v>
      </c>
      <c r="H6" s="1719"/>
      <c r="I6" s="1719"/>
      <c r="J6" s="1719"/>
      <c r="K6" s="1719"/>
      <c r="L6" s="1719"/>
      <c r="M6" s="1719"/>
      <c r="N6" s="1719"/>
      <c r="O6" s="1719"/>
      <c r="P6" s="1719"/>
      <c r="Q6" s="1719"/>
      <c r="R6" s="1719"/>
    </row>
    <row r="7" spans="1:29" ht="41.25" thickBot="1">
      <c r="A7" s="254"/>
      <c r="B7" s="1403" t="s">
        <v>2100</v>
      </c>
      <c r="C7" s="1727" t="s">
        <v>2101</v>
      </c>
      <c r="D7" s="1728"/>
      <c r="E7" s="1729"/>
      <c r="F7" s="1730" t="s">
        <v>2105</v>
      </c>
      <c r="G7" s="1731" t="s">
        <v>2106</v>
      </c>
      <c r="H7" s="1719"/>
      <c r="I7" s="1719"/>
      <c r="J7" s="1719"/>
      <c r="K7" s="1719"/>
      <c r="L7" s="1719"/>
      <c r="M7" s="1719"/>
      <c r="N7" s="1719"/>
      <c r="O7" s="1719"/>
      <c r="P7" s="1719"/>
      <c r="Q7" s="1719"/>
      <c r="R7" s="1719"/>
    </row>
    <row r="8" spans="1:29" ht="27">
      <c r="A8" s="254"/>
      <c r="B8" s="1403" t="s">
        <v>2103</v>
      </c>
      <c r="C8" s="1727" t="s">
        <v>2104</v>
      </c>
      <c r="D8" s="1728"/>
      <c r="E8" s="1728"/>
      <c r="F8" s="878"/>
      <c r="G8" s="878"/>
      <c r="H8" s="1719"/>
      <c r="I8" s="1719"/>
      <c r="J8" s="1719"/>
      <c r="K8" s="1719"/>
      <c r="L8" s="1719"/>
      <c r="M8" s="1719"/>
      <c r="N8" s="1719"/>
      <c r="O8" s="1719"/>
      <c r="P8" s="1719"/>
      <c r="Q8" s="1719"/>
      <c r="R8" s="1719"/>
    </row>
    <row r="9" spans="1:29" ht="27">
      <c r="A9" s="254"/>
      <c r="B9" s="1403" t="s">
        <v>2107</v>
      </c>
      <c r="C9" s="1725" t="s">
        <v>2108</v>
      </c>
      <c r="D9" s="1722"/>
      <c r="E9" s="1728"/>
      <c r="F9" s="878"/>
      <c r="G9" s="878"/>
      <c r="H9" s="1719"/>
      <c r="I9" s="1719"/>
      <c r="J9" s="1719"/>
      <c r="K9" s="1719"/>
      <c r="L9" s="1719"/>
      <c r="M9" s="1719"/>
      <c r="N9" s="1719"/>
      <c r="O9" s="1719"/>
      <c r="P9" s="1719"/>
      <c r="Q9" s="1719"/>
      <c r="R9" s="1719"/>
    </row>
    <row r="10" spans="1:29" s="51" customFormat="1" ht="15.75" thickBot="1">
      <c r="A10" s="1732"/>
      <c r="B10" s="1733" t="s">
        <v>2109</v>
      </c>
      <c r="C10" s="1734"/>
      <c r="D10" s="1722"/>
      <c r="E10" s="1722"/>
      <c r="F10" s="878"/>
      <c r="G10" s="878"/>
      <c r="H10" s="1735"/>
      <c r="I10" s="1736"/>
      <c r="J10" s="1737"/>
      <c r="K10" s="1735"/>
      <c r="L10" s="1736"/>
      <c r="M10" s="1737"/>
      <c r="N10" s="1735"/>
      <c r="O10" s="1736"/>
      <c r="P10" s="1737"/>
      <c r="Q10" s="1735"/>
      <c r="R10" s="1736"/>
      <c r="S10" s="1719"/>
      <c r="T10" s="1719"/>
      <c r="U10" s="1719"/>
      <c r="V10" s="1719"/>
      <c r="W10" s="1719"/>
      <c r="X10" s="1719"/>
      <c r="Y10" s="1719"/>
      <c r="Z10" s="1719"/>
      <c r="AA10" s="1719"/>
      <c r="AB10" s="1719"/>
      <c r="AC10" s="1719"/>
    </row>
    <row r="11" spans="1:29" s="51" customFormat="1" ht="15">
      <c r="A11" s="1738"/>
      <c r="B11" s="1728"/>
      <c r="C11" s="1722"/>
      <c r="D11" s="1722"/>
      <c r="E11" s="1722"/>
      <c r="F11" s="1728"/>
      <c r="G11" s="896"/>
      <c r="H11" s="1735"/>
      <c r="I11" s="1736"/>
      <c r="J11" s="1737"/>
      <c r="K11" s="1735"/>
      <c r="L11" s="1736"/>
      <c r="M11" s="1737"/>
      <c r="N11" s="1735"/>
      <c r="O11" s="1736"/>
      <c r="P11" s="1737"/>
      <c r="Q11" s="1735"/>
      <c r="R11" s="1736"/>
      <c r="S11" s="1719"/>
      <c r="T11" s="1719"/>
      <c r="U11" s="1719"/>
      <c r="V11" s="1719"/>
      <c r="W11" s="1719"/>
      <c r="X11" s="1719"/>
      <c r="Y11" s="1719"/>
      <c r="Z11" s="1719"/>
      <c r="AA11" s="1719"/>
      <c r="AB11" s="1719"/>
      <c r="AC11" s="1719"/>
    </row>
    <row r="12" spans="1:29" s="1713" customFormat="1" ht="18">
      <c r="A12" s="1738"/>
      <c r="B12" s="1728"/>
      <c r="C12" s="1722"/>
      <c r="D12" s="1739"/>
      <c r="E12" s="1722"/>
      <c r="F12" s="1728"/>
      <c r="G12" s="896"/>
      <c r="H12" s="1740"/>
      <c r="I12" s="1741"/>
      <c r="J12" s="1740"/>
      <c r="K12" s="1740"/>
      <c r="L12" s="1742"/>
      <c r="M12" s="1740"/>
      <c r="N12" s="1743"/>
      <c r="O12" s="1744"/>
      <c r="P12" s="1743"/>
      <c r="Q12" s="1743"/>
      <c r="R12" s="1711"/>
      <c r="S12" s="1712"/>
      <c r="T12" s="1712"/>
      <c r="U12" s="1712"/>
      <c r="V12" s="1712"/>
      <c r="W12" s="1712"/>
      <c r="X12" s="1712"/>
      <c r="Y12" s="1712"/>
      <c r="Z12" s="1712"/>
      <c r="AA12" s="1712"/>
      <c r="AB12" s="1712"/>
      <c r="AC12" s="1712"/>
    </row>
    <row r="13" spans="1:29" ht="19.5" thickBot="1">
      <c r="A13" s="1745" t="s">
        <v>2110</v>
      </c>
      <c r="B13" s="1739"/>
      <c r="C13" s="1739"/>
      <c r="D13" s="1746"/>
      <c r="E13" s="1739"/>
      <c r="F13" s="1739"/>
      <c r="G13" s="1739"/>
    </row>
    <row r="14" spans="1:29" ht="15.75" thickBot="1">
      <c r="A14" s="1750"/>
      <c r="B14" s="1751"/>
      <c r="C14" s="1752" t="s">
        <v>2111</v>
      </c>
      <c r="D14" s="1722"/>
      <c r="E14" s="1753"/>
      <c r="F14" s="1753"/>
      <c r="G14" s="1716" t="s">
        <v>2112</v>
      </c>
    </row>
    <row r="15" spans="1:29" ht="57">
      <c r="A15" s="42" t="s">
        <v>2113</v>
      </c>
      <c r="B15" s="950" t="s">
        <v>2090</v>
      </c>
      <c r="C15" s="1754" t="str">
        <f>C3</f>
        <v>估价对象周边居住用地比例、居住小区规模和社区发展完善程度，综合评价居住社区成熟度一般</v>
      </c>
      <c r="D15" s="1722"/>
      <c r="E15" s="1755" t="s">
        <v>2114</v>
      </c>
      <c r="F15" s="950" t="s">
        <v>2115</v>
      </c>
      <c r="G15" s="52" t="str">
        <f>G3</f>
        <v>估价对象位于XX开发区，园区建设成熟度XX，产业集聚程度XX</v>
      </c>
    </row>
    <row r="16" spans="1:29" ht="42.75">
      <c r="A16" s="465"/>
      <c r="B16" s="1756" t="s">
        <v>2094</v>
      </c>
      <c r="C16" s="1757" t="str">
        <f>C4</f>
        <v>估价对象位于XX商圈，周边商业氛围成熟，人流量大，商业繁华度好</v>
      </c>
      <c r="D16" s="1722"/>
      <c r="E16" s="1758"/>
      <c r="F16" s="1759" t="s">
        <v>2096</v>
      </c>
      <c r="G16" s="53" t="str">
        <f>G4</f>
        <v>估价对象周边道路状况、公共交通通达情况、停车便捷程度，综合评价交通便捷度较好</v>
      </c>
    </row>
    <row r="17" spans="1:18" ht="42.75">
      <c r="A17" s="465"/>
      <c r="B17" s="1756" t="s">
        <v>2098</v>
      </c>
      <c r="C17" s="1757" t="str">
        <f>C5</f>
        <v>估价对象位于XX商圈，周边办公楼项目较多，入驻率高，办公集聚程度较好</v>
      </c>
      <c r="D17" s="1728"/>
      <c r="E17" s="1758"/>
      <c r="F17" s="1759" t="s">
        <v>2116</v>
      </c>
      <c r="G17" s="1232"/>
    </row>
    <row r="18" spans="1:18" ht="57">
      <c r="A18" s="465"/>
      <c r="B18" s="1759" t="s">
        <v>2102</v>
      </c>
      <c r="C18" s="53" t="str">
        <f>C6</f>
        <v>估价对象周边道路状况、公共交通通达情况、停车便捷程度，综合评价交通便捷度较好</v>
      </c>
      <c r="D18" s="1728"/>
      <c r="E18" s="1758"/>
      <c r="F18" s="1759" t="s">
        <v>2105</v>
      </c>
      <c r="G18" s="53" t="str">
        <f>G7</f>
        <v>该园区内是否有污染型企业，绿化情况，卫生条件，整体环境状况判断</v>
      </c>
    </row>
    <row r="19" spans="1:18" ht="28.5">
      <c r="A19" s="465"/>
      <c r="B19" s="1759" t="s">
        <v>2117</v>
      </c>
      <c r="C19" s="1232"/>
      <c r="D19" s="1722"/>
      <c r="E19" s="1758"/>
      <c r="F19" s="1403" t="s">
        <v>2100</v>
      </c>
      <c r="G19" s="53" t="str">
        <f>G5</f>
        <v>估价对象所在区域公共配套设施齐备情况</v>
      </c>
    </row>
    <row r="20" spans="1:18" ht="28.5">
      <c r="A20" s="465"/>
      <c r="B20" s="1759" t="s">
        <v>2118</v>
      </c>
      <c r="C20" s="1757" t="str">
        <f>C9</f>
        <v>区域自然环境：；人文环境；综合评价环境状况一般</v>
      </c>
      <c r="D20" s="1728"/>
      <c r="E20" s="1758"/>
      <c r="F20" s="1403" t="s">
        <v>2119</v>
      </c>
      <c r="G20" s="53" t="str">
        <f>G6</f>
        <v>估价对象所在区域基础设施水平</v>
      </c>
    </row>
    <row r="21" spans="1:18" ht="28.5">
      <c r="A21" s="465"/>
      <c r="B21" s="1403" t="s">
        <v>2100</v>
      </c>
      <c r="C21" s="53" t="str">
        <f>C7</f>
        <v>估价对象所在区域公共配套设施齐备情况</v>
      </c>
      <c r="D21" s="1722"/>
      <c r="E21" s="1758"/>
      <c r="F21" s="1759" t="s">
        <v>2120</v>
      </c>
      <c r="G21" s="1760"/>
    </row>
    <row r="22" spans="1:18" ht="13.5" customHeight="1">
      <c r="A22" s="465"/>
      <c r="B22" s="1403" t="s">
        <v>2103</v>
      </c>
      <c r="C22" s="53" t="str">
        <f>C8</f>
        <v>估价对象所在区域基础设施水平</v>
      </c>
      <c r="D22" s="1722"/>
      <c r="E22" s="1758"/>
      <c r="F22" s="1759" t="s">
        <v>2109</v>
      </c>
      <c r="G22" s="1232"/>
    </row>
    <row r="23" spans="1:18" s="1719" customFormat="1" ht="15.75" thickBot="1">
      <c r="A23" s="465"/>
      <c r="B23" s="1759" t="s">
        <v>2120</v>
      </c>
      <c r="C23" s="1760"/>
      <c r="D23" s="1747"/>
      <c r="E23" s="1761"/>
      <c r="F23" s="1762" t="s">
        <v>2121</v>
      </c>
      <c r="G23" s="1763"/>
      <c r="H23" s="1747"/>
      <c r="I23" s="1748"/>
      <c r="J23" s="1747"/>
      <c r="K23" s="1747"/>
      <c r="L23" s="1748"/>
      <c r="M23" s="1747"/>
      <c r="N23" s="1747"/>
      <c r="O23" s="1748"/>
      <c r="P23" s="1747"/>
      <c r="Q23" s="1747"/>
      <c r="R23" s="1749"/>
    </row>
    <row r="24" spans="1:18" s="1719" customFormat="1" ht="15.75" thickBot="1">
      <c r="A24" s="1764"/>
      <c r="B24" s="1762" t="s">
        <v>2122</v>
      </c>
      <c r="C24" s="54">
        <f>C10</f>
        <v>0</v>
      </c>
      <c r="D24" s="1747"/>
      <c r="E24" s="1765"/>
      <c r="F24" s="1765"/>
      <c r="G24" s="1766"/>
      <c r="H24" s="1747"/>
      <c r="I24" s="1748"/>
      <c r="J24" s="1747"/>
      <c r="K24" s="1747"/>
      <c r="L24" s="1748"/>
      <c r="M24" s="1747"/>
      <c r="N24" s="1747"/>
      <c r="O24" s="1748"/>
      <c r="P24" s="1747"/>
      <c r="Q24" s="1747"/>
      <c r="R24" s="1749"/>
    </row>
    <row r="25" spans="1:18" s="1719" customFormat="1">
      <c r="B25" s="1747"/>
      <c r="C25" s="1747"/>
      <c r="D25" s="1747"/>
      <c r="H25" s="1747"/>
      <c r="I25" s="1748"/>
      <c r="J25" s="1747"/>
      <c r="K25" s="1747"/>
      <c r="L25" s="1748"/>
      <c r="M25" s="1747"/>
      <c r="N25" s="1747"/>
      <c r="O25" s="1748"/>
      <c r="P25" s="1747"/>
      <c r="Q25" s="1747"/>
      <c r="R25" s="1749"/>
    </row>
    <row r="26" spans="1:18" s="1719" customFormat="1">
      <c r="B26" s="1747"/>
      <c r="C26" s="1747"/>
      <c r="D26" s="1747"/>
      <c r="H26" s="1747"/>
      <c r="I26" s="1748"/>
      <c r="J26" s="1747"/>
      <c r="K26" s="1747"/>
      <c r="L26" s="1748"/>
      <c r="M26" s="1747"/>
      <c r="N26" s="1747"/>
      <c r="O26" s="1748"/>
      <c r="P26" s="1747"/>
      <c r="Q26" s="1747"/>
      <c r="R26" s="1749"/>
    </row>
    <row r="27" spans="1:18" s="1719" customFormat="1">
      <c r="B27" s="1747"/>
      <c r="C27" s="1747"/>
      <c r="D27" s="1747"/>
      <c r="H27" s="1747"/>
      <c r="I27" s="1748"/>
      <c r="J27" s="1747"/>
      <c r="K27" s="1747"/>
      <c r="L27" s="1748"/>
      <c r="M27" s="1747"/>
      <c r="N27" s="1747"/>
      <c r="O27" s="1748"/>
      <c r="P27" s="1747"/>
      <c r="Q27" s="1747"/>
      <c r="R27" s="1749"/>
    </row>
    <row r="28" spans="1:18" s="1719" customFormat="1">
      <c r="B28" s="1747"/>
      <c r="C28" s="1747"/>
      <c r="D28" s="1747"/>
      <c r="H28" s="1747"/>
      <c r="I28" s="1748"/>
      <c r="J28" s="1747"/>
      <c r="K28" s="1747"/>
      <c r="L28" s="1748"/>
      <c r="M28" s="1747"/>
      <c r="N28" s="1747"/>
      <c r="O28" s="1748"/>
      <c r="P28" s="1747"/>
      <c r="Q28" s="1747"/>
      <c r="R28" s="1749"/>
    </row>
    <row r="29" spans="1:18" s="1719" customFormat="1">
      <c r="B29" s="1747"/>
      <c r="C29" s="1747"/>
      <c r="D29" s="1747"/>
      <c r="H29" s="1747"/>
      <c r="I29" s="1748"/>
      <c r="J29" s="1747"/>
      <c r="K29" s="1747"/>
      <c r="L29" s="1748"/>
      <c r="M29" s="1747"/>
      <c r="N29" s="1747"/>
      <c r="O29" s="1748"/>
      <c r="P29" s="1747"/>
      <c r="Q29" s="1747"/>
      <c r="R29" s="1749"/>
    </row>
    <row r="30" spans="1:18" s="1719" customFormat="1">
      <c r="B30" s="1747"/>
      <c r="C30" s="1747"/>
      <c r="D30" s="1747"/>
      <c r="H30" s="1747"/>
      <c r="I30" s="1748"/>
      <c r="J30" s="1747"/>
      <c r="K30" s="1747"/>
      <c r="L30" s="1748"/>
      <c r="M30" s="1747"/>
      <c r="N30" s="1747"/>
      <c r="O30" s="1748"/>
      <c r="P30" s="1747"/>
      <c r="Q30" s="1747"/>
      <c r="R30" s="1749"/>
    </row>
    <row r="31" spans="1:18" s="1719" customFormat="1">
      <c r="B31" s="1747"/>
      <c r="C31" s="1747"/>
      <c r="D31" s="1747"/>
      <c r="H31" s="1747"/>
      <c r="I31" s="1748"/>
      <c r="J31" s="1747"/>
      <c r="K31" s="1747"/>
      <c r="L31" s="1748"/>
      <c r="M31" s="1747"/>
      <c r="N31" s="1747"/>
      <c r="O31" s="1748"/>
      <c r="P31" s="1747"/>
      <c r="Q31" s="1747"/>
      <c r="R31" s="1749"/>
    </row>
    <row r="32" spans="1:18" s="1719" customFormat="1">
      <c r="B32" s="1747"/>
      <c r="C32" s="1747"/>
      <c r="D32" s="1747"/>
      <c r="H32" s="1747"/>
      <c r="I32" s="1748"/>
      <c r="J32" s="1747"/>
      <c r="K32" s="1747"/>
      <c r="L32" s="1748"/>
      <c r="M32" s="1747"/>
      <c r="N32" s="1747"/>
      <c r="O32" s="1748"/>
      <c r="P32" s="1747"/>
      <c r="Q32" s="1747"/>
      <c r="R32" s="1749"/>
    </row>
    <row r="33" spans="2:18" s="1719" customFormat="1">
      <c r="B33" s="1747"/>
      <c r="C33" s="1747"/>
      <c r="D33" s="1747"/>
      <c r="H33" s="1747"/>
      <c r="I33" s="1748"/>
      <c r="J33" s="1747"/>
      <c r="K33" s="1747"/>
      <c r="L33" s="1748"/>
      <c r="M33" s="1747"/>
      <c r="N33" s="1747"/>
      <c r="O33" s="1748"/>
      <c r="P33" s="1747"/>
      <c r="Q33" s="1747"/>
      <c r="R33" s="1749"/>
    </row>
    <row r="34" spans="2:18" s="1719" customFormat="1">
      <c r="B34" s="1747"/>
      <c r="C34" s="1747"/>
      <c r="D34" s="1747"/>
      <c r="H34" s="1747"/>
      <c r="I34" s="1748"/>
      <c r="J34" s="1747"/>
      <c r="K34" s="1747"/>
      <c r="L34" s="1748"/>
      <c r="M34" s="1747"/>
      <c r="N34" s="1747"/>
      <c r="O34" s="1748"/>
      <c r="P34" s="1747"/>
      <c r="Q34" s="1747"/>
      <c r="R34" s="1749"/>
    </row>
    <row r="35" spans="2:18" s="1719" customFormat="1">
      <c r="B35" s="1747"/>
      <c r="C35" s="1747"/>
      <c r="D35" s="1747"/>
      <c r="H35" s="1747"/>
      <c r="I35" s="1748"/>
      <c r="J35" s="1747"/>
      <c r="K35" s="1747"/>
      <c r="L35" s="1748"/>
      <c r="M35" s="1747"/>
      <c r="N35" s="1747"/>
      <c r="O35" s="1748"/>
      <c r="P35" s="1747"/>
      <c r="Q35" s="1747"/>
      <c r="R35" s="1749"/>
    </row>
    <row r="36" spans="2:18" s="1719" customFormat="1">
      <c r="B36" s="1747"/>
      <c r="C36" s="1747"/>
      <c r="D36" s="1747"/>
      <c r="H36" s="1747"/>
      <c r="I36" s="1748"/>
      <c r="J36" s="1747"/>
      <c r="K36" s="1747"/>
      <c r="L36" s="1748"/>
      <c r="M36" s="1747"/>
      <c r="N36" s="1747"/>
      <c r="O36" s="1748"/>
      <c r="P36" s="1747"/>
      <c r="Q36" s="1747"/>
      <c r="R36" s="1749"/>
    </row>
    <row r="37" spans="2:18" s="1719" customFormat="1">
      <c r="B37" s="1747"/>
      <c r="C37" s="1747"/>
      <c r="D37" s="1747"/>
      <c r="H37" s="1747"/>
      <c r="I37" s="1748"/>
      <c r="J37" s="1747"/>
      <c r="K37" s="1747"/>
      <c r="L37" s="1748"/>
      <c r="M37" s="1747"/>
      <c r="N37" s="1747"/>
      <c r="O37" s="1748"/>
      <c r="P37" s="1747"/>
      <c r="Q37" s="1747"/>
      <c r="R37" s="1749"/>
    </row>
    <row r="38" spans="2:18" s="1719" customFormat="1">
      <c r="B38" s="1747"/>
      <c r="C38" s="1747"/>
      <c r="D38" s="1747"/>
      <c r="E38" s="1747"/>
      <c r="F38" s="1747"/>
      <c r="G38" s="1748"/>
      <c r="H38" s="1747"/>
      <c r="I38" s="1748"/>
      <c r="J38" s="1747"/>
      <c r="K38" s="1747"/>
      <c r="L38" s="1748"/>
      <c r="M38" s="1747"/>
      <c r="N38" s="1747"/>
      <c r="O38" s="1748"/>
      <c r="P38" s="1747"/>
      <c r="Q38" s="1747"/>
      <c r="R38" s="1749"/>
    </row>
    <row r="39" spans="2:18" s="1719" customFormat="1">
      <c r="B39" s="1747"/>
      <c r="C39" s="1747"/>
      <c r="D39" s="1747"/>
      <c r="E39" s="1747"/>
      <c r="F39" s="1747"/>
      <c r="G39" s="1748"/>
      <c r="H39" s="1747"/>
      <c r="I39" s="1748"/>
      <c r="J39" s="1747"/>
      <c r="K39" s="1747"/>
      <c r="L39" s="1748"/>
      <c r="M39" s="1747"/>
      <c r="N39" s="1747"/>
      <c r="O39" s="1748"/>
      <c r="P39" s="1747"/>
      <c r="Q39" s="1747"/>
      <c r="R39" s="1749"/>
    </row>
    <row r="40" spans="2:18" s="1719" customFormat="1">
      <c r="B40" s="1747"/>
      <c r="C40" s="1747"/>
      <c r="D40" s="1747"/>
      <c r="E40" s="1747"/>
      <c r="F40" s="1747"/>
      <c r="G40" s="1748"/>
      <c r="H40" s="1747"/>
      <c r="I40" s="1748"/>
      <c r="J40" s="1747"/>
      <c r="K40" s="1747"/>
      <c r="L40" s="1748"/>
      <c r="M40" s="1747"/>
      <c r="N40" s="1747"/>
      <c r="O40" s="1748"/>
      <c r="P40" s="1747"/>
      <c r="Q40" s="1747"/>
      <c r="R40" s="1749"/>
    </row>
    <row r="41" spans="2:18" s="1719" customFormat="1">
      <c r="B41" s="1747"/>
      <c r="C41" s="1747"/>
      <c r="D41" s="1747"/>
      <c r="E41" s="1747"/>
      <c r="F41" s="1747"/>
      <c r="G41" s="1748"/>
      <c r="H41" s="1747"/>
      <c r="I41" s="1748"/>
      <c r="J41" s="1747"/>
      <c r="K41" s="1747"/>
      <c r="L41" s="1748"/>
      <c r="M41" s="1747"/>
      <c r="N41" s="1747"/>
      <c r="O41" s="1748"/>
      <c r="P41" s="1747"/>
      <c r="Q41" s="1747"/>
      <c r="R41" s="1749"/>
    </row>
    <row r="42" spans="2:18" s="1719" customFormat="1">
      <c r="B42" s="1747"/>
      <c r="C42" s="1747"/>
      <c r="D42" s="1747"/>
      <c r="E42" s="1747"/>
      <c r="F42" s="1747"/>
      <c r="G42" s="1748"/>
      <c r="H42" s="1747"/>
      <c r="I42" s="1748"/>
      <c r="J42" s="1747"/>
      <c r="K42" s="1747"/>
      <c r="L42" s="1748"/>
      <c r="M42" s="1747"/>
      <c r="N42" s="1747"/>
      <c r="O42" s="1748"/>
      <c r="P42" s="1747"/>
      <c r="Q42" s="1747"/>
      <c r="R42" s="1749"/>
    </row>
    <row r="43" spans="2:18" s="1719" customFormat="1">
      <c r="B43" s="1747"/>
      <c r="C43" s="1747"/>
      <c r="D43" s="1747"/>
      <c r="E43" s="1747"/>
      <c r="F43" s="1747"/>
      <c r="G43" s="1748"/>
      <c r="H43" s="1747"/>
      <c r="I43" s="1748"/>
      <c r="J43" s="1747"/>
      <c r="K43" s="1747"/>
      <c r="L43" s="1748"/>
      <c r="M43" s="1747"/>
      <c r="N43" s="1747"/>
      <c r="O43" s="1748"/>
      <c r="P43" s="1747"/>
      <c r="Q43" s="1747"/>
      <c r="R43" s="1749"/>
    </row>
    <row r="44" spans="2:18" s="1719" customFormat="1">
      <c r="B44" s="1747"/>
      <c r="C44" s="1747"/>
      <c r="D44" s="1747"/>
      <c r="E44" s="1747"/>
      <c r="F44" s="1747"/>
      <c r="G44" s="1748"/>
      <c r="H44" s="1747"/>
      <c r="I44" s="1748"/>
      <c r="J44" s="1747"/>
      <c r="K44" s="1747"/>
      <c r="L44" s="1748"/>
      <c r="M44" s="1747"/>
      <c r="N44" s="1747"/>
      <c r="O44" s="1748"/>
      <c r="P44" s="1747"/>
      <c r="Q44" s="1747"/>
      <c r="R44" s="1749"/>
    </row>
    <row r="45" spans="2:18" s="1719" customFormat="1">
      <c r="B45" s="1747"/>
      <c r="C45" s="1747"/>
      <c r="D45" s="1747"/>
      <c r="E45" s="1747"/>
      <c r="F45" s="1747"/>
      <c r="G45" s="1748"/>
      <c r="H45" s="1747"/>
      <c r="I45" s="1748"/>
      <c r="J45" s="1747"/>
      <c r="K45" s="1747"/>
      <c r="L45" s="1748"/>
      <c r="M45" s="1747"/>
      <c r="N45" s="1747"/>
      <c r="O45" s="1748"/>
      <c r="P45" s="1747"/>
      <c r="Q45" s="1747"/>
      <c r="R45" s="1749"/>
    </row>
    <row r="46" spans="2:18" s="1719" customFormat="1">
      <c r="B46" s="1747"/>
      <c r="C46" s="1747"/>
      <c r="D46" s="1747"/>
      <c r="E46" s="1747"/>
      <c r="F46" s="1747"/>
      <c r="G46" s="1748"/>
      <c r="H46" s="1747"/>
      <c r="I46" s="1748"/>
      <c r="J46" s="1747"/>
      <c r="K46" s="1747"/>
      <c r="L46" s="1748"/>
      <c r="M46" s="1747"/>
      <c r="N46" s="1747"/>
      <c r="O46" s="1748"/>
      <c r="P46" s="1747"/>
      <c r="Q46" s="1747"/>
      <c r="R46" s="1749"/>
    </row>
    <row r="47" spans="2:18" s="1719" customFormat="1">
      <c r="B47" s="1747"/>
      <c r="C47" s="1747"/>
      <c r="D47" s="1747"/>
      <c r="E47" s="1747"/>
      <c r="F47" s="1747"/>
      <c r="G47" s="1748"/>
      <c r="H47" s="1747"/>
      <c r="I47" s="1748"/>
      <c r="J47" s="1747"/>
      <c r="K47" s="1747"/>
      <c r="L47" s="1748"/>
      <c r="M47" s="1747"/>
      <c r="N47" s="1747"/>
      <c r="O47" s="1748"/>
      <c r="P47" s="1747"/>
      <c r="Q47" s="1747"/>
      <c r="R47" s="1749"/>
    </row>
    <row r="48" spans="2:18" s="1719" customFormat="1">
      <c r="B48" s="1747"/>
      <c r="C48" s="1747"/>
      <c r="D48" s="1747"/>
      <c r="E48" s="1747"/>
      <c r="F48" s="1747"/>
      <c r="G48" s="1748"/>
      <c r="H48" s="1747"/>
      <c r="I48" s="1748"/>
      <c r="J48" s="1747"/>
      <c r="K48" s="1747"/>
      <c r="L48" s="1748"/>
      <c r="M48" s="1747"/>
      <c r="N48" s="1747"/>
      <c r="O48" s="1748"/>
      <c r="P48" s="1747"/>
      <c r="Q48" s="1747"/>
      <c r="R48" s="1749"/>
    </row>
    <row r="49" spans="2:18" s="1719" customFormat="1">
      <c r="B49" s="1747"/>
      <c r="C49" s="1747"/>
      <c r="D49" s="1747"/>
      <c r="E49" s="1747"/>
      <c r="F49" s="1747"/>
      <c r="G49" s="1748"/>
      <c r="H49" s="1747"/>
      <c r="I49" s="1748"/>
      <c r="J49" s="1747"/>
      <c r="K49" s="1747"/>
      <c r="L49" s="1748"/>
      <c r="M49" s="1747"/>
      <c r="N49" s="1747"/>
      <c r="O49" s="1748"/>
      <c r="P49" s="1747"/>
      <c r="Q49" s="1747"/>
      <c r="R49" s="1749"/>
    </row>
    <row r="50" spans="2:18" s="1719" customFormat="1">
      <c r="B50" s="1747"/>
      <c r="C50" s="1747"/>
      <c r="D50" s="1747"/>
      <c r="E50" s="1747"/>
      <c r="F50" s="1747"/>
      <c r="G50" s="1748"/>
      <c r="H50" s="1747"/>
      <c r="I50" s="1748"/>
      <c r="J50" s="1747"/>
      <c r="K50" s="1747"/>
      <c r="L50" s="1748"/>
      <c r="M50" s="1747"/>
      <c r="N50" s="1747"/>
      <c r="O50" s="1748"/>
      <c r="P50" s="1747"/>
      <c r="Q50" s="1747"/>
      <c r="R50" s="1749"/>
    </row>
    <row r="51" spans="2:18" s="1719" customFormat="1">
      <c r="B51" s="1747"/>
      <c r="C51" s="1747"/>
      <c r="D51" s="1747"/>
      <c r="E51" s="1747"/>
      <c r="F51" s="1747"/>
      <c r="G51" s="1748"/>
      <c r="H51" s="1747"/>
      <c r="I51" s="1748"/>
      <c r="J51" s="1747"/>
      <c r="K51" s="1747"/>
      <c r="L51" s="1748"/>
      <c r="M51" s="1747"/>
      <c r="N51" s="1747"/>
      <c r="O51" s="1748"/>
      <c r="P51" s="1747"/>
      <c r="Q51" s="1747"/>
      <c r="R51" s="1749"/>
    </row>
    <row r="52" spans="2:18" s="1719" customFormat="1">
      <c r="B52" s="1747"/>
      <c r="C52" s="1747"/>
      <c r="D52" s="1747"/>
      <c r="E52" s="1747"/>
      <c r="F52" s="1747"/>
      <c r="G52" s="1748"/>
      <c r="H52" s="1747"/>
      <c r="I52" s="1748"/>
      <c r="J52" s="1747"/>
      <c r="K52" s="1747"/>
      <c r="L52" s="1748"/>
      <c r="M52" s="1747"/>
      <c r="N52" s="1747"/>
      <c r="O52" s="1748"/>
      <c r="P52" s="1747"/>
      <c r="Q52" s="1747"/>
      <c r="R52" s="1749"/>
    </row>
    <row r="53" spans="2:18" s="1719" customFormat="1">
      <c r="B53" s="1747"/>
      <c r="C53" s="1747"/>
      <c r="D53" s="1747"/>
      <c r="E53" s="1747"/>
      <c r="F53" s="1747"/>
      <c r="G53" s="1748"/>
      <c r="H53" s="1747"/>
      <c r="I53" s="1748"/>
      <c r="J53" s="1747"/>
      <c r="K53" s="1747"/>
      <c r="L53" s="1748"/>
      <c r="M53" s="1747"/>
      <c r="N53" s="1747"/>
      <c r="O53" s="1748"/>
      <c r="P53" s="1747"/>
      <c r="Q53" s="1747"/>
      <c r="R53" s="1749"/>
    </row>
    <row r="54" spans="2:18" s="1719" customFormat="1">
      <c r="B54" s="1747"/>
      <c r="C54" s="1747"/>
      <c r="D54" s="1747"/>
      <c r="E54" s="1747"/>
      <c r="F54" s="1747"/>
      <c r="G54" s="1748"/>
      <c r="H54" s="1747"/>
      <c r="I54" s="1748"/>
      <c r="J54" s="1747"/>
      <c r="K54" s="1747"/>
      <c r="L54" s="1748"/>
      <c r="M54" s="1747"/>
      <c r="N54" s="1747"/>
      <c r="O54" s="1748"/>
      <c r="P54" s="1747"/>
      <c r="Q54" s="1747"/>
      <c r="R54" s="1749"/>
    </row>
    <row r="55" spans="2:18" s="1719" customFormat="1">
      <c r="B55" s="1747"/>
      <c r="C55" s="1747"/>
      <c r="D55" s="1747"/>
      <c r="E55" s="1747"/>
      <c r="F55" s="1747"/>
      <c r="G55" s="1748"/>
      <c r="H55" s="1747"/>
      <c r="I55" s="1748"/>
      <c r="J55" s="1747"/>
      <c r="K55" s="1747"/>
      <c r="L55" s="1748"/>
      <c r="M55" s="1747"/>
      <c r="N55" s="1747"/>
      <c r="O55" s="1748"/>
      <c r="P55" s="1747"/>
      <c r="Q55" s="1747"/>
      <c r="R55" s="1749"/>
    </row>
    <row r="56" spans="2:18" s="1719" customFormat="1">
      <c r="B56" s="1747"/>
      <c r="C56" s="1747"/>
      <c r="D56" s="1747"/>
      <c r="E56" s="1747"/>
      <c r="F56" s="1747"/>
      <c r="G56" s="1748"/>
      <c r="H56" s="1747"/>
      <c r="I56" s="1748"/>
      <c r="J56" s="1747"/>
      <c r="K56" s="1747"/>
      <c r="L56" s="1748"/>
      <c r="M56" s="1747"/>
      <c r="N56" s="1747"/>
      <c r="O56" s="1748"/>
      <c r="P56" s="1747"/>
      <c r="Q56" s="1747"/>
      <c r="R56" s="1749"/>
    </row>
    <row r="57" spans="2:18" s="1719" customFormat="1">
      <c r="B57" s="1747"/>
      <c r="C57" s="1747"/>
      <c r="D57" s="1747"/>
      <c r="E57" s="1747"/>
      <c r="F57" s="1747"/>
      <c r="G57" s="1748"/>
      <c r="H57" s="1747"/>
      <c r="I57" s="1748"/>
      <c r="J57" s="1747"/>
      <c r="K57" s="1747"/>
      <c r="L57" s="1748"/>
      <c r="M57" s="1747"/>
      <c r="N57" s="1747"/>
      <c r="O57" s="1748"/>
      <c r="P57" s="1747"/>
      <c r="Q57" s="1747"/>
      <c r="R57" s="1749"/>
    </row>
    <row r="58" spans="2:18" s="1719" customFormat="1">
      <c r="B58" s="1747"/>
      <c r="C58" s="1747"/>
      <c r="D58" s="1747"/>
      <c r="E58" s="1747"/>
      <c r="F58" s="1747"/>
      <c r="G58" s="1748"/>
      <c r="H58" s="1747"/>
      <c r="I58" s="1748"/>
      <c r="J58" s="1747"/>
      <c r="K58" s="1747"/>
      <c r="L58" s="1748"/>
      <c r="M58" s="1747"/>
      <c r="N58" s="1747"/>
      <c r="O58" s="1748"/>
      <c r="P58" s="1747"/>
      <c r="Q58" s="1747"/>
      <c r="R58" s="1749"/>
    </row>
    <row r="59" spans="2:18" s="1719" customFormat="1">
      <c r="B59" s="1747"/>
      <c r="C59" s="1747"/>
      <c r="D59" s="1747"/>
      <c r="E59" s="1747"/>
      <c r="F59" s="1747"/>
      <c r="G59" s="1748"/>
      <c r="H59" s="1747"/>
      <c r="I59" s="1748"/>
      <c r="J59" s="1747"/>
      <c r="K59" s="1747"/>
      <c r="L59" s="1748"/>
      <c r="M59" s="1747"/>
      <c r="N59" s="1747"/>
      <c r="O59" s="1748"/>
      <c r="P59" s="1747"/>
      <c r="Q59" s="1747"/>
      <c r="R59" s="1749"/>
    </row>
    <row r="60" spans="2:18" s="1719" customFormat="1">
      <c r="B60" s="1747"/>
      <c r="C60" s="1747"/>
      <c r="D60" s="1747"/>
      <c r="E60" s="1747"/>
      <c r="F60" s="1747"/>
      <c r="G60" s="1748"/>
      <c r="H60" s="1747"/>
      <c r="I60" s="1748"/>
      <c r="J60" s="1747"/>
      <c r="K60" s="1747"/>
      <c r="L60" s="1748"/>
      <c r="M60" s="1747"/>
      <c r="N60" s="1747"/>
      <c r="O60" s="1748"/>
      <c r="P60" s="1747"/>
      <c r="Q60" s="1747"/>
      <c r="R60" s="1749"/>
    </row>
    <row r="61" spans="2:18" s="1719" customFormat="1">
      <c r="B61" s="1747"/>
      <c r="C61" s="1747"/>
      <c r="D61" s="1747"/>
      <c r="E61" s="1747"/>
      <c r="F61" s="1747"/>
      <c r="G61" s="1748"/>
      <c r="H61" s="1747"/>
      <c r="I61" s="1748"/>
      <c r="J61" s="1747"/>
      <c r="K61" s="1747"/>
      <c r="L61" s="1748"/>
      <c r="M61" s="1747"/>
      <c r="N61" s="1747"/>
      <c r="O61" s="1748"/>
      <c r="P61" s="1747"/>
      <c r="Q61" s="1747"/>
      <c r="R61" s="1749"/>
    </row>
    <row r="62" spans="2:18" s="1719" customFormat="1">
      <c r="B62" s="1747"/>
      <c r="C62" s="1747"/>
      <c r="D62" s="1747"/>
      <c r="E62" s="1747"/>
      <c r="F62" s="1747"/>
      <c r="G62" s="1748"/>
      <c r="H62" s="1747"/>
      <c r="I62" s="1748"/>
      <c r="J62" s="1747"/>
      <c r="K62" s="1747"/>
      <c r="L62" s="1748"/>
      <c r="M62" s="1747"/>
      <c r="N62" s="1747"/>
      <c r="O62" s="1748"/>
      <c r="P62" s="1747"/>
      <c r="Q62" s="1747"/>
      <c r="R62" s="1749"/>
    </row>
    <row r="63" spans="2:18" s="1719" customFormat="1">
      <c r="B63" s="1747"/>
      <c r="C63" s="1747"/>
      <c r="D63" s="1747"/>
      <c r="E63" s="1747"/>
      <c r="F63" s="1747"/>
      <c r="G63" s="1748"/>
      <c r="H63" s="1747"/>
      <c r="I63" s="1748"/>
      <c r="J63" s="1747"/>
      <c r="K63" s="1747"/>
      <c r="L63" s="1748"/>
      <c r="M63" s="1747"/>
      <c r="N63" s="1747"/>
      <c r="O63" s="1748"/>
      <c r="P63" s="1747"/>
      <c r="Q63" s="1747"/>
      <c r="R63" s="1749"/>
    </row>
    <row r="64" spans="2:18" s="1719" customFormat="1">
      <c r="B64" s="1747"/>
      <c r="C64" s="1747"/>
      <c r="D64" s="1747"/>
      <c r="E64" s="1747"/>
      <c r="F64" s="1747"/>
      <c r="G64" s="1748"/>
      <c r="H64" s="1747"/>
      <c r="I64" s="1748"/>
      <c r="J64" s="1747"/>
      <c r="K64" s="1747"/>
      <c r="L64" s="1748"/>
      <c r="M64" s="1747"/>
      <c r="N64" s="1747"/>
      <c r="O64" s="1748"/>
      <c r="P64" s="1747"/>
      <c r="Q64" s="1747"/>
      <c r="R64" s="1749"/>
    </row>
    <row r="65" spans="2:18" s="1719" customFormat="1">
      <c r="B65" s="1747"/>
      <c r="C65" s="1747"/>
      <c r="D65" s="1747"/>
      <c r="E65" s="1747"/>
      <c r="F65" s="1747"/>
      <c r="G65" s="1748"/>
      <c r="H65" s="1747"/>
      <c r="I65" s="1748"/>
      <c r="J65" s="1747"/>
      <c r="K65" s="1747"/>
      <c r="L65" s="1748"/>
      <c r="M65" s="1747"/>
      <c r="N65" s="1747"/>
      <c r="O65" s="1748"/>
      <c r="P65" s="1747"/>
      <c r="Q65" s="1747"/>
      <c r="R65" s="1749"/>
    </row>
    <row r="66" spans="2:18" s="1719" customFormat="1">
      <c r="B66" s="1747"/>
      <c r="C66" s="1747"/>
      <c r="D66" s="1747"/>
      <c r="E66" s="1747"/>
      <c r="F66" s="1747"/>
      <c r="G66" s="1748"/>
      <c r="H66" s="1747"/>
      <c r="I66" s="1748"/>
      <c r="J66" s="1747"/>
      <c r="K66" s="1747"/>
      <c r="L66" s="1748"/>
      <c r="M66" s="1747"/>
      <c r="N66" s="1747"/>
      <c r="O66" s="1748"/>
      <c r="P66" s="1747"/>
      <c r="Q66" s="1747"/>
      <c r="R66" s="1749"/>
    </row>
    <row r="67" spans="2:18" s="1719" customFormat="1">
      <c r="B67" s="1747"/>
      <c r="C67" s="1747"/>
      <c r="D67" s="1747"/>
      <c r="E67" s="1747"/>
      <c r="F67" s="1747"/>
      <c r="G67" s="1748"/>
      <c r="H67" s="1747"/>
      <c r="I67" s="1748"/>
      <c r="J67" s="1747"/>
      <c r="K67" s="1747"/>
      <c r="L67" s="1748"/>
      <c r="M67" s="1747"/>
      <c r="N67" s="1747"/>
      <c r="O67" s="1748"/>
      <c r="P67" s="1747"/>
      <c r="Q67" s="1747"/>
      <c r="R67" s="1749"/>
    </row>
    <row r="68" spans="2:18" s="1719" customFormat="1">
      <c r="B68" s="1747"/>
      <c r="C68" s="1747"/>
      <c r="D68" s="1747"/>
      <c r="E68" s="1747"/>
      <c r="F68" s="1747"/>
      <c r="G68" s="1748"/>
      <c r="H68" s="1747"/>
      <c r="I68" s="1748"/>
      <c r="J68" s="1747"/>
      <c r="K68" s="1747"/>
      <c r="L68" s="1748"/>
      <c r="M68" s="1747"/>
      <c r="N68" s="1747"/>
      <c r="O68" s="1748"/>
      <c r="P68" s="1747"/>
      <c r="Q68" s="1747"/>
      <c r="R68" s="1749"/>
    </row>
    <row r="69" spans="2:18" s="1719" customFormat="1">
      <c r="B69" s="1747"/>
      <c r="C69" s="1747"/>
      <c r="D69" s="1747"/>
      <c r="E69" s="1747"/>
      <c r="F69" s="1747"/>
      <c r="G69" s="1748"/>
      <c r="H69" s="1747"/>
      <c r="I69" s="1748"/>
      <c r="J69" s="1747"/>
      <c r="K69" s="1747"/>
      <c r="L69" s="1748"/>
      <c r="M69" s="1747"/>
      <c r="N69" s="1747"/>
      <c r="O69" s="1748"/>
      <c r="P69" s="1747"/>
      <c r="Q69" s="1747"/>
      <c r="R69" s="1749"/>
    </row>
    <row r="70" spans="2:18" s="1719" customFormat="1">
      <c r="B70" s="1747"/>
      <c r="C70" s="1747"/>
      <c r="D70" s="1747"/>
      <c r="E70" s="1747"/>
      <c r="F70" s="1747"/>
      <c r="G70" s="1748"/>
      <c r="H70" s="1747"/>
      <c r="I70" s="1748"/>
      <c r="J70" s="1747"/>
      <c r="K70" s="1747"/>
      <c r="L70" s="1748"/>
      <c r="M70" s="1747"/>
      <c r="N70" s="1747"/>
      <c r="O70" s="1748"/>
      <c r="P70" s="1747"/>
      <c r="Q70" s="1747"/>
      <c r="R70" s="1749"/>
    </row>
    <row r="71" spans="2:18" s="1719" customFormat="1">
      <c r="B71" s="1747"/>
      <c r="C71" s="1747"/>
      <c r="D71" s="1747"/>
      <c r="E71" s="1747"/>
      <c r="F71" s="1747"/>
      <c r="G71" s="1748"/>
      <c r="H71" s="1747"/>
      <c r="I71" s="1748"/>
      <c r="J71" s="1747"/>
      <c r="K71" s="1747"/>
      <c r="L71" s="1748"/>
      <c r="M71" s="1747"/>
      <c r="N71" s="1747"/>
      <c r="O71" s="1748"/>
      <c r="P71" s="1747"/>
      <c r="Q71" s="1747"/>
      <c r="R71" s="1749"/>
    </row>
    <row r="72" spans="2:18" s="1719" customFormat="1">
      <c r="B72" s="1747"/>
      <c r="C72" s="1747"/>
      <c r="D72" s="1747"/>
      <c r="E72" s="1747"/>
      <c r="F72" s="1747"/>
      <c r="G72" s="1748"/>
      <c r="H72" s="1747"/>
      <c r="I72" s="1748"/>
      <c r="J72" s="1747"/>
      <c r="K72" s="1747"/>
      <c r="L72" s="1748"/>
      <c r="M72" s="1747"/>
      <c r="N72" s="1747"/>
      <c r="O72" s="1748"/>
      <c r="P72" s="1747"/>
      <c r="Q72" s="1747"/>
      <c r="R72" s="1749"/>
    </row>
    <row r="73" spans="2:18" s="1719" customFormat="1">
      <c r="B73" s="1747"/>
      <c r="C73" s="1747"/>
      <c r="D73" s="1747"/>
      <c r="E73" s="1747"/>
      <c r="F73" s="1747"/>
      <c r="G73" s="1748"/>
      <c r="H73" s="1747"/>
      <c r="I73" s="1748"/>
      <c r="J73" s="1747"/>
      <c r="K73" s="1747"/>
      <c r="L73" s="1748"/>
      <c r="M73" s="1747"/>
      <c r="N73" s="1747"/>
      <c r="O73" s="1748"/>
      <c r="P73" s="1747"/>
      <c r="Q73" s="1747"/>
      <c r="R73" s="1749"/>
    </row>
    <row r="74" spans="2:18" s="1719" customFormat="1">
      <c r="B74" s="1747"/>
      <c r="C74" s="1747"/>
      <c r="D74" s="1747"/>
      <c r="E74" s="1747"/>
      <c r="F74" s="1747"/>
      <c r="G74" s="1748"/>
      <c r="H74" s="1747"/>
      <c r="I74" s="1748"/>
      <c r="J74" s="1747"/>
      <c r="K74" s="1747"/>
      <c r="L74" s="1748"/>
      <c r="M74" s="1747"/>
      <c r="N74" s="1747"/>
      <c r="O74" s="1748"/>
      <c r="P74" s="1747"/>
      <c r="Q74" s="1747"/>
      <c r="R74" s="1749"/>
    </row>
    <row r="75" spans="2:18" s="1719" customFormat="1">
      <c r="B75" s="1747"/>
      <c r="C75" s="1747"/>
      <c r="D75" s="1747"/>
      <c r="E75" s="1747"/>
      <c r="F75" s="1747"/>
      <c r="G75" s="1748"/>
      <c r="H75" s="1747"/>
      <c r="I75" s="1748"/>
      <c r="J75" s="1747"/>
      <c r="K75" s="1747"/>
      <c r="L75" s="1748"/>
      <c r="M75" s="1747"/>
      <c r="N75" s="1747"/>
      <c r="O75" s="1748"/>
      <c r="P75" s="1747"/>
      <c r="Q75" s="1747"/>
      <c r="R75" s="1749"/>
    </row>
    <row r="76" spans="2:18" s="1719" customFormat="1">
      <c r="B76" s="1747"/>
      <c r="C76" s="1747"/>
      <c r="D76" s="1747"/>
      <c r="E76" s="1747"/>
      <c r="F76" s="1747"/>
      <c r="G76" s="1748"/>
      <c r="H76" s="1747"/>
      <c r="I76" s="1748"/>
      <c r="J76" s="1747"/>
      <c r="K76" s="1747"/>
      <c r="L76" s="1748"/>
      <c r="M76" s="1747"/>
      <c r="N76" s="1747"/>
      <c r="O76" s="1748"/>
      <c r="P76" s="1747"/>
      <c r="Q76" s="1747"/>
      <c r="R76" s="1749"/>
    </row>
    <row r="77" spans="2:18" s="1719" customFormat="1">
      <c r="B77" s="1747"/>
      <c r="C77" s="1747"/>
      <c r="D77" s="1747"/>
      <c r="E77" s="1747"/>
      <c r="F77" s="1747"/>
      <c r="G77" s="1748"/>
      <c r="H77" s="1747"/>
      <c r="I77" s="1748"/>
      <c r="J77" s="1747"/>
      <c r="K77" s="1747"/>
      <c r="L77" s="1748"/>
      <c r="M77" s="1747"/>
      <c r="N77" s="1747"/>
      <c r="O77" s="1748"/>
      <c r="P77" s="1747"/>
      <c r="Q77" s="1747"/>
      <c r="R77" s="1749"/>
    </row>
    <row r="78" spans="2:18" s="1719" customFormat="1">
      <c r="B78" s="1747"/>
      <c r="C78" s="1747"/>
      <c r="D78" s="1747"/>
      <c r="E78" s="1747"/>
      <c r="F78" s="1747"/>
      <c r="G78" s="1748"/>
      <c r="H78" s="1747"/>
      <c r="I78" s="1748"/>
      <c r="J78" s="1747"/>
      <c r="K78" s="1747"/>
      <c r="L78" s="1748"/>
      <c r="M78" s="1747"/>
      <c r="N78" s="1747"/>
      <c r="O78" s="1748"/>
      <c r="P78" s="1747"/>
      <c r="Q78" s="1747"/>
      <c r="R78" s="1749"/>
    </row>
    <row r="79" spans="2:18" s="1719" customFormat="1">
      <c r="B79" s="1747"/>
      <c r="C79" s="1747"/>
      <c r="D79" s="1747"/>
      <c r="E79" s="1747"/>
      <c r="F79" s="1747"/>
      <c r="G79" s="1748"/>
      <c r="H79" s="1747"/>
      <c r="I79" s="1748"/>
      <c r="J79" s="1747"/>
      <c r="K79" s="1747"/>
      <c r="L79" s="1748"/>
      <c r="M79" s="1747"/>
      <c r="N79" s="1747"/>
      <c r="O79" s="1748"/>
      <c r="P79" s="1747"/>
      <c r="Q79" s="1747"/>
      <c r="R79" s="1749"/>
    </row>
    <row r="80" spans="2:18" s="1719" customFormat="1">
      <c r="B80" s="1747"/>
      <c r="C80" s="1747"/>
      <c r="D80" s="1747"/>
      <c r="E80" s="1747"/>
      <c r="F80" s="1747"/>
      <c r="G80" s="1748"/>
      <c r="H80" s="1747"/>
      <c r="I80" s="1748"/>
      <c r="J80" s="1747"/>
      <c r="K80" s="1747"/>
      <c r="L80" s="1748"/>
      <c r="M80" s="1747"/>
      <c r="N80" s="1747"/>
      <c r="O80" s="1748"/>
      <c r="P80" s="1747"/>
      <c r="Q80" s="1747"/>
      <c r="R80" s="1749"/>
    </row>
    <row r="81" spans="2:18" s="1719" customFormat="1">
      <c r="B81" s="1747"/>
      <c r="C81" s="1747"/>
      <c r="D81" s="1747"/>
      <c r="E81" s="1747"/>
      <c r="F81" s="1747"/>
      <c r="G81" s="1748"/>
      <c r="H81" s="1747"/>
      <c r="I81" s="1748"/>
      <c r="J81" s="1747"/>
      <c r="K81" s="1747"/>
      <c r="L81" s="1748"/>
      <c r="M81" s="1747"/>
      <c r="N81" s="1747"/>
      <c r="O81" s="1748"/>
      <c r="P81" s="1747"/>
      <c r="Q81" s="1747"/>
      <c r="R81" s="1749"/>
    </row>
    <row r="82" spans="2:18" s="1719" customFormat="1">
      <c r="B82" s="1747"/>
      <c r="C82" s="1747"/>
      <c r="D82" s="1747"/>
      <c r="E82" s="1747"/>
      <c r="F82" s="1747"/>
      <c r="G82" s="1748"/>
      <c r="H82" s="1747"/>
      <c r="I82" s="1748"/>
      <c r="J82" s="1747"/>
      <c r="K82" s="1747"/>
      <c r="L82" s="1748"/>
      <c r="M82" s="1747"/>
      <c r="N82" s="1747"/>
      <c r="O82" s="1748"/>
      <c r="P82" s="1747"/>
      <c r="Q82" s="1747"/>
      <c r="R82" s="1749"/>
    </row>
    <row r="83" spans="2:18" s="1719" customFormat="1">
      <c r="B83" s="1747"/>
      <c r="C83" s="1747"/>
      <c r="D83" s="1747"/>
      <c r="E83" s="1747"/>
      <c r="F83" s="1747"/>
      <c r="G83" s="1748"/>
      <c r="H83" s="1747"/>
      <c r="I83" s="1748"/>
      <c r="J83" s="1747"/>
      <c r="K83" s="1747"/>
      <c r="L83" s="1748"/>
      <c r="M83" s="1747"/>
      <c r="N83" s="1747"/>
      <c r="O83" s="1748"/>
      <c r="P83" s="1747"/>
      <c r="Q83" s="1747"/>
      <c r="R83" s="1749"/>
    </row>
    <row r="84" spans="2:18" s="1719" customFormat="1">
      <c r="B84" s="1747"/>
      <c r="C84" s="1747"/>
      <c r="D84" s="1747"/>
      <c r="E84" s="1747"/>
      <c r="F84" s="1747"/>
      <c r="G84" s="1748"/>
      <c r="H84" s="1747"/>
      <c r="I84" s="1748"/>
      <c r="J84" s="1747"/>
      <c r="K84" s="1747"/>
      <c r="L84" s="1748"/>
      <c r="M84" s="1747"/>
      <c r="N84" s="1747"/>
      <c r="O84" s="1748"/>
      <c r="P84" s="1747"/>
      <c r="Q84" s="1747"/>
      <c r="R84" s="1749"/>
    </row>
    <row r="85" spans="2:18" s="1719" customFormat="1">
      <c r="B85" s="1747"/>
      <c r="C85" s="1747"/>
      <c r="D85" s="1747"/>
      <c r="E85" s="1747"/>
      <c r="F85" s="1747"/>
      <c r="G85" s="1748"/>
      <c r="H85" s="1747"/>
      <c r="I85" s="1748"/>
      <c r="J85" s="1747"/>
      <c r="K85" s="1747"/>
      <c r="L85" s="1748"/>
      <c r="M85" s="1747"/>
      <c r="N85" s="1747"/>
      <c r="O85" s="1748"/>
      <c r="P85" s="1747"/>
      <c r="Q85" s="1747"/>
      <c r="R85" s="1749"/>
    </row>
    <row r="86" spans="2:18" s="1719" customFormat="1">
      <c r="B86" s="1747"/>
      <c r="C86" s="1747"/>
      <c r="D86" s="1747"/>
      <c r="E86" s="1747"/>
      <c r="F86" s="1747"/>
      <c r="G86" s="1748"/>
      <c r="H86" s="1747"/>
      <c r="I86" s="1748"/>
      <c r="J86" s="1747"/>
      <c r="K86" s="1747"/>
      <c r="L86" s="1748"/>
      <c r="M86" s="1747"/>
      <c r="N86" s="1747"/>
      <c r="O86" s="1748"/>
      <c r="P86" s="1747"/>
      <c r="Q86" s="1747"/>
      <c r="R86" s="1749"/>
    </row>
    <row r="87" spans="2:18" s="1719" customFormat="1">
      <c r="B87" s="1747"/>
      <c r="C87" s="1747"/>
      <c r="D87" s="1747"/>
      <c r="E87" s="1747"/>
      <c r="F87" s="1747"/>
      <c r="G87" s="1748"/>
      <c r="H87" s="1747"/>
      <c r="I87" s="1748"/>
      <c r="J87" s="1747"/>
      <c r="K87" s="1747"/>
      <c r="L87" s="1748"/>
      <c r="M87" s="1747"/>
      <c r="N87" s="1747"/>
      <c r="O87" s="1748"/>
      <c r="P87" s="1747"/>
      <c r="Q87" s="1747"/>
      <c r="R87" s="1749"/>
    </row>
    <row r="88" spans="2:18" s="1719" customFormat="1">
      <c r="B88" s="1747"/>
      <c r="C88" s="1747"/>
      <c r="D88" s="1747"/>
      <c r="E88" s="1747"/>
      <c r="F88" s="1747"/>
      <c r="G88" s="1748"/>
      <c r="H88" s="1747"/>
      <c r="I88" s="1748"/>
      <c r="J88" s="1747"/>
      <c r="K88" s="1747"/>
      <c r="L88" s="1748"/>
      <c r="M88" s="1747"/>
      <c r="N88" s="1747"/>
      <c r="O88" s="1748"/>
      <c r="P88" s="1747"/>
      <c r="Q88" s="1747"/>
      <c r="R88" s="1749"/>
    </row>
    <row r="89" spans="2:18" s="1719" customFormat="1">
      <c r="B89" s="1747"/>
      <c r="C89" s="1747"/>
      <c r="D89" s="1747"/>
      <c r="E89" s="1747"/>
      <c r="F89" s="1747"/>
      <c r="G89" s="1748"/>
      <c r="H89" s="1747"/>
      <c r="I89" s="1748"/>
      <c r="J89" s="1747"/>
      <c r="K89" s="1747"/>
      <c r="L89" s="1748"/>
      <c r="M89" s="1747"/>
      <c r="N89" s="1747"/>
      <c r="O89" s="1748"/>
      <c r="P89" s="1747"/>
      <c r="Q89" s="1747"/>
      <c r="R89" s="1749"/>
    </row>
    <row r="90" spans="2:18" s="1719" customFormat="1">
      <c r="B90" s="1747"/>
      <c r="C90" s="1747"/>
      <c r="D90" s="1747"/>
      <c r="E90" s="1747"/>
      <c r="F90" s="1747"/>
      <c r="G90" s="1748"/>
      <c r="H90" s="1747"/>
      <c r="I90" s="1748"/>
      <c r="J90" s="1747"/>
      <c r="K90" s="1747"/>
      <c r="L90" s="1748"/>
      <c r="M90" s="1747"/>
      <c r="N90" s="1747"/>
      <c r="O90" s="1748"/>
      <c r="P90" s="1747"/>
      <c r="Q90" s="1747"/>
      <c r="R90" s="1749"/>
    </row>
    <row r="91" spans="2:18" s="1719" customFormat="1">
      <c r="B91" s="1747"/>
      <c r="C91" s="1747"/>
      <c r="D91" s="1747"/>
      <c r="E91" s="1747"/>
      <c r="F91" s="1747"/>
      <c r="G91" s="1748"/>
      <c r="H91" s="1747"/>
      <c r="I91" s="1748"/>
      <c r="J91" s="1747"/>
      <c r="K91" s="1747"/>
      <c r="L91" s="1748"/>
      <c r="M91" s="1747"/>
      <c r="N91" s="1747"/>
      <c r="O91" s="1748"/>
      <c r="P91" s="1747"/>
      <c r="Q91" s="1747"/>
      <c r="R91" s="1749"/>
    </row>
    <row r="92" spans="2:18" s="1719" customFormat="1">
      <c r="B92" s="1747"/>
      <c r="C92" s="1747"/>
      <c r="D92" s="1747"/>
      <c r="E92" s="1747"/>
      <c r="F92" s="1747"/>
      <c r="G92" s="1748"/>
      <c r="H92" s="1747"/>
      <c r="I92" s="1748"/>
      <c r="J92" s="1747"/>
      <c r="K92" s="1747"/>
      <c r="L92" s="1748"/>
      <c r="M92" s="1747"/>
      <c r="N92" s="1747"/>
      <c r="O92" s="1748"/>
      <c r="P92" s="1747"/>
      <c r="Q92" s="1747"/>
      <c r="R92" s="1749"/>
    </row>
    <row r="93" spans="2:18" s="1719" customFormat="1">
      <c r="B93" s="1747"/>
      <c r="C93" s="1747"/>
      <c r="D93" s="1747"/>
      <c r="E93" s="1747"/>
      <c r="F93" s="1747"/>
      <c r="G93" s="1748"/>
      <c r="H93" s="1747"/>
      <c r="I93" s="1748"/>
      <c r="J93" s="1747"/>
      <c r="K93" s="1747"/>
      <c r="L93" s="1748"/>
      <c r="M93" s="1747"/>
      <c r="N93" s="1747"/>
      <c r="O93" s="1748"/>
      <c r="P93" s="1747"/>
      <c r="Q93" s="1747"/>
      <c r="R93" s="1749"/>
    </row>
    <row r="94" spans="2:18" s="1719" customFormat="1">
      <c r="B94" s="1747"/>
      <c r="C94" s="1747"/>
      <c r="D94" s="1747"/>
      <c r="E94" s="1747"/>
      <c r="F94" s="1747"/>
      <c r="G94" s="1748"/>
      <c r="H94" s="1747"/>
      <c r="I94" s="1748"/>
      <c r="J94" s="1747"/>
      <c r="K94" s="1747"/>
      <c r="L94" s="1748"/>
      <c r="M94" s="1747"/>
      <c r="N94" s="1747"/>
      <c r="O94" s="1748"/>
      <c r="P94" s="1747"/>
      <c r="Q94" s="1747"/>
      <c r="R94" s="1749"/>
    </row>
    <row r="95" spans="2:18" s="1719" customFormat="1">
      <c r="B95" s="1747"/>
      <c r="C95" s="1747"/>
      <c r="D95" s="1747"/>
      <c r="E95" s="1747"/>
      <c r="F95" s="1747"/>
      <c r="G95" s="1748"/>
      <c r="H95" s="1747"/>
      <c r="I95" s="1748"/>
      <c r="J95" s="1747"/>
      <c r="K95" s="1747"/>
      <c r="L95" s="1748"/>
      <c r="M95" s="1747"/>
      <c r="N95" s="1747"/>
      <c r="O95" s="1748"/>
      <c r="P95" s="1747"/>
      <c r="Q95" s="1747"/>
      <c r="R95" s="1749"/>
    </row>
    <row r="96" spans="2:18" s="1719" customFormat="1">
      <c r="B96" s="1747"/>
      <c r="C96" s="1747"/>
      <c r="D96" s="1747"/>
      <c r="E96" s="1747"/>
      <c r="F96" s="1747"/>
      <c r="G96" s="1748"/>
      <c r="H96" s="1747"/>
      <c r="I96" s="1748"/>
      <c r="J96" s="1747"/>
      <c r="K96" s="1747"/>
      <c r="L96" s="1748"/>
      <c r="M96" s="1747"/>
      <c r="N96" s="1747"/>
      <c r="O96" s="1748"/>
      <c r="P96" s="1747"/>
      <c r="Q96" s="1747"/>
      <c r="R96" s="1749"/>
    </row>
    <row r="97" spans="2:18" s="1719" customFormat="1">
      <c r="B97" s="1747"/>
      <c r="C97" s="1747"/>
      <c r="D97" s="1747"/>
      <c r="E97" s="1747"/>
      <c r="F97" s="1747"/>
      <c r="G97" s="1748"/>
      <c r="H97" s="1747"/>
      <c r="I97" s="1748"/>
      <c r="J97" s="1747"/>
      <c r="K97" s="1747"/>
      <c r="L97" s="1748"/>
      <c r="M97" s="1747"/>
      <c r="N97" s="1747"/>
      <c r="O97" s="1748"/>
      <c r="P97" s="1747"/>
      <c r="Q97" s="1747"/>
      <c r="R97" s="1749"/>
    </row>
    <row r="98" spans="2:18" s="1719" customFormat="1">
      <c r="B98" s="1747"/>
      <c r="C98" s="1747"/>
      <c r="D98" s="1747"/>
      <c r="E98" s="1747"/>
      <c r="F98" s="1747"/>
      <c r="G98" s="1748"/>
      <c r="H98" s="1747"/>
      <c r="I98" s="1748"/>
      <c r="J98" s="1747"/>
      <c r="K98" s="1747"/>
      <c r="L98" s="1748"/>
      <c r="M98" s="1747"/>
      <c r="N98" s="1747"/>
      <c r="O98" s="1748"/>
      <c r="P98" s="1747"/>
      <c r="Q98" s="1747"/>
      <c r="R98" s="1749"/>
    </row>
    <row r="99" spans="2:18" s="1719" customFormat="1">
      <c r="B99" s="1747"/>
      <c r="C99" s="1747"/>
      <c r="D99" s="1747"/>
      <c r="E99" s="1747"/>
      <c r="F99" s="1747"/>
      <c r="G99" s="1748"/>
      <c r="H99" s="1747"/>
      <c r="I99" s="1748"/>
      <c r="J99" s="1747"/>
      <c r="K99" s="1747"/>
      <c r="L99" s="1748"/>
      <c r="M99" s="1747"/>
      <c r="N99" s="1747"/>
      <c r="O99" s="1748"/>
      <c r="P99" s="1747"/>
      <c r="Q99" s="1747"/>
      <c r="R99" s="1749"/>
    </row>
    <row r="100" spans="2:18" s="1719" customFormat="1">
      <c r="B100" s="1747"/>
      <c r="C100" s="1747"/>
      <c r="D100" s="1747"/>
      <c r="E100" s="1747"/>
      <c r="F100" s="1747"/>
      <c r="G100" s="1748"/>
      <c r="H100" s="1747"/>
      <c r="I100" s="1748"/>
      <c r="J100" s="1747"/>
      <c r="K100" s="1747"/>
      <c r="L100" s="1748"/>
      <c r="M100" s="1747"/>
      <c r="N100" s="1747"/>
      <c r="O100" s="1748"/>
      <c r="P100" s="1747"/>
      <c r="Q100" s="1747"/>
      <c r="R100" s="1749"/>
    </row>
    <row r="101" spans="2:18" s="1719" customFormat="1">
      <c r="B101" s="1747"/>
      <c r="C101" s="1747"/>
      <c r="D101" s="1747"/>
      <c r="E101" s="1747"/>
      <c r="F101" s="1747"/>
      <c r="G101" s="1748"/>
      <c r="H101" s="1747"/>
      <c r="I101" s="1748"/>
      <c r="J101" s="1747"/>
      <c r="K101" s="1747"/>
      <c r="L101" s="1748"/>
      <c r="M101" s="1747"/>
      <c r="N101" s="1747"/>
      <c r="O101" s="1748"/>
      <c r="P101" s="1747"/>
      <c r="Q101" s="1747"/>
      <c r="R101" s="1749"/>
    </row>
    <row r="102" spans="2:18" s="1719" customFormat="1">
      <c r="B102" s="1747"/>
      <c r="C102" s="1747"/>
      <c r="D102" s="1747"/>
      <c r="E102" s="1747"/>
      <c r="F102" s="1747"/>
      <c r="G102" s="1748"/>
      <c r="H102" s="1747"/>
      <c r="I102" s="1748"/>
      <c r="J102" s="1747"/>
      <c r="K102" s="1747"/>
      <c r="L102" s="1748"/>
      <c r="M102" s="1747"/>
      <c r="N102" s="1747"/>
      <c r="O102" s="1748"/>
      <c r="P102" s="1747"/>
      <c r="Q102" s="1747"/>
      <c r="R102" s="1749"/>
    </row>
    <row r="103" spans="2:18" s="1719" customFormat="1">
      <c r="B103" s="1747"/>
      <c r="C103" s="1747"/>
      <c r="D103" s="1747"/>
      <c r="E103" s="1747"/>
      <c r="F103" s="1747"/>
      <c r="G103" s="1748"/>
      <c r="H103" s="1747"/>
      <c r="I103" s="1748"/>
      <c r="J103" s="1747"/>
      <c r="K103" s="1747"/>
      <c r="L103" s="1748"/>
      <c r="M103" s="1747"/>
      <c r="N103" s="1747"/>
      <c r="O103" s="1748"/>
      <c r="P103" s="1747"/>
      <c r="Q103" s="1747"/>
      <c r="R103" s="1749"/>
    </row>
    <row r="104" spans="2:18" s="1719" customFormat="1">
      <c r="B104" s="1747"/>
      <c r="C104" s="1747"/>
      <c r="D104" s="1747"/>
      <c r="E104" s="1747"/>
      <c r="F104" s="1747"/>
      <c r="G104" s="1748"/>
      <c r="H104" s="1747"/>
      <c r="I104" s="1748"/>
      <c r="J104" s="1747"/>
      <c r="K104" s="1747"/>
      <c r="L104" s="1748"/>
      <c r="M104" s="1747"/>
      <c r="N104" s="1747"/>
      <c r="O104" s="1748"/>
      <c r="P104" s="1747"/>
      <c r="Q104" s="1747"/>
      <c r="R104" s="1749"/>
    </row>
    <row r="105" spans="2:18" s="1719" customFormat="1">
      <c r="B105" s="1747"/>
      <c r="C105" s="1747"/>
      <c r="D105" s="1747"/>
      <c r="E105" s="1747"/>
      <c r="F105" s="1747"/>
      <c r="G105" s="1748"/>
      <c r="H105" s="1747"/>
      <c r="I105" s="1748"/>
      <c r="J105" s="1747"/>
      <c r="K105" s="1747"/>
      <c r="L105" s="1748"/>
      <c r="M105" s="1747"/>
      <c r="N105" s="1747"/>
      <c r="O105" s="1748"/>
      <c r="P105" s="1747"/>
      <c r="Q105" s="1747"/>
      <c r="R105" s="1749"/>
    </row>
    <row r="106" spans="2:18" s="1719" customFormat="1">
      <c r="B106" s="1747"/>
      <c r="C106" s="1747"/>
      <c r="D106" s="1747"/>
      <c r="E106" s="1747"/>
      <c r="F106" s="1747"/>
      <c r="G106" s="1748"/>
      <c r="H106" s="1747"/>
      <c r="I106" s="1748"/>
      <c r="J106" s="1747"/>
      <c r="K106" s="1747"/>
      <c r="L106" s="1748"/>
      <c r="M106" s="1747"/>
      <c r="N106" s="1747"/>
      <c r="O106" s="1748"/>
      <c r="P106" s="1747"/>
      <c r="Q106" s="1747"/>
      <c r="R106" s="1749"/>
    </row>
    <row r="107" spans="2:18" s="1719" customFormat="1">
      <c r="B107" s="1747"/>
      <c r="C107" s="1747"/>
      <c r="D107" s="1747"/>
      <c r="E107" s="1747"/>
      <c r="F107" s="1747"/>
      <c r="G107" s="1748"/>
      <c r="H107" s="1747"/>
      <c r="I107" s="1748"/>
      <c r="J107" s="1747"/>
      <c r="K107" s="1747"/>
      <c r="L107" s="1748"/>
      <c r="M107" s="1747"/>
      <c r="N107" s="1747"/>
      <c r="O107" s="1748"/>
      <c r="P107" s="1747"/>
      <c r="Q107" s="1747"/>
      <c r="R107" s="1749"/>
    </row>
    <row r="108" spans="2:18" s="1719" customFormat="1">
      <c r="B108" s="1747"/>
      <c r="C108" s="1747"/>
      <c r="D108" s="1747"/>
      <c r="E108" s="1747"/>
      <c r="F108" s="1747"/>
      <c r="G108" s="1748"/>
      <c r="H108" s="1747"/>
      <c r="I108" s="1748"/>
      <c r="J108" s="1747"/>
      <c r="K108" s="1747"/>
      <c r="L108" s="1748"/>
      <c r="M108" s="1747"/>
      <c r="N108" s="1747"/>
      <c r="O108" s="1748"/>
      <c r="P108" s="1747"/>
      <c r="Q108" s="1747"/>
      <c r="R108" s="1749"/>
    </row>
    <row r="109" spans="2:18" s="1719" customFormat="1">
      <c r="B109" s="1747"/>
      <c r="C109" s="1747"/>
      <c r="D109" s="1747"/>
      <c r="E109" s="1747"/>
      <c r="F109" s="1747"/>
      <c r="G109" s="1748"/>
      <c r="H109" s="1747"/>
      <c r="I109" s="1748"/>
      <c r="J109" s="1747"/>
      <c r="K109" s="1747"/>
      <c r="L109" s="1748"/>
      <c r="M109" s="1747"/>
      <c r="N109" s="1747"/>
      <c r="O109" s="1748"/>
      <c r="P109" s="1747"/>
      <c r="Q109" s="1747"/>
      <c r="R109" s="1749"/>
    </row>
    <row r="110" spans="2:18" s="1719" customFormat="1">
      <c r="B110" s="1747"/>
      <c r="C110" s="1747"/>
      <c r="D110" s="1747"/>
      <c r="E110" s="1747"/>
      <c r="F110" s="1747"/>
      <c r="G110" s="1748"/>
      <c r="H110" s="1747"/>
      <c r="I110" s="1748"/>
      <c r="J110" s="1747"/>
      <c r="K110" s="1747"/>
      <c r="L110" s="1748"/>
      <c r="M110" s="1747"/>
      <c r="N110" s="1747"/>
      <c r="O110" s="1748"/>
      <c r="P110" s="1747"/>
      <c r="Q110" s="1747"/>
      <c r="R110" s="1749"/>
    </row>
    <row r="111" spans="2:18" s="1719" customFormat="1">
      <c r="B111" s="1747"/>
      <c r="C111" s="1747"/>
      <c r="D111" s="1747"/>
      <c r="E111" s="1747"/>
      <c r="F111" s="1747"/>
      <c r="G111" s="1748"/>
      <c r="H111" s="1747"/>
      <c r="I111" s="1748"/>
      <c r="J111" s="1747"/>
      <c r="K111" s="1747"/>
      <c r="L111" s="1748"/>
      <c r="M111" s="1747"/>
      <c r="N111" s="1747"/>
      <c r="O111" s="1748"/>
      <c r="P111" s="1747"/>
      <c r="Q111" s="1747"/>
      <c r="R111" s="1749"/>
    </row>
    <row r="112" spans="2:18" s="1719" customFormat="1">
      <c r="B112" s="1747"/>
      <c r="C112" s="1747"/>
      <c r="D112" s="1747"/>
      <c r="E112" s="1747"/>
      <c r="F112" s="1747"/>
      <c r="G112" s="1748"/>
      <c r="H112" s="1747"/>
      <c r="I112" s="1748"/>
      <c r="J112" s="1747"/>
      <c r="K112" s="1747"/>
      <c r="L112" s="1748"/>
      <c r="M112" s="1747"/>
      <c r="N112" s="1747"/>
      <c r="O112" s="1748"/>
      <c r="P112" s="1747"/>
      <c r="Q112" s="1747"/>
      <c r="R112" s="1749"/>
    </row>
    <row r="113" spans="2:18" s="1719" customFormat="1">
      <c r="B113" s="1747"/>
      <c r="C113" s="1747"/>
      <c r="D113" s="1747"/>
      <c r="E113" s="1747"/>
      <c r="F113" s="1747"/>
      <c r="G113" s="1748"/>
      <c r="H113" s="1747"/>
      <c r="I113" s="1748"/>
      <c r="J113" s="1747"/>
      <c r="K113" s="1747"/>
      <c r="L113" s="1748"/>
      <c r="M113" s="1747"/>
      <c r="N113" s="1747"/>
      <c r="O113" s="1748"/>
      <c r="P113" s="1747"/>
      <c r="Q113" s="1747"/>
      <c r="R113" s="1749"/>
    </row>
    <row r="114" spans="2:18" s="1719" customFormat="1">
      <c r="B114" s="1747"/>
      <c r="C114" s="1747"/>
      <c r="D114" s="1747"/>
      <c r="E114" s="1747"/>
      <c r="F114" s="1747"/>
      <c r="G114" s="1748"/>
      <c r="H114" s="1747"/>
      <c r="I114" s="1748"/>
      <c r="J114" s="1747"/>
      <c r="K114" s="1747"/>
      <c r="L114" s="1748"/>
      <c r="M114" s="1747"/>
      <c r="N114" s="1747"/>
      <c r="O114" s="1748"/>
      <c r="P114" s="1747"/>
      <c r="Q114" s="1747"/>
      <c r="R114" s="1749"/>
    </row>
    <row r="115" spans="2:18" s="1719" customFormat="1">
      <c r="B115" s="1747"/>
      <c r="C115" s="1747"/>
      <c r="D115" s="1747"/>
      <c r="E115" s="1747"/>
      <c r="F115" s="1747"/>
      <c r="G115" s="1748"/>
      <c r="H115" s="1747"/>
      <c r="I115" s="1748"/>
      <c r="J115" s="1747"/>
      <c r="K115" s="1747"/>
      <c r="L115" s="1748"/>
      <c r="M115" s="1747"/>
      <c r="N115" s="1747"/>
      <c r="O115" s="1748"/>
      <c r="P115" s="1747"/>
      <c r="Q115" s="1747"/>
      <c r="R115" s="1749"/>
    </row>
    <row r="116" spans="2:18" s="1719" customFormat="1">
      <c r="B116" s="1747"/>
      <c r="C116" s="1747"/>
      <c r="D116" s="1747"/>
      <c r="E116" s="1747"/>
      <c r="F116" s="1747"/>
      <c r="G116" s="1748"/>
      <c r="H116" s="1747"/>
      <c r="I116" s="1748"/>
      <c r="J116" s="1747"/>
      <c r="K116" s="1747"/>
      <c r="L116" s="1748"/>
      <c r="M116" s="1747"/>
      <c r="N116" s="1747"/>
      <c r="O116" s="1748"/>
      <c r="P116" s="1747"/>
      <c r="Q116" s="1747"/>
      <c r="R116" s="1749"/>
    </row>
    <row r="117" spans="2:18" s="1719" customFormat="1">
      <c r="B117" s="1747"/>
      <c r="C117" s="1747"/>
      <c r="D117" s="1747"/>
      <c r="E117" s="1747"/>
      <c r="F117" s="1747"/>
      <c r="G117" s="1748"/>
      <c r="H117" s="1747"/>
      <c r="I117" s="1748"/>
      <c r="J117" s="1747"/>
      <c r="K117" s="1747"/>
      <c r="L117" s="1748"/>
      <c r="M117" s="1747"/>
      <c r="N117" s="1747"/>
      <c r="O117" s="1748"/>
      <c r="P117" s="1747"/>
      <c r="Q117" s="1747"/>
      <c r="R117" s="1749"/>
    </row>
    <row r="118" spans="2:18" s="1719" customFormat="1">
      <c r="B118" s="1747"/>
      <c r="C118" s="1747"/>
      <c r="D118" s="1747"/>
      <c r="E118" s="1747"/>
      <c r="F118" s="1747"/>
      <c r="G118" s="1748"/>
      <c r="H118" s="1747"/>
      <c r="I118" s="1748"/>
      <c r="J118" s="1747"/>
      <c r="K118" s="1747"/>
      <c r="L118" s="1748"/>
      <c r="M118" s="1747"/>
      <c r="N118" s="1747"/>
      <c r="O118" s="1748"/>
      <c r="P118" s="1747"/>
      <c r="Q118" s="1747"/>
      <c r="R118" s="1749"/>
    </row>
    <row r="119" spans="2:18" s="1719" customFormat="1">
      <c r="B119" s="1747"/>
      <c r="C119" s="1747"/>
      <c r="D119" s="1747"/>
      <c r="E119" s="1747"/>
      <c r="F119" s="1747"/>
      <c r="G119" s="1748"/>
      <c r="H119" s="1747"/>
      <c r="I119" s="1748"/>
      <c r="J119" s="1747"/>
      <c r="K119" s="1747"/>
      <c r="L119" s="1748"/>
      <c r="M119" s="1747"/>
      <c r="N119" s="1747"/>
      <c r="O119" s="1748"/>
      <c r="P119" s="1747"/>
      <c r="Q119" s="1747"/>
      <c r="R119" s="1749"/>
    </row>
    <row r="120" spans="2:18" s="1719" customFormat="1">
      <c r="B120" s="1747"/>
      <c r="C120" s="1747"/>
      <c r="D120" s="1747"/>
      <c r="E120" s="1747"/>
      <c r="F120" s="1747"/>
      <c r="G120" s="1748"/>
      <c r="H120" s="1747"/>
      <c r="I120" s="1748"/>
      <c r="J120" s="1747"/>
      <c r="K120" s="1747"/>
      <c r="L120" s="1748"/>
      <c r="M120" s="1747"/>
      <c r="N120" s="1747"/>
      <c r="O120" s="1748"/>
      <c r="P120" s="1747"/>
      <c r="Q120" s="1747"/>
      <c r="R120" s="1749"/>
    </row>
    <row r="121" spans="2:18" s="1719" customFormat="1">
      <c r="B121" s="1747"/>
      <c r="C121" s="1747"/>
      <c r="D121" s="1747"/>
      <c r="E121" s="1747"/>
      <c r="F121" s="1747"/>
      <c r="G121" s="1748"/>
      <c r="H121" s="1747"/>
      <c r="I121" s="1748"/>
      <c r="J121" s="1747"/>
      <c r="K121" s="1747"/>
      <c r="L121" s="1748"/>
      <c r="M121" s="1747"/>
      <c r="N121" s="1747"/>
      <c r="O121" s="1748"/>
      <c r="P121" s="1747"/>
      <c r="Q121" s="1747"/>
      <c r="R121" s="1749"/>
    </row>
    <row r="122" spans="2:18" s="1719" customFormat="1">
      <c r="B122" s="1747"/>
      <c r="C122" s="1747"/>
      <c r="D122" s="1747"/>
      <c r="E122" s="1747"/>
      <c r="F122" s="1747"/>
      <c r="G122" s="1748"/>
      <c r="H122" s="1747"/>
      <c r="I122" s="1748"/>
      <c r="J122" s="1747"/>
      <c r="K122" s="1747"/>
      <c r="L122" s="1748"/>
      <c r="M122" s="1747"/>
      <c r="N122" s="1747"/>
      <c r="O122" s="1748"/>
      <c r="P122" s="1747"/>
      <c r="Q122" s="1747"/>
      <c r="R122" s="1749"/>
    </row>
    <row r="123" spans="2:18" s="1719" customFormat="1">
      <c r="B123" s="1747"/>
      <c r="C123" s="1747"/>
      <c r="D123" s="1747"/>
      <c r="E123" s="1747"/>
      <c r="F123" s="1747"/>
      <c r="G123" s="1748"/>
      <c r="H123" s="1747"/>
      <c r="I123" s="1748"/>
      <c r="J123" s="1747"/>
      <c r="K123" s="1747"/>
      <c r="L123" s="1748"/>
      <c r="M123" s="1747"/>
      <c r="N123" s="1747"/>
      <c r="O123" s="1748"/>
      <c r="P123" s="1747"/>
      <c r="Q123" s="1747"/>
      <c r="R123" s="1749"/>
    </row>
    <row r="124" spans="2:18" s="1719" customFormat="1">
      <c r="B124" s="1747"/>
      <c r="C124" s="1747"/>
      <c r="D124" s="1747"/>
      <c r="E124" s="1747"/>
      <c r="F124" s="1747"/>
      <c r="G124" s="1748"/>
      <c r="H124" s="1747"/>
      <c r="I124" s="1748"/>
      <c r="J124" s="1747"/>
      <c r="K124" s="1747"/>
      <c r="L124" s="1748"/>
      <c r="M124" s="1747"/>
      <c r="N124" s="1747"/>
      <c r="O124" s="1748"/>
      <c r="P124" s="1747"/>
      <c r="Q124" s="1747"/>
      <c r="R124" s="1749"/>
    </row>
    <row r="125" spans="2:18" s="1719" customFormat="1">
      <c r="B125" s="1747"/>
      <c r="C125" s="1747"/>
      <c r="D125" s="1747"/>
      <c r="E125" s="1747"/>
      <c r="F125" s="1747"/>
      <c r="G125" s="1748"/>
      <c r="H125" s="1747"/>
      <c r="I125" s="1748"/>
      <c r="J125" s="1747"/>
      <c r="K125" s="1747"/>
      <c r="L125" s="1748"/>
      <c r="M125" s="1747"/>
      <c r="N125" s="1747"/>
      <c r="O125" s="1748"/>
      <c r="P125" s="1747"/>
      <c r="Q125" s="1747"/>
      <c r="R125" s="1749"/>
    </row>
    <row r="126" spans="2:18" s="1719" customFormat="1">
      <c r="B126" s="1747"/>
      <c r="C126" s="1747"/>
      <c r="D126" s="1747"/>
      <c r="E126" s="1747"/>
      <c r="F126" s="1747"/>
      <c r="G126" s="1748"/>
      <c r="H126" s="1747"/>
      <c r="I126" s="1748"/>
      <c r="J126" s="1747"/>
      <c r="K126" s="1747"/>
      <c r="L126" s="1748"/>
      <c r="M126" s="1747"/>
      <c r="N126" s="1747"/>
      <c r="O126" s="1748"/>
      <c r="P126" s="1747"/>
      <c r="Q126" s="1747"/>
      <c r="R126" s="1749"/>
    </row>
    <row r="127" spans="2:18" s="1719" customFormat="1">
      <c r="B127" s="1747"/>
      <c r="C127" s="1747"/>
      <c r="D127" s="1747"/>
      <c r="E127" s="1747"/>
      <c r="F127" s="1747"/>
      <c r="G127" s="1748"/>
      <c r="H127" s="1747"/>
      <c r="I127" s="1748"/>
      <c r="J127" s="1747"/>
      <c r="K127" s="1747"/>
      <c r="L127" s="1748"/>
      <c r="M127" s="1747"/>
      <c r="N127" s="1747"/>
      <c r="O127" s="1748"/>
      <c r="P127" s="1747"/>
      <c r="Q127" s="1747"/>
      <c r="R127" s="1749"/>
    </row>
    <row r="128" spans="2:18" s="1719" customFormat="1">
      <c r="B128" s="1747"/>
      <c r="C128" s="1747"/>
      <c r="D128" s="1747"/>
      <c r="E128" s="1747"/>
      <c r="F128" s="1747"/>
      <c r="G128" s="1748"/>
      <c r="H128" s="1747"/>
      <c r="I128" s="1748"/>
      <c r="J128" s="1747"/>
      <c r="K128" s="1747"/>
      <c r="L128" s="1748"/>
      <c r="M128" s="1747"/>
      <c r="N128" s="1747"/>
      <c r="O128" s="1748"/>
      <c r="P128" s="1747"/>
      <c r="Q128" s="1747"/>
      <c r="R128" s="1749"/>
    </row>
    <row r="129" spans="2:18" s="1719" customFormat="1">
      <c r="B129" s="1747"/>
      <c r="C129" s="1747"/>
      <c r="D129" s="1747"/>
      <c r="E129" s="1747"/>
      <c r="F129" s="1747"/>
      <c r="G129" s="1748"/>
      <c r="H129" s="1747"/>
      <c r="I129" s="1748"/>
      <c r="J129" s="1747"/>
      <c r="K129" s="1747"/>
      <c r="L129" s="1748"/>
      <c r="M129" s="1747"/>
      <c r="N129" s="1747"/>
      <c r="O129" s="1748"/>
      <c r="P129" s="1747"/>
      <c r="Q129" s="1747"/>
      <c r="R129" s="1749"/>
    </row>
    <row r="130" spans="2:18" s="1719" customFormat="1">
      <c r="B130" s="1747"/>
      <c r="C130" s="1747"/>
      <c r="D130" s="1747"/>
      <c r="E130" s="1747"/>
      <c r="F130" s="1747"/>
      <c r="G130" s="1748"/>
      <c r="H130" s="1747"/>
      <c r="I130" s="1748"/>
      <c r="J130" s="1747"/>
      <c r="K130" s="1747"/>
      <c r="L130" s="1748"/>
      <c r="M130" s="1747"/>
      <c r="N130" s="1747"/>
      <c r="O130" s="1748"/>
      <c r="P130" s="1747"/>
      <c r="Q130" s="1747"/>
      <c r="R130" s="1749"/>
    </row>
    <row r="131" spans="2:18" s="1719" customFormat="1">
      <c r="B131" s="1747"/>
      <c r="C131" s="1747"/>
      <c r="D131" s="1747"/>
      <c r="E131" s="1747"/>
      <c r="F131" s="1747"/>
      <c r="G131" s="1748"/>
      <c r="H131" s="1747"/>
      <c r="I131" s="1748"/>
      <c r="J131" s="1747"/>
      <c r="K131" s="1747"/>
      <c r="L131" s="1748"/>
      <c r="M131" s="1747"/>
      <c r="N131" s="1747"/>
      <c r="O131" s="1748"/>
      <c r="P131" s="1747"/>
      <c r="Q131" s="1747"/>
      <c r="R131" s="1749"/>
    </row>
    <row r="132" spans="2:18" s="1719" customFormat="1">
      <c r="B132" s="1747"/>
      <c r="C132" s="1747"/>
      <c r="D132" s="1747"/>
      <c r="E132" s="1747"/>
      <c r="F132" s="1747"/>
      <c r="G132" s="1748"/>
      <c r="H132" s="1747"/>
      <c r="I132" s="1748"/>
      <c r="J132" s="1747"/>
      <c r="K132" s="1747"/>
      <c r="L132" s="1748"/>
      <c r="M132" s="1747"/>
      <c r="N132" s="1747"/>
      <c r="O132" s="1748"/>
      <c r="P132" s="1747"/>
      <c r="Q132" s="1747"/>
      <c r="R132" s="1749"/>
    </row>
    <row r="133" spans="2:18" s="1719" customFormat="1">
      <c r="B133" s="1747"/>
      <c r="C133" s="1747"/>
      <c r="D133" s="1747"/>
      <c r="E133" s="1747"/>
      <c r="F133" s="1747"/>
      <c r="G133" s="1748"/>
      <c r="H133" s="1747"/>
      <c r="I133" s="1748"/>
      <c r="J133" s="1747"/>
      <c r="K133" s="1747"/>
      <c r="L133" s="1748"/>
      <c r="M133" s="1747"/>
      <c r="N133" s="1747"/>
      <c r="O133" s="1748"/>
      <c r="P133" s="1747"/>
      <c r="Q133" s="1747"/>
      <c r="R133" s="1749"/>
    </row>
    <row r="134" spans="2:18" s="1719" customFormat="1">
      <c r="B134" s="1747"/>
      <c r="C134" s="1747"/>
      <c r="D134" s="1747"/>
      <c r="E134" s="1747"/>
      <c r="F134" s="1747"/>
      <c r="G134" s="1748"/>
      <c r="H134" s="1747"/>
      <c r="I134" s="1748"/>
      <c r="J134" s="1747"/>
      <c r="K134" s="1747"/>
      <c r="L134" s="1748"/>
      <c r="M134" s="1747"/>
      <c r="N134" s="1747"/>
      <c r="O134" s="1748"/>
      <c r="P134" s="1747"/>
      <c r="Q134" s="1747"/>
      <c r="R134" s="1749"/>
    </row>
    <row r="135" spans="2:18" s="1719" customFormat="1">
      <c r="B135" s="1747"/>
      <c r="C135" s="1747"/>
      <c r="D135" s="1747"/>
      <c r="E135" s="1747"/>
      <c r="F135" s="1747"/>
      <c r="G135" s="1748"/>
      <c r="H135" s="1747"/>
      <c r="I135" s="1748"/>
      <c r="J135" s="1747"/>
      <c r="K135" s="1747"/>
      <c r="L135" s="1748"/>
      <c r="M135" s="1747"/>
      <c r="N135" s="1747"/>
      <c r="O135" s="1748"/>
      <c r="P135" s="1747"/>
      <c r="Q135" s="1747"/>
      <c r="R135" s="1749"/>
    </row>
    <row r="136" spans="2:18" s="1719" customFormat="1">
      <c r="B136" s="1747"/>
      <c r="C136" s="1747"/>
      <c r="D136" s="1747"/>
      <c r="E136" s="1747"/>
      <c r="F136" s="1747"/>
      <c r="G136" s="1748"/>
      <c r="H136" s="1747"/>
      <c r="I136" s="1748"/>
      <c r="J136" s="1747"/>
      <c r="K136" s="1747"/>
      <c r="L136" s="1748"/>
      <c r="M136" s="1747"/>
      <c r="N136" s="1747"/>
      <c r="O136" s="1748"/>
      <c r="P136" s="1747"/>
      <c r="Q136" s="1747"/>
      <c r="R136" s="1749"/>
    </row>
    <row r="137" spans="2:18" s="1719" customFormat="1">
      <c r="B137" s="1747"/>
      <c r="C137" s="1747"/>
      <c r="D137" s="1747"/>
      <c r="E137" s="1747"/>
      <c r="F137" s="1747"/>
      <c r="G137" s="1748"/>
      <c r="H137" s="1747"/>
      <c r="I137" s="1748"/>
      <c r="J137" s="1747"/>
      <c r="K137" s="1747"/>
      <c r="L137" s="1748"/>
      <c r="M137" s="1747"/>
      <c r="N137" s="1747"/>
      <c r="O137" s="1748"/>
      <c r="P137" s="1747"/>
      <c r="Q137" s="1747"/>
      <c r="R137" s="1749"/>
    </row>
    <row r="138" spans="2:18" s="1719" customFormat="1">
      <c r="B138" s="1747"/>
      <c r="C138" s="1747"/>
      <c r="D138" s="1747"/>
      <c r="E138" s="1747"/>
      <c r="F138" s="1747"/>
      <c r="G138" s="1748"/>
      <c r="H138" s="1747"/>
      <c r="I138" s="1748"/>
      <c r="J138" s="1747"/>
      <c r="K138" s="1747"/>
      <c r="L138" s="1748"/>
      <c r="M138" s="1747"/>
      <c r="N138" s="1747"/>
      <c r="O138" s="1748"/>
      <c r="P138" s="1747"/>
      <c r="Q138" s="1747"/>
      <c r="R138" s="1749"/>
    </row>
    <row r="139" spans="2:18" s="1719" customFormat="1">
      <c r="B139" s="1747"/>
      <c r="C139" s="1747"/>
      <c r="D139" s="1747"/>
      <c r="E139" s="1747"/>
      <c r="F139" s="1747"/>
      <c r="G139" s="1748"/>
      <c r="H139" s="1747"/>
      <c r="I139" s="1748"/>
      <c r="J139" s="1747"/>
      <c r="K139" s="1747"/>
      <c r="L139" s="1748"/>
      <c r="M139" s="1747"/>
      <c r="N139" s="1747"/>
      <c r="O139" s="1748"/>
      <c r="P139" s="1747"/>
      <c r="Q139" s="1747"/>
      <c r="R139" s="1749"/>
    </row>
    <row r="140" spans="2:18" s="1719" customFormat="1">
      <c r="B140" s="1747"/>
      <c r="C140" s="1747"/>
      <c r="D140" s="1747"/>
      <c r="E140" s="1747"/>
      <c r="F140" s="1747"/>
      <c r="G140" s="1748"/>
      <c r="H140" s="1747"/>
      <c r="I140" s="1748"/>
      <c r="J140" s="1747"/>
      <c r="K140" s="1747"/>
      <c r="L140" s="1748"/>
      <c r="M140" s="1747"/>
      <c r="N140" s="1747"/>
      <c r="O140" s="1748"/>
      <c r="P140" s="1747"/>
      <c r="Q140" s="1747"/>
      <c r="R140" s="1749"/>
    </row>
    <row r="141" spans="2:18" s="1719" customFormat="1">
      <c r="B141" s="1747"/>
      <c r="C141" s="1747"/>
      <c r="D141" s="1747"/>
      <c r="E141" s="1747"/>
      <c r="F141" s="1747"/>
      <c r="G141" s="1748"/>
      <c r="H141" s="1747"/>
      <c r="I141" s="1748"/>
      <c r="J141" s="1747"/>
      <c r="K141" s="1747"/>
      <c r="L141" s="1748"/>
      <c r="M141" s="1747"/>
      <c r="N141" s="1747"/>
      <c r="O141" s="1748"/>
      <c r="P141" s="1747"/>
      <c r="Q141" s="1747"/>
      <c r="R141" s="1749"/>
    </row>
    <row r="142" spans="2:18" s="1719" customFormat="1">
      <c r="B142" s="1747"/>
      <c r="C142" s="1747"/>
      <c r="D142" s="1747"/>
      <c r="E142" s="1747"/>
      <c r="F142" s="1747"/>
      <c r="G142" s="1748"/>
      <c r="H142" s="1747"/>
      <c r="I142" s="1748"/>
      <c r="J142" s="1747"/>
      <c r="K142" s="1747"/>
      <c r="L142" s="1748"/>
      <c r="M142" s="1747"/>
      <c r="N142" s="1747"/>
      <c r="O142" s="1748"/>
      <c r="P142" s="1747"/>
      <c r="Q142" s="1747"/>
      <c r="R142" s="1749"/>
    </row>
    <row r="143" spans="2:18" s="1719" customFormat="1">
      <c r="B143" s="1747"/>
      <c r="C143" s="1747"/>
      <c r="D143" s="1747"/>
      <c r="E143" s="1747"/>
      <c r="F143" s="1747"/>
      <c r="G143" s="1748"/>
      <c r="H143" s="1747"/>
      <c r="I143" s="1748"/>
      <c r="J143" s="1747"/>
      <c r="K143" s="1747"/>
      <c r="L143" s="1748"/>
      <c r="M143" s="1747"/>
      <c r="N143" s="1747"/>
      <c r="O143" s="1748"/>
      <c r="P143" s="1747"/>
      <c r="Q143" s="1747"/>
      <c r="R143" s="1749"/>
    </row>
    <row r="144" spans="2:18" s="1719" customFormat="1">
      <c r="B144" s="1747"/>
      <c r="C144" s="1747"/>
      <c r="D144" s="1747"/>
      <c r="E144" s="1747"/>
      <c r="F144" s="1747"/>
      <c r="G144" s="1748"/>
      <c r="H144" s="1747"/>
      <c r="I144" s="1748"/>
      <c r="J144" s="1747"/>
      <c r="K144" s="1747"/>
      <c r="L144" s="1748"/>
      <c r="M144" s="1747"/>
      <c r="N144" s="1747"/>
      <c r="O144" s="1748"/>
      <c r="P144" s="1747"/>
      <c r="Q144" s="1747"/>
      <c r="R144" s="1749"/>
    </row>
    <row r="145" spans="2:18" s="1719" customFormat="1">
      <c r="B145" s="1747"/>
      <c r="C145" s="1747"/>
      <c r="D145" s="1747"/>
      <c r="E145" s="1747"/>
      <c r="F145" s="1747"/>
      <c r="G145" s="1748"/>
      <c r="H145" s="1747"/>
      <c r="I145" s="1748"/>
      <c r="J145" s="1747"/>
      <c r="K145" s="1747"/>
      <c r="L145" s="1748"/>
      <c r="M145" s="1747"/>
      <c r="N145" s="1747"/>
      <c r="O145" s="1748"/>
      <c r="P145" s="1747"/>
      <c r="Q145" s="1747"/>
      <c r="R145" s="1749"/>
    </row>
    <row r="146" spans="2:18" s="1719" customFormat="1">
      <c r="B146" s="1747"/>
      <c r="C146" s="1747"/>
      <c r="D146" s="1747"/>
      <c r="E146" s="1747"/>
      <c r="F146" s="1747"/>
      <c r="G146" s="1748"/>
      <c r="H146" s="1747"/>
      <c r="I146" s="1748"/>
      <c r="J146" s="1747"/>
      <c r="K146" s="1747"/>
      <c r="L146" s="1748"/>
      <c r="M146" s="1747"/>
      <c r="N146" s="1747"/>
      <c r="O146" s="1748"/>
      <c r="P146" s="1747"/>
      <c r="Q146" s="1747"/>
      <c r="R146" s="1749"/>
    </row>
    <row r="147" spans="2:18" s="1719" customFormat="1">
      <c r="B147" s="1747"/>
      <c r="C147" s="1747"/>
      <c r="D147" s="1747"/>
      <c r="E147" s="1747"/>
      <c r="F147" s="1747"/>
      <c r="G147" s="1748"/>
      <c r="H147" s="1747"/>
      <c r="I147" s="1748"/>
      <c r="J147" s="1747"/>
      <c r="K147" s="1747"/>
      <c r="L147" s="1748"/>
      <c r="M147" s="1747"/>
      <c r="N147" s="1747"/>
      <c r="O147" s="1748"/>
      <c r="P147" s="1747"/>
      <c r="Q147" s="1747"/>
      <c r="R147" s="1749"/>
    </row>
    <row r="148" spans="2:18" s="1719" customFormat="1">
      <c r="B148" s="1747"/>
      <c r="C148" s="1747"/>
      <c r="D148" s="1747"/>
      <c r="E148" s="1747"/>
      <c r="F148" s="1747"/>
      <c r="G148" s="1748"/>
      <c r="H148" s="1747"/>
      <c r="I148" s="1748"/>
      <c r="J148" s="1747"/>
      <c r="K148" s="1747"/>
      <c r="L148" s="1748"/>
      <c r="M148" s="1747"/>
      <c r="N148" s="1747"/>
      <c r="O148" s="1748"/>
      <c r="P148" s="1747"/>
      <c r="Q148" s="1747"/>
      <c r="R148" s="1749"/>
    </row>
    <row r="149" spans="2:18" s="1719" customFormat="1">
      <c r="B149" s="1747"/>
      <c r="C149" s="1747"/>
      <c r="D149" s="1747"/>
      <c r="E149" s="1747"/>
      <c r="F149" s="1747"/>
      <c r="G149" s="1748"/>
      <c r="H149" s="1747"/>
      <c r="I149" s="1748"/>
      <c r="J149" s="1747"/>
      <c r="K149" s="1747"/>
      <c r="L149" s="1748"/>
      <c r="M149" s="1747"/>
      <c r="N149" s="1747"/>
      <c r="O149" s="1748"/>
      <c r="P149" s="1747"/>
      <c r="Q149" s="1747"/>
      <c r="R149" s="1749"/>
    </row>
    <row r="150" spans="2:18" s="1719" customFormat="1">
      <c r="B150" s="1747"/>
      <c r="C150" s="1747"/>
      <c r="D150" s="1747"/>
      <c r="E150" s="1747"/>
      <c r="F150" s="1747"/>
      <c r="G150" s="1748"/>
      <c r="H150" s="1747"/>
      <c r="I150" s="1748"/>
      <c r="J150" s="1747"/>
      <c r="K150" s="1747"/>
      <c r="L150" s="1748"/>
      <c r="M150" s="1747"/>
      <c r="N150" s="1747"/>
      <c r="O150" s="1748"/>
      <c r="P150" s="1747"/>
      <c r="Q150" s="1747"/>
      <c r="R150" s="1749"/>
    </row>
    <row r="151" spans="2:18" s="1719" customFormat="1">
      <c r="B151" s="1747"/>
      <c r="C151" s="1747"/>
      <c r="D151" s="1747"/>
      <c r="E151" s="1747"/>
      <c r="F151" s="1747"/>
      <c r="G151" s="1748"/>
      <c r="H151" s="1747"/>
      <c r="I151" s="1748"/>
      <c r="J151" s="1747"/>
      <c r="K151" s="1747"/>
      <c r="L151" s="1748"/>
      <c r="M151" s="1747"/>
      <c r="N151" s="1747"/>
      <c r="O151" s="1748"/>
      <c r="P151" s="1747"/>
      <c r="Q151" s="1747"/>
      <c r="R151" s="1749"/>
    </row>
    <row r="152" spans="2:18" s="1719" customFormat="1">
      <c r="B152" s="1747"/>
      <c r="C152" s="1747"/>
      <c r="D152" s="1747"/>
      <c r="E152" s="1747"/>
      <c r="F152" s="1747"/>
      <c r="G152" s="1748"/>
      <c r="H152" s="1747"/>
      <c r="I152" s="1748"/>
      <c r="J152" s="1747"/>
      <c r="K152" s="1747"/>
      <c r="L152" s="1748"/>
      <c r="M152" s="1747"/>
      <c r="N152" s="1747"/>
      <c r="O152" s="1748"/>
      <c r="P152" s="1747"/>
      <c r="Q152" s="1747"/>
      <c r="R152" s="1749"/>
    </row>
    <row r="153" spans="2:18" s="1719" customFormat="1">
      <c r="B153" s="1747"/>
      <c r="C153" s="1747"/>
      <c r="D153" s="1747"/>
      <c r="E153" s="1747"/>
      <c r="F153" s="1747"/>
      <c r="G153" s="1748"/>
      <c r="H153" s="1747"/>
      <c r="I153" s="1748"/>
      <c r="J153" s="1747"/>
      <c r="K153" s="1747"/>
      <c r="L153" s="1748"/>
      <c r="M153" s="1747"/>
      <c r="N153" s="1747"/>
      <c r="O153" s="1748"/>
      <c r="P153" s="1747"/>
      <c r="Q153" s="1747"/>
      <c r="R153" s="1749"/>
    </row>
    <row r="154" spans="2:18" s="1719" customFormat="1">
      <c r="B154" s="1747"/>
      <c r="C154" s="1747"/>
      <c r="D154" s="1747"/>
      <c r="E154" s="1747"/>
      <c r="F154" s="1747"/>
      <c r="G154" s="1748"/>
      <c r="H154" s="1747"/>
      <c r="I154" s="1748"/>
      <c r="J154" s="1747"/>
      <c r="K154" s="1747"/>
      <c r="L154" s="1748"/>
      <c r="M154" s="1747"/>
      <c r="N154" s="1747"/>
      <c r="O154" s="1748"/>
      <c r="P154" s="1747"/>
      <c r="Q154" s="1747"/>
      <c r="R154" s="1749"/>
    </row>
    <row r="155" spans="2:18" s="1719" customFormat="1">
      <c r="B155" s="1747"/>
      <c r="C155" s="1747"/>
      <c r="D155" s="1747"/>
      <c r="E155" s="1747"/>
      <c r="F155" s="1747"/>
      <c r="G155" s="1748"/>
      <c r="H155" s="1747"/>
      <c r="I155" s="1748"/>
      <c r="J155" s="1747"/>
      <c r="K155" s="1747"/>
      <c r="L155" s="1748"/>
      <c r="M155" s="1747"/>
      <c r="N155" s="1747"/>
      <c r="O155" s="1748"/>
      <c r="P155" s="1747"/>
      <c r="Q155" s="1747"/>
      <c r="R155" s="1749"/>
    </row>
    <row r="156" spans="2:18" s="1719" customFormat="1">
      <c r="B156" s="1747"/>
      <c r="C156" s="1747"/>
      <c r="D156" s="1747"/>
      <c r="E156" s="1747"/>
      <c r="F156" s="1747"/>
      <c r="G156" s="1748"/>
      <c r="H156" s="1747"/>
      <c r="I156" s="1748"/>
      <c r="J156" s="1747"/>
      <c r="K156" s="1747"/>
      <c r="L156" s="1748"/>
      <c r="M156" s="1747"/>
      <c r="N156" s="1747"/>
      <c r="O156" s="1748"/>
      <c r="P156" s="1747"/>
      <c r="Q156" s="1747"/>
      <c r="R156" s="1749"/>
    </row>
    <row r="157" spans="2:18" s="1719" customFormat="1">
      <c r="B157" s="1747"/>
      <c r="C157" s="1747"/>
      <c r="D157" s="1747"/>
      <c r="E157" s="1747"/>
      <c r="F157" s="1747"/>
      <c r="G157" s="1748"/>
      <c r="H157" s="1747"/>
      <c r="I157" s="1748"/>
      <c r="J157" s="1747"/>
      <c r="K157" s="1747"/>
      <c r="L157" s="1748"/>
      <c r="M157" s="1747"/>
      <c r="N157" s="1747"/>
      <c r="O157" s="1748"/>
      <c r="P157" s="1747"/>
      <c r="Q157" s="1747"/>
      <c r="R157" s="1749"/>
    </row>
    <row r="158" spans="2:18" s="1719" customFormat="1">
      <c r="B158" s="1747"/>
      <c r="C158" s="1747"/>
      <c r="D158" s="1747"/>
      <c r="E158" s="1747"/>
      <c r="F158" s="1747"/>
      <c r="G158" s="1748"/>
      <c r="H158" s="1747"/>
      <c r="I158" s="1748"/>
      <c r="J158" s="1747"/>
      <c r="K158" s="1747"/>
      <c r="L158" s="1748"/>
      <c r="M158" s="1747"/>
      <c r="N158" s="1747"/>
      <c r="O158" s="1748"/>
      <c r="P158" s="1747"/>
      <c r="Q158" s="1747"/>
      <c r="R158" s="1749"/>
    </row>
    <row r="159" spans="2:18" s="1719" customFormat="1">
      <c r="B159" s="1747"/>
      <c r="C159" s="1747"/>
      <c r="D159" s="1747"/>
      <c r="E159" s="1747"/>
      <c r="F159" s="1747"/>
      <c r="G159" s="1748"/>
      <c r="H159" s="1747"/>
      <c r="I159" s="1748"/>
      <c r="J159" s="1747"/>
      <c r="K159" s="1747"/>
      <c r="L159" s="1748"/>
      <c r="M159" s="1747"/>
      <c r="N159" s="1747"/>
      <c r="O159" s="1748"/>
      <c r="P159" s="1747"/>
      <c r="Q159" s="1747"/>
      <c r="R159" s="1749"/>
    </row>
    <row r="160" spans="2:18" s="1719" customFormat="1">
      <c r="B160" s="1747"/>
      <c r="C160" s="1747"/>
      <c r="D160" s="1747"/>
      <c r="E160" s="1747"/>
      <c r="F160" s="1747"/>
      <c r="G160" s="1748"/>
      <c r="H160" s="1747"/>
      <c r="I160" s="1748"/>
      <c r="J160" s="1747"/>
      <c r="K160" s="1747"/>
      <c r="L160" s="1748"/>
      <c r="M160" s="1747"/>
      <c r="N160" s="1747"/>
      <c r="O160" s="1748"/>
      <c r="P160" s="1747"/>
      <c r="Q160" s="1747"/>
      <c r="R160" s="1749"/>
    </row>
    <row r="161" spans="2:18" s="1719" customFormat="1">
      <c r="B161" s="1747"/>
      <c r="C161" s="1747"/>
      <c r="D161" s="1747"/>
      <c r="E161" s="1747"/>
      <c r="F161" s="1747"/>
      <c r="G161" s="1748"/>
      <c r="H161" s="1747"/>
      <c r="I161" s="1748"/>
      <c r="J161" s="1747"/>
      <c r="K161" s="1747"/>
      <c r="L161" s="1748"/>
      <c r="M161" s="1747"/>
      <c r="N161" s="1747"/>
      <c r="O161" s="1748"/>
      <c r="P161" s="1747"/>
      <c r="Q161" s="1747"/>
      <c r="R161" s="1749"/>
    </row>
    <row r="162" spans="2:18" s="1719" customFormat="1">
      <c r="B162" s="1747"/>
      <c r="C162" s="1747"/>
      <c r="D162" s="1747"/>
      <c r="E162" s="1747"/>
      <c r="F162" s="1747"/>
      <c r="G162" s="1748"/>
      <c r="H162" s="1747"/>
      <c r="I162" s="1748"/>
      <c r="J162" s="1747"/>
      <c r="K162" s="1747"/>
      <c r="L162" s="1748"/>
      <c r="M162" s="1747"/>
      <c r="N162" s="1747"/>
      <c r="O162" s="1748"/>
      <c r="P162" s="1747"/>
      <c r="Q162" s="1747"/>
      <c r="R162" s="1749"/>
    </row>
    <row r="163" spans="2:18" s="1719" customFormat="1">
      <c r="B163" s="1747"/>
      <c r="C163" s="1747"/>
      <c r="D163" s="1747"/>
      <c r="E163" s="1747"/>
      <c r="F163" s="1747"/>
      <c r="G163" s="1748"/>
      <c r="H163" s="1747"/>
      <c r="I163" s="1748"/>
      <c r="J163" s="1747"/>
      <c r="K163" s="1747"/>
      <c r="L163" s="1748"/>
      <c r="M163" s="1747"/>
      <c r="N163" s="1747"/>
      <c r="O163" s="1748"/>
      <c r="P163" s="1747"/>
      <c r="Q163" s="1747"/>
      <c r="R163" s="1749"/>
    </row>
    <row r="164" spans="2:18" s="1719" customFormat="1">
      <c r="B164" s="1747"/>
      <c r="C164" s="1747"/>
      <c r="D164" s="1747"/>
      <c r="E164" s="1747"/>
      <c r="F164" s="1747"/>
      <c r="G164" s="1748"/>
      <c r="H164" s="1747"/>
      <c r="I164" s="1748"/>
      <c r="J164" s="1747"/>
      <c r="K164" s="1747"/>
      <c r="L164" s="1748"/>
      <c r="M164" s="1747"/>
      <c r="N164" s="1747"/>
      <c r="O164" s="1748"/>
      <c r="P164" s="1747"/>
      <c r="Q164" s="1747"/>
      <c r="R164" s="1749"/>
    </row>
    <row r="165" spans="2:18" s="1719" customFormat="1">
      <c r="B165" s="1747"/>
      <c r="C165" s="1747"/>
      <c r="D165" s="1747"/>
      <c r="E165" s="1747"/>
      <c r="F165" s="1747"/>
      <c r="G165" s="1748"/>
      <c r="H165" s="1747"/>
      <c r="I165" s="1748"/>
      <c r="J165" s="1747"/>
      <c r="K165" s="1747"/>
      <c r="L165" s="1748"/>
      <c r="M165" s="1747"/>
      <c r="N165" s="1747"/>
      <c r="O165" s="1748"/>
      <c r="P165" s="1747"/>
      <c r="Q165" s="1747"/>
      <c r="R165" s="1749"/>
    </row>
    <row r="166" spans="2:18" s="1719" customFormat="1">
      <c r="B166" s="1747"/>
      <c r="C166" s="1747"/>
      <c r="D166" s="1747"/>
      <c r="E166" s="1747"/>
      <c r="F166" s="1747"/>
      <c r="G166" s="1748"/>
      <c r="H166" s="1747"/>
      <c r="I166" s="1748"/>
      <c r="J166" s="1747"/>
      <c r="K166" s="1747"/>
      <c r="L166" s="1748"/>
      <c r="M166" s="1747"/>
      <c r="N166" s="1747"/>
      <c r="O166" s="1748"/>
      <c r="P166" s="1747"/>
      <c r="Q166" s="1747"/>
      <c r="R166" s="1749"/>
    </row>
    <row r="167" spans="2:18" s="1719" customFormat="1">
      <c r="B167" s="1747"/>
      <c r="C167" s="1747"/>
      <c r="D167" s="1747"/>
      <c r="E167" s="1747"/>
      <c r="F167" s="1747"/>
      <c r="G167" s="1748"/>
      <c r="H167" s="1747"/>
      <c r="I167" s="1748"/>
      <c r="J167" s="1747"/>
      <c r="K167" s="1747"/>
      <c r="L167" s="1748"/>
      <c r="M167" s="1747"/>
      <c r="N167" s="1747"/>
      <c r="O167" s="1748"/>
      <c r="P167" s="1747"/>
      <c r="Q167" s="1747"/>
      <c r="R167" s="1749"/>
    </row>
    <row r="168" spans="2:18" s="1719" customFormat="1">
      <c r="B168" s="1747"/>
      <c r="C168" s="1747"/>
      <c r="D168" s="1747"/>
      <c r="E168" s="1747"/>
      <c r="F168" s="1747"/>
      <c r="G168" s="1748"/>
      <c r="H168" s="1747"/>
      <c r="I168" s="1748"/>
      <c r="J168" s="1747"/>
      <c r="K168" s="1747"/>
      <c r="L168" s="1748"/>
      <c r="M168" s="1747"/>
      <c r="N168" s="1747"/>
      <c r="O168" s="1748"/>
      <c r="P168" s="1747"/>
      <c r="Q168" s="1747"/>
      <c r="R168" s="1749"/>
    </row>
    <row r="169" spans="2:18" s="1719" customFormat="1">
      <c r="B169" s="1747"/>
      <c r="C169" s="1747"/>
      <c r="D169" s="1747"/>
      <c r="E169" s="1747"/>
      <c r="F169" s="1747"/>
      <c r="G169" s="1748"/>
      <c r="H169" s="1747"/>
      <c r="I169" s="1748"/>
      <c r="J169" s="1747"/>
      <c r="K169" s="1747"/>
      <c r="L169" s="1748"/>
      <c r="M169" s="1747"/>
      <c r="N169" s="1747"/>
      <c r="O169" s="1748"/>
      <c r="P169" s="1747"/>
      <c r="Q169" s="1747"/>
      <c r="R169" s="1749"/>
    </row>
    <row r="170" spans="2:18" s="1719" customFormat="1">
      <c r="B170" s="1747"/>
      <c r="C170" s="1747"/>
      <c r="D170" s="1747"/>
      <c r="E170" s="1747"/>
      <c r="F170" s="1747"/>
      <c r="G170" s="1748"/>
      <c r="H170" s="1747"/>
      <c r="I170" s="1748"/>
      <c r="J170" s="1747"/>
      <c r="K170" s="1747"/>
      <c r="L170" s="1748"/>
      <c r="M170" s="1747"/>
      <c r="N170" s="1747"/>
      <c r="O170" s="1748"/>
      <c r="P170" s="1747"/>
      <c r="Q170" s="1747"/>
      <c r="R170" s="1749"/>
    </row>
    <row r="171" spans="2:18" s="1719" customFormat="1">
      <c r="B171" s="1747"/>
      <c r="C171" s="1747"/>
      <c r="D171" s="1747"/>
      <c r="E171" s="1747"/>
      <c r="F171" s="1747"/>
      <c r="G171" s="1748"/>
      <c r="H171" s="1747"/>
      <c r="I171" s="1748"/>
      <c r="J171" s="1747"/>
      <c r="K171" s="1747"/>
      <c r="L171" s="1748"/>
      <c r="M171" s="1747"/>
      <c r="N171" s="1747"/>
      <c r="O171" s="1748"/>
      <c r="P171" s="1747"/>
      <c r="Q171" s="1747"/>
      <c r="R171" s="1749"/>
    </row>
    <row r="172" spans="2:18" s="1719" customFormat="1">
      <c r="B172" s="1747"/>
      <c r="C172" s="1747"/>
      <c r="D172" s="1747"/>
      <c r="E172" s="1747"/>
      <c r="F172" s="1747"/>
      <c r="G172" s="1748"/>
      <c r="H172" s="1747"/>
      <c r="I172" s="1748"/>
      <c r="J172" s="1747"/>
      <c r="K172" s="1747"/>
      <c r="L172" s="1748"/>
      <c r="M172" s="1747"/>
      <c r="N172" s="1747"/>
      <c r="O172" s="1748"/>
      <c r="P172" s="1747"/>
      <c r="Q172" s="1747"/>
      <c r="R172" s="1749"/>
    </row>
    <row r="173" spans="2:18" s="1719" customFormat="1">
      <c r="B173" s="1747"/>
      <c r="C173" s="1747"/>
      <c r="D173" s="1747"/>
      <c r="E173" s="1747"/>
      <c r="F173" s="1747"/>
      <c r="G173" s="1748"/>
      <c r="H173" s="1747"/>
      <c r="I173" s="1748"/>
      <c r="J173" s="1747"/>
      <c r="K173" s="1747"/>
      <c r="L173" s="1748"/>
      <c r="M173" s="1747"/>
      <c r="N173" s="1747"/>
      <c r="O173" s="1748"/>
      <c r="P173" s="1747"/>
      <c r="Q173" s="1747"/>
      <c r="R173" s="1749"/>
    </row>
    <row r="174" spans="2:18" s="1719" customFormat="1">
      <c r="B174" s="1747"/>
      <c r="C174" s="1747"/>
      <c r="D174" s="1747"/>
      <c r="E174" s="1747"/>
      <c r="F174" s="1747"/>
      <c r="G174" s="1748"/>
      <c r="H174" s="1747"/>
      <c r="I174" s="1748"/>
      <c r="J174" s="1747"/>
      <c r="K174" s="1747"/>
      <c r="L174" s="1748"/>
      <c r="M174" s="1747"/>
      <c r="N174" s="1747"/>
      <c r="O174" s="1748"/>
      <c r="P174" s="1747"/>
      <c r="Q174" s="1747"/>
      <c r="R174" s="1749"/>
    </row>
    <row r="175" spans="2:18" s="1719" customFormat="1">
      <c r="B175" s="1747"/>
      <c r="C175" s="1747"/>
      <c r="D175" s="1747"/>
      <c r="E175" s="1747"/>
      <c r="F175" s="1747"/>
      <c r="G175" s="1748"/>
      <c r="H175" s="1747"/>
      <c r="I175" s="1748"/>
      <c r="J175" s="1747"/>
      <c r="K175" s="1747"/>
      <c r="L175" s="1748"/>
      <c r="M175" s="1747"/>
      <c r="N175" s="1747"/>
      <c r="O175" s="1748"/>
      <c r="P175" s="1747"/>
      <c r="Q175" s="1747"/>
      <c r="R175" s="1749"/>
    </row>
    <row r="176" spans="2:18" s="1719" customFormat="1">
      <c r="B176" s="1747"/>
      <c r="C176" s="1747"/>
      <c r="D176" s="1747"/>
      <c r="E176" s="1747"/>
      <c r="F176" s="1747"/>
      <c r="G176" s="1748"/>
      <c r="H176" s="1747"/>
      <c r="I176" s="1748"/>
      <c r="J176" s="1747"/>
      <c r="K176" s="1747"/>
      <c r="L176" s="1748"/>
      <c r="M176" s="1747"/>
      <c r="N176" s="1747"/>
      <c r="O176" s="1748"/>
      <c r="P176" s="1747"/>
      <c r="Q176" s="1747"/>
      <c r="R176" s="1749"/>
    </row>
    <row r="177" spans="1:18" s="1719" customFormat="1">
      <c r="B177" s="1747"/>
      <c r="C177" s="1747"/>
      <c r="D177" s="1747"/>
      <c r="E177" s="1747"/>
      <c r="F177" s="1747"/>
      <c r="G177" s="1748"/>
      <c r="H177" s="1747"/>
      <c r="I177" s="1748"/>
      <c r="J177" s="1747"/>
      <c r="K177" s="1747"/>
      <c r="L177" s="1748"/>
      <c r="M177" s="1747"/>
      <c r="N177" s="1747"/>
      <c r="O177" s="1748"/>
      <c r="P177" s="1747"/>
      <c r="Q177" s="1747"/>
      <c r="R177" s="1749"/>
    </row>
    <row r="178" spans="1:18" s="1719" customFormat="1">
      <c r="B178" s="1747"/>
      <c r="C178" s="1747"/>
      <c r="D178" s="1747"/>
      <c r="E178" s="1747"/>
      <c r="F178" s="1747"/>
      <c r="G178" s="1748"/>
      <c r="H178" s="1747"/>
      <c r="I178" s="1748"/>
      <c r="J178" s="1747"/>
      <c r="K178" s="1747"/>
      <c r="L178" s="1748"/>
      <c r="M178" s="1747"/>
      <c r="N178" s="1747"/>
      <c r="O178" s="1748"/>
      <c r="P178" s="1747"/>
      <c r="Q178" s="1747"/>
      <c r="R178" s="1749"/>
    </row>
    <row r="179" spans="1:18" s="1719" customFormat="1">
      <c r="B179" s="1747"/>
      <c r="C179" s="1747"/>
      <c r="D179" s="1747"/>
      <c r="E179" s="1747"/>
      <c r="F179" s="1747"/>
      <c r="G179" s="1748"/>
      <c r="H179" s="1747"/>
      <c r="I179" s="1748"/>
      <c r="J179" s="1747"/>
      <c r="K179" s="1747"/>
      <c r="L179" s="1748"/>
      <c r="M179" s="1747"/>
      <c r="N179" s="1747"/>
      <c r="O179" s="1748"/>
      <c r="P179" s="1747"/>
      <c r="Q179" s="1747"/>
      <c r="R179" s="1749"/>
    </row>
    <row r="180" spans="1:18" s="1719" customFormat="1">
      <c r="B180" s="1747"/>
      <c r="C180" s="1747"/>
      <c r="D180" s="1747"/>
      <c r="E180" s="1747"/>
      <c r="F180" s="1747"/>
      <c r="G180" s="1748"/>
      <c r="H180" s="1747"/>
      <c r="I180" s="1748"/>
      <c r="J180" s="1747"/>
      <c r="K180" s="1747"/>
      <c r="L180" s="1748"/>
      <c r="M180" s="1747"/>
      <c r="N180" s="1747"/>
      <c r="O180" s="1748"/>
      <c r="P180" s="1747"/>
      <c r="Q180" s="1747"/>
      <c r="R180" s="1749"/>
    </row>
    <row r="181" spans="1:18" s="1719" customFormat="1">
      <c r="B181" s="1747"/>
      <c r="C181" s="1747"/>
      <c r="D181" s="1747"/>
      <c r="E181" s="1747"/>
      <c r="F181" s="1747"/>
      <c r="G181" s="1748"/>
      <c r="H181" s="1747"/>
      <c r="I181" s="1748"/>
      <c r="J181" s="1747"/>
      <c r="K181" s="1747"/>
      <c r="L181" s="1748"/>
      <c r="M181" s="1747"/>
      <c r="N181" s="1747"/>
      <c r="O181" s="1748"/>
      <c r="P181" s="1747"/>
      <c r="Q181" s="1747"/>
      <c r="R181" s="1749"/>
    </row>
    <row r="182" spans="1:18" s="1719" customFormat="1">
      <c r="B182" s="1747"/>
      <c r="C182" s="1747"/>
      <c r="D182" s="1747"/>
      <c r="E182" s="1747"/>
      <c r="F182" s="1747"/>
      <c r="G182" s="1748"/>
      <c r="H182" s="1747"/>
      <c r="I182" s="1748"/>
      <c r="J182" s="1747"/>
      <c r="K182" s="1747"/>
      <c r="L182" s="1748"/>
      <c r="M182" s="1747"/>
      <c r="N182" s="1747"/>
      <c r="O182" s="1748"/>
      <c r="P182" s="1747"/>
      <c r="Q182" s="1747"/>
      <c r="R182" s="1749"/>
    </row>
    <row r="183" spans="1:18" s="1719" customFormat="1">
      <c r="B183" s="1747"/>
      <c r="C183" s="1747"/>
      <c r="D183" s="1747"/>
      <c r="E183" s="1747"/>
      <c r="F183" s="1747"/>
      <c r="G183" s="1748"/>
      <c r="H183" s="1747"/>
      <c r="I183" s="1748"/>
      <c r="J183" s="1747"/>
      <c r="K183" s="1747"/>
      <c r="L183" s="1748"/>
      <c r="M183" s="1747"/>
      <c r="N183" s="1747"/>
      <c r="O183" s="1748"/>
      <c r="P183" s="1747"/>
      <c r="Q183" s="1747"/>
      <c r="R183" s="1749"/>
    </row>
    <row r="184" spans="1:18" s="1719" customFormat="1">
      <c r="B184" s="1747"/>
      <c r="C184" s="1747"/>
      <c r="D184" s="1747"/>
      <c r="E184" s="1747"/>
      <c r="F184" s="1747"/>
      <c r="G184" s="1748"/>
      <c r="H184" s="1747"/>
      <c r="I184" s="1748"/>
      <c r="J184" s="1747"/>
      <c r="K184" s="1747"/>
      <c r="L184" s="1748"/>
      <c r="M184" s="1747"/>
      <c r="N184" s="1747"/>
      <c r="O184" s="1748"/>
      <c r="P184" s="1747"/>
      <c r="Q184" s="1747"/>
      <c r="R184" s="1749"/>
    </row>
    <row r="185" spans="1:18" s="1719" customFormat="1">
      <c r="B185" s="1747"/>
      <c r="C185" s="1747"/>
      <c r="D185" s="1747"/>
      <c r="E185" s="1747"/>
      <c r="F185" s="1747"/>
      <c r="G185" s="1748"/>
      <c r="H185" s="1747"/>
      <c r="I185" s="1748"/>
      <c r="J185" s="1747"/>
      <c r="K185" s="1747"/>
      <c r="L185" s="1748"/>
      <c r="M185" s="1747"/>
      <c r="N185" s="1747"/>
      <c r="O185" s="1748"/>
      <c r="P185" s="1747"/>
      <c r="Q185" s="1747"/>
      <c r="R185" s="1749"/>
    </row>
    <row r="186" spans="1:18">
      <c r="A186" s="1719"/>
      <c r="B186" s="1747"/>
      <c r="C186" s="1747"/>
      <c r="E186" s="1747"/>
      <c r="F186" s="1747"/>
      <c r="G186" s="1748"/>
    </row>
    <row r="187" spans="1:18">
      <c r="A187" s="1719"/>
      <c r="B187" s="1747"/>
      <c r="C187" s="1747"/>
      <c r="E187" s="1747"/>
      <c r="F187" s="1747"/>
      <c r="G187" s="1748"/>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5" sqref="C5"/>
    </sheetView>
  </sheetViews>
  <sheetFormatPr defaultRowHeight="13.5"/>
  <cols>
    <col min="1" max="1" width="23.375" style="3403" customWidth="1"/>
    <col min="2" max="9" width="15.75" style="3403" customWidth="1"/>
    <col min="10" max="16384" width="9" style="3403"/>
  </cols>
  <sheetData>
    <row r="1" spans="1:10" ht="16.5">
      <c r="A1" s="3400" t="s">
        <v>1366</v>
      </c>
      <c r="B1" s="3400">
        <f>SUM(B14:B23)</f>
        <v>44516.22</v>
      </c>
      <c r="C1" s="3401"/>
      <c r="D1" s="3401"/>
      <c r="E1" s="3401"/>
      <c r="F1" s="3401"/>
      <c r="G1" s="3402"/>
    </row>
    <row r="2" spans="1:10" ht="16.5">
      <c r="A2" s="3400" t="s">
        <v>1354</v>
      </c>
      <c r="B2" s="3400">
        <f>SUM(C14:C23)</f>
        <v>13197.02</v>
      </c>
      <c r="C2" s="3401"/>
      <c r="D2" s="3401"/>
      <c r="E2" s="3401"/>
      <c r="F2" s="3401"/>
      <c r="G2" s="3402"/>
    </row>
    <row r="3" spans="1:10" ht="16.5">
      <c r="A3" s="3400" t="s">
        <v>1363</v>
      </c>
      <c r="B3" s="3400">
        <f>项目基本情况!D3</f>
        <v>43071</v>
      </c>
      <c r="C3" s="3401"/>
      <c r="D3" s="3401"/>
      <c r="E3" s="3401"/>
      <c r="F3" s="3401"/>
      <c r="G3" s="3402"/>
    </row>
    <row r="4" spans="1:10" ht="33">
      <c r="A4" s="3400" t="s">
        <v>1362</v>
      </c>
      <c r="B4" s="3400" t="s">
        <v>1361</v>
      </c>
      <c r="C4" s="3400" t="s">
        <v>1360</v>
      </c>
      <c r="D4" s="3400" t="s">
        <v>1359</v>
      </c>
      <c r="E4" s="3401"/>
      <c r="F4" s="3402"/>
      <c r="G4" s="3402"/>
    </row>
    <row r="5" spans="1:10" ht="16.5">
      <c r="A5" s="3400" t="s">
        <v>1358</v>
      </c>
      <c r="B5" s="3400">
        <f ca="1">SUM(D14:D23)</f>
        <v>104807</v>
      </c>
      <c r="C5" s="3400">
        <f ca="1">ROUND(B5*10000/$B$1,0)</f>
        <v>23544</v>
      </c>
      <c r="D5" s="3400">
        <f ca="1">ROUND(B5*10000/$B$2,0)</f>
        <v>79417</v>
      </c>
      <c r="E5" s="3401"/>
      <c r="F5" s="3402"/>
      <c r="G5" s="3402"/>
    </row>
    <row r="6" spans="1:10" ht="16.5">
      <c r="A6" s="3400" t="s">
        <v>1357</v>
      </c>
      <c r="B6" s="3400">
        <f ca="1">SUM(G14:G23)</f>
        <v>104807</v>
      </c>
      <c r="C6" s="3400">
        <f ca="1">ROUND(B6*10000/$B$1,0)</f>
        <v>23544</v>
      </c>
      <c r="D6" s="3400">
        <f ca="1">ROUND(B6*10000/$B$2,0)</f>
        <v>79417</v>
      </c>
      <c r="E6" s="3401"/>
      <c r="F6" s="3402"/>
      <c r="G6" s="3402"/>
    </row>
    <row r="7" spans="1:10" ht="16.5">
      <c r="A7" s="3400" t="s">
        <v>1365</v>
      </c>
      <c r="B7" s="3400">
        <f>SUM(H14:H23)</f>
        <v>0</v>
      </c>
      <c r="C7" s="3400">
        <f>ROUND(B7*10000/$B$1,0)</f>
        <v>0</v>
      </c>
      <c r="D7" s="3400">
        <f>ROUND(B7*10000/$B$2,0)</f>
        <v>0</v>
      </c>
      <c r="E7" s="3401"/>
      <c r="F7" s="3402"/>
      <c r="G7" s="3402"/>
    </row>
    <row r="8" spans="1:10" ht="16.5">
      <c r="A8" s="3400" t="s">
        <v>1286</v>
      </c>
      <c r="B8" s="3400">
        <f>SUM(I14:I23)</f>
        <v>0</v>
      </c>
      <c r="C8" s="3400">
        <f>ROUND(B8*10000/$B$1,0)</f>
        <v>0</v>
      </c>
      <c r="D8" s="3400">
        <f>ROUND(B8*10000/$B$2,0)</f>
        <v>0</v>
      </c>
      <c r="E8" s="3401"/>
      <c r="F8" s="3402"/>
      <c r="G8" s="3402"/>
    </row>
    <row r="9" spans="1:10" ht="16.5">
      <c r="A9" s="3400" t="s">
        <v>1356</v>
      </c>
      <c r="B9" s="3404"/>
      <c r="C9" s="3401"/>
      <c r="D9" s="3401"/>
      <c r="E9" s="3401"/>
      <c r="F9" s="3402"/>
      <c r="G9" s="3402"/>
    </row>
    <row r="10" spans="1:10" ht="16.5">
      <c r="A10" s="3400" t="s">
        <v>1355</v>
      </c>
      <c r="B10" s="3404"/>
      <c r="C10" s="3401"/>
      <c r="D10" s="3401"/>
      <c r="E10" s="3401"/>
      <c r="F10" s="3402"/>
      <c r="G10" s="3402"/>
    </row>
    <row r="11" spans="1:10" ht="16.5">
      <c r="A11" s="3400" t="s">
        <v>1371</v>
      </c>
      <c r="B11" s="3404"/>
      <c r="C11" s="3401"/>
      <c r="D11" s="3401"/>
      <c r="E11" s="3401"/>
      <c r="F11" s="3402"/>
      <c r="G11" s="3402"/>
    </row>
    <row r="12" spans="1:10" ht="16.5">
      <c r="A12" s="3401"/>
      <c r="B12" s="3401"/>
      <c r="C12" s="3401"/>
      <c r="D12" s="3401"/>
      <c r="E12" s="3401"/>
      <c r="F12" s="3402"/>
      <c r="G12" s="3402"/>
    </row>
    <row r="13" spans="1:10" ht="33">
      <c r="A13" s="3405" t="s">
        <v>1370</v>
      </c>
      <c r="B13" s="3406" t="s">
        <v>1367</v>
      </c>
      <c r="C13" s="3406" t="s">
        <v>1369</v>
      </c>
      <c r="D13" s="3406" t="s">
        <v>1368</v>
      </c>
      <c r="E13" s="3400" t="s">
        <v>1360</v>
      </c>
      <c r="F13" s="3400" t="s">
        <v>1359</v>
      </c>
      <c r="G13" s="3406" t="s">
        <v>1353</v>
      </c>
      <c r="H13" s="3406" t="s">
        <v>1364</v>
      </c>
      <c r="I13" s="3406" t="s">
        <v>1352</v>
      </c>
      <c r="J13" s="3402"/>
    </row>
    <row r="14" spans="1:10" ht="16.5">
      <c r="A14" s="3407" t="s">
        <v>1351</v>
      </c>
      <c r="B14" s="3406">
        <f>结果表!B118</f>
        <v>44516.22</v>
      </c>
      <c r="C14" s="3406">
        <f>结果表!C118</f>
        <v>13197.02</v>
      </c>
      <c r="D14" s="3406">
        <f ca="1">'典型户型修正(先权重后修正)'!S22</f>
        <v>104807</v>
      </c>
      <c r="E14" s="3406">
        <f ca="1">ROUND(D14*10000/B14,0)</f>
        <v>23544</v>
      </c>
      <c r="F14" s="3406">
        <f ca="1">ROUND(D14*10000/C14,0)</f>
        <v>79417</v>
      </c>
      <c r="G14" s="3406">
        <f ca="1">'典型户型修正(先权重后修正)'!S22</f>
        <v>104807</v>
      </c>
      <c r="H14" s="3406" t="str">
        <f>结果表!D124</f>
        <v>——</v>
      </c>
      <c r="I14" s="3406" t="str">
        <f>结果表!D126</f>
        <v>——</v>
      </c>
      <c r="J14" s="3402"/>
    </row>
    <row r="15" spans="1:10" ht="16.5">
      <c r="A15" s="3407" t="s">
        <v>1350</v>
      </c>
      <c r="B15" s="3408"/>
      <c r="C15" s="3408"/>
      <c r="D15" s="3408"/>
      <c r="E15" s="3406" t="e">
        <f t="shared" ref="E15:E23" si="0">ROUND(D15*10000/B15,0)</f>
        <v>#DIV/0!</v>
      </c>
      <c r="F15" s="3406" t="e">
        <f t="shared" ref="F15:F23" si="1">ROUND(D15*10000/C15,0)</f>
        <v>#DIV/0!</v>
      </c>
      <c r="G15" s="3409"/>
      <c r="H15" s="3409"/>
      <c r="I15" s="3408"/>
      <c r="J15" s="3402"/>
    </row>
    <row r="16" spans="1:10" ht="16.5">
      <c r="A16" s="3407" t="s">
        <v>1349</v>
      </c>
      <c r="B16" s="3408"/>
      <c r="C16" s="3408"/>
      <c r="D16" s="3408"/>
      <c r="E16" s="3406" t="e">
        <f t="shared" si="0"/>
        <v>#DIV/0!</v>
      </c>
      <c r="F16" s="3406" t="e">
        <f t="shared" si="1"/>
        <v>#DIV/0!</v>
      </c>
      <c r="G16" s="3409"/>
      <c r="H16" s="3409"/>
      <c r="I16" s="3408"/>
    </row>
    <row r="17" spans="1:9" ht="16.5">
      <c r="A17" s="3407" t="s">
        <v>1348</v>
      </c>
      <c r="B17" s="3408"/>
      <c r="C17" s="3408"/>
      <c r="D17" s="3408"/>
      <c r="E17" s="3406" t="e">
        <f t="shared" si="0"/>
        <v>#DIV/0!</v>
      </c>
      <c r="F17" s="3406" t="e">
        <f t="shared" si="1"/>
        <v>#DIV/0!</v>
      </c>
      <c r="G17" s="3409"/>
      <c r="H17" s="3409"/>
      <c r="I17" s="3408"/>
    </row>
    <row r="18" spans="1:9" ht="16.5">
      <c r="A18" s="3407" t="s">
        <v>1347</v>
      </c>
      <c r="B18" s="3408"/>
      <c r="C18" s="3408"/>
      <c r="D18" s="3408"/>
      <c r="E18" s="3406" t="e">
        <f t="shared" si="0"/>
        <v>#DIV/0!</v>
      </c>
      <c r="F18" s="3406" t="e">
        <f t="shared" si="1"/>
        <v>#DIV/0!</v>
      </c>
      <c r="G18" s="3408"/>
      <c r="H18" s="3408"/>
      <c r="I18" s="3408"/>
    </row>
    <row r="19" spans="1:9" ht="16.5">
      <c r="A19" s="3407" t="s">
        <v>1346</v>
      </c>
      <c r="B19" s="3408"/>
      <c r="C19" s="3408"/>
      <c r="D19" s="3408"/>
      <c r="E19" s="3406" t="e">
        <f t="shared" si="0"/>
        <v>#DIV/0!</v>
      </c>
      <c r="F19" s="3406" t="e">
        <f t="shared" si="1"/>
        <v>#DIV/0!</v>
      </c>
      <c r="G19" s="3408"/>
      <c r="H19" s="3408"/>
      <c r="I19" s="3408"/>
    </row>
    <row r="20" spans="1:9" ht="16.5">
      <c r="A20" s="3407" t="s">
        <v>1345</v>
      </c>
      <c r="B20" s="3408"/>
      <c r="C20" s="3408"/>
      <c r="D20" s="3408"/>
      <c r="E20" s="3406" t="e">
        <f t="shared" si="0"/>
        <v>#DIV/0!</v>
      </c>
      <c r="F20" s="3406" t="e">
        <f t="shared" si="1"/>
        <v>#DIV/0!</v>
      </c>
      <c r="G20" s="3408"/>
      <c r="H20" s="3408"/>
      <c r="I20" s="3408"/>
    </row>
    <row r="21" spans="1:9" ht="16.5">
      <c r="A21" s="3407" t="s">
        <v>1344</v>
      </c>
      <c r="B21" s="3408"/>
      <c r="C21" s="3408"/>
      <c r="D21" s="3408"/>
      <c r="E21" s="3406" t="e">
        <f t="shared" si="0"/>
        <v>#DIV/0!</v>
      </c>
      <c r="F21" s="3406" t="e">
        <f t="shared" si="1"/>
        <v>#DIV/0!</v>
      </c>
      <c r="G21" s="3408"/>
      <c r="H21" s="3408"/>
      <c r="I21" s="3408"/>
    </row>
    <row r="22" spans="1:9" ht="16.5">
      <c r="A22" s="3407" t="s">
        <v>1343</v>
      </c>
      <c r="B22" s="3408"/>
      <c r="C22" s="3408"/>
      <c r="D22" s="3408"/>
      <c r="E22" s="3406" t="e">
        <f t="shared" si="0"/>
        <v>#DIV/0!</v>
      </c>
      <c r="F22" s="3406" t="e">
        <f t="shared" si="1"/>
        <v>#DIV/0!</v>
      </c>
      <c r="G22" s="3408"/>
      <c r="H22" s="3408"/>
      <c r="I22" s="3408"/>
    </row>
    <row r="23" spans="1:9" ht="16.5">
      <c r="A23" s="3407" t="s">
        <v>1342</v>
      </c>
      <c r="B23" s="3408"/>
      <c r="C23" s="3408"/>
      <c r="D23" s="3408"/>
      <c r="E23" s="3400" t="e">
        <f t="shared" si="0"/>
        <v>#DIV/0!</v>
      </c>
      <c r="F23" s="3400" t="e">
        <f t="shared" si="1"/>
        <v>#DIV/0!</v>
      </c>
      <c r="G23" s="3408"/>
      <c r="H23" s="3408"/>
      <c r="I23" s="3408"/>
    </row>
  </sheetData>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G56" sqref="G56"/>
    </sheetView>
  </sheetViews>
  <sheetFormatPr defaultColWidth="12.625" defaultRowHeight="21.75" customHeight="1"/>
  <cols>
    <col min="1" max="2" width="12.625" style="2499"/>
    <col min="3" max="4" width="12.625" style="2499" customWidth="1"/>
    <col min="5" max="9" width="12.625" style="2499"/>
    <col min="10" max="11" width="12.625" style="2497" customWidth="1"/>
    <col min="12" max="12" width="12.625" style="2497"/>
    <col min="13" max="13" width="14.125" style="2497" bestFit="1" customWidth="1"/>
    <col min="14" max="26" width="12.625" style="2497"/>
    <col min="27" max="35" width="12.625" style="2498"/>
    <col min="36" max="16384" width="12.625" style="2499"/>
  </cols>
  <sheetData>
    <row r="1" spans="1:12" ht="21.75" customHeight="1" thickBot="1">
      <c r="A1" s="2294" t="s">
        <v>2123</v>
      </c>
      <c r="B1" s="2493"/>
      <c r="C1" s="2494"/>
      <c r="D1" s="2493"/>
      <c r="E1" s="2493"/>
      <c r="F1" s="2495" t="s">
        <v>2124</v>
      </c>
      <c r="G1" s="2190" t="s">
        <v>7114</v>
      </c>
      <c r="H1" s="2495" t="str">
        <f>IF(G1="现房","——","估价对象范围")</f>
        <v>——</v>
      </c>
      <c r="I1" s="2496" t="s">
        <v>7115</v>
      </c>
    </row>
    <row r="2" spans="1:12" ht="21.75" customHeight="1" thickBot="1">
      <c r="A2" s="3798" t="str">
        <f>项目基本情况!S2</f>
        <v>福建省福州市仓山区盖山镇天水路6号（原天水路北侧）利嘉海峡商业城（二区）6A#、6B#、7A#、7B#、9#、11#、12#馆部分商业房地产</v>
      </c>
      <c r="B2" s="3799"/>
      <c r="C2" s="3799"/>
      <c r="D2" s="3799"/>
      <c r="E2" s="3799"/>
      <c r="F2" s="3799"/>
      <c r="G2" s="3799"/>
      <c r="H2" s="3799"/>
      <c r="I2" s="3800"/>
    </row>
    <row r="3" spans="1:12" ht="12.75">
      <c r="A3" s="3802" t="s">
        <v>2125</v>
      </c>
      <c r="B3" s="3803"/>
      <c r="C3" s="3803"/>
      <c r="D3" s="3803"/>
      <c r="E3" s="3803"/>
      <c r="F3" s="3803"/>
      <c r="G3" s="3803"/>
      <c r="H3" s="3803"/>
      <c r="I3" s="3803"/>
    </row>
    <row r="4" spans="1:12" ht="14.25">
      <c r="A4" s="2500" t="s">
        <v>2126</v>
      </c>
      <c r="B4" s="31" t="s">
        <v>2127</v>
      </c>
      <c r="C4" s="2501" t="s">
        <v>3082</v>
      </c>
      <c r="D4" s="2501" t="s">
        <v>7101</v>
      </c>
      <c r="E4" s="3785" t="s">
        <v>2128</v>
      </c>
      <c r="F4" s="3795"/>
      <c r="G4" s="3795"/>
      <c r="H4" s="3795"/>
      <c r="I4" s="3786"/>
      <c r="K4" s="2504" t="str">
        <f>IF(ISNUMBER(FIND("比较法",结果表!C4)),"比较法",IF(ISNUMBER(FIND("成本法",结果表!C4)),"成本法",IF(ISNUMBER(FIND("假设开发法",结果表!C4)),"假设开发法",IF(ISNUMBER(FIND("收益法",结果表!C4)),"收益法","基准地价系数修正法"))))</f>
        <v>比较法</v>
      </c>
      <c r="L4" s="2504" t="str">
        <f>IF(ISNUMBER(FIND("比较法",结果表!D4)),"比较法",IF(ISNUMBER(FIND("成本法",结果表!D4)),"成本法",IF(ISNUMBER(FIND("假设开发法",结果表!D4)),"假设开发法",IF(ISNUMBER(FIND("收益法",结果表!D4)),"收益法","基准地价系数修正法"))))</f>
        <v>收益法</v>
      </c>
    </row>
    <row r="5" spans="1:12" ht="12.75" hidden="1">
      <c r="A5" s="3779" t="s">
        <v>2129</v>
      </c>
      <c r="B5" s="3706">
        <v>25</v>
      </c>
      <c r="C5" s="3804"/>
      <c r="D5" s="3801"/>
      <c r="E5" s="2505" t="s">
        <v>2130</v>
      </c>
      <c r="F5" s="2506"/>
      <c r="G5" s="2506"/>
      <c r="H5" s="2506"/>
      <c r="I5" s="2507"/>
    </row>
    <row r="6" spans="1:12" ht="12.75" hidden="1">
      <c r="A6" s="3779"/>
      <c r="B6" s="3706"/>
      <c r="C6" s="3806"/>
      <c r="D6" s="3801"/>
      <c r="E6" s="2505" t="s">
        <v>2131</v>
      </c>
      <c r="F6" s="2506"/>
      <c r="G6" s="2506"/>
      <c r="H6" s="2506"/>
      <c r="I6" s="2507"/>
    </row>
    <row r="7" spans="1:12" ht="12.75" hidden="1">
      <c r="A7" s="3779"/>
      <c r="B7" s="3706"/>
      <c r="C7" s="3805"/>
      <c r="D7" s="3801"/>
      <c r="E7" s="2505" t="s">
        <v>2132</v>
      </c>
      <c r="F7" s="2506"/>
      <c r="G7" s="2506"/>
      <c r="H7" s="2506"/>
      <c r="I7" s="2507"/>
    </row>
    <row r="8" spans="1:12" ht="12.75" hidden="1">
      <c r="A8" s="3779" t="s">
        <v>2133</v>
      </c>
      <c r="B8" s="3706">
        <v>15</v>
      </c>
      <c r="C8" s="3804"/>
      <c r="D8" s="3801"/>
      <c r="E8" s="2505" t="s">
        <v>2134</v>
      </c>
      <c r="F8" s="2506"/>
      <c r="G8" s="2506"/>
      <c r="H8" s="2506"/>
      <c r="I8" s="2507"/>
    </row>
    <row r="9" spans="1:12" ht="12.75" hidden="1">
      <c r="A9" s="3779"/>
      <c r="B9" s="3706"/>
      <c r="C9" s="3805"/>
      <c r="D9" s="3801"/>
      <c r="E9" s="2505" t="s">
        <v>2135</v>
      </c>
      <c r="F9" s="2506"/>
      <c r="G9" s="2506"/>
      <c r="H9" s="2506"/>
      <c r="I9" s="2507"/>
    </row>
    <row r="10" spans="1:12" ht="12.75" hidden="1">
      <c r="A10" s="3779" t="s">
        <v>2136</v>
      </c>
      <c r="B10" s="3706">
        <v>15</v>
      </c>
      <c r="C10" s="3804"/>
      <c r="D10" s="3801"/>
      <c r="E10" s="2505" t="s">
        <v>2137</v>
      </c>
      <c r="F10" s="2506"/>
      <c r="G10" s="2506"/>
      <c r="H10" s="2506"/>
      <c r="I10" s="2507"/>
    </row>
    <row r="11" spans="1:12" ht="12.75" hidden="1">
      <c r="A11" s="3779"/>
      <c r="B11" s="3706"/>
      <c r="C11" s="3805"/>
      <c r="D11" s="3801"/>
      <c r="E11" s="2505" t="s">
        <v>2138</v>
      </c>
      <c r="F11" s="2506"/>
      <c r="G11" s="2506"/>
      <c r="H11" s="2506"/>
      <c r="I11" s="2507"/>
    </row>
    <row r="12" spans="1:12" ht="12.75" hidden="1">
      <c r="A12" s="3779" t="s">
        <v>2139</v>
      </c>
      <c r="B12" s="3706">
        <v>15</v>
      </c>
      <c r="C12" s="3804"/>
      <c r="D12" s="3801"/>
      <c r="E12" s="2505" t="s">
        <v>2140</v>
      </c>
      <c r="F12" s="2506"/>
      <c r="G12" s="2506"/>
      <c r="H12" s="2506"/>
      <c r="I12" s="2507"/>
    </row>
    <row r="13" spans="1:12" ht="12.75" hidden="1">
      <c r="A13" s="3779"/>
      <c r="B13" s="3706"/>
      <c r="C13" s="3805"/>
      <c r="D13" s="3801"/>
      <c r="E13" s="2505" t="s">
        <v>2141</v>
      </c>
      <c r="F13" s="2506"/>
      <c r="G13" s="2506"/>
      <c r="H13" s="2506"/>
      <c r="I13" s="2507"/>
    </row>
    <row r="14" spans="1:12" ht="12.75" hidden="1">
      <c r="A14" s="3779" t="s">
        <v>2142</v>
      </c>
      <c r="B14" s="3706">
        <v>30</v>
      </c>
      <c r="C14" s="3817">
        <v>70</v>
      </c>
      <c r="D14" s="3791">
        <v>30</v>
      </c>
      <c r="E14" s="2505" t="s">
        <v>2143</v>
      </c>
      <c r="F14" s="2506"/>
      <c r="G14" s="2506"/>
      <c r="H14" s="2506"/>
      <c r="I14" s="2507"/>
    </row>
    <row r="15" spans="1:12" ht="12.75" hidden="1">
      <c r="A15" s="3779"/>
      <c r="B15" s="3706"/>
      <c r="C15" s="3818"/>
      <c r="D15" s="3791"/>
      <c r="E15" s="2505" t="s">
        <v>2144</v>
      </c>
      <c r="F15" s="2506"/>
      <c r="G15" s="2506"/>
      <c r="H15" s="2506"/>
      <c r="I15" s="2507"/>
    </row>
    <row r="16" spans="1:12" ht="12.75">
      <c r="A16" s="3779"/>
      <c r="B16" s="3706"/>
      <c r="C16" s="3819"/>
      <c r="D16" s="3791"/>
      <c r="E16" s="2505" t="s">
        <v>2145</v>
      </c>
      <c r="F16" s="2506"/>
      <c r="G16" s="2506"/>
      <c r="H16" s="2506"/>
      <c r="I16" s="2507"/>
    </row>
    <row r="17" spans="1:35" ht="15">
      <c r="A17" s="2508" t="s">
        <v>2146</v>
      </c>
      <c r="B17" s="2310"/>
      <c r="C17" s="2509">
        <f>SUM(C5:C16)</f>
        <v>70</v>
      </c>
      <c r="D17" s="2509">
        <f>SUM(D5:D16)</f>
        <v>30</v>
      </c>
      <c r="E17" s="2510"/>
      <c r="F17" s="2510"/>
      <c r="G17" s="2510"/>
      <c r="H17" s="2510"/>
      <c r="I17" s="2510"/>
      <c r="K17" s="2504"/>
      <c r="L17" s="2511" t="s">
        <v>2147</v>
      </c>
      <c r="M17" s="2511" t="s">
        <v>2148</v>
      </c>
    </row>
    <row r="18" spans="1:35" ht="15.75" thickBot="1">
      <c r="A18" s="2512" t="s">
        <v>2149</v>
      </c>
      <c r="B18" s="2513"/>
      <c r="C18" s="2309">
        <f>ROUND(C17/SUM(C17:D17),2)</f>
        <v>0.7</v>
      </c>
      <c r="D18" s="2309">
        <f>1-C18</f>
        <v>0.30000000000000004</v>
      </c>
      <c r="E18" s="2510"/>
      <c r="F18" s="2510"/>
      <c r="G18" s="2510"/>
      <c r="H18" s="2510"/>
      <c r="I18" s="2510"/>
      <c r="K18" s="2504" t="s">
        <v>2150</v>
      </c>
      <c r="L18" s="2504">
        <f>IF(C1="",'数据-汇总表'!E3,SUMIF(项目类型,C1,'数据-汇总表'!E17:E26)+SUMIF(项目类型,C1,'数据-汇总表'!I17:I26))</f>
        <v>44516.22</v>
      </c>
      <c r="M18" s="2504">
        <f>IF(C1="",'数据-汇总表'!E3,SUMIF(项目类型,C1,'数据-汇总表'!E17:E26))</f>
        <v>44516.22</v>
      </c>
    </row>
    <row r="19" spans="1:35" ht="15">
      <c r="A19" s="2514" t="s">
        <v>2151</v>
      </c>
      <c r="B19" s="2515" t="s">
        <v>2152</v>
      </c>
      <c r="C19" s="3463">
        <f ca="1">SUMIF(INDIRECT("'"&amp;C4&amp;"'"&amp;"!A:A"),结果表!B19,INDIRECT("'"&amp;C4&amp;"'"&amp;"!B:B"))</f>
        <v>62920</v>
      </c>
      <c r="D19" s="3464">
        <f ca="1">SUMIF(INDIRECT("'"&amp;D4&amp;"'"&amp;"!A:A"),结果表!B19,INDIRECT("'"&amp;D4&amp;"'"&amp;"!B:B"))</f>
        <v>40001</v>
      </c>
      <c r="E19" s="2514" t="s">
        <v>2153</v>
      </c>
      <c r="F19" s="2515" t="s">
        <v>2152</v>
      </c>
      <c r="G19" s="3473">
        <f ca="1">ROUND(C19*$C$18+D19*$D$18,0)</f>
        <v>56044</v>
      </c>
      <c r="H19" s="2518" t="s">
        <v>2154</v>
      </c>
      <c r="I19" s="2510"/>
      <c r="K19" s="2504" t="s">
        <v>2155</v>
      </c>
      <c r="L19" s="2504">
        <f>IF(C1="",'数据-汇总表'!D3,SUMIF(项目类型,C1,'数据-汇总表'!D17:D26)+SUMIF(项目类型,C1,'数据-汇总表'!H17:H27))</f>
        <v>13197.02</v>
      </c>
      <c r="M19" s="2504">
        <f>IF(C1="",'数据-汇总表'!D3,SUMIF(项目类型,C1,'数据-汇总表'!D17:D26))</f>
        <v>13197.02</v>
      </c>
    </row>
    <row r="20" spans="1:35" ht="15">
      <c r="A20" s="2519"/>
      <c r="B20" s="949" t="s">
        <v>2156</v>
      </c>
      <c r="C20" s="3465">
        <f ca="1">SUMIF(INDIRECT("'"&amp;C4&amp;"'"&amp;"!A:A"),结果表!B20,INDIRECT("'"&amp;C4&amp;"'"&amp;"!B:B"))</f>
        <v>39367</v>
      </c>
      <c r="D20" s="3466">
        <f ca="1">SUMIF(INDIRECT("'"&amp;D4&amp;"'"&amp;"!A:A"),结果表!B20,INDIRECT("'"&amp;D4&amp;"'"&amp;"!B:B"))</f>
        <v>25027</v>
      </c>
      <c r="E20" s="2519"/>
      <c r="F20" s="949" t="s">
        <v>2156</v>
      </c>
      <c r="G20" s="3474">
        <f ca="1">ROUND(C20*$C$18+D20*$D$18,0)</f>
        <v>35065</v>
      </c>
      <c r="H20" s="2520" t="s">
        <v>2157</v>
      </c>
      <c r="I20" s="2510"/>
    </row>
    <row r="21" spans="1:35" ht="15" customHeight="1" thickBot="1">
      <c r="A21" s="2521"/>
      <c r="B21" s="2522" t="s">
        <v>2158</v>
      </c>
      <c r="C21" s="3467">
        <f ca="1">ROUND(C19*10000/L19,0)</f>
        <v>47677</v>
      </c>
      <c r="D21" s="3468">
        <f ca="1">ROUND(D19*10000/L19,0)</f>
        <v>30311</v>
      </c>
      <c r="E21" s="2521"/>
      <c r="F21" s="2522" t="s">
        <v>2158</v>
      </c>
      <c r="G21" s="3475">
        <f ca="1">ROUND(G19*10000/L19,0)</f>
        <v>42467</v>
      </c>
      <c r="H21" s="2523" t="s">
        <v>2157</v>
      </c>
      <c r="I21" s="2510"/>
    </row>
    <row r="22" spans="1:35" ht="15" thickBot="1">
      <c r="A22" s="2377" t="s">
        <v>2159</v>
      </c>
      <c r="B22" s="2524"/>
      <c r="C22" s="2525"/>
      <c r="D22" s="2526">
        <f ca="1">IF(C19&lt;D19,D19/C19-1,C19/D19-1)</f>
        <v>0.57296067598310052</v>
      </c>
      <c r="E22" s="2510"/>
      <c r="F22" s="2510"/>
      <c r="G22" s="2510"/>
      <c r="H22" s="2510"/>
      <c r="I22" s="2510"/>
    </row>
    <row r="23" spans="1:35" ht="13.5" thickBot="1">
      <c r="A23" s="2493"/>
      <c r="B23" s="2493"/>
      <c r="C23" s="2493"/>
      <c r="D23" s="2493"/>
      <c r="E23" s="2510"/>
      <c r="F23" s="2510"/>
      <c r="G23" s="2510"/>
      <c r="H23" s="2510"/>
      <c r="I23" s="2510"/>
    </row>
    <row r="24" spans="1:35" ht="14.25">
      <c r="A24" s="3813" t="s">
        <v>2160</v>
      </c>
      <c r="B24" s="2515" t="s">
        <v>2152</v>
      </c>
      <c r="C24" s="2517">
        <f>IF(B30=0,0,D30)</f>
        <v>0</v>
      </c>
      <c r="D24" s="2527"/>
      <c r="E24" s="2510"/>
      <c r="F24" s="2510"/>
      <c r="G24" s="2510"/>
      <c r="H24" s="2510"/>
      <c r="I24" s="2510"/>
    </row>
    <row r="25" spans="1:35" ht="14.25">
      <c r="A25" s="3814"/>
      <c r="B25" s="949" t="s">
        <v>2156</v>
      </c>
      <c r="C25" s="2528">
        <f>IF(B30=0,0,C30)</f>
        <v>0</v>
      </c>
      <c r="D25" s="2529"/>
      <c r="E25" s="2510"/>
      <c r="F25" s="2510"/>
      <c r="G25" s="2510"/>
      <c r="H25" s="2510"/>
      <c r="I25" s="2510"/>
    </row>
    <row r="26" spans="1:35" ht="13.5" customHeight="1">
      <c r="A26" s="2530" t="s">
        <v>2161</v>
      </c>
      <c r="B26" s="2531" t="s">
        <v>2162</v>
      </c>
      <c r="C26" s="2531" t="s">
        <v>2163</v>
      </c>
      <c r="D26" s="2532" t="s">
        <v>2164</v>
      </c>
      <c r="E26" s="2510">
        <v>3</v>
      </c>
      <c r="F26" s="2510"/>
      <c r="G26" s="2510"/>
      <c r="H26" s="2510"/>
      <c r="I26" s="2510"/>
    </row>
    <row r="27" spans="1:35" ht="14.25">
      <c r="A27" s="2530"/>
      <c r="B27" s="2531">
        <v>0</v>
      </c>
      <c r="C27" s="2531">
        <v>0</v>
      </c>
      <c r="D27" s="2532">
        <f>ROUND(C27*B27/10000,0)</f>
        <v>0</v>
      </c>
      <c r="E27" s="2510"/>
      <c r="F27" s="2510"/>
      <c r="G27" s="2510"/>
      <c r="H27" s="2510"/>
      <c r="I27" s="2510"/>
    </row>
    <row r="28" spans="1:35" ht="14.25">
      <c r="A28" s="2530"/>
      <c r="B28" s="2531"/>
      <c r="C28" s="2531"/>
      <c r="D28" s="2532"/>
      <c r="E28" s="2510"/>
      <c r="F28" s="2510"/>
      <c r="G28" s="2510"/>
      <c r="H28" s="2510"/>
      <c r="I28" s="2510"/>
    </row>
    <row r="29" spans="1:35" ht="14.25">
      <c r="A29" s="2530"/>
      <c r="B29" s="2531"/>
      <c r="C29" s="2531"/>
      <c r="D29" s="2532"/>
      <c r="E29" s="2510"/>
      <c r="F29" s="2510"/>
      <c r="G29" s="2510"/>
      <c r="H29" s="2510"/>
      <c r="I29" s="2510"/>
    </row>
    <row r="30" spans="1:35" ht="14.25">
      <c r="A30" s="2533" t="s">
        <v>2165</v>
      </c>
      <c r="B30" s="2533">
        <f>SUM(B27:B29)</f>
        <v>0</v>
      </c>
      <c r="C30" s="2533" t="e">
        <f>ROUND(D30*10000/B30,0)</f>
        <v>#DIV/0!</v>
      </c>
      <c r="D30" s="2533">
        <f>SUM(D27:D29)</f>
        <v>0</v>
      </c>
      <c r="E30" s="2510"/>
      <c r="F30" s="2510"/>
      <c r="G30" s="2510"/>
      <c r="H30" s="2510"/>
      <c r="I30" s="2510"/>
    </row>
    <row r="31" spans="1:35" s="2535" customFormat="1" ht="15" thickBot="1">
      <c r="A31" s="2534"/>
      <c r="B31" s="2534"/>
      <c r="C31" s="2534"/>
      <c r="D31" s="2534"/>
      <c r="E31" s="2510"/>
      <c r="F31" s="2510"/>
      <c r="G31" s="2510"/>
      <c r="H31" s="2510"/>
      <c r="I31" s="2510"/>
      <c r="J31" s="2497"/>
      <c r="K31" s="2497"/>
      <c r="L31" s="2497"/>
      <c r="M31" s="2497"/>
      <c r="N31" s="2497"/>
      <c r="O31" s="2497"/>
      <c r="P31" s="2497"/>
      <c r="Q31" s="2497"/>
      <c r="R31" s="2497"/>
      <c r="S31" s="2497"/>
      <c r="T31" s="2497"/>
      <c r="U31" s="2497"/>
      <c r="V31" s="2497"/>
      <c r="W31" s="2497"/>
      <c r="X31" s="2497"/>
      <c r="Y31" s="2497"/>
      <c r="Z31" s="2497"/>
      <c r="AA31" s="2498"/>
      <c r="AB31" s="2498"/>
      <c r="AC31" s="2498"/>
      <c r="AD31" s="2498"/>
      <c r="AE31" s="2498"/>
      <c r="AF31" s="2498"/>
      <c r="AG31" s="2498"/>
      <c r="AH31" s="2498"/>
      <c r="AI31" s="2498"/>
    </row>
    <row r="32" spans="1:35" ht="15.75" thickBot="1">
      <c r="A32" s="2536" t="s">
        <v>2166</v>
      </c>
      <c r="B32" s="2537"/>
      <c r="C32" s="2538">
        <f ca="1">IF(D32="总价",G19-C24,G20-C25)</f>
        <v>56044</v>
      </c>
      <c r="D32" s="2539" t="s">
        <v>2167</v>
      </c>
      <c r="E32" s="2510"/>
      <c r="F32" s="2510"/>
      <c r="G32" s="2510"/>
      <c r="H32" s="2510"/>
      <c r="I32" s="2510"/>
    </row>
    <row r="33" spans="1:15" ht="15">
      <c r="A33" s="2540" t="s">
        <v>2168</v>
      </c>
      <c r="B33" s="2541"/>
      <c r="C33" s="2542" t="s">
        <v>7116</v>
      </c>
      <c r="D33" s="2543" t="s">
        <v>7101</v>
      </c>
      <c r="E33" s="2544" t="s">
        <v>2169</v>
      </c>
      <c r="F33" s="2545" t="str">
        <f>IF(D32="楼面单价","取值（单价）","取值（总价）")</f>
        <v>取值（总价）</v>
      </c>
      <c r="G33" s="2510"/>
      <c r="H33" s="2510"/>
      <c r="I33" s="2510"/>
    </row>
    <row r="34" spans="1:15" ht="15">
      <c r="A34" s="2546"/>
      <c r="B34" s="2547" t="s">
        <v>2170</v>
      </c>
      <c r="C34" s="2548">
        <f ca="1">IF(C33="自定义",F34,C32-C35)</f>
        <v>37325</v>
      </c>
      <c r="D34" s="2549">
        <f ca="1">IF(C33="自定义",ROUND(C34/C32,3),IF(C33="收益比率",SUMIF(INDIRECT("'"&amp;D33&amp;"'"&amp;"!b:b"),"土地收益比率",INDIRECT("'"&amp;D33&amp;"'"&amp;"!c:c")),SUMIF(INDIRECT("'"&amp;D33&amp;"'"&amp;"!b:b"),"土地成本比率",INDIRECT("'"&amp;D33&amp;"'"&amp;"!c:c"))))</f>
        <v>0.66599999999999993</v>
      </c>
      <c r="E34" s="2550" t="s">
        <v>2171</v>
      </c>
      <c r="F34" s="2551"/>
      <c r="G34" s="2510"/>
      <c r="H34" s="2510"/>
      <c r="I34" s="2510"/>
    </row>
    <row r="35" spans="1:15" ht="15.75" thickBot="1">
      <c r="A35" s="2552"/>
      <c r="B35" s="2553" t="s">
        <v>2172</v>
      </c>
      <c r="C35" s="2554">
        <f ca="1">IF(C33="自定义",F35,ROUND(C32*D35,0))</f>
        <v>18719</v>
      </c>
      <c r="D35" s="2354">
        <f ca="1">IF(C33="自定义",ROUND(C35/C32,3),IF(C33="收益比率",SUMIF(INDIRECT("'"&amp;D33&amp;"'"&amp;"!b:b"),"建筑物收益比率",INDIRECT("'"&amp;D33&amp;"'"&amp;"!c:c")),SUMIF(INDIRECT("'"&amp;D33&amp;"'"&amp;"!b:b"),"建筑物成本比率",INDIRECT("'"&amp;D33&amp;"'"&amp;"!c:c"))))</f>
        <v>0.33400000000000002</v>
      </c>
      <c r="E35" s="2555" t="s">
        <v>2173</v>
      </c>
      <c r="F35" s="2556"/>
      <c r="G35" s="2510"/>
      <c r="H35" s="2510"/>
      <c r="I35" s="2510"/>
    </row>
    <row r="36" spans="1:15" ht="15.75" thickBot="1">
      <c r="A36" s="3792" t="s">
        <v>2174</v>
      </c>
      <c r="B36" s="2557" t="s">
        <v>2175</v>
      </c>
      <c r="C36" s="2558"/>
      <c r="D36" s="2559"/>
      <c r="E36" s="2560"/>
      <c r="F36" s="2561"/>
      <c r="G36" s="2510"/>
      <c r="H36" s="2510"/>
      <c r="I36" s="2510"/>
    </row>
    <row r="37" spans="1:15" ht="15.75" thickBot="1">
      <c r="A37" s="3793"/>
      <c r="B37" s="2358" t="s">
        <v>2176</v>
      </c>
      <c r="C37" s="2562"/>
      <c r="D37" s="2295"/>
      <c r="E37" s="2295"/>
      <c r="F37" s="2561"/>
      <c r="G37" s="2510"/>
      <c r="H37" s="2510"/>
      <c r="I37" s="2510"/>
    </row>
    <row r="38" spans="1:15" ht="15.75" thickBot="1">
      <c r="A38" s="3794"/>
      <c r="B38" s="2563" t="s">
        <v>2177</v>
      </c>
      <c r="C38" s="2564"/>
      <c r="D38" s="2565" t="s">
        <v>2178</v>
      </c>
      <c r="E38" s="2295"/>
      <c r="F38" s="2561"/>
      <c r="G38" s="2510"/>
      <c r="H38" s="2510"/>
      <c r="I38" s="2510"/>
    </row>
    <row r="39" spans="1:15" ht="15">
      <c r="A39" s="2519" t="s">
        <v>2179</v>
      </c>
      <c r="B39" s="2566" t="s">
        <v>2180</v>
      </c>
      <c r="C39" s="2567" t="s">
        <v>2181</v>
      </c>
      <c r="D39" s="2567" t="s">
        <v>2182</v>
      </c>
      <c r="E39" s="2568" t="s">
        <v>2183</v>
      </c>
      <c r="F39" s="2561"/>
      <c r="G39" s="2510"/>
      <c r="H39" s="2510"/>
      <c r="I39" s="2510"/>
    </row>
    <row r="40" spans="1:15" ht="14.25">
      <c r="A40" s="2569" t="s">
        <v>2184</v>
      </c>
      <c r="B40" s="2570"/>
      <c r="C40" s="2571"/>
      <c r="D40" s="2571"/>
      <c r="E40" s="2470"/>
      <c r="F40" s="2561"/>
      <c r="G40" s="2510"/>
      <c r="H40" s="2510"/>
      <c r="I40" s="2510"/>
    </row>
    <row r="41" spans="1:15" ht="14.25">
      <c r="A41" s="2569" t="s">
        <v>2185</v>
      </c>
      <c r="B41" s="2570"/>
      <c r="C41" s="2571"/>
      <c r="D41" s="2571"/>
      <c r="E41" s="2470"/>
      <c r="F41" s="2561"/>
      <c r="G41" s="2510"/>
      <c r="H41" s="2510"/>
      <c r="I41" s="2510"/>
    </row>
    <row r="42" spans="1:15" ht="15" thickBot="1">
      <c r="A42" s="2572"/>
      <c r="B42" s="2573"/>
      <c r="C42" s="2574"/>
      <c r="D42" s="2574"/>
      <c r="E42" s="2556"/>
      <c r="F42" s="2561"/>
      <c r="G42" s="2510"/>
      <c r="H42" s="2510"/>
      <c r="I42" s="2510"/>
    </row>
    <row r="43" spans="1:15" ht="12.75">
      <c r="A43" s="2575"/>
      <c r="B43" s="2575"/>
      <c r="C43" s="2575"/>
      <c r="D43" s="2575"/>
      <c r="E43" s="2575"/>
      <c r="F43" s="2576"/>
      <c r="G43" s="2576"/>
      <c r="H43" s="2576"/>
      <c r="I43" s="2577"/>
    </row>
    <row r="44" spans="1:15" ht="18.75">
      <c r="A44" s="2578" t="s">
        <v>2186</v>
      </c>
      <c r="B44" s="2579"/>
      <c r="C44" s="2579"/>
      <c r="D44" s="2580"/>
      <c r="E44" s="2580"/>
      <c r="F44" s="2581"/>
      <c r="G44" s="2581"/>
      <c r="H44" s="2581"/>
      <c r="I44" s="2581"/>
      <c r="J44" s="2582" t="s">
        <v>2187</v>
      </c>
      <c r="K44" s="2583"/>
      <c r="L44" s="2583"/>
      <c r="M44" s="2583"/>
      <c r="N44" s="2583"/>
      <c r="O44" s="2583"/>
    </row>
    <row r="45" spans="1:15" ht="14.25" customHeight="1" thickBot="1">
      <c r="A45" s="3810" t="s">
        <v>2188</v>
      </c>
      <c r="B45" s="3811"/>
      <c r="C45" s="3812"/>
      <c r="D45" s="2584">
        <f ca="1">ROUND(H101*F45,0)</f>
        <v>56044</v>
      </c>
      <c r="E45" s="2585" t="s">
        <v>2189</v>
      </c>
      <c r="F45" s="2586">
        <v>1</v>
      </c>
      <c r="G45" s="2587" t="s">
        <v>2190</v>
      </c>
      <c r="H45" s="2510"/>
      <c r="I45" s="2510"/>
      <c r="J45" s="3735" t="s">
        <v>2191</v>
      </c>
      <c r="K45" s="3735"/>
      <c r="L45" s="3735"/>
      <c r="M45" s="3735"/>
      <c r="N45" s="3735"/>
      <c r="O45" s="3735"/>
    </row>
    <row r="46" spans="1:15" ht="14.25" customHeight="1">
      <c r="A46" s="3807" t="s">
        <v>2192</v>
      </c>
      <c r="B46" s="3808"/>
      <c r="C46" s="3808"/>
      <c r="D46" s="3808"/>
      <c r="E46" s="3808"/>
      <c r="F46" s="3808"/>
      <c r="G46" s="3809"/>
      <c r="H46" s="2369"/>
      <c r="I46" s="2369"/>
      <c r="J46" s="2588">
        <v>1</v>
      </c>
      <c r="K46" s="3735" t="s">
        <v>2193</v>
      </c>
      <c r="L46" s="3735"/>
      <c r="M46" s="3736"/>
      <c r="N46" s="3736"/>
      <c r="O46" s="3736"/>
    </row>
    <row r="47" spans="1:15" ht="12" customHeight="1">
      <c r="A47" s="2589" t="s">
        <v>2194</v>
      </c>
      <c r="B47" s="2590"/>
      <c r="C47" s="2591"/>
      <c r="D47" s="2592" t="s">
        <v>2195</v>
      </c>
      <c r="E47" s="2407" t="s">
        <v>2196</v>
      </c>
      <c r="F47" s="2593" t="s">
        <v>2197</v>
      </c>
      <c r="G47" s="2594" t="s">
        <v>2198</v>
      </c>
      <c r="H47" s="2369"/>
      <c r="I47" s="2369"/>
      <c r="J47" s="2588">
        <v>2</v>
      </c>
      <c r="K47" s="3735" t="s">
        <v>2199</v>
      </c>
      <c r="L47" s="3735"/>
      <c r="M47" s="3737">
        <f>'数据-取费表'!B2</f>
        <v>43071</v>
      </c>
      <c r="N47" s="3737"/>
      <c r="O47" s="3737"/>
    </row>
    <row r="48" spans="1:15" ht="25.5">
      <c r="A48" s="3796" t="s">
        <v>2200</v>
      </c>
      <c r="B48" s="3797"/>
      <c r="C48" s="3797"/>
      <c r="D48" s="2505">
        <f>IF(H48="情况1",0,IF(H48="情况2",D52,IF(H48="情况3",D53,IF(H48="情况4",D54))))</f>
        <v>0</v>
      </c>
      <c r="E48" s="2595" t="str">
        <f>IF(H48="情况4","(销售额-原购置价)×税（费）率","销售额×税（费）率")</f>
        <v>销售额×税（费）率</v>
      </c>
      <c r="F48" s="2596" t="str">
        <f>IF(H48="情况1","免征",'数据-取费表'!B41)</f>
        <v>免征</v>
      </c>
      <c r="G48" s="2597" t="s">
        <v>2201</v>
      </c>
      <c r="H48" s="2598" t="s">
        <v>2202</v>
      </c>
      <c r="I48" s="2369"/>
      <c r="J48" s="2588">
        <v>3</v>
      </c>
      <c r="K48" s="3735" t="s">
        <v>2203</v>
      </c>
      <c r="L48" s="3735"/>
      <c r="M48" s="3737">
        <f ca="1">H101</f>
        <v>56044</v>
      </c>
      <c r="N48" s="3737"/>
      <c r="O48" s="3737"/>
    </row>
    <row r="49" spans="1:35" ht="25.5" customHeight="1">
      <c r="A49" s="2599" t="s">
        <v>2204</v>
      </c>
      <c r="B49" s="3775" t="s">
        <v>2205</v>
      </c>
      <c r="C49" s="3775"/>
      <c r="D49" s="2600">
        <v>0</v>
      </c>
      <c r="E49" s="17" t="s">
        <v>2206</v>
      </c>
      <c r="F49" s="2601" t="s">
        <v>34</v>
      </c>
      <c r="G49" s="3763"/>
      <c r="H49" s="2510"/>
      <c r="I49" s="2369"/>
      <c r="J49" s="2588">
        <v>4</v>
      </c>
      <c r="K49" s="3735" t="str">
        <f>IF(项目基本情况!E8="房地产抵押价值","房地产抵押价值","抵押担保权已注销时的房地产抵押价值")</f>
        <v>抵押担保权已注销时的房地产抵押价值</v>
      </c>
      <c r="L49" s="3735"/>
      <c r="M49" s="3737" t="str">
        <f>IF(项目基本情况!E8="房地产抵押价值",H107,H109)</f>
        <v>——</v>
      </c>
      <c r="N49" s="3737"/>
      <c r="O49" s="3737"/>
    </row>
    <row r="50" spans="1:35" ht="25.5" customHeight="1">
      <c r="A50" s="2602"/>
      <c r="B50" s="3775" t="s">
        <v>2207</v>
      </c>
      <c r="C50" s="3775"/>
      <c r="D50" s="2603"/>
      <c r="E50" s="2604"/>
      <c r="F50" s="2605"/>
      <c r="G50" s="3764"/>
      <c r="H50" s="2510"/>
      <c r="I50" s="2369"/>
      <c r="J50" s="3735" t="s">
        <v>2208</v>
      </c>
      <c r="K50" s="3735"/>
      <c r="L50" s="3735"/>
      <c r="M50" s="3735"/>
      <c r="N50" s="3735"/>
      <c r="O50" s="3735"/>
    </row>
    <row r="51" spans="1:35" ht="12" customHeight="1">
      <c r="A51" s="2606"/>
      <c r="B51" s="3775" t="s">
        <v>2209</v>
      </c>
      <c r="C51" s="3775"/>
      <c r="D51" s="2607"/>
      <c r="E51" s="26"/>
      <c r="F51" s="2605"/>
      <c r="G51" s="3765"/>
      <c r="H51" s="2510"/>
      <c r="I51" s="2369"/>
      <c r="J51" s="2608" t="s">
        <v>2210</v>
      </c>
      <c r="K51" s="3735" t="s">
        <v>2211</v>
      </c>
      <c r="L51" s="3735"/>
      <c r="M51" s="2608" t="s">
        <v>2212</v>
      </c>
      <c r="N51" s="2608" t="s">
        <v>2213</v>
      </c>
      <c r="O51" s="2608" t="s">
        <v>2214</v>
      </c>
    </row>
    <row r="52" spans="1:35" ht="24" customHeight="1">
      <c r="A52" s="2227" t="s">
        <v>2215</v>
      </c>
      <c r="B52" s="3775" t="s">
        <v>2216</v>
      </c>
      <c r="C52" s="3775"/>
      <c r="D52" s="2607">
        <f ca="1">ROUND(D45*'数据-取费表'!B41/(1+'数据-取费表'!C42),0)</f>
        <v>2989</v>
      </c>
      <c r="E52" s="15" t="s">
        <v>2217</v>
      </c>
      <c r="F52" s="2407">
        <f>'数据-取费表'!B41</f>
        <v>5.6000000000000001E-2</v>
      </c>
      <c r="G52" s="2609"/>
      <c r="H52" s="2510"/>
      <c r="I52" s="2369"/>
      <c r="J52" s="2588">
        <v>1</v>
      </c>
      <c r="K52" s="3757" t="s">
        <v>2218</v>
      </c>
      <c r="L52" s="3757"/>
      <c r="M52" s="2610">
        <f>D48</f>
        <v>0</v>
      </c>
      <c r="N52" s="2588" t="str">
        <f>E48</f>
        <v>销售额×税（费）率</v>
      </c>
      <c r="O52" s="2611" t="str">
        <f>F48</f>
        <v>免征</v>
      </c>
    </row>
    <row r="53" spans="1:35" ht="12" customHeight="1">
      <c r="A53" s="2227" t="s">
        <v>2219</v>
      </c>
      <c r="B53" s="3774" t="s">
        <v>2220</v>
      </c>
      <c r="C53" s="3782"/>
      <c r="D53" s="2607">
        <f ca="1">ROUND(D45*'数据-取费表'!B41/(1+'数据-取费表'!C42),0)</f>
        <v>2989</v>
      </c>
      <c r="E53" s="15" t="s">
        <v>2217</v>
      </c>
      <c r="F53" s="2407">
        <f>'数据-取费表'!B41</f>
        <v>5.6000000000000001E-2</v>
      </c>
      <c r="G53" s="2609"/>
      <c r="H53" s="2510"/>
      <c r="I53" s="2369"/>
      <c r="J53" s="2588">
        <v>2</v>
      </c>
      <c r="K53" s="3757" t="s">
        <v>2221</v>
      </c>
      <c r="L53" s="3757"/>
      <c r="M53" s="2610">
        <f t="shared" ref="M53:O54" ca="1" si="0">D55</f>
        <v>28</v>
      </c>
      <c r="N53" s="2588" t="str">
        <f t="shared" si="0"/>
        <v>销售额×税（费）率</v>
      </c>
      <c r="O53" s="2611">
        <f t="shared" si="0"/>
        <v>5.0000000000000001E-4</v>
      </c>
    </row>
    <row r="54" spans="1:35" ht="12" customHeight="1">
      <c r="A54" s="2227" t="s">
        <v>2222</v>
      </c>
      <c r="B54" s="3774" t="s">
        <v>2223</v>
      </c>
      <c r="C54" s="3782"/>
      <c r="D54" s="2607">
        <f ca="1">C68</f>
        <v>2989</v>
      </c>
      <c r="E54" s="26" t="s">
        <v>2224</v>
      </c>
      <c r="F54" s="2407">
        <f>'数据-取费表'!B41</f>
        <v>5.6000000000000001E-2</v>
      </c>
      <c r="G54" s="2609"/>
      <c r="H54" s="2612"/>
      <c r="I54" s="2369"/>
      <c r="J54" s="2588">
        <v>3</v>
      </c>
      <c r="K54" s="3757" t="s">
        <v>2225</v>
      </c>
      <c r="L54" s="3757"/>
      <c r="M54" s="2610">
        <f t="shared" ca="1" si="0"/>
        <v>31721</v>
      </c>
      <c r="N54" s="2588" t="str">
        <f t="shared" si="0"/>
        <v>增值额×税（费）率</v>
      </c>
      <c r="O54" s="2611" t="str">
        <f t="shared" si="0"/>
        <v>——</v>
      </c>
    </row>
    <row r="55" spans="1:35" ht="24" customHeight="1">
      <c r="A55" s="3816" t="s">
        <v>2226</v>
      </c>
      <c r="B55" s="3797"/>
      <c r="C55" s="3797"/>
      <c r="D55" s="2613">
        <f ca="1">IF(H55="个人住宅",0,ROUND(D45*I55,0))</f>
        <v>28</v>
      </c>
      <c r="E55" s="15" t="s">
        <v>2227</v>
      </c>
      <c r="F55" s="2407">
        <f>IF(H55="正常",I55,"免征")</f>
        <v>5.0000000000000001E-4</v>
      </c>
      <c r="G55" s="2609"/>
      <c r="H55" s="2598" t="s">
        <v>2228</v>
      </c>
      <c r="I55" s="2614">
        <f>'数据-取费表'!B49</f>
        <v>5.0000000000000001E-4</v>
      </c>
      <c r="J55" s="2588" t="str">
        <f>IF(H59="非个人房产","",4)</f>
        <v/>
      </c>
      <c r="K55" s="3757" t="str">
        <f>IF(H59="非个人房产","——","个人所得税")</f>
        <v>——</v>
      </c>
      <c r="L55" s="3757"/>
      <c r="M55" s="2615" t="str">
        <f>D59</f>
        <v>——</v>
      </c>
      <c r="N55" s="2616" t="str">
        <f>E59</f>
        <v>——</v>
      </c>
      <c r="O55" s="2617" t="str">
        <f>F59</f>
        <v>——</v>
      </c>
    </row>
    <row r="56" spans="1:35" ht="24.75">
      <c r="A56" s="3816" t="s">
        <v>2229</v>
      </c>
      <c r="B56" s="3797"/>
      <c r="C56" s="3797"/>
      <c r="D56" s="2613">
        <f ca="1">IF(H56="个人住宅",D57,D58)</f>
        <v>31721</v>
      </c>
      <c r="E56" s="15" t="s">
        <v>2230</v>
      </c>
      <c r="F56" s="2407" t="str">
        <f>IF(H56="正常",F58,"免征")</f>
        <v>——</v>
      </c>
      <c r="G56" s="2618" t="s">
        <v>2231</v>
      </c>
      <c r="H56" s="2619" t="s">
        <v>2228</v>
      </c>
      <c r="I56" s="2620"/>
      <c r="J56" s="2588" t="str">
        <f>IF(项目基本情况!K6="上海银行",IF(J55="",4,J55+1),"")</f>
        <v/>
      </c>
      <c r="K56" s="3740" t="str">
        <f>IF(项目基本情况!K6="上海银行","其他处置费用","")</f>
        <v/>
      </c>
      <c r="L56" s="3741"/>
      <c r="M56" s="2610" t="str">
        <f>IF(项目基本情况!K6="上海银行",M69,"")</f>
        <v/>
      </c>
      <c r="N56" s="3743" t="str">
        <f>IF(项目基本情况!K6="上海银行","包含处置中涉及的律师、诉讼、拍卖、评估等费用","")</f>
        <v/>
      </c>
      <c r="O56" s="3744"/>
    </row>
    <row r="57" spans="1:35" ht="12.75">
      <c r="A57" s="2227" t="s">
        <v>2204</v>
      </c>
      <c r="B57" s="3785" t="s">
        <v>2232</v>
      </c>
      <c r="C57" s="3786"/>
      <c r="D57" s="2621">
        <v>0</v>
      </c>
      <c r="E57" s="17" t="s">
        <v>2206</v>
      </c>
      <c r="F57" s="2622"/>
      <c r="G57" s="2609"/>
      <c r="H57" s="2620"/>
      <c r="I57" s="2620"/>
      <c r="J57" s="3757">
        <f>IF(AND(J55="",J56=""),4,IF(项目基本情况!K6="上海银行",结果表!J56+1,结果表!J55+1))</f>
        <v>4</v>
      </c>
      <c r="K57" s="3757" t="s">
        <v>2233</v>
      </c>
      <c r="L57" s="2623" t="s">
        <v>2234</v>
      </c>
      <c r="M57" s="2624"/>
      <c r="N57" s="2625">
        <f ca="1">SUMIF(M52:M56,"&lt;9e307")</f>
        <v>31749</v>
      </c>
      <c r="O57" s="2626"/>
      <c r="P57" s="2493" t="e">
        <f ca="1">N57/M49</f>
        <v>#VALUE!</v>
      </c>
    </row>
    <row r="58" spans="1:35" ht="24.75">
      <c r="A58" s="2227" t="s">
        <v>2215</v>
      </c>
      <c r="B58" s="3785" t="s">
        <v>2235</v>
      </c>
      <c r="C58" s="3795"/>
      <c r="D58" s="2613">
        <f ca="1">IF(H58="转让取得",C81,C97)</f>
        <v>31721</v>
      </c>
      <c r="E58" s="15" t="s">
        <v>2230</v>
      </c>
      <c r="F58" s="2407" t="s">
        <v>34</v>
      </c>
      <c r="G58" s="2609"/>
      <c r="H58" s="2619" t="s">
        <v>2236</v>
      </c>
      <c r="I58" s="2620"/>
      <c r="J58" s="3757"/>
      <c r="K58" s="3757"/>
      <c r="L58" s="2623" t="s">
        <v>2237</v>
      </c>
      <c r="M58" s="2627"/>
      <c r="N58" s="2628" t="str">
        <f ca="1">NUMBERSTRING(INT(N57*10000),2)&amp;"元整"</f>
        <v>叁亿壹仟柒佰肆拾玖万元整</v>
      </c>
      <c r="O58" s="2629"/>
    </row>
    <row r="59" spans="1:35" ht="24.75" thickBot="1">
      <c r="A59" s="3761" t="s">
        <v>2238</v>
      </c>
      <c r="B59" s="3762"/>
      <c r="C59" s="3762"/>
      <c r="D59" s="2630" t="str">
        <f>IF(H59="非个人房产","——",IF(H59="个人住宅",0,ROUND(D45*I59,0)))</f>
        <v>——</v>
      </c>
      <c r="E59" s="2631" t="str">
        <f>IF(H59="非个人房产","——","销售额×税（费）率")</f>
        <v>——</v>
      </c>
      <c r="F59" s="2632" t="str">
        <f>IF(H59="非个人房产","——",IF(H59="个人住宅","免征",I59))</f>
        <v>——</v>
      </c>
      <c r="G59" s="2633" t="s">
        <v>2231</v>
      </c>
      <c r="H59" s="2619" t="s">
        <v>2239</v>
      </c>
      <c r="I59" s="1641">
        <v>0.01</v>
      </c>
      <c r="J59" s="3759">
        <f>J57+1</f>
        <v>5</v>
      </c>
      <c r="K59" s="3757" t="s">
        <v>2240</v>
      </c>
      <c r="L59" s="2588" t="s">
        <v>2234</v>
      </c>
      <c r="M59" s="2634"/>
      <c r="N59" s="2635" t="e">
        <f ca="1">M49-N57</f>
        <v>#VALUE!</v>
      </c>
      <c r="O59" s="2636"/>
    </row>
    <row r="60" spans="1:35" ht="12" customHeight="1">
      <c r="A60" s="2637"/>
      <c r="B60" s="2493"/>
      <c r="C60" s="2493"/>
      <c r="D60" s="2493"/>
      <c r="E60" s="2638"/>
      <c r="F60" s="2620"/>
      <c r="G60" s="2620"/>
      <c r="H60" s="2639"/>
      <c r="I60" s="2510"/>
      <c r="J60" s="3760"/>
      <c r="K60" s="3757"/>
      <c r="L60" s="2623" t="s">
        <v>2237</v>
      </c>
      <c r="M60" s="2627"/>
      <c r="N60" s="2628" t="e">
        <f ca="1">NUMBERSTRING(INT(N59*10000),2)&amp;"元整"</f>
        <v>#VALUE!</v>
      </c>
      <c r="O60" s="2629"/>
    </row>
    <row r="61" spans="1:35" ht="13.5" thickBot="1">
      <c r="A61" s="3815" t="s">
        <v>2241</v>
      </c>
      <c r="B61" s="3815"/>
      <c r="C61" s="3815"/>
      <c r="D61" s="3815"/>
      <c r="E61" s="3815"/>
      <c r="F61" s="2620"/>
      <c r="G61" s="2620"/>
      <c r="H61" s="2639"/>
      <c r="I61" s="2510"/>
      <c r="J61" s="2588">
        <f>J59+1</f>
        <v>6</v>
      </c>
      <c r="K61" s="3757" t="s">
        <v>2242</v>
      </c>
      <c r="L61" s="3757"/>
      <c r="M61" s="2640"/>
      <c r="N61" s="2641" t="e">
        <f ca="1">ROUND(N59*10000/'数据-汇总表'!E3,0)</f>
        <v>#VALUE!</v>
      </c>
      <c r="O61" s="2642"/>
    </row>
    <row r="62" spans="1:35" ht="12.75">
      <c r="A62" s="3777" t="s">
        <v>2243</v>
      </c>
      <c r="B62" s="3778"/>
      <c r="C62" s="2643"/>
      <c r="D62" s="2643" t="s">
        <v>2244</v>
      </c>
      <c r="E62" s="2644" t="s">
        <v>2245</v>
      </c>
      <c r="F62" s="2620"/>
      <c r="G62" s="2620"/>
      <c r="H62" s="2639"/>
      <c r="I62" s="2510"/>
    </row>
    <row r="63" spans="1:35" ht="12.75">
      <c r="A63" s="2645" t="s">
        <v>775</v>
      </c>
      <c r="B63" s="2646" t="s">
        <v>2246</v>
      </c>
      <c r="C63" s="2647">
        <f ca="1">ROUND((C64+C65)/(1+'数据-取费表'!C42),0)</f>
        <v>53375</v>
      </c>
      <c r="D63" s="2647"/>
      <c r="E63" s="2648"/>
      <c r="F63" s="2620"/>
      <c r="G63" s="2620"/>
      <c r="H63" s="2639"/>
      <c r="I63" s="2510"/>
      <c r="J63" s="3742" t="s">
        <v>2247</v>
      </c>
      <c r="K63" s="2649" t="s">
        <v>2248</v>
      </c>
      <c r="L63" s="2650" t="e">
        <f>IF(M49&gt;10000,M49*0.5%,IF(AND(M49&gt;1000,M49&lt;=10000),M49*1%,IF(AND(M49&gt;100,M49&lt;=1000),M49*3%,IF(AND(M49&gt;10,M49&lt;=100),M49*5%,M49*8%))))</f>
        <v>#VALUE!</v>
      </c>
      <c r="M63" s="2407" t="e">
        <f>ROUND(L63,1)</f>
        <v>#VALUE!</v>
      </c>
      <c r="Z63" s="2498"/>
      <c r="AI63" s="2499"/>
    </row>
    <row r="64" spans="1:35" ht="14.25" customHeight="1">
      <c r="A64" s="2651" t="s">
        <v>770</v>
      </c>
      <c r="B64" s="2652" t="s">
        <v>2249</v>
      </c>
      <c r="C64" s="2653">
        <f ca="1">D45</f>
        <v>56044</v>
      </c>
      <c r="D64" s="2653" t="s">
        <v>32</v>
      </c>
      <c r="E64" s="2654"/>
      <c r="F64" s="2620"/>
      <c r="G64" s="2620"/>
      <c r="H64" s="2639"/>
      <c r="I64" s="2510"/>
      <c r="J64" s="3742"/>
      <c r="K64" s="2649" t="s">
        <v>2250</v>
      </c>
      <c r="L64" s="2650" t="e">
        <f>IF(M49&gt;2000,M49*0.5%,IF(AND(M49&gt;1000,M49&lt;=2000),M49*0.6%,IF(AND(M49&gt;500,M49&lt;=1000),M49*0.7%,IF(AND(M49&gt;200,M49&lt;=500),M49*0.8%,IF(AND(M49&gt;100,M49&lt;=200),M49*0.9%,IF(AND(M49&gt;50,M49&lt;=100),M49*1%,IF(AND(M49&gt;20,M49&lt;=50),M49*1.5%,IF(AND(M49&gt;10,M49&lt;=20),M49*2%,IF(AND(M49&gt;1,M49&lt;=10),M49*2.5%)))))))))</f>
        <v>#VALUE!</v>
      </c>
      <c r="M64" s="2407" t="e">
        <f t="shared" ref="M64:M65" si="1">ROUND(L64,1)</f>
        <v>#VALUE!</v>
      </c>
      <c r="N64" s="2510" t="s">
        <v>2251</v>
      </c>
      <c r="Z64" s="2498"/>
      <c r="AI64" s="2499"/>
    </row>
    <row r="65" spans="1:35" ht="14.25" customHeight="1">
      <c r="A65" s="2651" t="s">
        <v>771</v>
      </c>
      <c r="B65" s="2652" t="s">
        <v>2252</v>
      </c>
      <c r="C65" s="2655"/>
      <c r="D65" s="2653"/>
      <c r="E65" s="2654"/>
      <c r="F65" s="2620"/>
      <c r="G65" s="2620"/>
      <c r="H65" s="2639"/>
      <c r="I65" s="2510"/>
      <c r="J65" s="3742"/>
      <c r="K65" s="2649" t="s">
        <v>2253</v>
      </c>
      <c r="L65" s="2650" t="e">
        <f>IF(M49&gt;1000,M49*0.1%,IF(AND(M49&gt;500,M49&lt;=1000),M49*0.5%,IF(AND(M49&gt;50,M49&lt;=500),M49*1%,IF(AND(M49&gt;1,M49&lt;=50),M49*1.5%))))</f>
        <v>#VALUE!</v>
      </c>
      <c r="M65" s="2407" t="e">
        <f t="shared" si="1"/>
        <v>#VALUE!</v>
      </c>
      <c r="N65" s="2510" t="s">
        <v>2251</v>
      </c>
      <c r="Z65" s="2498"/>
      <c r="AI65" s="2499"/>
    </row>
    <row r="66" spans="1:35" ht="14.25" customHeight="1">
      <c r="A66" s="2645" t="s">
        <v>772</v>
      </c>
      <c r="B66" s="2656" t="s">
        <v>2254</v>
      </c>
      <c r="C66" s="2657"/>
      <c r="D66" s="2658" t="s">
        <v>32</v>
      </c>
      <c r="E66" s="2659" t="s">
        <v>1372</v>
      </c>
      <c r="F66" s="2620"/>
      <c r="G66" s="2620"/>
      <c r="H66" s="2639"/>
      <c r="I66" s="2510"/>
      <c r="J66" s="3742"/>
      <c r="K66" s="2649" t="s">
        <v>2255</v>
      </c>
      <c r="L66" s="2650" t="e">
        <f>M49*0.5%</f>
        <v>#VALUE!</v>
      </c>
      <c r="M66" s="2407" t="e">
        <f>IF(L66&gt;0.5,0.5,ROUND(L66,0))</f>
        <v>#VALUE!</v>
      </c>
      <c r="N66" s="2510" t="s">
        <v>2256</v>
      </c>
      <c r="Z66" s="2498"/>
      <c r="AI66" s="2499"/>
    </row>
    <row r="67" spans="1:35" ht="14.25" customHeight="1">
      <c r="A67" s="2645" t="s">
        <v>773</v>
      </c>
      <c r="B67" s="2656" t="s">
        <v>2257</v>
      </c>
      <c r="C67" s="2658">
        <f ca="1">C63-C66</f>
        <v>53375</v>
      </c>
      <c r="D67" s="2653" t="s">
        <v>32</v>
      </c>
      <c r="E67" s="2654"/>
      <c r="F67" s="2620"/>
      <c r="G67" s="2620"/>
      <c r="H67" s="2639"/>
      <c r="I67" s="2510"/>
      <c r="J67" s="3742"/>
      <c r="K67" s="2649" t="s">
        <v>2258</v>
      </c>
      <c r="L67" s="2650" t="e">
        <f>IF(M49&gt;=10000,(8.25+(M49-10000)*0.01%),IF(AND(M49&gt;=8000,M49&lt;10000),(7.85+(M49-8000)*0.02%),IF(AND(M49&gt;=5000,M49&lt;8000),(6.65+(M49-5000)*0.04%),IF(AND(M49&gt;=2000,M49&lt;5000),(4.25+(PM49-2000)*0.08%),IF(AND(M49&gt;=1000,M49&lt;2000),(2.75+(M49-1000)*0.15%),IF(AND(M49&gt;=100,M49&lt;1000),(0.5+(M49-100)*0.25%),IF(AND(M49&gt;0,M49&lt;100),M49*0.5%)))))))</f>
        <v>#VALUE!</v>
      </c>
      <c r="M67" s="2407" t="e">
        <f>ROUND(L67*0.9,1)</f>
        <v>#VALUE!</v>
      </c>
      <c r="Z67" s="2498"/>
      <c r="AI67" s="2499"/>
    </row>
    <row r="68" spans="1:35" ht="14.25" customHeight="1" thickBot="1">
      <c r="A68" s="2660" t="s">
        <v>774</v>
      </c>
      <c r="B68" s="2661" t="s">
        <v>2259</v>
      </c>
      <c r="C68" s="2662">
        <f ca="1">IF(C67&lt;=0,0,ROUND(C67*D68,0))</f>
        <v>2989</v>
      </c>
      <c r="D68" s="2663">
        <f>'数据-取费表'!B41</f>
        <v>5.6000000000000001E-2</v>
      </c>
      <c r="E68" s="2664"/>
      <c r="F68" s="2620"/>
      <c r="G68" s="2620"/>
      <c r="H68" s="2639"/>
      <c r="I68" s="2510"/>
      <c r="J68" s="3742"/>
      <c r="K68" s="2649" t="s">
        <v>2260</v>
      </c>
      <c r="L68" s="2650" t="e">
        <f>IF(M49&gt;10000,M49*0.5%,IF(AND(M49&gt;5000,M49&lt;=10000),M49*1%,IF(AND(M49&gt;1000,M49&lt;=5000),M49*2%,IF(AND(M49&gt;200,M49&lt;=1000),M49*3%,M49*5%))))</f>
        <v>#VALUE!</v>
      </c>
      <c r="M68" s="2407" t="e">
        <f>ROUND(L68,1)</f>
        <v>#VALUE!</v>
      </c>
      <c r="Z68" s="2498"/>
      <c r="AI68" s="2499"/>
    </row>
    <row r="69" spans="1:35" s="2535" customFormat="1" ht="16.5" customHeight="1">
      <c r="A69" s="2589"/>
      <c r="B69" s="2665"/>
      <c r="C69" s="2666"/>
      <c r="D69" s="2667"/>
      <c r="E69" s="2668"/>
      <c r="F69" s="2638"/>
      <c r="G69" s="2638"/>
      <c r="H69" s="2575"/>
      <c r="I69" s="2493"/>
      <c r="J69" s="3742"/>
      <c r="K69" s="2649" t="s">
        <v>2261</v>
      </c>
      <c r="L69" s="2669"/>
      <c r="M69" s="2407" t="e">
        <f>ROUND(SUM(M63:M68),0)</f>
        <v>#VALUE!</v>
      </c>
      <c r="N69" s="2493" t="e">
        <f>M69/M49</f>
        <v>#VALUE!</v>
      </c>
      <c r="O69" s="2497"/>
      <c r="P69" s="2497"/>
      <c r="Q69" s="2497"/>
      <c r="R69" s="2497"/>
      <c r="S69" s="2497"/>
      <c r="T69" s="2497"/>
      <c r="U69" s="2497"/>
      <c r="V69" s="2497"/>
      <c r="W69" s="2497"/>
      <c r="X69" s="2497"/>
      <c r="Y69" s="2497"/>
      <c r="Z69" s="2498"/>
      <c r="AA69" s="2498"/>
      <c r="AB69" s="2498"/>
      <c r="AC69" s="2498"/>
      <c r="AD69" s="2498"/>
      <c r="AE69" s="2498"/>
      <c r="AF69" s="2498"/>
      <c r="AG69" s="2498"/>
      <c r="AH69" s="2498"/>
    </row>
    <row r="70" spans="1:35" s="2671" customFormat="1" ht="15" thickBot="1">
      <c r="A70" s="3783" t="s">
        <v>2262</v>
      </c>
      <c r="B70" s="3784"/>
      <c r="C70" s="3784"/>
      <c r="D70" s="3784"/>
      <c r="E70" s="3784"/>
      <c r="F70" s="3784"/>
      <c r="G70" s="3784"/>
      <c r="H70" s="3784"/>
      <c r="I70" s="2670"/>
      <c r="N70" s="2672"/>
      <c r="O70" s="2672"/>
      <c r="P70" s="2672"/>
      <c r="Q70" s="2672"/>
      <c r="R70" s="2672"/>
      <c r="S70" s="2672"/>
      <c r="T70" s="2672"/>
      <c r="U70" s="2672"/>
      <c r="V70" s="2672"/>
      <c r="W70" s="2672"/>
      <c r="X70" s="2672"/>
      <c r="Y70" s="2672"/>
      <c r="Z70" s="2672"/>
      <c r="AA70" s="2673"/>
      <c r="AB70" s="2673"/>
      <c r="AC70" s="2673"/>
      <c r="AD70" s="2673"/>
      <c r="AE70" s="2673"/>
      <c r="AF70" s="2673"/>
      <c r="AG70" s="2673"/>
      <c r="AH70" s="2673"/>
      <c r="AI70" s="2673"/>
    </row>
    <row r="71" spans="1:35" s="2671" customFormat="1" ht="14.25">
      <c r="A71" s="3777" t="s">
        <v>2243</v>
      </c>
      <c r="B71" s="3778"/>
      <c r="C71" s="2643"/>
      <c r="D71" s="2643" t="s">
        <v>2244</v>
      </c>
      <c r="E71" s="2674" t="s">
        <v>2245</v>
      </c>
      <c r="F71" s="2675"/>
      <c r="G71" s="2675"/>
      <c r="H71" s="2676"/>
      <c r="I71" s="2677"/>
      <c r="N71" s="2672"/>
      <c r="O71" s="2672"/>
      <c r="P71" s="2672"/>
      <c r="Q71" s="2672"/>
      <c r="R71" s="2672"/>
      <c r="S71" s="2672"/>
      <c r="T71" s="2672"/>
      <c r="U71" s="2672"/>
      <c r="V71" s="2672"/>
      <c r="W71" s="2672"/>
      <c r="X71" s="2672"/>
      <c r="Y71" s="2672"/>
      <c r="Z71" s="2672"/>
      <c r="AA71" s="2673"/>
      <c r="AB71" s="2673"/>
      <c r="AC71" s="2673"/>
      <c r="AD71" s="2673"/>
      <c r="AE71" s="2673"/>
      <c r="AF71" s="2673"/>
      <c r="AG71" s="2673"/>
      <c r="AH71" s="2673"/>
      <c r="AI71" s="2673"/>
    </row>
    <row r="72" spans="1:35" s="2671" customFormat="1" ht="14.25">
      <c r="A72" s="2645" t="s">
        <v>775</v>
      </c>
      <c r="B72" s="2656" t="s">
        <v>2263</v>
      </c>
      <c r="C72" s="2658">
        <f ca="1">ROUND(D45/(1+'数据-取费表'!C42),0)</f>
        <v>53375</v>
      </c>
      <c r="D72" s="2653" t="s">
        <v>32</v>
      </c>
      <c r="E72" s="2678"/>
      <c r="F72" s="2679"/>
      <c r="G72" s="2679"/>
      <c r="H72" s="2680"/>
      <c r="I72" s="2677"/>
      <c r="N72" s="2672"/>
      <c r="O72" s="2672"/>
      <c r="P72" s="2672"/>
      <c r="Q72" s="2672"/>
      <c r="R72" s="2672"/>
      <c r="S72" s="2672"/>
      <c r="T72" s="2672"/>
      <c r="U72" s="2672"/>
      <c r="V72" s="2672"/>
      <c r="W72" s="2672"/>
      <c r="X72" s="2672"/>
      <c r="Y72" s="2672"/>
      <c r="Z72" s="2672"/>
      <c r="AA72" s="2673"/>
      <c r="AB72" s="2673"/>
      <c r="AC72" s="2673"/>
      <c r="AD72" s="2673"/>
      <c r="AE72" s="2673"/>
      <c r="AF72" s="2673"/>
      <c r="AG72" s="2673"/>
      <c r="AH72" s="2673"/>
      <c r="AI72" s="2673"/>
    </row>
    <row r="73" spans="1:35" s="2671" customFormat="1" ht="14.25">
      <c r="A73" s="2645" t="s">
        <v>772</v>
      </c>
      <c r="B73" s="2593" t="s">
        <v>2264</v>
      </c>
      <c r="C73" s="2658">
        <f ca="1">C74+C78</f>
        <v>320</v>
      </c>
      <c r="D73" s="2653" t="s">
        <v>32</v>
      </c>
      <c r="E73" s="2678"/>
      <c r="F73" s="2679"/>
      <c r="G73" s="2679"/>
      <c r="H73" s="2680"/>
      <c r="I73" s="2677"/>
      <c r="J73" s="2672"/>
      <c r="K73" s="2672"/>
      <c r="L73" s="2672"/>
      <c r="M73" s="2672"/>
      <c r="N73" s="2672"/>
      <c r="O73" s="2672"/>
      <c r="P73" s="2672"/>
      <c r="Q73" s="2672"/>
      <c r="R73" s="2672"/>
      <c r="S73" s="2672"/>
      <c r="T73" s="2672"/>
      <c r="U73" s="2672"/>
      <c r="V73" s="2672"/>
      <c r="W73" s="2672"/>
      <c r="X73" s="2672"/>
      <c r="Y73" s="2672"/>
      <c r="Z73" s="2672"/>
      <c r="AA73" s="2673"/>
      <c r="AB73" s="2673"/>
      <c r="AC73" s="2673"/>
      <c r="AD73" s="2673"/>
      <c r="AE73" s="2673"/>
      <c r="AF73" s="2673"/>
      <c r="AG73" s="2673"/>
      <c r="AH73" s="2673"/>
      <c r="AI73" s="2673"/>
    </row>
    <row r="74" spans="1:35" s="2671" customFormat="1" ht="24">
      <c r="A74" s="2681" t="s">
        <v>770</v>
      </c>
      <c r="B74" s="2652" t="s">
        <v>2265</v>
      </c>
      <c r="C74" s="2653">
        <f>ROUND(IF(G77="2016年5月1日后购买",C75/(1+'数据-取费表'!C42)+C76+C77,C75+C76+C77),0)</f>
        <v>0</v>
      </c>
      <c r="D74" s="2653" t="s">
        <v>32</v>
      </c>
      <c r="E74" s="2678"/>
      <c r="F74" s="2679"/>
      <c r="G74" s="2679"/>
      <c r="H74" s="2680"/>
      <c r="I74" s="2677"/>
      <c r="J74" s="2672"/>
      <c r="K74" s="2672"/>
      <c r="L74" s="2672"/>
      <c r="M74" s="2672"/>
      <c r="N74" s="2672"/>
      <c r="O74" s="2672"/>
      <c r="P74" s="2672"/>
      <c r="Q74" s="2672"/>
      <c r="R74" s="2672"/>
      <c r="S74" s="2672"/>
      <c r="T74" s="2672"/>
      <c r="U74" s="2672"/>
      <c r="V74" s="2672"/>
      <c r="W74" s="2672"/>
      <c r="X74" s="2672"/>
      <c r="Y74" s="2672"/>
      <c r="Z74" s="2672"/>
      <c r="AA74" s="2673"/>
      <c r="AB74" s="2673"/>
      <c r="AC74" s="2673"/>
      <c r="AD74" s="2673"/>
      <c r="AE74" s="2673"/>
      <c r="AF74" s="2673"/>
      <c r="AG74" s="2673"/>
      <c r="AH74" s="2673"/>
      <c r="AI74" s="2673"/>
    </row>
    <row r="75" spans="1:35" s="2671" customFormat="1" ht="14.25">
      <c r="A75" s="2681" t="s">
        <v>776</v>
      </c>
      <c r="B75" s="2652" t="s">
        <v>2266</v>
      </c>
      <c r="C75" s="2655"/>
      <c r="D75" s="2653" t="s">
        <v>32</v>
      </c>
      <c r="E75" s="2682" t="s">
        <v>2267</v>
      </c>
      <c r="F75" s="2683" t="s">
        <v>2268</v>
      </c>
      <c r="G75" s="2682" t="s">
        <v>2269</v>
      </c>
      <c r="H75" s="2684"/>
      <c r="I75" s="2685"/>
      <c r="J75" s="2672"/>
      <c r="K75" s="2672"/>
      <c r="L75" s="2672"/>
      <c r="M75" s="2672"/>
      <c r="N75" s="2672"/>
      <c r="O75" s="2672"/>
      <c r="P75" s="2672"/>
      <c r="Q75" s="2672"/>
      <c r="R75" s="2672"/>
      <c r="S75" s="2672"/>
      <c r="T75" s="2672"/>
      <c r="U75" s="2672"/>
      <c r="V75" s="2672"/>
      <c r="W75" s="2672"/>
      <c r="X75" s="2672"/>
      <c r="Y75" s="2672"/>
      <c r="Z75" s="2672"/>
      <c r="AA75" s="2673"/>
      <c r="AB75" s="2673"/>
      <c r="AC75" s="2673"/>
      <c r="AD75" s="2673"/>
      <c r="AE75" s="2673"/>
      <c r="AF75" s="2673"/>
      <c r="AG75" s="2673"/>
      <c r="AH75" s="2673"/>
      <c r="AI75" s="2673"/>
    </row>
    <row r="76" spans="1:35" s="2671" customFormat="1" ht="24.75" customHeight="1">
      <c r="A76" s="2681" t="s">
        <v>777</v>
      </c>
      <c r="B76" s="2686" t="s">
        <v>2270</v>
      </c>
      <c r="C76" s="2653">
        <f>IF(F75="购房发票",ROUND(C75*H75*D76,0),0)</f>
        <v>0</v>
      </c>
      <c r="D76" s="2687">
        <v>0.05</v>
      </c>
      <c r="E76" s="3774" t="s">
        <v>2271</v>
      </c>
      <c r="F76" s="3775"/>
      <c r="G76" s="3775"/>
      <c r="H76" s="3776"/>
      <c r="I76" s="2677"/>
      <c r="J76" s="2672"/>
      <c r="K76" s="2672"/>
      <c r="L76" s="2672"/>
      <c r="M76" s="2672"/>
      <c r="N76" s="2672"/>
      <c r="O76" s="2672"/>
      <c r="P76" s="2672"/>
      <c r="Q76" s="2672"/>
      <c r="R76" s="2672"/>
      <c r="S76" s="2672"/>
      <c r="T76" s="2672"/>
      <c r="U76" s="2672"/>
      <c r="V76" s="2672"/>
      <c r="W76" s="2672"/>
      <c r="X76" s="2672"/>
      <c r="Y76" s="2672"/>
      <c r="Z76" s="2672"/>
      <c r="AA76" s="2673"/>
      <c r="AB76" s="2673"/>
      <c r="AC76" s="2673"/>
      <c r="AD76" s="2673"/>
      <c r="AE76" s="2673"/>
      <c r="AF76" s="2673"/>
      <c r="AG76" s="2673"/>
      <c r="AH76" s="2673"/>
      <c r="AI76" s="2673"/>
    </row>
    <row r="77" spans="1:35" s="2671" customFormat="1" ht="24.75" customHeight="1">
      <c r="A77" s="2681" t="s">
        <v>778</v>
      </c>
      <c r="B77" s="2652" t="s">
        <v>2272</v>
      </c>
      <c r="C77" s="2653">
        <f>ROUND(IF(G77="个人住宅",0,IF(G77="2016年5月1日前购买",C75*D77,C75*D77/(1+'数据-取费表'!C42))),0)</f>
        <v>0</v>
      </c>
      <c r="D77" s="2653">
        <f>'数据-取费表'!B48+'数据-取费表'!B49</f>
        <v>3.0499999999999999E-2</v>
      </c>
      <c r="E77" s="2688" t="s">
        <v>2273</v>
      </c>
      <c r="F77" s="2689"/>
      <c r="G77" s="2690" t="s">
        <v>2274</v>
      </c>
      <c r="H77" s="2691" t="str">
        <f>IF(G77="个人买卖住房","免征印花税"," ")</f>
        <v xml:space="preserve"> </v>
      </c>
      <c r="I77" s="2677"/>
      <c r="J77" s="2672"/>
      <c r="K77" s="2672"/>
      <c r="L77" s="2672"/>
      <c r="M77" s="2672"/>
      <c r="N77" s="2672"/>
      <c r="O77" s="2672"/>
      <c r="P77" s="2672"/>
      <c r="Q77" s="2672"/>
      <c r="R77" s="2672"/>
      <c r="S77" s="2672"/>
      <c r="T77" s="2672"/>
      <c r="U77" s="2672"/>
      <c r="V77" s="2672"/>
      <c r="W77" s="2672"/>
      <c r="X77" s="2672"/>
      <c r="Y77" s="2672"/>
      <c r="Z77" s="2672"/>
      <c r="AA77" s="2673"/>
      <c r="AB77" s="2673"/>
      <c r="AC77" s="2673"/>
      <c r="AD77" s="2673"/>
      <c r="AE77" s="2673"/>
      <c r="AF77" s="2673"/>
      <c r="AG77" s="2673"/>
      <c r="AH77" s="2673"/>
      <c r="AI77" s="2673"/>
    </row>
    <row r="78" spans="1:35" s="2671" customFormat="1" ht="24.75" customHeight="1">
      <c r="A78" s="2681" t="s">
        <v>771</v>
      </c>
      <c r="B78" s="2652" t="s">
        <v>2275</v>
      </c>
      <c r="C78" s="2653">
        <f ca="1">ROUND(D45*D78/(1+'数据-取费表'!C42),0)</f>
        <v>320</v>
      </c>
      <c r="D78" s="2692">
        <f>'数据-取费表'!B43</f>
        <v>6.000000000000001E-3</v>
      </c>
      <c r="E78" s="3774" t="s">
        <v>2276</v>
      </c>
      <c r="F78" s="3775"/>
      <c r="G78" s="3775"/>
      <c r="H78" s="3776"/>
      <c r="I78" s="2693"/>
      <c r="J78" s="2672"/>
      <c r="K78" s="2672"/>
      <c r="L78" s="2672"/>
      <c r="M78" s="2672"/>
      <c r="N78" s="2672"/>
      <c r="O78" s="2672"/>
      <c r="P78" s="2672"/>
      <c r="Q78" s="2672"/>
      <c r="R78" s="2672"/>
      <c r="S78" s="2672"/>
      <c r="T78" s="2672"/>
      <c r="U78" s="2672"/>
      <c r="V78" s="2672"/>
      <c r="W78" s="2672"/>
      <c r="X78" s="2672"/>
      <c r="Y78" s="2672"/>
      <c r="Z78" s="2672"/>
      <c r="AA78" s="2673"/>
      <c r="AB78" s="2673"/>
      <c r="AC78" s="2673"/>
      <c r="AD78" s="2673"/>
      <c r="AE78" s="2673"/>
      <c r="AF78" s="2673"/>
      <c r="AG78" s="2673"/>
      <c r="AH78" s="2673"/>
      <c r="AI78" s="2673"/>
    </row>
    <row r="79" spans="1:35" s="2671" customFormat="1" ht="14.25">
      <c r="A79" s="2694" t="s">
        <v>779</v>
      </c>
      <c r="B79" s="2656" t="s">
        <v>2277</v>
      </c>
      <c r="C79" s="2658">
        <f ca="1">C72-C73</f>
        <v>53055</v>
      </c>
      <c r="D79" s="2653" t="s">
        <v>32</v>
      </c>
      <c r="E79" s="2678"/>
      <c r="F79" s="2679"/>
      <c r="G79" s="2679"/>
      <c r="H79" s="2680"/>
      <c r="I79" s="2677"/>
      <c r="J79" s="2672"/>
      <c r="K79" s="2672"/>
      <c r="L79" s="2672"/>
      <c r="M79" s="2672"/>
      <c r="N79" s="2672"/>
      <c r="O79" s="2672"/>
      <c r="P79" s="2672"/>
      <c r="Q79" s="2672"/>
      <c r="R79" s="2672"/>
      <c r="S79" s="2672"/>
      <c r="T79" s="2672"/>
      <c r="U79" s="2672"/>
      <c r="V79" s="2672"/>
      <c r="W79" s="2672"/>
      <c r="X79" s="2672"/>
      <c r="Y79" s="2672"/>
      <c r="Z79" s="2672"/>
      <c r="AA79" s="2673"/>
      <c r="AB79" s="2673"/>
      <c r="AC79" s="2673"/>
      <c r="AD79" s="2673"/>
      <c r="AE79" s="2673"/>
      <c r="AF79" s="2673"/>
      <c r="AG79" s="2673"/>
      <c r="AH79" s="2673"/>
      <c r="AI79" s="2673"/>
    </row>
    <row r="80" spans="1:35" s="2671" customFormat="1" ht="24">
      <c r="A80" s="2694" t="s">
        <v>780</v>
      </c>
      <c r="B80" s="2656" t="s">
        <v>2278</v>
      </c>
      <c r="C80" s="2658">
        <f ca="1">IF(C79&lt;=0,0,C79/C73)</f>
        <v>165.796875</v>
      </c>
      <c r="D80" s="2653" t="s">
        <v>32</v>
      </c>
      <c r="E80" s="2688" t="str">
        <f ca="1">IF(C80&gt;=200%,"增值额超过扣除项目金额200%",IF(C80&gt;=100%,"增值额超过扣除项目金额100%，未超过200%",IF(C80&gt;=50%,"增值额超过扣除项目金额50%，未超过100%",IF(C80&lt;50%,"增值额未超过扣除项目金额50%"))))</f>
        <v>增值额超过扣除项目金额200%</v>
      </c>
      <c r="F80" s="2679"/>
      <c r="G80" s="2679"/>
      <c r="H80" s="2680"/>
      <c r="I80" s="2677"/>
      <c r="J80" s="2672"/>
      <c r="K80" s="2672"/>
      <c r="L80" s="2672"/>
      <c r="M80" s="2672"/>
      <c r="N80" s="2672"/>
      <c r="O80" s="2672"/>
      <c r="P80" s="2672"/>
      <c r="Q80" s="2672"/>
      <c r="R80" s="2672"/>
      <c r="S80" s="2672"/>
      <c r="T80" s="2672"/>
      <c r="U80" s="2672"/>
      <c r="V80" s="2672"/>
      <c r="W80" s="2672"/>
      <c r="X80" s="2672"/>
      <c r="Y80" s="2672"/>
      <c r="Z80" s="2672"/>
      <c r="AA80" s="2673"/>
      <c r="AB80" s="2673"/>
      <c r="AC80" s="2673"/>
      <c r="AD80" s="2673"/>
      <c r="AE80" s="2673"/>
      <c r="AF80" s="2673"/>
      <c r="AG80" s="2673"/>
      <c r="AH80" s="2673"/>
      <c r="AI80" s="2673"/>
    </row>
    <row r="81" spans="1:35" s="2671" customFormat="1" ht="24.75" thickBot="1">
      <c r="A81" s="2695" t="s">
        <v>781</v>
      </c>
      <c r="B81" s="2661" t="s">
        <v>2279</v>
      </c>
      <c r="C81" s="2696">
        <f ca="1">ROUND(IF(C79&lt;=0,0,IF(C80&gt;=200%,C79*60%-C73*35%,IF(C80&gt;=100%,C79*50%-C73*15%,IF(C80&gt;=50%,C79*40%-C73*5%,IF(C80&lt;50%,C79*30%,0))))),0)</f>
        <v>31721</v>
      </c>
      <c r="D81" s="2663" t="s">
        <v>32</v>
      </c>
      <c r="E81" s="269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698"/>
      <c r="G81" s="2698"/>
      <c r="H81" s="2699"/>
      <c r="I81" s="2677"/>
      <c r="J81" s="2672"/>
      <c r="K81" s="2672"/>
      <c r="L81" s="2672"/>
      <c r="M81" s="2672"/>
      <c r="N81" s="2672"/>
      <c r="O81" s="2672"/>
      <c r="P81" s="2672"/>
      <c r="Q81" s="2672"/>
      <c r="R81" s="2672"/>
      <c r="S81" s="2672"/>
      <c r="T81" s="2672"/>
      <c r="U81" s="2672"/>
      <c r="V81" s="2672"/>
      <c r="W81" s="2672"/>
      <c r="X81" s="2672"/>
      <c r="Y81" s="2672"/>
      <c r="Z81" s="2672"/>
      <c r="AA81" s="2673"/>
      <c r="AB81" s="2673"/>
      <c r="AC81" s="2673"/>
      <c r="AD81" s="2673"/>
      <c r="AE81" s="2673"/>
      <c r="AF81" s="2673"/>
      <c r="AG81" s="2673"/>
      <c r="AH81" s="2673"/>
      <c r="AI81" s="2673"/>
    </row>
    <row r="82" spans="1:35" s="2671" customFormat="1" ht="7.5" customHeight="1">
      <c r="A82" s="2700"/>
      <c r="B82" s="2701"/>
      <c r="C82" s="2702"/>
      <c r="D82" s="2702"/>
      <c r="E82" s="2701"/>
      <c r="F82" s="2701"/>
      <c r="G82" s="2701"/>
      <c r="H82" s="2703"/>
      <c r="I82" s="2693"/>
      <c r="J82" s="2672"/>
      <c r="K82" s="2672"/>
      <c r="L82" s="2672"/>
      <c r="M82" s="2672"/>
      <c r="N82" s="2672"/>
      <c r="O82" s="2672"/>
      <c r="P82" s="2672"/>
      <c r="Q82" s="2672"/>
      <c r="R82" s="2672"/>
      <c r="S82" s="2672"/>
      <c r="T82" s="2672"/>
      <c r="U82" s="2672"/>
      <c r="V82" s="2672"/>
      <c r="W82" s="2672"/>
      <c r="X82" s="2672"/>
      <c r="Y82" s="2672"/>
      <c r="Z82" s="2672"/>
      <c r="AA82" s="2673"/>
      <c r="AB82" s="2673"/>
      <c r="AC82" s="2673"/>
      <c r="AD82" s="2673"/>
      <c r="AE82" s="2673"/>
      <c r="AF82" s="2673"/>
      <c r="AG82" s="2673"/>
      <c r="AH82" s="2673"/>
      <c r="AI82" s="2673"/>
    </row>
    <row r="83" spans="1:35" s="2671" customFormat="1" ht="15" thickBot="1">
      <c r="A83" s="3783" t="s">
        <v>2280</v>
      </c>
      <c r="B83" s="3784"/>
      <c r="C83" s="3784"/>
      <c r="D83" s="3784"/>
      <c r="E83" s="3784"/>
      <c r="F83" s="3784"/>
      <c r="G83" s="3784"/>
      <c r="H83" s="3784"/>
      <c r="I83" s="2685"/>
      <c r="J83" s="2672"/>
      <c r="K83" s="2672"/>
      <c r="L83" s="2672"/>
      <c r="M83" s="2672"/>
      <c r="N83" s="2672"/>
      <c r="O83" s="2672"/>
      <c r="P83" s="2672"/>
      <c r="Q83" s="2672"/>
      <c r="R83" s="2672"/>
      <c r="S83" s="2672"/>
      <c r="T83" s="2672"/>
      <c r="U83" s="2672"/>
      <c r="V83" s="2672"/>
      <c r="W83" s="2672"/>
      <c r="X83" s="2672"/>
      <c r="Y83" s="2672"/>
      <c r="Z83" s="2672"/>
      <c r="AA83" s="2673"/>
      <c r="AB83" s="2673"/>
      <c r="AC83" s="2673"/>
      <c r="AD83" s="2673"/>
      <c r="AE83" s="2673"/>
      <c r="AF83" s="2673"/>
      <c r="AG83" s="2673"/>
      <c r="AH83" s="2673"/>
      <c r="AI83" s="2673"/>
    </row>
    <row r="84" spans="1:35" s="2671" customFormat="1" ht="14.25">
      <c r="A84" s="3777" t="s">
        <v>2243</v>
      </c>
      <c r="B84" s="3778"/>
      <c r="C84" s="2643"/>
      <c r="D84" s="2643" t="s">
        <v>2244</v>
      </c>
      <c r="E84" s="2674" t="s">
        <v>2245</v>
      </c>
      <c r="F84" s="2675"/>
      <c r="G84" s="2675"/>
      <c r="H84" s="2704"/>
      <c r="I84" s="2685"/>
      <c r="J84" s="2672"/>
      <c r="K84" s="2672"/>
      <c r="L84" s="2672"/>
      <c r="M84" s="2672"/>
      <c r="N84" s="2672"/>
      <c r="O84" s="2672"/>
      <c r="P84" s="2672"/>
      <c r="Q84" s="2672"/>
      <c r="R84" s="2672"/>
      <c r="S84" s="2672"/>
      <c r="T84" s="2672"/>
      <c r="U84" s="2672"/>
      <c r="V84" s="2672"/>
      <c r="W84" s="2672"/>
      <c r="X84" s="2672"/>
      <c r="Y84" s="2672"/>
      <c r="Z84" s="2672"/>
      <c r="AA84" s="2673"/>
      <c r="AB84" s="2673"/>
      <c r="AC84" s="2673"/>
      <c r="AD84" s="2673"/>
      <c r="AE84" s="2673"/>
      <c r="AF84" s="2673"/>
      <c r="AG84" s="2673"/>
      <c r="AH84" s="2673"/>
      <c r="AI84" s="2673"/>
    </row>
    <row r="85" spans="1:35" s="2671" customFormat="1" ht="14.25">
      <c r="A85" s="2645" t="s">
        <v>775</v>
      </c>
      <c r="B85" s="2656" t="s">
        <v>2263</v>
      </c>
      <c r="C85" s="2658">
        <f ca="1">ROUND(D45/(1+'数据-取费表'!C42),0)</f>
        <v>53375</v>
      </c>
      <c r="D85" s="2653" t="s">
        <v>32</v>
      </c>
      <c r="E85" s="2678"/>
      <c r="F85" s="2679"/>
      <c r="G85" s="2679"/>
      <c r="H85" s="2705"/>
      <c r="I85" s="2685"/>
      <c r="J85" s="2672"/>
      <c r="K85" s="2672"/>
      <c r="L85" s="2672"/>
      <c r="M85" s="2672"/>
      <c r="N85" s="2672"/>
      <c r="O85" s="2672"/>
      <c r="P85" s="2672"/>
      <c r="Q85" s="2672"/>
      <c r="R85" s="2672"/>
      <c r="S85" s="2672"/>
      <c r="T85" s="2672"/>
      <c r="U85" s="2672"/>
      <c r="V85" s="2672"/>
      <c r="W85" s="2672"/>
      <c r="X85" s="2672"/>
      <c r="Y85" s="2672"/>
      <c r="Z85" s="2672"/>
      <c r="AA85" s="2673"/>
      <c r="AB85" s="2673"/>
      <c r="AC85" s="2673"/>
      <c r="AD85" s="2673"/>
      <c r="AE85" s="2673"/>
      <c r="AF85" s="2673"/>
      <c r="AG85" s="2673"/>
      <c r="AH85" s="2673"/>
      <c r="AI85" s="2673"/>
    </row>
    <row r="86" spans="1:35" s="2671" customFormat="1" ht="14.25">
      <c r="A86" s="2645" t="s">
        <v>772</v>
      </c>
      <c r="B86" s="2593" t="s">
        <v>2264</v>
      </c>
      <c r="C86" s="2658">
        <f ca="1">IF(H88="仅含出让金",C87+C90+C91+C92+C93+C94,C87+C91+C92+C93+C94)</f>
        <v>320</v>
      </c>
      <c r="D86" s="2706"/>
      <c r="E86" s="2678"/>
      <c r="F86" s="2679"/>
      <c r="G86" s="2679"/>
      <c r="H86" s="2705"/>
      <c r="I86" s="2685"/>
      <c r="J86" s="2672"/>
      <c r="K86" s="2672"/>
      <c r="L86" s="2672"/>
      <c r="M86" s="2672"/>
      <c r="N86" s="2672"/>
      <c r="O86" s="2672"/>
      <c r="P86" s="2672"/>
      <c r="Q86" s="2672"/>
      <c r="R86" s="2672"/>
      <c r="S86" s="2672"/>
      <c r="T86" s="2672"/>
      <c r="U86" s="2672"/>
      <c r="V86" s="2672"/>
      <c r="W86" s="2672"/>
      <c r="X86" s="2672"/>
      <c r="Y86" s="2672"/>
      <c r="Z86" s="2672"/>
      <c r="AA86" s="2673"/>
      <c r="AB86" s="2673"/>
      <c r="AC86" s="2673"/>
      <c r="AD86" s="2673"/>
      <c r="AE86" s="2673"/>
      <c r="AF86" s="2673"/>
      <c r="AG86" s="2673"/>
      <c r="AH86" s="2673"/>
      <c r="AI86" s="2673"/>
    </row>
    <row r="87" spans="1:35" s="2671" customFormat="1" ht="14.25">
      <c r="A87" s="2681" t="s">
        <v>770</v>
      </c>
      <c r="B87" s="2652" t="s">
        <v>2281</v>
      </c>
      <c r="C87" s="2653">
        <f>C88+C89</f>
        <v>0</v>
      </c>
      <c r="D87" s="2692"/>
      <c r="E87" s="2678"/>
      <c r="F87" s="2679"/>
      <c r="G87" s="2679"/>
      <c r="H87" s="2691"/>
      <c r="I87" s="2685"/>
      <c r="J87" s="2672"/>
      <c r="K87" s="2672"/>
      <c r="L87" s="2672"/>
      <c r="M87" s="2672"/>
      <c r="N87" s="2672"/>
      <c r="O87" s="2672"/>
      <c r="P87" s="2672"/>
      <c r="Q87" s="2672"/>
      <c r="R87" s="2672"/>
      <c r="S87" s="2672"/>
      <c r="T87" s="2672"/>
      <c r="U87" s="2672"/>
      <c r="V87" s="2672"/>
      <c r="W87" s="2672"/>
      <c r="X87" s="2672"/>
      <c r="Y87" s="2672"/>
      <c r="Z87" s="2672"/>
      <c r="AA87" s="2673"/>
      <c r="AB87" s="2673"/>
      <c r="AC87" s="2673"/>
      <c r="AD87" s="2673"/>
      <c r="AE87" s="2673"/>
      <c r="AF87" s="2673"/>
      <c r="AG87" s="2673"/>
      <c r="AH87" s="2673"/>
      <c r="AI87" s="2673"/>
    </row>
    <row r="88" spans="1:35" s="2671" customFormat="1" ht="14.25">
      <c r="A88" s="2681" t="s">
        <v>776</v>
      </c>
      <c r="B88" s="2652" t="s">
        <v>2282</v>
      </c>
      <c r="C88" s="2655"/>
      <c r="D88" s="2692"/>
      <c r="E88" s="2688" t="s">
        <v>2283</v>
      </c>
      <c r="F88" s="2679"/>
      <c r="G88" s="2707" t="s">
        <v>2284</v>
      </c>
      <c r="H88" s="2708"/>
      <c r="I88" s="2685"/>
      <c r="J88" s="2672"/>
      <c r="K88" s="2672"/>
      <c r="L88" s="2672"/>
      <c r="M88" s="2672"/>
      <c r="N88" s="2672"/>
      <c r="O88" s="2672"/>
      <c r="P88" s="2672"/>
      <c r="Q88" s="2672"/>
      <c r="R88" s="2672"/>
      <c r="S88" s="2672"/>
      <c r="T88" s="2672"/>
      <c r="U88" s="2672"/>
      <c r="V88" s="2672"/>
      <c r="W88" s="2672"/>
      <c r="X88" s="2672"/>
      <c r="Y88" s="2672"/>
      <c r="Z88" s="2672"/>
      <c r="AA88" s="2673"/>
      <c r="AB88" s="2673"/>
      <c r="AC88" s="2673"/>
      <c r="AD88" s="2673"/>
      <c r="AE88" s="2673"/>
      <c r="AF88" s="2673"/>
      <c r="AG88" s="2673"/>
      <c r="AH88" s="2673"/>
      <c r="AI88" s="2673"/>
    </row>
    <row r="89" spans="1:35" s="2671" customFormat="1" ht="14.25">
      <c r="A89" s="2681" t="s">
        <v>777</v>
      </c>
      <c r="B89" s="2652" t="s">
        <v>2272</v>
      </c>
      <c r="C89" s="2653">
        <f>ROUND(C88*D89,0)</f>
        <v>0</v>
      </c>
      <c r="D89" s="2692">
        <f>'数据-取费表'!B48+'数据-取费表'!B49</f>
        <v>3.0499999999999999E-2</v>
      </c>
      <c r="E89" s="2688" t="s">
        <v>2285</v>
      </c>
      <c r="F89" s="2679"/>
      <c r="G89" s="2679"/>
      <c r="H89" s="2691"/>
      <c r="I89" s="2685"/>
      <c r="J89" s="2672"/>
      <c r="K89" s="2672"/>
      <c r="L89" s="2672"/>
      <c r="M89" s="2672"/>
      <c r="N89" s="2672"/>
      <c r="O89" s="2672"/>
      <c r="P89" s="2672"/>
      <c r="Q89" s="2672"/>
      <c r="R89" s="2672"/>
      <c r="S89" s="2672"/>
      <c r="T89" s="2672"/>
      <c r="U89" s="2672"/>
      <c r="V89" s="2672"/>
      <c r="W89" s="2672"/>
      <c r="X89" s="2672"/>
      <c r="Y89" s="2672"/>
      <c r="Z89" s="2672"/>
      <c r="AA89" s="2673"/>
      <c r="AB89" s="2673"/>
      <c r="AC89" s="2673"/>
      <c r="AD89" s="2673"/>
      <c r="AE89" s="2673"/>
      <c r="AF89" s="2673"/>
      <c r="AG89" s="2673"/>
      <c r="AH89" s="2673"/>
      <c r="AI89" s="2673"/>
    </row>
    <row r="90" spans="1:35" s="2671" customFormat="1" ht="14.25">
      <c r="A90" s="2681" t="s">
        <v>771</v>
      </c>
      <c r="B90" s="2652" t="s">
        <v>2286</v>
      </c>
      <c r="C90" s="2655"/>
      <c r="D90" s="2692"/>
      <c r="E90" s="2688" t="str">
        <f>IF(H88="-","土地取得成本中已包含该笔费用"," ")</f>
        <v xml:space="preserve"> </v>
      </c>
      <c r="F90" s="2679"/>
      <c r="G90" s="2679"/>
      <c r="H90" s="2691"/>
      <c r="I90" s="2685"/>
      <c r="J90" s="2672"/>
      <c r="K90" s="2672"/>
      <c r="L90" s="2672"/>
      <c r="M90" s="2672"/>
      <c r="N90" s="2672"/>
      <c r="O90" s="2672"/>
      <c r="P90" s="2672"/>
      <c r="Q90" s="2672"/>
      <c r="R90" s="2672"/>
      <c r="S90" s="2672"/>
      <c r="T90" s="2672"/>
      <c r="U90" s="2672"/>
      <c r="V90" s="2672"/>
      <c r="W90" s="2672"/>
      <c r="X90" s="2672"/>
      <c r="Y90" s="2672"/>
      <c r="Z90" s="2672"/>
      <c r="AA90" s="2673"/>
      <c r="AB90" s="2673"/>
      <c r="AC90" s="2673"/>
      <c r="AD90" s="2673"/>
      <c r="AE90" s="2673"/>
      <c r="AF90" s="2673"/>
      <c r="AG90" s="2673"/>
      <c r="AH90" s="2673"/>
      <c r="AI90" s="2673"/>
    </row>
    <row r="91" spans="1:35" s="2671" customFormat="1" ht="27.75" customHeight="1">
      <c r="A91" s="2681" t="s">
        <v>2287</v>
      </c>
      <c r="B91" s="2652" t="s">
        <v>2288</v>
      </c>
      <c r="C91" s="2653">
        <f>IF(H91="——",成本法!C33,I91)</f>
        <v>0</v>
      </c>
      <c r="D91" s="2692"/>
      <c r="E91" s="3774" t="s">
        <v>2289</v>
      </c>
      <c r="F91" s="3775"/>
      <c r="G91" s="3775"/>
      <c r="H91" s="2709" t="s">
        <v>2290</v>
      </c>
      <c r="I91" s="2710"/>
      <c r="J91" s="2672"/>
      <c r="K91" s="2672"/>
      <c r="L91" s="2672"/>
      <c r="M91" s="2672"/>
      <c r="N91" s="2672"/>
      <c r="O91" s="2672"/>
      <c r="P91" s="2672"/>
      <c r="Q91" s="2672"/>
      <c r="R91" s="2672"/>
      <c r="S91" s="2672"/>
      <c r="T91" s="2672"/>
      <c r="U91" s="2672"/>
      <c r="V91" s="2672"/>
      <c r="W91" s="2672"/>
      <c r="X91" s="2672"/>
      <c r="Y91" s="2672"/>
      <c r="Z91" s="2672"/>
      <c r="AA91" s="2673"/>
      <c r="AB91" s="2673"/>
      <c r="AC91" s="2673"/>
      <c r="AD91" s="2673"/>
      <c r="AE91" s="2673"/>
      <c r="AF91" s="2673"/>
      <c r="AG91" s="2673"/>
      <c r="AH91" s="2673"/>
      <c r="AI91" s="2673"/>
    </row>
    <row r="92" spans="1:35" s="2671" customFormat="1" ht="25.5" customHeight="1">
      <c r="A92" s="2681" t="s">
        <v>2291</v>
      </c>
      <c r="B92" s="2652" t="s">
        <v>2292</v>
      </c>
      <c r="C92" s="2653">
        <f>ROUND((C87+C90+C91)*D92,0)</f>
        <v>0</v>
      </c>
      <c r="D92" s="2692">
        <v>0.1</v>
      </c>
      <c r="E92" s="3774" t="s">
        <v>2293</v>
      </c>
      <c r="F92" s="3775"/>
      <c r="G92" s="3775"/>
      <c r="H92" s="3776"/>
      <c r="I92" s="2685"/>
      <c r="J92" s="2672"/>
      <c r="K92" s="2672"/>
      <c r="L92" s="2672"/>
      <c r="M92" s="2672"/>
      <c r="N92" s="2672"/>
      <c r="O92" s="2672"/>
      <c r="P92" s="2672"/>
      <c r="Q92" s="2672"/>
      <c r="R92" s="2672"/>
      <c r="S92" s="2672"/>
      <c r="T92" s="2672"/>
      <c r="U92" s="2672"/>
      <c r="V92" s="2672"/>
      <c r="W92" s="2672"/>
      <c r="X92" s="2672"/>
      <c r="Y92" s="2672"/>
      <c r="Z92" s="2672"/>
      <c r="AA92" s="2673"/>
      <c r="AB92" s="2673"/>
      <c r="AC92" s="2673"/>
      <c r="AD92" s="2673"/>
      <c r="AE92" s="2673"/>
      <c r="AF92" s="2673"/>
      <c r="AG92" s="2673"/>
      <c r="AH92" s="2673"/>
      <c r="AI92" s="2673"/>
    </row>
    <row r="93" spans="1:35" s="2671" customFormat="1" ht="25.5" customHeight="1">
      <c r="A93" s="2681" t="s">
        <v>2294</v>
      </c>
      <c r="B93" s="2652" t="s">
        <v>2275</v>
      </c>
      <c r="C93" s="2653">
        <f ca="1">ROUND(D45*D93/(1+'数据-取费表'!C42),0)</f>
        <v>320</v>
      </c>
      <c r="D93" s="2692">
        <f>'数据-取费表'!B43</f>
        <v>6.000000000000001E-3</v>
      </c>
      <c r="E93" s="3774" t="s">
        <v>2276</v>
      </c>
      <c r="F93" s="3775"/>
      <c r="G93" s="3775"/>
      <c r="H93" s="3776"/>
      <c r="I93" s="2685"/>
      <c r="J93" s="2672"/>
      <c r="K93" s="2672"/>
      <c r="L93" s="2672"/>
      <c r="M93" s="2672"/>
      <c r="N93" s="2672"/>
      <c r="O93" s="2672"/>
      <c r="P93" s="2672"/>
      <c r="Q93" s="2672"/>
      <c r="R93" s="2672"/>
      <c r="S93" s="2672"/>
      <c r="T93" s="2672"/>
      <c r="U93" s="2672"/>
      <c r="V93" s="2672"/>
      <c r="W93" s="2672"/>
      <c r="X93" s="2672"/>
      <c r="Y93" s="2672"/>
      <c r="Z93" s="2672"/>
      <c r="AA93" s="2673"/>
      <c r="AB93" s="2673"/>
      <c r="AC93" s="2673"/>
      <c r="AD93" s="2673"/>
      <c r="AE93" s="2673"/>
      <c r="AF93" s="2673"/>
      <c r="AG93" s="2673"/>
      <c r="AH93" s="2673"/>
      <c r="AI93" s="2673"/>
    </row>
    <row r="94" spans="1:35" s="2671" customFormat="1" ht="36.75" customHeight="1">
      <c r="A94" s="2681" t="s">
        <v>2295</v>
      </c>
      <c r="B94" s="2652" t="s">
        <v>2296</v>
      </c>
      <c r="C94" s="2655">
        <f>ROUND((C87+C90+C91)*D94,0)</f>
        <v>0</v>
      </c>
      <c r="D94" s="2692">
        <v>0.2</v>
      </c>
      <c r="E94" s="3820" t="s">
        <v>2297</v>
      </c>
      <c r="F94" s="3821"/>
      <c r="G94" s="3821"/>
      <c r="H94" s="3822"/>
      <c r="I94" s="2685"/>
      <c r="J94" s="2672"/>
      <c r="K94" s="2672"/>
      <c r="L94" s="2672"/>
      <c r="M94" s="2672"/>
      <c r="N94" s="2672"/>
      <c r="O94" s="2672"/>
      <c r="P94" s="2672"/>
      <c r="Q94" s="2672"/>
      <c r="R94" s="2672"/>
      <c r="S94" s="2672"/>
      <c r="T94" s="2672"/>
      <c r="U94" s="2672"/>
      <c r="V94" s="2672"/>
      <c r="W94" s="2672"/>
      <c r="X94" s="2672"/>
      <c r="Y94" s="2672"/>
      <c r="Z94" s="2672"/>
      <c r="AA94" s="2673"/>
      <c r="AB94" s="2673"/>
      <c r="AC94" s="2673"/>
      <c r="AD94" s="2673"/>
      <c r="AE94" s="2673"/>
      <c r="AF94" s="2673"/>
      <c r="AG94" s="2673"/>
      <c r="AH94" s="2673"/>
      <c r="AI94" s="2673"/>
    </row>
    <row r="95" spans="1:35" s="2671" customFormat="1" ht="14.25">
      <c r="A95" s="2694" t="s">
        <v>779</v>
      </c>
      <c r="B95" s="2656" t="s">
        <v>2277</v>
      </c>
      <c r="C95" s="2658">
        <f ca="1">ROUND(C85-C86,0)</f>
        <v>53055</v>
      </c>
      <c r="D95" s="2653" t="s">
        <v>32</v>
      </c>
      <c r="E95" s="2678"/>
      <c r="F95" s="2679"/>
      <c r="G95" s="2679"/>
      <c r="H95" s="2705"/>
      <c r="I95" s="2685"/>
      <c r="J95" s="2672"/>
      <c r="K95" s="2672"/>
      <c r="L95" s="2672"/>
      <c r="M95" s="2672"/>
      <c r="N95" s="2672"/>
      <c r="O95" s="2672"/>
      <c r="P95" s="2672"/>
      <c r="Q95" s="2672"/>
      <c r="R95" s="2672"/>
      <c r="S95" s="2672"/>
      <c r="T95" s="2672"/>
      <c r="U95" s="2672"/>
      <c r="V95" s="2672"/>
      <c r="W95" s="2672"/>
      <c r="X95" s="2672"/>
      <c r="Y95" s="2672"/>
      <c r="Z95" s="2672"/>
      <c r="AA95" s="2673"/>
      <c r="AB95" s="2673"/>
      <c r="AC95" s="2673"/>
      <c r="AD95" s="2673"/>
      <c r="AE95" s="2673"/>
      <c r="AF95" s="2673"/>
      <c r="AG95" s="2673"/>
      <c r="AH95" s="2673"/>
      <c r="AI95" s="2673"/>
    </row>
    <row r="96" spans="1:35" s="2671" customFormat="1" ht="24">
      <c r="A96" s="2694" t="s">
        <v>780</v>
      </c>
      <c r="B96" s="2656" t="s">
        <v>2278</v>
      </c>
      <c r="C96" s="2658">
        <f ca="1">IF(C95&lt;=0,0,C95/C86)</f>
        <v>165.796875</v>
      </c>
      <c r="D96" s="2653" t="s">
        <v>32</v>
      </c>
      <c r="E96" s="2688" t="str">
        <f ca="1">IF(C96&gt;=200%,"增值额超过扣除项目金额200%",IF(C96&gt;=100%,"增值额超过扣除项目金额100%，未超过200%",IF(C96&gt;=50%,"增值额超过扣除项目金额50%，未超过100%",IF(C96&lt;50%,"增值额未超过扣除项目金额50%"))))</f>
        <v>增值额超过扣除项目金额200%</v>
      </c>
      <c r="F96" s="2679"/>
      <c r="G96" s="2679"/>
      <c r="H96" s="2705"/>
      <c r="I96" s="2685"/>
      <c r="J96" s="2672"/>
      <c r="K96" s="2672"/>
      <c r="L96" s="2672"/>
      <c r="M96" s="2672"/>
      <c r="N96" s="2672"/>
      <c r="O96" s="2672"/>
      <c r="P96" s="2672"/>
      <c r="Q96" s="2672"/>
      <c r="R96" s="2672"/>
      <c r="S96" s="2672"/>
      <c r="T96" s="2672"/>
      <c r="U96" s="2672"/>
      <c r="V96" s="2672"/>
      <c r="W96" s="2672"/>
      <c r="X96" s="2672"/>
      <c r="Y96" s="2672"/>
      <c r="Z96" s="2672"/>
      <c r="AA96" s="2673"/>
      <c r="AB96" s="2673"/>
      <c r="AC96" s="2673"/>
      <c r="AD96" s="2673"/>
      <c r="AE96" s="2673"/>
      <c r="AF96" s="2673"/>
      <c r="AG96" s="2673"/>
      <c r="AH96" s="2673"/>
      <c r="AI96" s="2673"/>
    </row>
    <row r="97" spans="1:35" s="2671" customFormat="1" ht="24.75" thickBot="1">
      <c r="A97" s="2695" t="s">
        <v>781</v>
      </c>
      <c r="B97" s="2661" t="s">
        <v>2279</v>
      </c>
      <c r="C97" s="2696">
        <f ca="1">ROUND(IF(C95&lt;=0,0,IF(C96&gt;=200%,C95*60%-C86*35%,IF(C96&gt;=100%,C95*50%-C86*15%,IF(C96&gt;=50%,C95*40%-C86*5%,IF(C96&lt;50%,C95*30%,0))))),0)</f>
        <v>31721</v>
      </c>
      <c r="D97" s="2663" t="s">
        <v>32</v>
      </c>
      <c r="E97" s="269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698"/>
      <c r="G97" s="2698"/>
      <c r="H97" s="2711"/>
      <c r="I97" s="2685"/>
      <c r="J97" s="2672"/>
      <c r="K97" s="2672"/>
      <c r="L97" s="2672"/>
      <c r="M97" s="2672"/>
      <c r="N97" s="2672"/>
      <c r="O97" s="2672"/>
      <c r="P97" s="2672"/>
      <c r="Q97" s="2672"/>
      <c r="R97" s="2672"/>
      <c r="S97" s="2672"/>
      <c r="T97" s="2672"/>
      <c r="U97" s="2672"/>
      <c r="V97" s="2672"/>
      <c r="W97" s="2672"/>
      <c r="X97" s="2672"/>
      <c r="Y97" s="2672"/>
      <c r="Z97" s="2672"/>
      <c r="AA97" s="2673"/>
      <c r="AB97" s="2673"/>
      <c r="AC97" s="2673"/>
      <c r="AD97" s="2673"/>
      <c r="AE97" s="2673"/>
      <c r="AF97" s="2673"/>
      <c r="AG97" s="2673"/>
      <c r="AH97" s="2673"/>
      <c r="AI97" s="2673"/>
    </row>
    <row r="98" spans="1:35" ht="21.75" customHeight="1">
      <c r="A98" s="2637"/>
      <c r="B98" s="2493"/>
      <c r="C98" s="2493"/>
      <c r="D98" s="2493"/>
      <c r="E98" s="2638"/>
      <c r="F98" s="2638"/>
      <c r="G98" s="2638"/>
      <c r="H98" s="2575"/>
      <c r="I98" s="2510"/>
    </row>
    <row r="99" spans="1:35" ht="21.75" customHeight="1" thickBot="1">
      <c r="A99" s="2578" t="s">
        <v>2298</v>
      </c>
      <c r="B99" s="2493"/>
      <c r="C99" s="2493"/>
      <c r="D99" s="2493"/>
      <c r="E99" s="2638"/>
      <c r="F99" s="2638"/>
      <c r="G99" s="2638"/>
      <c r="H99" s="2575"/>
      <c r="I99" s="2510"/>
    </row>
    <row r="100" spans="1:35" ht="18.75" customHeight="1">
      <c r="A100" s="3727" t="s">
        <v>2299</v>
      </c>
      <c r="B100" s="3728"/>
      <c r="C100" s="3728"/>
      <c r="D100" s="3758"/>
      <c r="E100" s="3728" t="s">
        <v>2300</v>
      </c>
      <c r="F100" s="3728"/>
      <c r="G100" s="3728"/>
      <c r="H100" s="3758"/>
      <c r="I100" s="2510"/>
    </row>
    <row r="101" spans="1:35" ht="18.75" customHeight="1">
      <c r="A101" s="3766" t="s">
        <v>2301</v>
      </c>
      <c r="B101" s="3767"/>
      <c r="C101" s="2712" t="str">
        <f>C4</f>
        <v>比较法-商业</v>
      </c>
      <c r="D101" s="2713" t="str">
        <f>D4</f>
        <v>收益法1层</v>
      </c>
      <c r="E101" s="3738" t="s">
        <v>2302</v>
      </c>
      <c r="F101" s="3739"/>
      <c r="G101" s="2714" t="s">
        <v>2303</v>
      </c>
      <c r="H101" s="2715">
        <f ca="1">H118</f>
        <v>56044</v>
      </c>
      <c r="I101" s="2510"/>
    </row>
    <row r="102" spans="1:35" ht="18.75" customHeight="1">
      <c r="A102" s="3768" t="s">
        <v>2304</v>
      </c>
      <c r="B102" s="2714" t="s">
        <v>2303</v>
      </c>
      <c r="C102" s="2712">
        <f ca="1">C19</f>
        <v>62920</v>
      </c>
      <c r="D102" s="2713">
        <f ca="1">D19</f>
        <v>40001</v>
      </c>
      <c r="E102" s="3738"/>
      <c r="F102" s="3739"/>
      <c r="G102" s="2714" t="s">
        <v>2305</v>
      </c>
      <c r="H102" s="2594">
        <f ca="1">I118</f>
        <v>12590</v>
      </c>
      <c r="I102" s="2510"/>
    </row>
    <row r="103" spans="1:35" ht="42.75" customHeight="1">
      <c r="A103" s="3768"/>
      <c r="B103" s="2714" t="s">
        <v>2305</v>
      </c>
      <c r="C103" s="2716">
        <f ca="1">C20</f>
        <v>39367</v>
      </c>
      <c r="D103" s="2717">
        <f ca="1">D20</f>
        <v>25027</v>
      </c>
      <c r="E103" s="3733" t="s">
        <v>2306</v>
      </c>
      <c r="F103" s="3734"/>
      <c r="G103" s="2718" t="s">
        <v>2307</v>
      </c>
      <c r="H103" s="2715">
        <f>IF(D36="正常操作",H104+H105+H106,H105+H106)</f>
        <v>0</v>
      </c>
      <c r="I103" s="2510"/>
    </row>
    <row r="104" spans="1:35" ht="18.75" customHeight="1">
      <c r="A104" s="3768" t="s">
        <v>2308</v>
      </c>
      <c r="B104" s="2719" t="s">
        <v>2303</v>
      </c>
      <c r="C104" s="2720">
        <f ca="1">H118</f>
        <v>56044</v>
      </c>
      <c r="D104" s="2721"/>
      <c r="E104" s="2358" t="s">
        <v>2309</v>
      </c>
      <c r="F104" s="2333"/>
      <c r="G104" s="2718" t="s">
        <v>2307</v>
      </c>
      <c r="H104" s="2332">
        <f>IF(D36="同一抵押权人同一抵押物续贷",C36&amp;"（未扣减，详见特别提示）",C36)</f>
        <v>0</v>
      </c>
      <c r="I104" s="2510"/>
    </row>
    <row r="105" spans="1:35" ht="18.75" customHeight="1" thickBot="1">
      <c r="A105" s="3780"/>
      <c r="B105" s="2722" t="s">
        <v>2305</v>
      </c>
      <c r="C105" s="2723">
        <f ca="1">I118</f>
        <v>12590</v>
      </c>
      <c r="D105" s="2724"/>
      <c r="E105" s="2358" t="s">
        <v>2310</v>
      </c>
      <c r="F105" s="2333"/>
      <c r="G105" s="2718" t="s">
        <v>2307</v>
      </c>
      <c r="H105" s="2332">
        <f>C37</f>
        <v>0</v>
      </c>
      <c r="I105" s="2510"/>
    </row>
    <row r="106" spans="1:35" ht="18.75" customHeight="1">
      <c r="A106" s="2493" t="s">
        <v>2311</v>
      </c>
      <c r="B106" s="2493"/>
      <c r="C106" s="2493"/>
      <c r="D106" s="2493"/>
      <c r="E106" s="2725" t="s">
        <v>2312</v>
      </c>
      <c r="F106" s="2333"/>
      <c r="G106" s="2718" t="s">
        <v>2307</v>
      </c>
      <c r="H106" s="2332">
        <f>C38</f>
        <v>0</v>
      </c>
      <c r="I106" s="2510"/>
    </row>
    <row r="107" spans="1:35" ht="18.75" customHeight="1">
      <c r="A107" s="2510"/>
      <c r="B107" s="2510"/>
      <c r="C107" s="2510"/>
      <c r="D107" s="2510"/>
      <c r="E107" s="3769" t="str">
        <f>IF(项目基本情况!E8="已注销","——","3.房地产抵押价值")</f>
        <v>3.房地产抵押价值</v>
      </c>
      <c r="F107" s="3739"/>
      <c r="G107" s="2714" t="s">
        <v>2303</v>
      </c>
      <c r="H107" s="2715">
        <f ca="1">IF(E107="——","——",H101-H103)</f>
        <v>56044</v>
      </c>
      <c r="I107" s="2510"/>
    </row>
    <row r="108" spans="1:35" ht="18.75" customHeight="1">
      <c r="A108" s="2510"/>
      <c r="B108" s="2510"/>
      <c r="C108" s="2510"/>
      <c r="D108" s="2510"/>
      <c r="E108" s="3769"/>
      <c r="F108" s="3739"/>
      <c r="G108" s="2714" t="s">
        <v>2305</v>
      </c>
      <c r="H108" s="2594">
        <f ca="1">ROUND(H107*10000/'数据-汇总表'!E3,0)</f>
        <v>12590</v>
      </c>
      <c r="I108" s="2510"/>
    </row>
    <row r="109" spans="1:35" ht="18.75" customHeight="1">
      <c r="A109" s="2510"/>
      <c r="B109" s="2510"/>
      <c r="C109" s="2510"/>
      <c r="D109" s="2510"/>
      <c r="E109" s="3769" t="str">
        <f>IF(项目基本情况!E8="已注销及未注销","4.抵押担保权已注销时的房地产抵押价值",IF(项目基本情况!E8="已注销","3.抵押担保权已注销时的房地产抵押价值","——"))</f>
        <v>——</v>
      </c>
      <c r="F109" s="3739"/>
      <c r="G109" s="2714" t="s">
        <v>2303</v>
      </c>
      <c r="H109" s="2726" t="str">
        <f>IF(E109="——","——",H101-H105-H106)</f>
        <v>——</v>
      </c>
      <c r="I109" s="2510"/>
    </row>
    <row r="110" spans="1:35" ht="18.75" customHeight="1">
      <c r="A110" s="2510"/>
      <c r="B110" s="2510"/>
      <c r="C110" s="2510"/>
      <c r="D110" s="2510"/>
      <c r="E110" s="3769"/>
      <c r="F110" s="3739"/>
      <c r="G110" s="2714" t="s">
        <v>2305</v>
      </c>
      <c r="H110" s="2594" t="str">
        <f>IF(H109="——","——",ROUND(H109*10000/'数据-汇总表'!E3,0))</f>
        <v>——</v>
      </c>
      <c r="I110" s="2510"/>
    </row>
    <row r="111" spans="1:35" ht="18.75" customHeight="1">
      <c r="A111" s="2510"/>
      <c r="B111" s="2510"/>
      <c r="C111" s="2510"/>
      <c r="D111" s="2510"/>
      <c r="E111" s="3770" t="str">
        <f>IF(项目基本情况!E9="抵押净值",IF(OR(项目基本情况!E8="已注销",项目基本情况!E8="房地产抵押价值"),"4.抵押净值","5.抵押净值"),"——")</f>
        <v>——</v>
      </c>
      <c r="F111" s="3771"/>
      <c r="G111" s="2714" t="s">
        <v>2303</v>
      </c>
      <c r="H111" s="2715" t="str">
        <f>IF(E111="——","——",N59)</f>
        <v>——</v>
      </c>
      <c r="I111" s="2510"/>
    </row>
    <row r="112" spans="1:35" ht="18.75" customHeight="1" thickBot="1">
      <c r="A112" s="2510"/>
      <c r="B112" s="2510"/>
      <c r="C112" s="2510"/>
      <c r="D112" s="2510"/>
      <c r="E112" s="3772"/>
      <c r="F112" s="3773"/>
      <c r="G112" s="2727" t="s">
        <v>2305</v>
      </c>
      <c r="H112" s="2479" t="str">
        <f>IF(E111="——","——",N61)</f>
        <v>——</v>
      </c>
      <c r="I112" s="2510"/>
    </row>
    <row r="113" spans="1:11" ht="18.75" customHeight="1">
      <c r="A113" s="2510"/>
      <c r="B113" s="2510"/>
      <c r="C113" s="2510"/>
      <c r="D113" s="2510"/>
      <c r="E113" s="3781" t="s">
        <v>2311</v>
      </c>
      <c r="F113" s="3781"/>
      <c r="G113" s="3781"/>
      <c r="H113" s="3781"/>
      <c r="I113" s="2510"/>
    </row>
    <row r="114" spans="1:11" ht="3.75" customHeight="1">
      <c r="A114" s="2493"/>
      <c r="B114" s="2493"/>
      <c r="C114" s="2493"/>
      <c r="D114" s="2493"/>
      <c r="E114" s="2637"/>
      <c r="F114" s="2637"/>
      <c r="G114" s="2637"/>
      <c r="H114" s="2637"/>
      <c r="I114" s="2493"/>
    </row>
    <row r="115" spans="1:11" ht="18.75" customHeight="1">
      <c r="A115" s="3788" t="s">
        <v>2313</v>
      </c>
      <c r="B115" s="3789"/>
      <c r="C115" s="3789"/>
      <c r="D115" s="3789"/>
      <c r="E115" s="3789"/>
      <c r="F115" s="3789"/>
      <c r="G115" s="3789"/>
      <c r="H115" s="3789"/>
      <c r="I115" s="3790"/>
    </row>
    <row r="116" spans="1:11" ht="27" customHeight="1">
      <c r="A116" s="3706" t="s">
        <v>2314</v>
      </c>
      <c r="B116" s="3748" t="s">
        <v>2315</v>
      </c>
      <c r="C116" s="3748" t="s">
        <v>2316</v>
      </c>
      <c r="D116" s="3754" t="s">
        <v>2317</v>
      </c>
      <c r="E116" s="3755"/>
      <c r="F116" s="3787" t="s">
        <v>2318</v>
      </c>
      <c r="G116" s="3787"/>
      <c r="H116" s="3706" t="s">
        <v>2319</v>
      </c>
      <c r="I116" s="3706"/>
    </row>
    <row r="117" spans="1:11" ht="18.75" customHeight="1">
      <c r="A117" s="3706"/>
      <c r="B117" s="3749"/>
      <c r="C117" s="3749"/>
      <c r="D117" s="28" t="s">
        <v>2320</v>
      </c>
      <c r="E117" s="28" t="s">
        <v>2321</v>
      </c>
      <c r="F117" s="28" t="s">
        <v>2320</v>
      </c>
      <c r="G117" s="28" t="s">
        <v>2322</v>
      </c>
      <c r="H117" s="28" t="s">
        <v>2320</v>
      </c>
      <c r="I117" s="28" t="s">
        <v>2322</v>
      </c>
    </row>
    <row r="118" spans="1:11" ht="24.75" customHeight="1">
      <c r="A118" s="2728" t="str">
        <f>项目基本情况!S2</f>
        <v>福建省福州市仓山区盖山镇天水路6号（原天水路北侧）利嘉海峡商业城（二区）6A#、6B#、7A#、7B#、9#、11#、12#馆部分商业房地产</v>
      </c>
      <c r="B118" s="28">
        <f>M18</f>
        <v>44516.22</v>
      </c>
      <c r="C118" s="28">
        <f>M19</f>
        <v>13197.02</v>
      </c>
      <c r="D118" s="28">
        <f ca="1">ROUND(IF(D32="总价",C34,E118*B118/10000),0)</f>
        <v>37325</v>
      </c>
      <c r="E118" s="28">
        <f ca="1">ROUND(IF(C33="自定义",IF(D32="楼面单价",C34,D118*10000/B118),I118-G118),0)</f>
        <v>8385</v>
      </c>
      <c r="F118" s="28">
        <f ca="1">ROUND(IF(D32="总价",C35,G118*B118/10000),0)</f>
        <v>18719</v>
      </c>
      <c r="G118" s="28">
        <f ca="1">ROUND(IF(D32="楼面单价",C35,F118*10000/B118),0)</f>
        <v>4205</v>
      </c>
      <c r="H118" s="28">
        <f ca="1">ROUND(IF(D32="总价",C32,I118*B118/10000),0)</f>
        <v>56044</v>
      </c>
      <c r="I118" s="28">
        <f ca="1">ROUND(IF(D32="楼面单价",C32,H118*10000/B118),0)</f>
        <v>12590</v>
      </c>
    </row>
    <row r="119" spans="1:11" ht="18.75" customHeight="1">
      <c r="A119" s="3706" t="s">
        <v>2323</v>
      </c>
      <c r="B119" s="3706"/>
      <c r="C119" s="3706"/>
      <c r="D119" s="3750" t="str">
        <f ca="1">NUMBERSTRING(INT(D118*10000),2)&amp;"元整"</f>
        <v>叁亿柒仟叁佰贰拾伍万元整</v>
      </c>
      <c r="E119" s="3751"/>
      <c r="F119" s="3750" t="str">
        <f ca="1">NUMBERSTRING(INT(F118*10000),2)&amp;"元整"</f>
        <v>壹亿捌仟柒佰壹拾玖万元整</v>
      </c>
      <c r="G119" s="3751"/>
      <c r="H119" s="3750" t="str">
        <f ca="1">NUMBERSTRING(INT(H118*10000),2)&amp;"元整"</f>
        <v>伍亿陆仟零肆拾肆万元整</v>
      </c>
      <c r="I119" s="3751"/>
    </row>
    <row r="120" spans="1:11" ht="18.75" customHeight="1">
      <c r="A120" s="3745" t="str">
        <f>IF(项目基本情况!B9="房地产市场价值","",MID(E103,3,LEN(E103)-2))</f>
        <v>估价师知悉的法定优先受偿款</v>
      </c>
      <c r="B120" s="3746"/>
      <c r="C120" s="3747"/>
      <c r="D120" s="3745">
        <f>H103</f>
        <v>0</v>
      </c>
      <c r="E120" s="3746"/>
      <c r="F120" s="3746"/>
      <c r="G120" s="3746"/>
      <c r="H120" s="3746"/>
      <c r="I120" s="3747"/>
      <c r="K120" s="2498" t="str">
        <f>IF(D120=0,"故，本次评估不存在"&amp;A120,"故，本次评估"&amp;A120&amp;"为人民币"&amp;D120&amp;"万元整。")</f>
        <v>故，本次评估不存在估价师知悉的法定优先受偿款</v>
      </c>
    </row>
    <row r="121" spans="1:11" ht="18.75" customHeight="1">
      <c r="A121" s="3750" t="s">
        <v>2323</v>
      </c>
      <c r="B121" s="3752"/>
      <c r="C121" s="3751"/>
      <c r="D121" s="3750" t="str">
        <f>IF(D120=0,"零元整",NUMBERSTRING(INT(D120*10000),2)&amp;"元整")</f>
        <v>零元整</v>
      </c>
      <c r="E121" s="3752"/>
      <c r="F121" s="3752"/>
      <c r="G121" s="3752"/>
      <c r="H121" s="3752"/>
      <c r="I121" s="3751"/>
    </row>
    <row r="122" spans="1:11" ht="18.75" customHeight="1">
      <c r="A122" s="3756" t="str">
        <f>IF(项目基本情况!B9="房地产市场价值","",MID(E107,3,LEN(E107)-2))</f>
        <v>房地产抵押价值</v>
      </c>
      <c r="B122" s="3756"/>
      <c r="C122" s="3756"/>
      <c r="D122" s="3745">
        <f ca="1">H107</f>
        <v>56044</v>
      </c>
      <c r="E122" s="3746"/>
      <c r="F122" s="3746"/>
      <c r="G122" s="3746"/>
      <c r="H122" s="3746"/>
      <c r="I122" s="3747"/>
    </row>
    <row r="123" spans="1:11" ht="18.75" customHeight="1">
      <c r="A123" s="3706" t="s">
        <v>2323</v>
      </c>
      <c r="B123" s="3706"/>
      <c r="C123" s="3706"/>
      <c r="D123" s="3750" t="str">
        <f ca="1">NUMBERSTRING(INT(D122*10000),2)&amp;"元整"</f>
        <v>伍亿陆仟零肆拾肆万元整</v>
      </c>
      <c r="E123" s="3752"/>
      <c r="F123" s="3752"/>
      <c r="G123" s="3752"/>
      <c r="H123" s="3752"/>
      <c r="I123" s="3751"/>
    </row>
    <row r="124" spans="1:11" ht="18.75" customHeight="1">
      <c r="A124" s="3756" t="str">
        <f>IF(项目基本情况!B9="房地产市场价值","",MID(E109,3,LEN(E109)-2))</f>
        <v/>
      </c>
      <c r="B124" s="3756"/>
      <c r="C124" s="3756"/>
      <c r="D124" s="3745" t="str">
        <f>H109</f>
        <v>——</v>
      </c>
      <c r="E124" s="3746"/>
      <c r="F124" s="3746"/>
      <c r="G124" s="3746"/>
      <c r="H124" s="3746"/>
      <c r="I124" s="3747"/>
    </row>
    <row r="125" spans="1:11" ht="18.75" customHeight="1">
      <c r="A125" s="3706" t="s">
        <v>2323</v>
      </c>
      <c r="B125" s="3706"/>
      <c r="C125" s="3706"/>
      <c r="D125" s="3750" t="e">
        <f>NUMBERSTRING(INT(D124*10000),2)&amp;"元整"</f>
        <v>#VALUE!</v>
      </c>
      <c r="E125" s="3752"/>
      <c r="F125" s="3752"/>
      <c r="G125" s="3752"/>
      <c r="H125" s="3752"/>
      <c r="I125" s="3751"/>
    </row>
    <row r="126" spans="1:11" ht="18.75" customHeight="1">
      <c r="A126" s="3756" t="str">
        <f>IF(项目基本情况!B9="房地产市场价值","",MID(E111,3,LEN(E111)-2))</f>
        <v/>
      </c>
      <c r="B126" s="3756"/>
      <c r="C126" s="3756"/>
      <c r="D126" s="3745" t="str">
        <f>H111</f>
        <v>——</v>
      </c>
      <c r="E126" s="3746"/>
      <c r="F126" s="3746"/>
      <c r="G126" s="3746"/>
      <c r="H126" s="3746"/>
      <c r="I126" s="3747"/>
    </row>
    <row r="127" spans="1:11" ht="18.75" customHeight="1">
      <c r="A127" s="3706" t="s">
        <v>2323</v>
      </c>
      <c r="B127" s="3706"/>
      <c r="C127" s="3706"/>
      <c r="D127" s="3750" t="e">
        <f>NUMBERSTRING(INT(D126*10000),2)&amp;"元整"</f>
        <v>#VALUE!</v>
      </c>
      <c r="E127" s="3752"/>
      <c r="F127" s="3752"/>
      <c r="G127" s="3752"/>
      <c r="H127" s="3752"/>
      <c r="I127" s="3751"/>
    </row>
    <row r="128" spans="1:11" ht="21.75" customHeight="1">
      <c r="A128" s="3753" t="s">
        <v>2324</v>
      </c>
      <c r="B128" s="3753"/>
      <c r="C128" s="3753"/>
      <c r="D128" s="3753"/>
      <c r="E128" s="3753"/>
      <c r="F128" s="3753"/>
      <c r="G128" s="3753"/>
      <c r="H128" s="3753"/>
      <c r="I128" s="3753"/>
    </row>
    <row r="129" spans="1:35" ht="21.75" customHeight="1">
      <c r="A129" s="2729" t="s">
        <v>2325</v>
      </c>
      <c r="B129" s="2730"/>
      <c r="C129" s="2731" t="s">
        <v>2326</v>
      </c>
      <c r="D129" s="2732"/>
      <c r="E129" s="2732"/>
      <c r="F129" s="2732"/>
      <c r="G129" s="2732"/>
      <c r="H129" s="2733"/>
      <c r="I129" s="2734"/>
    </row>
    <row r="130" spans="1:35" ht="21.75" customHeight="1">
      <c r="A130" s="2735">
        <v>1</v>
      </c>
      <c r="B130" s="2736"/>
      <c r="C130" s="2736"/>
      <c r="D130" s="2737"/>
      <c r="E130" s="2737"/>
      <c r="F130" s="2737"/>
      <c r="G130" s="2737"/>
      <c r="H130" s="2738"/>
      <c r="I130" s="2739"/>
    </row>
    <row r="131" spans="1:35" ht="21.75" customHeight="1">
      <c r="A131" s="2735">
        <v>2</v>
      </c>
      <c r="B131" s="2736"/>
      <c r="C131" s="2736"/>
      <c r="D131" s="2737"/>
      <c r="E131" s="2737"/>
      <c r="F131" s="2737"/>
      <c r="G131" s="2737"/>
      <c r="H131" s="2738"/>
      <c r="I131" s="2739"/>
    </row>
    <row r="132" spans="1:35" ht="21.75" customHeight="1">
      <c r="A132" s="2735">
        <v>3</v>
      </c>
      <c r="B132" s="2736"/>
      <c r="C132" s="2736"/>
      <c r="D132" s="2737"/>
      <c r="E132" s="2737"/>
      <c r="F132" s="2737"/>
      <c r="G132" s="2737"/>
      <c r="H132" s="2738"/>
      <c r="I132" s="2739"/>
    </row>
    <row r="133" spans="1:35" ht="21.75" customHeight="1">
      <c r="A133" s="2740"/>
      <c r="B133" s="2741"/>
      <c r="C133" s="2741"/>
      <c r="D133" s="2742"/>
      <c r="E133" s="2742"/>
      <c r="F133" s="2742"/>
      <c r="G133" s="2742"/>
      <c r="H133" s="2743"/>
      <c r="I133" s="2744"/>
    </row>
    <row r="134" spans="1:35" ht="21.75" customHeight="1">
      <c r="A134" s="2736"/>
      <c r="B134" s="2736"/>
      <c r="C134" s="2736"/>
      <c r="D134" s="2737"/>
      <c r="E134" s="2737"/>
      <c r="F134" s="2737"/>
      <c r="G134" s="2737"/>
      <c r="H134" s="2738"/>
      <c r="I134" s="2497"/>
    </row>
    <row r="135" spans="1:35" ht="21.75" customHeight="1">
      <c r="A135" s="2497"/>
      <c r="B135" s="2497"/>
      <c r="C135" s="2497"/>
      <c r="D135" s="2497"/>
      <c r="E135" s="2497"/>
      <c r="F135" s="2745" t="s">
        <v>2327</v>
      </c>
      <c r="G135" s="2746"/>
      <c r="H135" s="2746"/>
      <c r="I135" s="2747" t="s">
        <v>2328</v>
      </c>
    </row>
    <row r="136" spans="1:35" ht="21.75" customHeight="1">
      <c r="A136" s="2497"/>
      <c r="B136" s="2748" t="s">
        <v>2329</v>
      </c>
      <c r="C136" s="2497"/>
      <c r="D136" s="2497"/>
      <c r="E136" s="2497"/>
      <c r="F136" s="2497"/>
      <c r="G136" s="2497"/>
      <c r="H136" s="2497"/>
      <c r="I136" s="2497"/>
    </row>
    <row r="137" spans="1:35" ht="21.75" customHeight="1">
      <c r="A137" s="2497"/>
      <c r="B137" s="2497"/>
      <c r="C137" s="2497"/>
      <c r="D137" s="2497"/>
      <c r="E137" s="2497"/>
      <c r="F137" s="2497"/>
      <c r="G137" s="2497"/>
      <c r="H137" s="2497"/>
      <c r="I137" s="2497"/>
    </row>
    <row r="138" spans="1:35" ht="21.75" customHeight="1">
      <c r="A138" s="2497"/>
      <c r="B138" s="2746"/>
      <c r="C138" s="2746"/>
      <c r="D138" s="2746"/>
      <c r="E138" s="2746"/>
      <c r="F138" s="2746"/>
      <c r="G138" s="2746"/>
      <c r="H138" s="2746"/>
      <c r="I138" s="2747" t="s">
        <v>2330</v>
      </c>
    </row>
    <row r="139" spans="1:35" ht="21.75" customHeight="1">
      <c r="A139" s="2497"/>
      <c r="B139" s="2748" t="s">
        <v>2331</v>
      </c>
      <c r="C139" s="2497"/>
      <c r="D139" s="2497"/>
      <c r="E139" s="2497"/>
      <c r="F139" s="2497"/>
      <c r="G139" s="2497"/>
      <c r="H139" s="2497"/>
      <c r="I139" s="2497"/>
    </row>
    <row r="140" spans="1:35" ht="21.75" customHeight="1">
      <c r="A140" s="2497"/>
      <c r="B140" s="2748"/>
      <c r="C140" s="2497"/>
      <c r="D140" s="2497"/>
      <c r="E140" s="2497"/>
      <c r="F140" s="2497"/>
      <c r="G140" s="2497"/>
      <c r="H140" s="2497"/>
      <c r="I140" s="2497"/>
    </row>
    <row r="141" spans="1:35" ht="21.75" customHeight="1">
      <c r="A141" s="2497"/>
      <c r="B141" s="2746"/>
      <c r="C141" s="2746"/>
      <c r="D141" s="2746"/>
      <c r="E141" s="2746"/>
      <c r="F141" s="2746"/>
      <c r="G141" s="2746"/>
      <c r="H141" s="2746"/>
      <c r="I141" s="2747" t="s">
        <v>2330</v>
      </c>
    </row>
    <row r="142" spans="1:35" ht="21.75" customHeight="1">
      <c r="A142" s="2497"/>
      <c r="B142" s="2748"/>
      <c r="C142" s="2486"/>
      <c r="D142" s="2749"/>
      <c r="E142" s="2749"/>
      <c r="F142" s="2486"/>
      <c r="G142" s="2497"/>
      <c r="H142" s="2497"/>
      <c r="I142" s="2497"/>
    </row>
    <row r="143" spans="1:35" s="2750" customFormat="1" ht="21.75" customHeight="1">
      <c r="A143" s="2497"/>
      <c r="B143" s="2748"/>
      <c r="C143" s="2486"/>
      <c r="D143" s="2749"/>
      <c r="E143" s="2749"/>
      <c r="F143" s="2486"/>
      <c r="G143" s="2497"/>
      <c r="H143" s="2497"/>
      <c r="I143" s="2497"/>
      <c r="J143" s="2497"/>
      <c r="K143" s="2497"/>
      <c r="L143" s="2497"/>
      <c r="M143" s="2497"/>
      <c r="N143" s="2497"/>
      <c r="O143" s="2497"/>
      <c r="P143" s="2497"/>
      <c r="Q143" s="2497"/>
      <c r="R143" s="2497"/>
      <c r="S143" s="2497"/>
      <c r="T143" s="2497"/>
      <c r="U143" s="2497"/>
      <c r="V143" s="2497"/>
      <c r="W143" s="2497"/>
      <c r="X143" s="2497"/>
      <c r="Y143" s="2497"/>
      <c r="Z143" s="2497"/>
      <c r="AA143" s="2497"/>
      <c r="AB143" s="2497"/>
      <c r="AC143" s="2497"/>
      <c r="AD143" s="2497"/>
      <c r="AE143" s="2497"/>
      <c r="AF143" s="2497"/>
      <c r="AG143" s="2497"/>
      <c r="AH143" s="2497"/>
      <c r="AI143" s="2497"/>
    </row>
    <row r="144" spans="1:35" s="2750" customFormat="1" ht="21.75" customHeight="1">
      <c r="A144" s="2497"/>
      <c r="B144" s="2497"/>
      <c r="C144" s="2497"/>
      <c r="D144" s="2497"/>
      <c r="E144" s="2497"/>
      <c r="F144" s="2497"/>
      <c r="G144" s="2497"/>
      <c r="H144" s="2497"/>
      <c r="I144" s="2497"/>
      <c r="J144" s="2497"/>
      <c r="K144" s="2497"/>
      <c r="L144" s="2497"/>
      <c r="M144" s="2497"/>
      <c r="N144" s="2497"/>
      <c r="O144" s="2497"/>
      <c r="P144" s="2497"/>
      <c r="Q144" s="2497"/>
      <c r="R144" s="2497"/>
      <c r="S144" s="2497"/>
      <c r="T144" s="2497"/>
      <c r="U144" s="2497"/>
      <c r="V144" s="2497"/>
      <c r="W144" s="2497"/>
      <c r="X144" s="2497"/>
      <c r="Y144" s="2497"/>
      <c r="Z144" s="2497"/>
      <c r="AA144" s="2497"/>
      <c r="AB144" s="2497"/>
      <c r="AC144" s="2497"/>
      <c r="AD144" s="2497"/>
      <c r="AE144" s="2497"/>
      <c r="AF144" s="2497"/>
      <c r="AG144" s="2497"/>
      <c r="AH144" s="2497"/>
      <c r="AI144" s="2497"/>
    </row>
    <row r="145" spans="1:35" s="2750" customFormat="1" ht="21.75" customHeight="1">
      <c r="A145" s="2497"/>
      <c r="B145" s="2497"/>
      <c r="C145" s="2497"/>
      <c r="D145" s="2497"/>
      <c r="E145" s="2497"/>
      <c r="F145" s="2497"/>
      <c r="G145" s="2497"/>
      <c r="H145" s="2497"/>
      <c r="I145" s="2497"/>
      <c r="J145" s="2497"/>
      <c r="K145" s="2497"/>
      <c r="L145" s="2497"/>
      <c r="M145" s="2497"/>
      <c r="N145" s="2497"/>
      <c r="O145" s="2497"/>
      <c r="P145" s="2497"/>
      <c r="Q145" s="2497"/>
      <c r="R145" s="2497"/>
      <c r="S145" s="2497"/>
      <c r="T145" s="2497"/>
      <c r="U145" s="2497"/>
      <c r="V145" s="2497"/>
      <c r="W145" s="2497"/>
      <c r="X145" s="2497"/>
      <c r="Y145" s="2497"/>
      <c r="Z145" s="2497"/>
      <c r="AA145" s="2497"/>
      <c r="AB145" s="2497"/>
      <c r="AC145" s="2497"/>
      <c r="AD145" s="2497"/>
      <c r="AE145" s="2497"/>
      <c r="AF145" s="2497"/>
      <c r="AG145" s="2497"/>
      <c r="AH145" s="2497"/>
      <c r="AI145" s="2497"/>
    </row>
    <row r="146" spans="1:35" s="2497" customFormat="1" ht="21.75" customHeight="1"/>
    <row r="147" spans="1:35" s="2497" customFormat="1" ht="21.75" customHeight="1"/>
    <row r="148" spans="1:35" s="2497" customFormat="1" ht="21.75" customHeight="1"/>
    <row r="149" spans="1:35" s="2497" customFormat="1" ht="21.75" customHeight="1"/>
    <row r="150" spans="1:35" s="2497" customFormat="1" ht="21.75" customHeight="1"/>
    <row r="151" spans="1:35" s="2497" customFormat="1" ht="21.75" customHeight="1"/>
    <row r="152" spans="1:35" s="2497" customFormat="1" ht="21.75" customHeight="1"/>
    <row r="153" spans="1:35" s="2497" customFormat="1" ht="21.75" customHeight="1"/>
    <row r="154" spans="1:35" s="2497" customFormat="1" ht="21.75" customHeight="1"/>
    <row r="155" spans="1:35" s="2497" customFormat="1" ht="21.75" customHeight="1"/>
    <row r="156" spans="1:35" s="2497" customFormat="1" ht="21.75" customHeight="1"/>
    <row r="157" spans="1:35" s="2497" customFormat="1" ht="21.75" customHeight="1"/>
    <row r="158" spans="1:35" s="2497" customFormat="1" ht="21.75" customHeight="1"/>
    <row r="159" spans="1:35" s="2497" customFormat="1" ht="21.75" customHeight="1"/>
    <row r="160" spans="1:35" s="2497" customFormat="1" ht="21.75" customHeight="1"/>
    <row r="161" s="2497" customFormat="1" ht="21.75" customHeight="1"/>
    <row r="162" s="2497" customFormat="1" ht="21.75" customHeight="1"/>
    <row r="163" s="2497" customFormat="1" ht="21.75" customHeight="1"/>
    <row r="164" s="2497" customFormat="1" ht="21.75" customHeight="1"/>
    <row r="165" s="2497" customFormat="1" ht="21.75" customHeight="1"/>
    <row r="166" s="2497" customFormat="1" ht="21.75" customHeight="1"/>
    <row r="167" s="2497" customFormat="1" ht="21.75" customHeight="1"/>
    <row r="168" s="2497" customFormat="1" ht="21.75" customHeight="1"/>
    <row r="169" s="2497" customFormat="1" ht="21.75" customHeight="1"/>
    <row r="170" s="2497" customFormat="1" ht="21.75" customHeight="1"/>
    <row r="171" s="2497" customFormat="1" ht="21.75" customHeight="1"/>
    <row r="172" s="2497" customFormat="1" ht="21.75" customHeight="1"/>
    <row r="173" s="2497" customFormat="1" ht="21.75" customHeight="1"/>
    <row r="174" s="2497" customFormat="1" ht="21.75" customHeight="1"/>
    <row r="175" s="2497" customFormat="1" ht="21.75" customHeight="1"/>
    <row r="176" s="2497" customFormat="1" ht="21.75" customHeight="1"/>
    <row r="177" s="2497" customFormat="1" ht="21.75" customHeight="1"/>
    <row r="178" s="2497" customFormat="1" ht="21.75" customHeight="1"/>
    <row r="179" s="2497" customFormat="1" ht="21.75" customHeight="1"/>
    <row r="180" s="2497" customFormat="1" ht="21.75" customHeight="1"/>
    <row r="181" s="2497" customFormat="1" ht="21.75" customHeight="1"/>
    <row r="182" s="2497" customFormat="1" ht="21.75" customHeight="1"/>
    <row r="183" s="2497" customFormat="1" ht="21.75" customHeight="1"/>
    <row r="184" s="2497" customFormat="1" ht="21.75" customHeight="1"/>
    <row r="185" s="2497" customFormat="1" ht="21.75" customHeight="1"/>
    <row r="186" s="2497" customFormat="1" ht="21.75" customHeight="1"/>
    <row r="187" s="2497" customFormat="1" ht="21.75" customHeight="1"/>
    <row r="188" s="2497" customFormat="1" ht="21.75" customHeight="1"/>
    <row r="189" s="2497" customFormat="1" ht="21.75" customHeight="1"/>
    <row r="190" s="2497" customFormat="1" ht="21.75" customHeight="1"/>
    <row r="191" s="2497" customFormat="1" ht="21.75" customHeight="1"/>
    <row r="192" s="2497" customFormat="1" ht="21.75" customHeight="1"/>
    <row r="193" s="2497" customFormat="1" ht="21.75" customHeight="1"/>
    <row r="194" s="2497" customFormat="1" ht="21.75" customHeight="1"/>
    <row r="195" s="2497" customFormat="1" ht="21.75" customHeight="1"/>
    <row r="196" s="2497" customFormat="1" ht="21.75" customHeight="1"/>
    <row r="197" s="2497" customFormat="1" ht="21.75" customHeight="1"/>
    <row r="198" s="2497" customFormat="1" ht="21.75" customHeight="1"/>
    <row r="199" s="2497" customFormat="1" ht="21.75" customHeight="1"/>
    <row r="200" s="2497" customFormat="1" ht="21.75" customHeight="1"/>
    <row r="201" s="2497" customFormat="1" ht="21.75" customHeight="1"/>
    <row r="202" s="2497" customFormat="1" ht="21.75" customHeight="1"/>
    <row r="203" s="2497" customFormat="1" ht="21.75" customHeight="1"/>
    <row r="204" s="2497" customFormat="1" ht="21.75" customHeight="1"/>
    <row r="205" s="2497" customFormat="1" ht="21.75" customHeight="1"/>
    <row r="206" s="2497" customFormat="1" ht="21.75" customHeight="1"/>
    <row r="207" s="2497" customFormat="1" ht="21.75" customHeight="1"/>
    <row r="208" s="2497" customFormat="1" ht="21.75" customHeight="1"/>
    <row r="209" s="2497" customFormat="1" ht="21.75" customHeight="1"/>
    <row r="210" s="2497" customFormat="1" ht="21.75" customHeight="1"/>
    <row r="211" s="2497" customFormat="1" ht="21.75" customHeight="1"/>
    <row r="212" s="2497" customFormat="1" ht="21.75" customHeight="1"/>
    <row r="213" s="2497" customFormat="1" ht="21.75" customHeight="1"/>
    <row r="214" s="2497" customFormat="1" ht="21.75" customHeight="1"/>
    <row r="215" s="2497" customFormat="1" ht="21.75" customHeight="1"/>
    <row r="216" s="2497" customFormat="1" ht="21.75" customHeight="1"/>
    <row r="217" s="2497" customFormat="1" ht="21.75" customHeight="1"/>
    <row r="218" s="2497" customFormat="1" ht="21.75" customHeight="1"/>
    <row r="219" s="2497" customFormat="1" ht="21.75" customHeight="1"/>
    <row r="220" s="2497" customFormat="1" ht="21.75" customHeight="1"/>
    <row r="221" s="2497" customFormat="1" ht="21.75" customHeight="1"/>
    <row r="222" s="2497" customFormat="1" ht="21.75" customHeight="1"/>
    <row r="223" s="2497" customFormat="1" ht="21.75" customHeight="1"/>
    <row r="224" s="2497" customFormat="1" ht="21.75" customHeight="1"/>
    <row r="225" s="2497" customFormat="1" ht="21.75" customHeight="1"/>
    <row r="226" s="2497" customFormat="1" ht="21.75" customHeight="1"/>
    <row r="227" s="2497" customFormat="1" ht="21.75" customHeight="1"/>
    <row r="228" s="2497" customFormat="1" ht="21.75" customHeight="1"/>
    <row r="229" s="2497" customFormat="1" ht="21.75" customHeight="1"/>
    <row r="230" s="2497" customFormat="1" ht="21.75" customHeight="1"/>
    <row r="231" s="2497" customFormat="1" ht="21.75" customHeight="1"/>
    <row r="232" s="2497" customFormat="1" ht="21.75" customHeight="1"/>
    <row r="233" s="2497" customFormat="1" ht="21.75" customHeight="1"/>
    <row r="234" s="2497" customFormat="1" ht="21.75" customHeight="1"/>
    <row r="235" s="2497" customFormat="1" ht="21.75" customHeight="1"/>
    <row r="236" s="2497" customFormat="1" ht="21.75" customHeight="1"/>
    <row r="237" s="2497" customFormat="1" ht="21.75" customHeight="1"/>
    <row r="238" s="2497" customFormat="1" ht="21.75" customHeight="1"/>
    <row r="239" s="2497" customFormat="1" ht="21.75" customHeight="1"/>
    <row r="240" s="2497" customFormat="1" ht="21.75" customHeight="1"/>
    <row r="241" s="2497" customFormat="1" ht="21.75" customHeight="1"/>
    <row r="242" s="2497" customFormat="1" ht="21.75" customHeight="1"/>
    <row r="243" s="2497" customFormat="1" ht="21.75" customHeight="1"/>
    <row r="244" s="2497" customFormat="1" ht="21.75" customHeight="1"/>
    <row r="245" s="2497" customFormat="1" ht="21.75" customHeight="1"/>
    <row r="246" s="2497" customFormat="1" ht="21.75" customHeight="1"/>
    <row r="247" s="2497" customFormat="1" ht="21.75" customHeight="1"/>
    <row r="248" s="2497" customFormat="1" ht="21.75" customHeight="1"/>
    <row r="249" s="2497" customFormat="1" ht="21.75" customHeight="1"/>
    <row r="250" s="2497" customFormat="1" ht="21.75" customHeight="1"/>
    <row r="251" s="2497" customFormat="1" ht="21.75" customHeight="1"/>
    <row r="252" s="2497" customFormat="1" ht="21.75" customHeight="1"/>
    <row r="253" s="2497" customFormat="1" ht="21.75" customHeight="1"/>
    <row r="254" s="2497" customFormat="1" ht="21.75" customHeight="1"/>
    <row r="255" s="2497" customFormat="1" ht="21.75" customHeight="1"/>
    <row r="256" s="2497" customFormat="1" ht="21.75" customHeight="1"/>
    <row r="257" s="2497" customFormat="1" ht="21.75" customHeight="1"/>
    <row r="258" s="2497" customFormat="1" ht="21.75" customHeight="1"/>
    <row r="259" s="2497" customFormat="1" ht="21.75" customHeight="1"/>
    <row r="260" s="2497" customFormat="1" ht="21.75" customHeight="1"/>
    <row r="261" s="2497" customFormat="1" ht="21.75" customHeight="1"/>
    <row r="262" s="2497" customFormat="1" ht="21.75" customHeight="1"/>
    <row r="263" s="2497" customFormat="1" ht="21.75" customHeight="1"/>
    <row r="264" s="2497" customFormat="1" ht="21.75" customHeight="1"/>
    <row r="265" s="2497" customFormat="1" ht="21.75" customHeight="1"/>
    <row r="266" s="2497" customFormat="1" ht="21.75" customHeight="1"/>
    <row r="267" s="2497" customFormat="1" ht="21.75" customHeight="1"/>
    <row r="268" s="2497" customFormat="1" ht="21.75" customHeight="1"/>
    <row r="269" s="2497" customFormat="1" ht="21.75" customHeight="1"/>
    <row r="270" s="2497" customFormat="1" ht="21.75" customHeight="1"/>
    <row r="271" s="2497" customFormat="1" ht="21.75" customHeight="1"/>
    <row r="272" s="2497" customFormat="1" ht="21.75" customHeight="1"/>
    <row r="273" s="2497" customFormat="1" ht="21.75" customHeight="1"/>
    <row r="274" s="2497" customFormat="1" ht="21.75" customHeight="1"/>
    <row r="275" s="2497" customFormat="1" ht="21.75" customHeight="1"/>
    <row r="276" s="2497" customFormat="1" ht="21.75" customHeight="1"/>
    <row r="277" s="2497" customFormat="1" ht="21.75" customHeight="1"/>
    <row r="278" s="2497" customFormat="1" ht="21.75" customHeight="1"/>
    <row r="279" s="2497" customFormat="1" ht="21.75" customHeight="1"/>
    <row r="280" s="2497" customFormat="1" ht="21.75" customHeight="1"/>
    <row r="281" s="2497" customFormat="1" ht="21.75" customHeight="1"/>
    <row r="282" s="2497" customFormat="1" ht="21.75" customHeight="1"/>
    <row r="283" s="2497" customFormat="1" ht="21.75" customHeight="1"/>
    <row r="284" s="2497" customFormat="1" ht="21.75" customHeight="1"/>
    <row r="285" s="2497" customFormat="1" ht="21.75" customHeight="1"/>
    <row r="286" s="2497" customFormat="1" ht="21.75" customHeight="1"/>
    <row r="287" s="2497" customFormat="1" ht="21.75" customHeight="1"/>
    <row r="288" s="2497" customFormat="1" ht="21.75" customHeight="1"/>
    <row r="289" s="2497" customFormat="1" ht="21.75" customHeight="1"/>
    <row r="290" s="2497" customFormat="1" ht="21.75" customHeight="1"/>
    <row r="291" s="2497" customFormat="1" ht="21.75" customHeight="1"/>
    <row r="292" s="2497" customFormat="1" ht="21.75" customHeight="1"/>
    <row r="293" s="2497" customFormat="1" ht="21.75" customHeight="1"/>
    <row r="294" s="2497" customFormat="1" ht="21.75" customHeight="1"/>
    <row r="295" s="2497" customFormat="1" ht="21.75" customHeight="1"/>
    <row r="296" s="2497" customFormat="1" ht="21.75" customHeight="1"/>
    <row r="297" s="2497" customFormat="1" ht="21.75" customHeight="1"/>
    <row r="298" s="2497" customFormat="1" ht="21.75" customHeight="1"/>
    <row r="299" s="2497" customFormat="1" ht="21.75" customHeight="1"/>
    <row r="300" s="2497" customFormat="1" ht="21.75" customHeight="1"/>
    <row r="301" s="2497" customFormat="1" ht="21.75" customHeight="1"/>
    <row r="302" s="2497" customFormat="1" ht="21.75" customHeight="1"/>
    <row r="303" s="2497" customFormat="1" ht="21.75" customHeight="1"/>
    <row r="304" s="2497" customFormat="1" ht="21.75" customHeight="1"/>
    <row r="305" s="2497" customFormat="1" ht="21.75" customHeight="1"/>
    <row r="306" s="2497" customFormat="1" ht="21.75" customHeight="1"/>
    <row r="307" s="2497" customFormat="1" ht="21.75" customHeight="1"/>
    <row r="308" s="2497" customFormat="1" ht="21.75" customHeight="1"/>
    <row r="309" s="2497" customFormat="1" ht="21.75" customHeight="1"/>
    <row r="310" s="2497" customFormat="1" ht="21.75" customHeight="1"/>
    <row r="311" s="2497" customFormat="1" ht="21.75" customHeight="1"/>
    <row r="312" s="2497" customFormat="1" ht="21.75" customHeight="1"/>
    <row r="313" s="2497" customFormat="1" ht="21.75" customHeight="1"/>
    <row r="314" s="2497" customFormat="1" ht="21.75" customHeight="1"/>
    <row r="315" s="2497" customFormat="1" ht="21.75" customHeight="1"/>
    <row r="316" s="2497" customFormat="1" ht="21.75" customHeight="1"/>
    <row r="317" s="2497" customFormat="1" ht="21.75" customHeight="1"/>
    <row r="318" s="2497" customFormat="1" ht="21.75" customHeight="1"/>
    <row r="319" s="2497" customFormat="1" ht="21.75" customHeight="1"/>
    <row r="320" s="2497" customFormat="1" ht="21.75" customHeight="1"/>
    <row r="321" s="2497" customFormat="1" ht="21.75" customHeight="1"/>
    <row r="322" s="2497" customFormat="1" ht="21.75" customHeight="1"/>
    <row r="323" s="2497" customFormat="1" ht="21.75" customHeight="1"/>
    <row r="324" s="2497" customFormat="1" ht="21.75" customHeight="1"/>
    <row r="325" s="2497" customFormat="1" ht="21.75" customHeight="1"/>
    <row r="326" s="2497" customFormat="1" ht="21.75" customHeight="1"/>
    <row r="327" s="2497" customFormat="1" ht="21.75" customHeight="1"/>
    <row r="328" s="2497" customFormat="1" ht="21.75" customHeight="1"/>
    <row r="329" s="2497" customFormat="1" ht="21.75" customHeight="1"/>
    <row r="330" s="2497" customFormat="1" ht="21.75" customHeight="1"/>
    <row r="331" s="2497" customFormat="1" ht="21.75" customHeight="1"/>
    <row r="332" s="2497" customFormat="1" ht="21.75" customHeight="1"/>
    <row r="333" s="2497" customFormat="1" ht="21.75" customHeight="1"/>
    <row r="334" s="2497" customFormat="1" ht="21.75" customHeight="1"/>
    <row r="335" s="2497" customFormat="1" ht="21.75" customHeight="1"/>
    <row r="336" s="2497" customFormat="1" ht="21.75" customHeight="1"/>
    <row r="337" s="2497" customFormat="1" ht="21.75" customHeight="1"/>
    <row r="338" s="2497" customFormat="1" ht="21.75" customHeight="1"/>
    <row r="339" s="2497" customFormat="1" ht="21.75" customHeight="1"/>
    <row r="340" s="2497" customFormat="1" ht="21.75" customHeight="1"/>
    <row r="341" s="2497" customFormat="1" ht="21.75" customHeight="1"/>
    <row r="342" s="2497" customFormat="1" ht="21.75" customHeight="1"/>
    <row r="343" s="2497" customFormat="1" ht="21.75" customHeight="1"/>
    <row r="344" s="2497" customFormat="1" ht="21.75" customHeight="1"/>
    <row r="345" s="2497" customFormat="1" ht="21.75" customHeight="1"/>
    <row r="346" s="2497" customFormat="1" ht="21.75" customHeight="1"/>
    <row r="347" s="2497" customFormat="1" ht="21.75" customHeight="1"/>
    <row r="348" s="2497" customFormat="1" ht="21.75" customHeight="1"/>
    <row r="349" s="2497" customFormat="1" ht="21.75" customHeight="1"/>
    <row r="350" s="2497" customFormat="1" ht="21.75" customHeight="1"/>
    <row r="351" s="2497" customFormat="1" ht="21.75" customHeight="1"/>
    <row r="352" s="2497" customFormat="1" ht="21.75" customHeight="1"/>
    <row r="353" s="2497" customFormat="1" ht="21.75" customHeight="1"/>
    <row r="354" s="2497" customFormat="1" ht="21.75" customHeight="1"/>
    <row r="355" s="2497" customFormat="1" ht="21.75" customHeight="1"/>
    <row r="356" s="2497" customFormat="1" ht="21.75" customHeight="1"/>
    <row r="357" s="2497" customFormat="1" ht="21.75" customHeight="1"/>
    <row r="358" s="2497" customFormat="1" ht="21.75" customHeight="1"/>
    <row r="359" s="2497" customFormat="1" ht="21.75" customHeight="1"/>
    <row r="360" s="2497" customFormat="1" ht="21.75" customHeight="1"/>
    <row r="361" s="2497" customFormat="1" ht="21.75" customHeight="1"/>
    <row r="362" s="2497" customFormat="1" ht="21.75" customHeight="1"/>
    <row r="363" s="2497" customFormat="1" ht="21.75" customHeight="1"/>
    <row r="364" s="2497" customFormat="1" ht="21.75" customHeight="1"/>
    <row r="365" s="2497" customFormat="1" ht="21.75" customHeight="1"/>
    <row r="366" s="2497" customFormat="1" ht="21.75" customHeight="1"/>
    <row r="367" s="2497" customFormat="1" ht="21.75" customHeight="1"/>
    <row r="368" s="2497" customFormat="1" ht="21.75" customHeight="1"/>
    <row r="369" s="2497" customFormat="1" ht="21.75" customHeight="1"/>
    <row r="370" s="2497" customFormat="1" ht="21.75" customHeight="1"/>
    <row r="371" s="2497" customFormat="1" ht="21.75" customHeight="1"/>
    <row r="372" s="2497" customFormat="1" ht="21.75" customHeight="1"/>
    <row r="373" s="2497" customFormat="1" ht="21.75" customHeight="1"/>
    <row r="374" s="2497" customFormat="1" ht="21.75" customHeight="1"/>
    <row r="375" s="2497" customFormat="1" ht="21.75" customHeight="1"/>
    <row r="376" s="2497" customFormat="1" ht="21.75" customHeight="1"/>
    <row r="377" s="2497" customFormat="1" ht="21.75" customHeight="1"/>
    <row r="378" s="2497" customFormat="1" ht="21.75" customHeight="1"/>
    <row r="379" s="2497" customFormat="1" ht="21.75" customHeight="1"/>
    <row r="380" s="2497" customFormat="1" ht="21.75" customHeight="1"/>
    <row r="381" s="2497" customFormat="1" ht="21.75" customHeight="1"/>
    <row r="382" s="2497" customFormat="1" ht="21.75" customHeight="1"/>
    <row r="383" s="2497" customFormat="1" ht="21.75" customHeight="1"/>
    <row r="384" s="2497" customFormat="1" ht="21.75" customHeight="1"/>
    <row r="385" s="2497" customFormat="1" ht="21.75" customHeight="1"/>
    <row r="386" s="2497" customFormat="1" ht="21.75" customHeight="1"/>
    <row r="387" s="2497" customFormat="1" ht="21.75" customHeight="1"/>
    <row r="388" s="2497" customFormat="1" ht="21.75" customHeight="1"/>
    <row r="389" s="2497" customFormat="1" ht="21.75" customHeight="1"/>
    <row r="390" s="2497" customFormat="1" ht="21.75" customHeight="1"/>
    <row r="391" s="2497" customFormat="1" ht="21.75" customHeight="1"/>
    <row r="392" s="2497" customFormat="1" ht="21.75" customHeight="1"/>
    <row r="393" s="2497" customFormat="1" ht="21.75" customHeight="1"/>
    <row r="394" s="2497" customFormat="1" ht="21.75" customHeight="1"/>
    <row r="395" s="2497" customFormat="1" ht="21.75" customHeight="1"/>
    <row r="396" s="2497" customFormat="1" ht="21.75" customHeight="1"/>
    <row r="397" s="2497" customFormat="1" ht="21.75" customHeight="1"/>
    <row r="398" s="2497" customFormat="1" ht="21.75" customHeight="1"/>
    <row r="399" s="2497" customFormat="1" ht="21.75" customHeight="1"/>
    <row r="400" s="2497" customFormat="1" ht="21.75" customHeight="1"/>
    <row r="401" spans="10:26" s="2497" customFormat="1" ht="21.75" customHeight="1"/>
    <row r="402" spans="10:26" s="2497" customFormat="1" ht="21.75" customHeight="1"/>
    <row r="403" spans="10:26" s="2497" customFormat="1" ht="21.75" customHeight="1"/>
    <row r="404" spans="10:26" s="2497" customFormat="1" ht="21.75" customHeight="1"/>
    <row r="405" spans="10:26" s="2497" customFormat="1" ht="21.75" customHeight="1"/>
    <row r="406" spans="10:26" s="2497" customFormat="1" ht="21.75" customHeight="1"/>
    <row r="407" spans="10:26" s="2497" customFormat="1" ht="21.75" customHeight="1"/>
    <row r="408" spans="10:26" s="2497" customFormat="1" ht="21.75" customHeight="1"/>
    <row r="409" spans="10:26" s="2498" customFormat="1" ht="21.75" customHeight="1">
      <c r="J409" s="2497"/>
      <c r="K409" s="2497"/>
      <c r="L409" s="2497"/>
      <c r="M409" s="2497"/>
      <c r="N409" s="2497"/>
      <c r="O409" s="2497"/>
      <c r="P409" s="2497"/>
      <c r="Q409" s="2497"/>
      <c r="R409" s="2497"/>
      <c r="S409" s="2497"/>
      <c r="T409" s="2497"/>
      <c r="U409" s="2497"/>
      <c r="V409" s="2497"/>
      <c r="W409" s="2497"/>
      <c r="X409" s="2497"/>
      <c r="Y409" s="2497"/>
      <c r="Z409" s="2497"/>
    </row>
    <row r="410" spans="10:26" s="2498" customFormat="1" ht="21.75" customHeight="1">
      <c r="J410" s="2497"/>
      <c r="K410" s="2497"/>
      <c r="L410" s="2497"/>
      <c r="M410" s="2497"/>
      <c r="N410" s="2497"/>
      <c r="O410" s="2497"/>
      <c r="P410" s="2497"/>
      <c r="Q410" s="2497"/>
      <c r="R410" s="2497"/>
      <c r="S410" s="2497"/>
      <c r="T410" s="2497"/>
      <c r="U410" s="2497"/>
      <c r="V410" s="2497"/>
      <c r="W410" s="2497"/>
      <c r="X410" s="2497"/>
      <c r="Y410" s="2497"/>
      <c r="Z410" s="2497"/>
    </row>
    <row r="411" spans="10:26" s="2498" customFormat="1" ht="21.75" customHeight="1">
      <c r="J411" s="2497"/>
      <c r="K411" s="2497"/>
      <c r="L411" s="2497"/>
      <c r="M411" s="2497"/>
      <c r="N411" s="2497"/>
      <c r="O411" s="2497"/>
      <c r="P411" s="2497"/>
      <c r="Q411" s="2497"/>
      <c r="R411" s="2497"/>
      <c r="S411" s="2497"/>
      <c r="T411" s="2497"/>
      <c r="U411" s="2497"/>
      <c r="V411" s="2497"/>
      <c r="W411" s="2497"/>
      <c r="X411" s="2497"/>
      <c r="Y411" s="2497"/>
      <c r="Z411" s="2497"/>
    </row>
    <row r="412" spans="10:26" s="2498" customFormat="1" ht="21.75" customHeight="1">
      <c r="J412" s="2497"/>
      <c r="K412" s="2497"/>
      <c r="L412" s="2497"/>
      <c r="M412" s="2497"/>
      <c r="N412" s="2497"/>
      <c r="O412" s="2497"/>
      <c r="P412" s="2497"/>
      <c r="Q412" s="2497"/>
      <c r="R412" s="2497"/>
      <c r="S412" s="2497"/>
      <c r="T412" s="2497"/>
      <c r="U412" s="2497"/>
      <c r="V412" s="2497"/>
      <c r="W412" s="2497"/>
      <c r="X412" s="2497"/>
      <c r="Y412" s="2497"/>
      <c r="Z412" s="2497"/>
    </row>
    <row r="413" spans="10:26" s="2498" customFormat="1" ht="21.75" customHeight="1">
      <c r="J413" s="2497"/>
      <c r="K413" s="2497"/>
      <c r="L413" s="2497"/>
      <c r="M413" s="2497"/>
      <c r="N413" s="2497"/>
      <c r="O413" s="2497"/>
      <c r="P413" s="2497"/>
      <c r="Q413" s="2497"/>
      <c r="R413" s="2497"/>
      <c r="S413" s="2497"/>
      <c r="T413" s="2497"/>
      <c r="U413" s="2497"/>
      <c r="V413" s="2497"/>
      <c r="W413" s="2497"/>
      <c r="X413" s="2497"/>
      <c r="Y413" s="2497"/>
      <c r="Z413" s="2497"/>
    </row>
    <row r="414" spans="10:26" s="2498" customFormat="1" ht="21.75" customHeight="1">
      <c r="J414" s="2497"/>
      <c r="K414" s="2497"/>
      <c r="L414" s="2497"/>
      <c r="M414" s="2497"/>
      <c r="N414" s="2497"/>
      <c r="O414" s="2497"/>
      <c r="P414" s="2497"/>
      <c r="Q414" s="2497"/>
      <c r="R414" s="2497"/>
      <c r="S414" s="2497"/>
      <c r="T414" s="2497"/>
      <c r="U414" s="2497"/>
      <c r="V414" s="2497"/>
      <c r="W414" s="2497"/>
      <c r="X414" s="2497"/>
      <c r="Y414" s="2497"/>
      <c r="Z414" s="2497"/>
    </row>
    <row r="415" spans="10:26" s="2498" customFormat="1" ht="21.75" customHeight="1">
      <c r="J415" s="2497"/>
      <c r="K415" s="2497"/>
      <c r="L415" s="2497"/>
      <c r="M415" s="2497"/>
      <c r="N415" s="2497"/>
      <c r="O415" s="2497"/>
      <c r="P415" s="2497"/>
      <c r="Q415" s="2497"/>
      <c r="R415" s="2497"/>
      <c r="S415" s="2497"/>
      <c r="T415" s="2497"/>
      <c r="U415" s="2497"/>
      <c r="V415" s="2497"/>
      <c r="W415" s="2497"/>
      <c r="X415" s="2497"/>
      <c r="Y415" s="2497"/>
      <c r="Z415" s="2497"/>
    </row>
    <row r="416" spans="10:26" s="2498" customFormat="1" ht="21.75" customHeight="1">
      <c r="J416" s="2497"/>
      <c r="K416" s="2497"/>
      <c r="L416" s="2497"/>
      <c r="M416" s="2497"/>
      <c r="N416" s="2497"/>
      <c r="O416" s="2497"/>
      <c r="P416" s="2497"/>
      <c r="Q416" s="2497"/>
      <c r="R416" s="2497"/>
      <c r="S416" s="2497"/>
      <c r="T416" s="2497"/>
      <c r="U416" s="2497"/>
      <c r="V416" s="2497"/>
      <c r="W416" s="2497"/>
      <c r="X416" s="2497"/>
      <c r="Y416" s="2497"/>
      <c r="Z416" s="2497"/>
    </row>
    <row r="417" spans="10:26" s="2498" customFormat="1" ht="21.75" customHeight="1">
      <c r="J417" s="2497"/>
      <c r="K417" s="2497"/>
      <c r="L417" s="2497"/>
      <c r="M417" s="2497"/>
      <c r="N417" s="2497"/>
      <c r="O417" s="2497"/>
      <c r="P417" s="2497"/>
      <c r="Q417" s="2497"/>
      <c r="R417" s="2497"/>
      <c r="S417" s="2497"/>
      <c r="T417" s="2497"/>
      <c r="U417" s="2497"/>
      <c r="V417" s="2497"/>
      <c r="W417" s="2497"/>
      <c r="X417" s="2497"/>
      <c r="Y417" s="2497"/>
      <c r="Z417" s="2497"/>
    </row>
    <row r="418" spans="10:26" s="2498" customFormat="1" ht="21.75" customHeight="1">
      <c r="J418" s="2497"/>
      <c r="K418" s="2497"/>
      <c r="L418" s="2497"/>
      <c r="M418" s="2497"/>
      <c r="N418" s="2497"/>
      <c r="O418" s="2497"/>
      <c r="P418" s="2497"/>
      <c r="Q418" s="2497"/>
      <c r="R418" s="2497"/>
      <c r="S418" s="2497"/>
      <c r="T418" s="2497"/>
      <c r="U418" s="2497"/>
      <c r="V418" s="2497"/>
      <c r="W418" s="2497"/>
      <c r="X418" s="2497"/>
      <c r="Y418" s="2497"/>
      <c r="Z418" s="2497"/>
    </row>
    <row r="419" spans="10:26" s="2498" customFormat="1" ht="21.75" customHeight="1">
      <c r="J419" s="2497"/>
      <c r="K419" s="2497"/>
      <c r="L419" s="2497"/>
      <c r="M419" s="2497"/>
      <c r="N419" s="2497"/>
      <c r="O419" s="2497"/>
      <c r="P419" s="2497"/>
      <c r="Q419" s="2497"/>
      <c r="R419" s="2497"/>
      <c r="S419" s="2497"/>
      <c r="T419" s="2497"/>
      <c r="U419" s="2497"/>
      <c r="V419" s="2497"/>
      <c r="W419" s="2497"/>
      <c r="X419" s="2497"/>
      <c r="Y419" s="2497"/>
      <c r="Z419" s="2497"/>
    </row>
    <row r="420" spans="10:26" s="2498" customFormat="1" ht="21.75" customHeight="1">
      <c r="J420" s="2497"/>
      <c r="K420" s="2497"/>
      <c r="L420" s="2497"/>
      <c r="M420" s="2497"/>
      <c r="N420" s="2497"/>
      <c r="O420" s="2497"/>
      <c r="P420" s="2497"/>
      <c r="Q420" s="2497"/>
      <c r="R420" s="2497"/>
      <c r="S420" s="2497"/>
      <c r="T420" s="2497"/>
      <c r="U420" s="2497"/>
      <c r="V420" s="2497"/>
      <c r="W420" s="2497"/>
      <c r="X420" s="2497"/>
      <c r="Y420" s="2497"/>
      <c r="Z420" s="2497"/>
    </row>
    <row r="421" spans="10:26" s="2498" customFormat="1" ht="21.75" customHeight="1">
      <c r="J421" s="2497"/>
      <c r="K421" s="2497"/>
      <c r="L421" s="2497"/>
      <c r="M421" s="2497"/>
      <c r="N421" s="2497"/>
      <c r="O421" s="2497"/>
      <c r="P421" s="2497"/>
      <c r="Q421" s="2497"/>
      <c r="R421" s="2497"/>
      <c r="S421" s="2497"/>
      <c r="T421" s="2497"/>
      <c r="U421" s="2497"/>
      <c r="V421" s="2497"/>
      <c r="W421" s="2497"/>
      <c r="X421" s="2497"/>
      <c r="Y421" s="2497"/>
      <c r="Z421" s="2497"/>
    </row>
    <row r="422" spans="10:26" s="2498" customFormat="1" ht="21.75" customHeight="1">
      <c r="J422" s="2497"/>
      <c r="K422" s="2497"/>
      <c r="L422" s="2497"/>
      <c r="M422" s="2497"/>
      <c r="N422" s="2497"/>
      <c r="O422" s="2497"/>
      <c r="P422" s="2497"/>
      <c r="Q422" s="2497"/>
      <c r="R422" s="2497"/>
      <c r="S422" s="2497"/>
      <c r="T422" s="2497"/>
      <c r="U422" s="2497"/>
      <c r="V422" s="2497"/>
      <c r="W422" s="2497"/>
      <c r="X422" s="2497"/>
      <c r="Y422" s="2497"/>
      <c r="Z422" s="2497"/>
    </row>
    <row r="423" spans="10:26" s="2498" customFormat="1" ht="21.75" customHeight="1">
      <c r="J423" s="2497"/>
      <c r="K423" s="2497"/>
      <c r="L423" s="2497"/>
      <c r="M423" s="2497"/>
      <c r="N423" s="2497"/>
      <c r="O423" s="2497"/>
      <c r="P423" s="2497"/>
      <c r="Q423" s="2497"/>
      <c r="R423" s="2497"/>
      <c r="S423" s="2497"/>
      <c r="T423" s="2497"/>
      <c r="U423" s="2497"/>
      <c r="V423" s="2497"/>
      <c r="W423" s="2497"/>
      <c r="X423" s="2497"/>
      <c r="Y423" s="2497"/>
      <c r="Z423" s="2497"/>
    </row>
    <row r="424" spans="10:26" s="2498" customFormat="1" ht="21.75" customHeight="1">
      <c r="J424" s="2497"/>
      <c r="K424" s="2497"/>
      <c r="L424" s="2497"/>
      <c r="M424" s="2497"/>
      <c r="N424" s="2497"/>
      <c r="O424" s="2497"/>
      <c r="P424" s="2497"/>
      <c r="Q424" s="2497"/>
      <c r="R424" s="2497"/>
      <c r="S424" s="2497"/>
      <c r="T424" s="2497"/>
      <c r="U424" s="2497"/>
      <c r="V424" s="2497"/>
      <c r="W424" s="2497"/>
      <c r="X424" s="2497"/>
      <c r="Y424" s="2497"/>
      <c r="Z424" s="2497"/>
    </row>
    <row r="425" spans="10:26" s="2498" customFormat="1" ht="21.75" customHeight="1">
      <c r="J425" s="2497"/>
      <c r="K425" s="2497"/>
      <c r="L425" s="2497"/>
      <c r="M425" s="2497"/>
      <c r="N425" s="2497"/>
      <c r="O425" s="2497"/>
      <c r="P425" s="2497"/>
      <c r="Q425" s="2497"/>
      <c r="R425" s="2497"/>
      <c r="S425" s="2497"/>
      <c r="T425" s="2497"/>
      <c r="U425" s="2497"/>
      <c r="V425" s="2497"/>
      <c r="W425" s="2497"/>
      <c r="X425" s="2497"/>
      <c r="Y425" s="2497"/>
      <c r="Z425" s="2497"/>
    </row>
    <row r="426" spans="10:26" s="2498" customFormat="1" ht="21.75" customHeight="1">
      <c r="J426" s="2497"/>
      <c r="K426" s="2497"/>
      <c r="L426" s="2497"/>
      <c r="M426" s="2497"/>
      <c r="N426" s="2497"/>
      <c r="O426" s="2497"/>
      <c r="P426" s="2497"/>
      <c r="Q426" s="2497"/>
      <c r="R426" s="2497"/>
      <c r="S426" s="2497"/>
      <c r="T426" s="2497"/>
      <c r="U426" s="2497"/>
      <c r="V426" s="2497"/>
      <c r="W426" s="2497"/>
      <c r="X426" s="2497"/>
      <c r="Y426" s="2497"/>
      <c r="Z426" s="2497"/>
    </row>
    <row r="427" spans="10:26" s="2498" customFormat="1" ht="21.75" customHeight="1">
      <c r="J427" s="2497"/>
      <c r="K427" s="2497"/>
      <c r="L427" s="2497"/>
      <c r="M427" s="2497"/>
      <c r="N427" s="2497"/>
      <c r="O427" s="2497"/>
      <c r="P427" s="2497"/>
      <c r="Q427" s="2497"/>
      <c r="R427" s="2497"/>
      <c r="S427" s="2497"/>
      <c r="T427" s="2497"/>
      <c r="U427" s="2497"/>
      <c r="V427" s="2497"/>
      <c r="W427" s="2497"/>
      <c r="X427" s="2497"/>
      <c r="Y427" s="2497"/>
      <c r="Z427" s="2497"/>
    </row>
    <row r="428" spans="10:26" s="2498" customFormat="1" ht="21.75" customHeight="1">
      <c r="J428" s="2497"/>
      <c r="K428" s="2497"/>
      <c r="L428" s="2497"/>
      <c r="M428" s="2497"/>
      <c r="N428" s="2497"/>
      <c r="O428" s="2497"/>
      <c r="P428" s="2497"/>
      <c r="Q428" s="2497"/>
      <c r="R428" s="2497"/>
      <c r="S428" s="2497"/>
      <c r="T428" s="2497"/>
      <c r="U428" s="2497"/>
      <c r="V428" s="2497"/>
      <c r="W428" s="2497"/>
      <c r="X428" s="2497"/>
      <c r="Y428" s="2497"/>
      <c r="Z428" s="2497"/>
    </row>
    <row r="429" spans="10:26" s="2498" customFormat="1" ht="21.75" customHeight="1">
      <c r="J429" s="2497"/>
      <c r="K429" s="2497"/>
      <c r="L429" s="2497"/>
      <c r="M429" s="2497"/>
      <c r="N429" s="2497"/>
      <c r="O429" s="2497"/>
      <c r="P429" s="2497"/>
      <c r="Q429" s="2497"/>
      <c r="R429" s="2497"/>
      <c r="S429" s="2497"/>
      <c r="T429" s="2497"/>
      <c r="U429" s="2497"/>
      <c r="V429" s="2497"/>
      <c r="W429" s="2497"/>
      <c r="X429" s="2497"/>
      <c r="Y429" s="2497"/>
      <c r="Z429" s="2497"/>
    </row>
    <row r="430" spans="10:26" s="2498" customFormat="1" ht="21.75" customHeight="1">
      <c r="J430" s="2497"/>
      <c r="K430" s="2497"/>
      <c r="L430" s="2497"/>
      <c r="M430" s="2497"/>
      <c r="N430" s="2497"/>
      <c r="O430" s="2497"/>
      <c r="P430" s="2497"/>
      <c r="Q430" s="2497"/>
      <c r="R430" s="2497"/>
      <c r="S430" s="2497"/>
      <c r="T430" s="2497"/>
      <c r="U430" s="2497"/>
      <c r="V430" s="2497"/>
      <c r="W430" s="2497"/>
      <c r="X430" s="2497"/>
      <c r="Y430" s="2497"/>
      <c r="Z430" s="2497"/>
    </row>
    <row r="431" spans="10:26" s="2498" customFormat="1" ht="21.75" customHeight="1">
      <c r="J431" s="2497"/>
      <c r="K431" s="2497"/>
      <c r="L431" s="2497"/>
      <c r="M431" s="2497"/>
      <c r="N431" s="2497"/>
      <c r="O431" s="2497"/>
      <c r="P431" s="2497"/>
      <c r="Q431" s="2497"/>
      <c r="R431" s="2497"/>
      <c r="S431" s="2497"/>
      <c r="T431" s="2497"/>
      <c r="U431" s="2497"/>
      <c r="V431" s="2497"/>
      <c r="W431" s="2497"/>
      <c r="X431" s="2497"/>
      <c r="Y431" s="2497"/>
      <c r="Z431" s="2497"/>
    </row>
    <row r="432" spans="10:26" s="2498" customFormat="1" ht="21.75" customHeight="1">
      <c r="J432" s="2497"/>
      <c r="K432" s="2497"/>
      <c r="L432" s="2497"/>
      <c r="M432" s="2497"/>
      <c r="N432" s="2497"/>
      <c r="O432" s="2497"/>
      <c r="P432" s="2497"/>
      <c r="Q432" s="2497"/>
      <c r="R432" s="2497"/>
      <c r="S432" s="2497"/>
      <c r="T432" s="2497"/>
      <c r="U432" s="2497"/>
      <c r="V432" s="2497"/>
      <c r="W432" s="2497"/>
      <c r="X432" s="2497"/>
      <c r="Y432" s="2497"/>
      <c r="Z432" s="2497"/>
    </row>
    <row r="433" spans="10:26" s="2498" customFormat="1" ht="21.75" customHeight="1">
      <c r="J433" s="2497"/>
      <c r="K433" s="2497"/>
      <c r="L433" s="2497"/>
      <c r="M433" s="2497"/>
      <c r="N433" s="2497"/>
      <c r="O433" s="2497"/>
      <c r="P433" s="2497"/>
      <c r="Q433" s="2497"/>
      <c r="R433" s="2497"/>
      <c r="S433" s="2497"/>
      <c r="T433" s="2497"/>
      <c r="U433" s="2497"/>
      <c r="V433" s="2497"/>
      <c r="W433" s="2497"/>
      <c r="X433" s="2497"/>
      <c r="Y433" s="2497"/>
      <c r="Z433" s="2497"/>
    </row>
    <row r="434" spans="10:26" s="2498" customFormat="1" ht="21.75" customHeight="1">
      <c r="J434" s="2497"/>
      <c r="K434" s="2497"/>
      <c r="L434" s="2497"/>
      <c r="M434" s="2497"/>
      <c r="N434" s="2497"/>
      <c r="O434" s="2497"/>
      <c r="P434" s="2497"/>
      <c r="Q434" s="2497"/>
      <c r="R434" s="2497"/>
      <c r="S434" s="2497"/>
      <c r="T434" s="2497"/>
      <c r="U434" s="2497"/>
      <c r="V434" s="2497"/>
      <c r="W434" s="2497"/>
      <c r="X434" s="2497"/>
      <c r="Y434" s="2497"/>
      <c r="Z434" s="2497"/>
    </row>
    <row r="435" spans="10:26" s="2498" customFormat="1" ht="21.75" customHeight="1">
      <c r="J435" s="2497"/>
      <c r="K435" s="2497"/>
      <c r="L435" s="2497"/>
      <c r="M435" s="2497"/>
      <c r="N435" s="2497"/>
      <c r="O435" s="2497"/>
      <c r="P435" s="2497"/>
      <c r="Q435" s="2497"/>
      <c r="R435" s="2497"/>
      <c r="S435" s="2497"/>
      <c r="T435" s="2497"/>
      <c r="U435" s="2497"/>
      <c r="V435" s="2497"/>
      <c r="W435" s="2497"/>
      <c r="X435" s="2497"/>
      <c r="Y435" s="2497"/>
      <c r="Z435" s="2497"/>
    </row>
    <row r="436" spans="10:26" s="2498" customFormat="1" ht="21.75" customHeight="1">
      <c r="J436" s="2497"/>
      <c r="K436" s="2497"/>
      <c r="L436" s="2497"/>
      <c r="M436" s="2497"/>
      <c r="N436" s="2497"/>
      <c r="O436" s="2497"/>
      <c r="P436" s="2497"/>
      <c r="Q436" s="2497"/>
      <c r="R436" s="2497"/>
      <c r="S436" s="2497"/>
      <c r="T436" s="2497"/>
      <c r="U436" s="2497"/>
      <c r="V436" s="2497"/>
      <c r="W436" s="2497"/>
      <c r="X436" s="2497"/>
      <c r="Y436" s="2497"/>
      <c r="Z436" s="2497"/>
    </row>
    <row r="437" spans="10:26" s="2498" customFormat="1" ht="21.75" customHeight="1">
      <c r="J437" s="2497"/>
      <c r="K437" s="2497"/>
      <c r="L437" s="2497"/>
      <c r="M437" s="2497"/>
      <c r="N437" s="2497"/>
      <c r="O437" s="2497"/>
      <c r="P437" s="2497"/>
      <c r="Q437" s="2497"/>
      <c r="R437" s="2497"/>
      <c r="S437" s="2497"/>
      <c r="T437" s="2497"/>
      <c r="U437" s="2497"/>
      <c r="V437" s="2497"/>
      <c r="W437" s="2497"/>
      <c r="X437" s="2497"/>
      <c r="Y437" s="2497"/>
      <c r="Z437" s="2497"/>
    </row>
    <row r="438" spans="10:26" s="2498" customFormat="1" ht="21.75" customHeight="1">
      <c r="J438" s="2497"/>
      <c r="K438" s="2497"/>
      <c r="L438" s="2497"/>
      <c r="M438" s="2497"/>
      <c r="N438" s="2497"/>
      <c r="O438" s="2497"/>
      <c r="P438" s="2497"/>
      <c r="Q438" s="2497"/>
      <c r="R438" s="2497"/>
      <c r="S438" s="2497"/>
      <c r="T438" s="2497"/>
      <c r="U438" s="2497"/>
      <c r="V438" s="2497"/>
      <c r="W438" s="2497"/>
      <c r="X438" s="2497"/>
      <c r="Y438" s="2497"/>
      <c r="Z438" s="2497"/>
    </row>
    <row r="439" spans="10:26" s="2498" customFormat="1" ht="21.75" customHeight="1">
      <c r="J439" s="2497"/>
      <c r="K439" s="2497"/>
      <c r="L439" s="2497"/>
      <c r="M439" s="2497"/>
      <c r="N439" s="2497"/>
      <c r="O439" s="2497"/>
      <c r="P439" s="2497"/>
      <c r="Q439" s="2497"/>
      <c r="R439" s="2497"/>
      <c r="S439" s="2497"/>
      <c r="T439" s="2497"/>
      <c r="U439" s="2497"/>
      <c r="V439" s="2497"/>
      <c r="W439" s="2497"/>
      <c r="X439" s="2497"/>
      <c r="Y439" s="2497"/>
      <c r="Z439" s="2497"/>
    </row>
    <row r="440" spans="10:26" s="2498" customFormat="1" ht="21.75" customHeight="1">
      <c r="J440" s="2497"/>
      <c r="K440" s="2497"/>
      <c r="L440" s="2497"/>
      <c r="M440" s="2497"/>
      <c r="N440" s="2497"/>
      <c r="O440" s="2497"/>
      <c r="P440" s="2497"/>
      <c r="Q440" s="2497"/>
      <c r="R440" s="2497"/>
      <c r="S440" s="2497"/>
      <c r="T440" s="2497"/>
      <c r="U440" s="2497"/>
      <c r="V440" s="2497"/>
      <c r="W440" s="2497"/>
      <c r="X440" s="2497"/>
      <c r="Y440" s="2497"/>
      <c r="Z440" s="2497"/>
    </row>
    <row r="441" spans="10:26" s="2498" customFormat="1" ht="21.75" customHeight="1">
      <c r="J441" s="2497"/>
      <c r="K441" s="2497"/>
      <c r="L441" s="2497"/>
      <c r="M441" s="2497"/>
      <c r="N441" s="2497"/>
      <c r="O441" s="2497"/>
      <c r="P441" s="2497"/>
      <c r="Q441" s="2497"/>
      <c r="R441" s="2497"/>
      <c r="S441" s="2497"/>
      <c r="T441" s="2497"/>
      <c r="U441" s="2497"/>
      <c r="V441" s="2497"/>
      <c r="W441" s="2497"/>
      <c r="X441" s="2497"/>
      <c r="Y441" s="2497"/>
      <c r="Z441" s="2497"/>
    </row>
    <row r="442" spans="10:26" s="2498" customFormat="1" ht="21.75" customHeight="1">
      <c r="J442" s="2497"/>
      <c r="K442" s="2497"/>
      <c r="L442" s="2497"/>
      <c r="M442" s="2497"/>
      <c r="N442" s="2497"/>
      <c r="O442" s="2497"/>
      <c r="P442" s="2497"/>
      <c r="Q442" s="2497"/>
      <c r="R442" s="2497"/>
      <c r="S442" s="2497"/>
      <c r="T442" s="2497"/>
      <c r="U442" s="2497"/>
      <c r="V442" s="2497"/>
      <c r="W442" s="2497"/>
      <c r="X442" s="2497"/>
      <c r="Y442" s="2497"/>
      <c r="Z442" s="2497"/>
    </row>
    <row r="443" spans="10:26" s="2498" customFormat="1" ht="21.75" customHeight="1">
      <c r="J443" s="2497"/>
      <c r="K443" s="2497"/>
      <c r="L443" s="2497"/>
      <c r="M443" s="2497"/>
      <c r="N443" s="2497"/>
      <c r="O443" s="2497"/>
      <c r="P443" s="2497"/>
      <c r="Q443" s="2497"/>
      <c r="R443" s="2497"/>
      <c r="S443" s="2497"/>
      <c r="T443" s="2497"/>
      <c r="U443" s="2497"/>
      <c r="V443" s="2497"/>
      <c r="W443" s="2497"/>
      <c r="X443" s="2497"/>
      <c r="Y443" s="2497"/>
      <c r="Z443" s="2497"/>
    </row>
    <row r="444" spans="10:26" s="2498" customFormat="1" ht="21.75" customHeight="1">
      <c r="J444" s="2497"/>
      <c r="K444" s="2497"/>
      <c r="L444" s="2497"/>
      <c r="M444" s="2497"/>
      <c r="N444" s="2497"/>
      <c r="O444" s="2497"/>
      <c r="P444" s="2497"/>
      <c r="Q444" s="2497"/>
      <c r="R444" s="2497"/>
      <c r="S444" s="2497"/>
      <c r="T444" s="2497"/>
      <c r="U444" s="2497"/>
      <c r="V444" s="2497"/>
      <c r="W444" s="2497"/>
      <c r="X444" s="2497"/>
      <c r="Y444" s="2497"/>
      <c r="Z444" s="2497"/>
    </row>
    <row r="445" spans="10:26" s="2498" customFormat="1" ht="21.75" customHeight="1">
      <c r="J445" s="2497"/>
      <c r="K445" s="2497"/>
      <c r="L445" s="2497"/>
      <c r="M445" s="2497"/>
      <c r="N445" s="2497"/>
      <c r="O445" s="2497"/>
      <c r="P445" s="2497"/>
      <c r="Q445" s="2497"/>
      <c r="R445" s="2497"/>
      <c r="S445" s="2497"/>
      <c r="T445" s="2497"/>
      <c r="U445" s="2497"/>
      <c r="V445" s="2497"/>
      <c r="W445" s="2497"/>
      <c r="X445" s="2497"/>
      <c r="Y445" s="2497"/>
      <c r="Z445" s="2497"/>
    </row>
    <row r="446" spans="10:26" s="2498" customFormat="1" ht="21.75" customHeight="1">
      <c r="J446" s="2497"/>
      <c r="K446" s="2497"/>
      <c r="L446" s="2497"/>
      <c r="M446" s="2497"/>
      <c r="N446" s="2497"/>
      <c r="O446" s="2497"/>
      <c r="P446" s="2497"/>
      <c r="Q446" s="2497"/>
      <c r="R446" s="2497"/>
      <c r="S446" s="2497"/>
      <c r="T446" s="2497"/>
      <c r="U446" s="2497"/>
      <c r="V446" s="2497"/>
      <c r="W446" s="2497"/>
      <c r="X446" s="2497"/>
      <c r="Y446" s="2497"/>
      <c r="Z446" s="2497"/>
    </row>
    <row r="447" spans="10:26" s="2498" customFormat="1" ht="21.75" customHeight="1">
      <c r="J447" s="2497"/>
      <c r="K447" s="2497"/>
      <c r="L447" s="2497"/>
      <c r="M447" s="2497"/>
      <c r="N447" s="2497"/>
      <c r="O447" s="2497"/>
      <c r="P447" s="2497"/>
      <c r="Q447" s="2497"/>
      <c r="R447" s="2497"/>
      <c r="S447" s="2497"/>
      <c r="T447" s="2497"/>
      <c r="U447" s="2497"/>
      <c r="V447" s="2497"/>
      <c r="W447" s="2497"/>
      <c r="X447" s="2497"/>
      <c r="Y447" s="2497"/>
      <c r="Z447" s="2497"/>
    </row>
    <row r="448" spans="10:26" s="2498" customFormat="1" ht="21.75" customHeight="1">
      <c r="J448" s="2497"/>
      <c r="K448" s="2497"/>
      <c r="L448" s="2497"/>
      <c r="M448" s="2497"/>
      <c r="N448" s="2497"/>
      <c r="O448" s="2497"/>
      <c r="P448" s="2497"/>
      <c r="Q448" s="2497"/>
      <c r="R448" s="2497"/>
      <c r="S448" s="2497"/>
      <c r="T448" s="2497"/>
      <c r="U448" s="2497"/>
      <c r="V448" s="2497"/>
      <c r="W448" s="2497"/>
      <c r="X448" s="2497"/>
      <c r="Y448" s="2497"/>
      <c r="Z448" s="2497"/>
    </row>
    <row r="449" spans="10:26" s="2498" customFormat="1" ht="21.75" customHeight="1">
      <c r="J449" s="2497"/>
      <c r="K449" s="2497"/>
      <c r="L449" s="2497"/>
      <c r="M449" s="2497"/>
      <c r="N449" s="2497"/>
      <c r="O449" s="2497"/>
      <c r="P449" s="2497"/>
      <c r="Q449" s="2497"/>
      <c r="R449" s="2497"/>
      <c r="S449" s="2497"/>
      <c r="T449" s="2497"/>
      <c r="U449" s="2497"/>
      <c r="V449" s="2497"/>
      <c r="W449" s="2497"/>
      <c r="X449" s="2497"/>
      <c r="Y449" s="2497"/>
      <c r="Z449" s="2497"/>
    </row>
    <row r="450" spans="10:26" s="2498" customFormat="1" ht="21.75" customHeight="1">
      <c r="J450" s="2497"/>
      <c r="K450" s="2497"/>
      <c r="L450" s="2497"/>
      <c r="M450" s="2497"/>
      <c r="N450" s="2497"/>
      <c r="O450" s="2497"/>
      <c r="P450" s="2497"/>
      <c r="Q450" s="2497"/>
      <c r="R450" s="2497"/>
      <c r="S450" s="2497"/>
      <c r="T450" s="2497"/>
      <c r="U450" s="2497"/>
      <c r="V450" s="2497"/>
      <c r="W450" s="2497"/>
      <c r="X450" s="2497"/>
      <c r="Y450" s="2497"/>
      <c r="Z450" s="2497"/>
    </row>
    <row r="451" spans="10:26" s="2498" customFormat="1" ht="21.75" customHeight="1">
      <c r="J451" s="2497"/>
      <c r="K451" s="2497"/>
      <c r="L451" s="2497"/>
      <c r="M451" s="2497"/>
      <c r="N451" s="2497"/>
      <c r="O451" s="2497"/>
      <c r="P451" s="2497"/>
      <c r="Q451" s="2497"/>
      <c r="R451" s="2497"/>
      <c r="S451" s="2497"/>
      <c r="T451" s="2497"/>
      <c r="U451" s="2497"/>
      <c r="V451" s="2497"/>
      <c r="W451" s="2497"/>
      <c r="X451" s="2497"/>
      <c r="Y451" s="2497"/>
      <c r="Z451" s="2497"/>
    </row>
    <row r="452" spans="10:26" s="2498" customFormat="1" ht="21.75" customHeight="1">
      <c r="J452" s="2497"/>
      <c r="K452" s="2497"/>
      <c r="L452" s="2497"/>
      <c r="M452" s="2497"/>
      <c r="N452" s="2497"/>
      <c r="O452" s="2497"/>
      <c r="P452" s="2497"/>
      <c r="Q452" s="2497"/>
      <c r="R452" s="2497"/>
      <c r="S452" s="2497"/>
      <c r="T452" s="2497"/>
      <c r="U452" s="2497"/>
      <c r="V452" s="2497"/>
      <c r="W452" s="2497"/>
      <c r="X452" s="2497"/>
      <c r="Y452" s="2497"/>
      <c r="Z452" s="2497"/>
    </row>
    <row r="453" spans="10:26" s="2498" customFormat="1" ht="21.75" customHeight="1">
      <c r="J453" s="2497"/>
      <c r="K453" s="2497"/>
      <c r="L453" s="2497"/>
      <c r="M453" s="2497"/>
      <c r="N453" s="2497"/>
      <c r="O453" s="2497"/>
      <c r="P453" s="2497"/>
      <c r="Q453" s="2497"/>
      <c r="R453" s="2497"/>
      <c r="S453" s="2497"/>
      <c r="T453" s="2497"/>
      <c r="U453" s="2497"/>
      <c r="V453" s="2497"/>
      <c r="W453" s="2497"/>
      <c r="X453" s="2497"/>
      <c r="Y453" s="2497"/>
      <c r="Z453" s="2497"/>
    </row>
    <row r="454" spans="10:26" s="2498" customFormat="1" ht="21.75" customHeight="1">
      <c r="J454" s="2497"/>
      <c r="K454" s="2497"/>
      <c r="L454" s="2497"/>
      <c r="M454" s="2497"/>
      <c r="N454" s="2497"/>
      <c r="O454" s="2497"/>
      <c r="P454" s="2497"/>
      <c r="Q454" s="2497"/>
      <c r="R454" s="2497"/>
      <c r="S454" s="2497"/>
      <c r="T454" s="2497"/>
      <c r="U454" s="2497"/>
      <c r="V454" s="2497"/>
      <c r="W454" s="2497"/>
      <c r="X454" s="2497"/>
      <c r="Y454" s="2497"/>
      <c r="Z454" s="2497"/>
    </row>
    <row r="455" spans="10:26" s="2498" customFormat="1" ht="21.75" customHeight="1">
      <c r="J455" s="2497"/>
      <c r="K455" s="2497"/>
      <c r="L455" s="2497"/>
      <c r="M455" s="2497"/>
      <c r="N455" s="2497"/>
      <c r="O455" s="2497"/>
      <c r="P455" s="2497"/>
      <c r="Q455" s="2497"/>
      <c r="R455" s="2497"/>
      <c r="S455" s="2497"/>
      <c r="T455" s="2497"/>
      <c r="U455" s="2497"/>
      <c r="V455" s="2497"/>
      <c r="W455" s="2497"/>
      <c r="X455" s="2497"/>
      <c r="Y455" s="2497"/>
      <c r="Z455" s="2497"/>
    </row>
    <row r="456" spans="10:26" s="2498" customFormat="1" ht="21.75" customHeight="1">
      <c r="J456" s="2497"/>
      <c r="K456" s="2497"/>
      <c r="L456" s="2497"/>
      <c r="M456" s="2497"/>
      <c r="N456" s="2497"/>
      <c r="O456" s="2497"/>
      <c r="P456" s="2497"/>
      <c r="Q456" s="2497"/>
      <c r="R456" s="2497"/>
      <c r="S456" s="2497"/>
      <c r="T456" s="2497"/>
      <c r="U456" s="2497"/>
      <c r="V456" s="2497"/>
      <c r="W456" s="2497"/>
      <c r="X456" s="2497"/>
      <c r="Y456" s="2497"/>
      <c r="Z456" s="2497"/>
    </row>
    <row r="457" spans="10:26" s="2498" customFormat="1" ht="21.75" customHeight="1">
      <c r="J457" s="2497"/>
      <c r="K457" s="2497"/>
      <c r="L457" s="2497"/>
      <c r="M457" s="2497"/>
      <c r="N457" s="2497"/>
      <c r="O457" s="2497"/>
      <c r="P457" s="2497"/>
      <c r="Q457" s="2497"/>
      <c r="R457" s="2497"/>
      <c r="S457" s="2497"/>
      <c r="T457" s="2497"/>
      <c r="U457" s="2497"/>
      <c r="V457" s="2497"/>
      <c r="W457" s="2497"/>
      <c r="X457" s="2497"/>
      <c r="Y457" s="2497"/>
      <c r="Z457" s="2497"/>
    </row>
    <row r="458" spans="10:26" s="2498" customFormat="1" ht="21.75" customHeight="1">
      <c r="J458" s="2497"/>
      <c r="K458" s="2497"/>
      <c r="L458" s="2497"/>
      <c r="M458" s="2497"/>
      <c r="N458" s="2497"/>
      <c r="O458" s="2497"/>
      <c r="P458" s="2497"/>
      <c r="Q458" s="2497"/>
      <c r="R458" s="2497"/>
      <c r="S458" s="2497"/>
      <c r="T458" s="2497"/>
      <c r="U458" s="2497"/>
      <c r="V458" s="2497"/>
      <c r="W458" s="2497"/>
      <c r="X458" s="2497"/>
      <c r="Y458" s="2497"/>
      <c r="Z458" s="2497"/>
    </row>
    <row r="459" spans="10:26" s="2498" customFormat="1" ht="21.75" customHeight="1">
      <c r="J459" s="2497"/>
      <c r="K459" s="2497"/>
      <c r="L459" s="2497"/>
      <c r="M459" s="2497"/>
      <c r="N459" s="2497"/>
      <c r="O459" s="2497"/>
      <c r="P459" s="2497"/>
      <c r="Q459" s="2497"/>
      <c r="R459" s="2497"/>
      <c r="S459" s="2497"/>
      <c r="T459" s="2497"/>
      <c r="U459" s="2497"/>
      <c r="V459" s="2497"/>
      <c r="W459" s="2497"/>
      <c r="X459" s="2497"/>
      <c r="Y459" s="2497"/>
      <c r="Z459" s="2497"/>
    </row>
    <row r="460" spans="10:26" s="2498" customFormat="1" ht="21.75" customHeight="1">
      <c r="J460" s="2497"/>
      <c r="K460" s="2497"/>
      <c r="L460" s="2497"/>
      <c r="M460" s="2497"/>
      <c r="N460" s="2497"/>
      <c r="O460" s="2497"/>
      <c r="P460" s="2497"/>
      <c r="Q460" s="2497"/>
      <c r="R460" s="2497"/>
      <c r="S460" s="2497"/>
      <c r="T460" s="2497"/>
      <c r="U460" s="2497"/>
      <c r="V460" s="2497"/>
      <c r="W460" s="2497"/>
      <c r="X460" s="2497"/>
      <c r="Y460" s="2497"/>
      <c r="Z460" s="2497"/>
    </row>
    <row r="461" spans="10:26" s="2498" customFormat="1" ht="21.75" customHeight="1">
      <c r="J461" s="2497"/>
      <c r="K461" s="2497"/>
      <c r="L461" s="2497"/>
      <c r="M461" s="2497"/>
      <c r="N461" s="2497"/>
      <c r="O461" s="2497"/>
      <c r="P461" s="2497"/>
      <c r="Q461" s="2497"/>
      <c r="R461" s="2497"/>
      <c r="S461" s="2497"/>
      <c r="T461" s="2497"/>
      <c r="U461" s="2497"/>
      <c r="V461" s="2497"/>
      <c r="W461" s="2497"/>
      <c r="X461" s="2497"/>
      <c r="Y461" s="2497"/>
      <c r="Z461" s="2497"/>
    </row>
    <row r="462" spans="10:26" s="2498" customFormat="1" ht="21.75" customHeight="1">
      <c r="J462" s="2497"/>
      <c r="K462" s="2497"/>
      <c r="L462" s="2497"/>
      <c r="M462" s="2497"/>
      <c r="N462" s="2497"/>
      <c r="O462" s="2497"/>
      <c r="P462" s="2497"/>
      <c r="Q462" s="2497"/>
      <c r="R462" s="2497"/>
      <c r="S462" s="2497"/>
      <c r="T462" s="2497"/>
      <c r="U462" s="2497"/>
      <c r="V462" s="2497"/>
      <c r="W462" s="2497"/>
      <c r="X462" s="2497"/>
      <c r="Y462" s="2497"/>
      <c r="Z462" s="2497"/>
    </row>
    <row r="463" spans="10:26" s="2498" customFormat="1" ht="21.75" customHeight="1">
      <c r="J463" s="2497"/>
      <c r="K463" s="2497"/>
      <c r="L463" s="2497"/>
      <c r="M463" s="2497"/>
      <c r="N463" s="2497"/>
      <c r="O463" s="2497"/>
      <c r="P463" s="2497"/>
      <c r="Q463" s="2497"/>
      <c r="R463" s="2497"/>
      <c r="S463" s="2497"/>
      <c r="T463" s="2497"/>
      <c r="U463" s="2497"/>
      <c r="V463" s="2497"/>
      <c r="W463" s="2497"/>
      <c r="X463" s="2497"/>
      <c r="Y463" s="2497"/>
      <c r="Z463" s="2497"/>
    </row>
    <row r="464" spans="10:26" s="2498" customFormat="1" ht="21.75" customHeight="1">
      <c r="J464" s="2497"/>
      <c r="K464" s="2497"/>
      <c r="L464" s="2497"/>
      <c r="M464" s="2497"/>
      <c r="N464" s="2497"/>
      <c r="O464" s="2497"/>
      <c r="P464" s="2497"/>
      <c r="Q464" s="2497"/>
      <c r="R464" s="2497"/>
      <c r="S464" s="2497"/>
      <c r="T464" s="2497"/>
      <c r="U464" s="2497"/>
      <c r="V464" s="2497"/>
      <c r="W464" s="2497"/>
      <c r="X464" s="2497"/>
      <c r="Y464" s="2497"/>
      <c r="Z464" s="2497"/>
    </row>
    <row r="465" spans="10:26" s="2498" customFormat="1" ht="21.75" customHeight="1">
      <c r="J465" s="2497"/>
      <c r="K465" s="2497"/>
      <c r="L465" s="2497"/>
      <c r="M465" s="2497"/>
      <c r="N465" s="2497"/>
      <c r="O465" s="2497"/>
      <c r="P465" s="2497"/>
      <c r="Q465" s="2497"/>
      <c r="R465" s="2497"/>
      <c r="S465" s="2497"/>
      <c r="T465" s="2497"/>
      <c r="U465" s="2497"/>
      <c r="V465" s="2497"/>
      <c r="W465" s="2497"/>
      <c r="X465" s="2497"/>
      <c r="Y465" s="2497"/>
      <c r="Z465" s="2497"/>
    </row>
    <row r="466" spans="10:26" s="2498" customFormat="1" ht="21.75" customHeight="1">
      <c r="J466" s="2497"/>
      <c r="K466" s="2497"/>
      <c r="L466" s="2497"/>
      <c r="M466" s="2497"/>
      <c r="N466" s="2497"/>
      <c r="O466" s="2497"/>
      <c r="P466" s="2497"/>
      <c r="Q466" s="2497"/>
      <c r="R466" s="2497"/>
      <c r="S466" s="2497"/>
      <c r="T466" s="2497"/>
      <c r="U466" s="2497"/>
      <c r="V466" s="2497"/>
      <c r="W466" s="2497"/>
      <c r="X466" s="2497"/>
      <c r="Y466" s="2497"/>
      <c r="Z466" s="2497"/>
    </row>
    <row r="467" spans="10:26" s="2498" customFormat="1" ht="21.75" customHeight="1">
      <c r="J467" s="2497"/>
      <c r="K467" s="2497"/>
      <c r="L467" s="2497"/>
      <c r="M467" s="2497"/>
      <c r="N467" s="2497"/>
      <c r="O467" s="2497"/>
      <c r="P467" s="2497"/>
      <c r="Q467" s="2497"/>
      <c r="R467" s="2497"/>
      <c r="S467" s="2497"/>
      <c r="T467" s="2497"/>
      <c r="U467" s="2497"/>
      <c r="V467" s="2497"/>
      <c r="W467" s="2497"/>
      <c r="X467" s="2497"/>
      <c r="Y467" s="2497"/>
      <c r="Z467" s="2497"/>
    </row>
    <row r="468" spans="10:26" s="2498" customFormat="1" ht="21.75" customHeight="1">
      <c r="J468" s="2497"/>
      <c r="K468" s="2497"/>
      <c r="L468" s="2497"/>
      <c r="M468" s="2497"/>
      <c r="N468" s="2497"/>
      <c r="O468" s="2497"/>
      <c r="P468" s="2497"/>
      <c r="Q468" s="2497"/>
      <c r="R468" s="2497"/>
      <c r="S468" s="2497"/>
      <c r="T468" s="2497"/>
      <c r="U468" s="2497"/>
      <c r="V468" s="2497"/>
      <c r="W468" s="2497"/>
      <c r="X468" s="2497"/>
      <c r="Y468" s="2497"/>
      <c r="Z468" s="2497"/>
    </row>
    <row r="469" spans="10:26" s="2498" customFormat="1" ht="21.75" customHeight="1">
      <c r="J469" s="2497"/>
      <c r="K469" s="2497"/>
      <c r="L469" s="2497"/>
      <c r="M469" s="2497"/>
      <c r="N469" s="2497"/>
      <c r="O469" s="2497"/>
      <c r="P469" s="2497"/>
      <c r="Q469" s="2497"/>
      <c r="R469" s="2497"/>
      <c r="S469" s="2497"/>
      <c r="T469" s="2497"/>
      <c r="U469" s="2497"/>
      <c r="V469" s="2497"/>
      <c r="W469" s="2497"/>
      <c r="X469" s="2497"/>
      <c r="Y469" s="2497"/>
      <c r="Z469" s="2497"/>
    </row>
    <row r="470" spans="10:26" s="2498" customFormat="1" ht="21.75" customHeight="1">
      <c r="J470" s="2497"/>
      <c r="K470" s="2497"/>
      <c r="L470" s="2497"/>
      <c r="M470" s="2497"/>
      <c r="N470" s="2497"/>
      <c r="O470" s="2497"/>
      <c r="P470" s="2497"/>
      <c r="Q470" s="2497"/>
      <c r="R470" s="2497"/>
      <c r="S470" s="2497"/>
      <c r="T470" s="2497"/>
      <c r="U470" s="2497"/>
      <c r="V470" s="2497"/>
      <c r="W470" s="2497"/>
      <c r="X470" s="2497"/>
      <c r="Y470" s="2497"/>
      <c r="Z470" s="2497"/>
    </row>
    <row r="471" spans="10:26" s="2498" customFormat="1" ht="21.75" customHeight="1">
      <c r="J471" s="2497"/>
      <c r="K471" s="2497"/>
      <c r="L471" s="2497"/>
      <c r="M471" s="2497"/>
      <c r="N471" s="2497"/>
      <c r="O471" s="2497"/>
      <c r="P471" s="2497"/>
      <c r="Q471" s="2497"/>
      <c r="R471" s="2497"/>
      <c r="S471" s="2497"/>
      <c r="T471" s="2497"/>
      <c r="U471" s="2497"/>
      <c r="V471" s="2497"/>
      <c r="W471" s="2497"/>
      <c r="X471" s="2497"/>
      <c r="Y471" s="2497"/>
      <c r="Z471" s="2497"/>
    </row>
    <row r="472" spans="10:26" s="2498" customFormat="1" ht="21.75" customHeight="1">
      <c r="J472" s="2497"/>
      <c r="K472" s="2497"/>
      <c r="L472" s="2497"/>
      <c r="M472" s="2497"/>
      <c r="N472" s="2497"/>
      <c r="O472" s="2497"/>
      <c r="P472" s="2497"/>
      <c r="Q472" s="2497"/>
      <c r="R472" s="2497"/>
      <c r="S472" s="2497"/>
      <c r="T472" s="2497"/>
      <c r="U472" s="2497"/>
      <c r="V472" s="2497"/>
      <c r="W472" s="2497"/>
      <c r="X472" s="2497"/>
      <c r="Y472" s="2497"/>
      <c r="Z472" s="2497"/>
    </row>
    <row r="473" spans="10:26" s="2498" customFormat="1" ht="21.75" customHeight="1">
      <c r="J473" s="2497"/>
      <c r="K473" s="2497"/>
      <c r="L473" s="2497"/>
      <c r="M473" s="2497"/>
      <c r="N473" s="2497"/>
      <c r="O473" s="2497"/>
      <c r="P473" s="2497"/>
      <c r="Q473" s="2497"/>
      <c r="R473" s="2497"/>
      <c r="S473" s="2497"/>
      <c r="T473" s="2497"/>
      <c r="U473" s="2497"/>
      <c r="V473" s="2497"/>
      <c r="W473" s="2497"/>
      <c r="X473" s="2497"/>
      <c r="Y473" s="2497"/>
      <c r="Z473" s="2497"/>
    </row>
    <row r="474" spans="10:26" s="2498" customFormat="1" ht="21.75" customHeight="1">
      <c r="J474" s="2497"/>
      <c r="K474" s="2497"/>
      <c r="L474" s="2497"/>
      <c r="M474" s="2497"/>
      <c r="N474" s="2497"/>
      <c r="O474" s="2497"/>
      <c r="P474" s="2497"/>
      <c r="Q474" s="2497"/>
      <c r="R474" s="2497"/>
      <c r="S474" s="2497"/>
      <c r="T474" s="2497"/>
      <c r="U474" s="2497"/>
      <c r="V474" s="2497"/>
      <c r="W474" s="2497"/>
      <c r="X474" s="2497"/>
      <c r="Y474" s="2497"/>
      <c r="Z474" s="2497"/>
    </row>
    <row r="475" spans="10:26" s="2498" customFormat="1" ht="21.75" customHeight="1">
      <c r="J475" s="2497"/>
      <c r="K475" s="2497"/>
      <c r="L475" s="2497"/>
      <c r="M475" s="2497"/>
      <c r="N475" s="2497"/>
      <c r="O475" s="2497"/>
      <c r="P475" s="2497"/>
      <c r="Q475" s="2497"/>
      <c r="R475" s="2497"/>
      <c r="S475" s="2497"/>
      <c r="T475" s="2497"/>
      <c r="U475" s="2497"/>
      <c r="V475" s="2497"/>
      <c r="W475" s="2497"/>
      <c r="X475" s="2497"/>
      <c r="Y475" s="2497"/>
      <c r="Z475" s="2497"/>
    </row>
    <row r="476" spans="10:26" s="2498" customFormat="1" ht="21.75" customHeight="1">
      <c r="J476" s="2497"/>
      <c r="K476" s="2497"/>
      <c r="L476" s="2497"/>
      <c r="M476" s="2497"/>
      <c r="N476" s="2497"/>
      <c r="O476" s="2497"/>
      <c r="P476" s="2497"/>
      <c r="Q476" s="2497"/>
      <c r="R476" s="2497"/>
      <c r="S476" s="2497"/>
      <c r="T476" s="2497"/>
      <c r="U476" s="2497"/>
      <c r="V476" s="2497"/>
      <c r="W476" s="2497"/>
      <c r="X476" s="2497"/>
      <c r="Y476" s="2497"/>
      <c r="Z476" s="2497"/>
    </row>
    <row r="477" spans="10:26" s="2498" customFormat="1" ht="21.75" customHeight="1">
      <c r="J477" s="2497"/>
      <c r="K477" s="2497"/>
      <c r="L477" s="2497"/>
      <c r="M477" s="2497"/>
      <c r="N477" s="2497"/>
      <c r="O477" s="2497"/>
      <c r="P477" s="2497"/>
      <c r="Q477" s="2497"/>
      <c r="R477" s="2497"/>
      <c r="S477" s="2497"/>
      <c r="T477" s="2497"/>
      <c r="U477" s="2497"/>
      <c r="V477" s="2497"/>
      <c r="W477" s="2497"/>
      <c r="X477" s="2497"/>
      <c r="Y477" s="2497"/>
      <c r="Z477" s="2497"/>
    </row>
    <row r="478" spans="10:26" s="2498" customFormat="1" ht="21.75" customHeight="1">
      <c r="J478" s="2497"/>
      <c r="K478" s="2497"/>
      <c r="L478" s="2497"/>
      <c r="M478" s="2497"/>
      <c r="N478" s="2497"/>
      <c r="O478" s="2497"/>
      <c r="P478" s="2497"/>
      <c r="Q478" s="2497"/>
      <c r="R478" s="2497"/>
      <c r="S478" s="2497"/>
      <c r="T478" s="2497"/>
      <c r="U478" s="2497"/>
      <c r="V478" s="2497"/>
      <c r="W478" s="2497"/>
      <c r="X478" s="2497"/>
      <c r="Y478" s="2497"/>
      <c r="Z478" s="2497"/>
    </row>
    <row r="479" spans="10:26" s="2498" customFormat="1" ht="21.75" customHeight="1">
      <c r="J479" s="2497"/>
      <c r="K479" s="2497"/>
      <c r="L479" s="2497"/>
      <c r="M479" s="2497"/>
      <c r="N479" s="2497"/>
      <c r="O479" s="2497"/>
      <c r="P479" s="2497"/>
      <c r="Q479" s="2497"/>
      <c r="R479" s="2497"/>
      <c r="S479" s="2497"/>
      <c r="T479" s="2497"/>
      <c r="U479" s="2497"/>
      <c r="V479" s="2497"/>
      <c r="W479" s="2497"/>
      <c r="X479" s="2497"/>
      <c r="Y479" s="2497"/>
      <c r="Z479" s="2497"/>
    </row>
    <row r="480" spans="10:26" s="2498" customFormat="1" ht="21.75" customHeight="1">
      <c r="J480" s="2497"/>
      <c r="K480" s="2497"/>
      <c r="L480" s="2497"/>
      <c r="M480" s="2497"/>
      <c r="N480" s="2497"/>
      <c r="O480" s="2497"/>
      <c r="P480" s="2497"/>
      <c r="Q480" s="2497"/>
      <c r="R480" s="2497"/>
      <c r="S480" s="2497"/>
      <c r="T480" s="2497"/>
      <c r="U480" s="2497"/>
      <c r="V480" s="2497"/>
      <c r="W480" s="2497"/>
      <c r="X480" s="2497"/>
      <c r="Y480" s="2497"/>
      <c r="Z480" s="2497"/>
    </row>
    <row r="481" spans="10:26" s="2498" customFormat="1" ht="21.75" customHeight="1">
      <c r="J481" s="2497"/>
      <c r="K481" s="2497"/>
      <c r="L481" s="2497"/>
      <c r="M481" s="2497"/>
      <c r="N481" s="2497"/>
      <c r="O481" s="2497"/>
      <c r="P481" s="2497"/>
      <c r="Q481" s="2497"/>
      <c r="R481" s="2497"/>
      <c r="S481" s="2497"/>
      <c r="T481" s="2497"/>
      <c r="U481" s="2497"/>
      <c r="V481" s="2497"/>
      <c r="W481" s="2497"/>
      <c r="X481" s="2497"/>
      <c r="Y481" s="2497"/>
      <c r="Z481" s="2497"/>
    </row>
    <row r="482" spans="10:26" s="2498" customFormat="1" ht="21.75" customHeight="1">
      <c r="J482" s="2497"/>
      <c r="K482" s="2497"/>
      <c r="L482" s="2497"/>
      <c r="M482" s="2497"/>
      <c r="N482" s="2497"/>
      <c r="O482" s="2497"/>
      <c r="P482" s="2497"/>
      <c r="Q482" s="2497"/>
      <c r="R482" s="2497"/>
      <c r="S482" s="2497"/>
      <c r="T482" s="2497"/>
      <c r="U482" s="2497"/>
      <c r="V482" s="2497"/>
      <c r="W482" s="2497"/>
      <c r="X482" s="2497"/>
      <c r="Y482" s="2497"/>
      <c r="Z482" s="2497"/>
    </row>
    <row r="483" spans="10:26" s="2498" customFormat="1" ht="21.75" customHeight="1">
      <c r="J483" s="2497"/>
      <c r="K483" s="2497"/>
      <c r="L483" s="2497"/>
      <c r="M483" s="2497"/>
      <c r="N483" s="2497"/>
      <c r="O483" s="2497"/>
      <c r="P483" s="2497"/>
      <c r="Q483" s="2497"/>
      <c r="R483" s="2497"/>
      <c r="S483" s="2497"/>
      <c r="T483" s="2497"/>
      <c r="U483" s="2497"/>
      <c r="V483" s="2497"/>
      <c r="W483" s="2497"/>
      <c r="X483" s="2497"/>
      <c r="Y483" s="2497"/>
      <c r="Z483" s="2497"/>
    </row>
    <row r="484" spans="10:26" s="2498" customFormat="1" ht="21.75" customHeight="1">
      <c r="J484" s="2497"/>
      <c r="K484" s="2497"/>
      <c r="L484" s="2497"/>
      <c r="M484" s="2497"/>
      <c r="N484" s="2497"/>
      <c r="O484" s="2497"/>
      <c r="P484" s="2497"/>
      <c r="Q484" s="2497"/>
      <c r="R484" s="2497"/>
      <c r="S484" s="2497"/>
      <c r="T484" s="2497"/>
      <c r="U484" s="2497"/>
      <c r="V484" s="2497"/>
      <c r="W484" s="2497"/>
      <c r="X484" s="2497"/>
      <c r="Y484" s="2497"/>
      <c r="Z484" s="2497"/>
    </row>
    <row r="485" spans="10:26" s="2498" customFormat="1" ht="21.75" customHeight="1">
      <c r="J485" s="2497"/>
      <c r="K485" s="2497"/>
      <c r="L485" s="2497"/>
      <c r="M485" s="2497"/>
      <c r="N485" s="2497"/>
      <c r="O485" s="2497"/>
      <c r="P485" s="2497"/>
      <c r="Q485" s="2497"/>
      <c r="R485" s="2497"/>
      <c r="S485" s="2497"/>
      <c r="T485" s="2497"/>
      <c r="U485" s="2497"/>
      <c r="V485" s="2497"/>
      <c r="W485" s="2497"/>
      <c r="X485" s="2497"/>
      <c r="Y485" s="2497"/>
      <c r="Z485" s="2497"/>
    </row>
    <row r="486" spans="10:26" s="2498" customFormat="1" ht="21.75" customHeight="1">
      <c r="J486" s="2497"/>
      <c r="K486" s="2497"/>
      <c r="L486" s="2497"/>
      <c r="M486" s="2497"/>
      <c r="N486" s="2497"/>
      <c r="O486" s="2497"/>
      <c r="P486" s="2497"/>
      <c r="Q486" s="2497"/>
      <c r="R486" s="2497"/>
      <c r="S486" s="2497"/>
      <c r="T486" s="2497"/>
      <c r="U486" s="2497"/>
      <c r="V486" s="2497"/>
      <c r="W486" s="2497"/>
      <c r="X486" s="2497"/>
      <c r="Y486" s="2497"/>
      <c r="Z486" s="2497"/>
    </row>
    <row r="487" spans="10:26" s="2498" customFormat="1" ht="21.75" customHeight="1">
      <c r="J487" s="2497"/>
      <c r="K487" s="2497"/>
      <c r="L487" s="2497"/>
      <c r="M487" s="2497"/>
      <c r="N487" s="2497"/>
      <c r="O487" s="2497"/>
      <c r="P487" s="2497"/>
      <c r="Q487" s="2497"/>
      <c r="R487" s="2497"/>
      <c r="S487" s="2497"/>
      <c r="T487" s="2497"/>
      <c r="U487" s="2497"/>
      <c r="V487" s="2497"/>
      <c r="W487" s="2497"/>
      <c r="X487" s="2497"/>
      <c r="Y487" s="2497"/>
      <c r="Z487" s="2497"/>
    </row>
    <row r="488" spans="10:26" s="2498" customFormat="1" ht="21.75" customHeight="1">
      <c r="J488" s="2497"/>
      <c r="K488" s="2497"/>
      <c r="L488" s="2497"/>
      <c r="M488" s="2497"/>
      <c r="N488" s="2497"/>
      <c r="O488" s="2497"/>
      <c r="P488" s="2497"/>
      <c r="Q488" s="2497"/>
      <c r="R488" s="2497"/>
      <c r="S488" s="2497"/>
      <c r="T488" s="2497"/>
      <c r="U488" s="2497"/>
      <c r="V488" s="2497"/>
      <c r="W488" s="2497"/>
      <c r="X488" s="2497"/>
      <c r="Y488" s="2497"/>
      <c r="Z488" s="2497"/>
    </row>
    <row r="489" spans="10:26" s="2498" customFormat="1" ht="21.75" customHeight="1">
      <c r="J489" s="2497"/>
      <c r="K489" s="2497"/>
      <c r="L489" s="2497"/>
      <c r="M489" s="2497"/>
      <c r="N489" s="2497"/>
      <c r="O489" s="2497"/>
      <c r="P489" s="2497"/>
      <c r="Q489" s="2497"/>
      <c r="R489" s="2497"/>
      <c r="S489" s="2497"/>
      <c r="T489" s="2497"/>
      <c r="U489" s="2497"/>
      <c r="V489" s="2497"/>
      <c r="W489" s="2497"/>
      <c r="X489" s="2497"/>
      <c r="Y489" s="2497"/>
      <c r="Z489" s="2497"/>
    </row>
    <row r="490" spans="10:26" s="2498" customFormat="1" ht="21.75" customHeight="1">
      <c r="J490" s="2497"/>
      <c r="K490" s="2497"/>
      <c r="L490" s="2497"/>
      <c r="M490" s="2497"/>
      <c r="N490" s="2497"/>
      <c r="O490" s="2497"/>
      <c r="P490" s="2497"/>
      <c r="Q490" s="2497"/>
      <c r="R490" s="2497"/>
      <c r="S490" s="2497"/>
      <c r="T490" s="2497"/>
      <c r="U490" s="2497"/>
      <c r="V490" s="2497"/>
      <c r="W490" s="2497"/>
      <c r="X490" s="2497"/>
      <c r="Y490" s="2497"/>
      <c r="Z490" s="2497"/>
    </row>
    <row r="491" spans="10:26" s="2498" customFormat="1" ht="21.75" customHeight="1">
      <c r="J491" s="2497"/>
      <c r="K491" s="2497"/>
      <c r="L491" s="2497"/>
      <c r="M491" s="2497"/>
      <c r="N491" s="2497"/>
      <c r="O491" s="2497"/>
      <c r="P491" s="2497"/>
      <c r="Q491" s="2497"/>
      <c r="R491" s="2497"/>
      <c r="S491" s="2497"/>
      <c r="T491" s="2497"/>
      <c r="U491" s="2497"/>
      <c r="V491" s="2497"/>
      <c r="W491" s="2497"/>
      <c r="X491" s="2497"/>
      <c r="Y491" s="2497"/>
      <c r="Z491" s="2497"/>
    </row>
    <row r="492" spans="10:26" s="2498" customFormat="1" ht="21.75" customHeight="1">
      <c r="J492" s="2497"/>
      <c r="K492" s="2497"/>
      <c r="L492" s="2497"/>
      <c r="M492" s="2497"/>
      <c r="N492" s="2497"/>
      <c r="O492" s="2497"/>
      <c r="P492" s="2497"/>
      <c r="Q492" s="2497"/>
      <c r="R492" s="2497"/>
      <c r="S492" s="2497"/>
      <c r="T492" s="2497"/>
      <c r="U492" s="2497"/>
      <c r="V492" s="2497"/>
      <c r="W492" s="2497"/>
      <c r="X492" s="2497"/>
      <c r="Y492" s="2497"/>
      <c r="Z492" s="2497"/>
    </row>
    <row r="493" spans="10:26" s="2498" customFormat="1" ht="21.75" customHeight="1">
      <c r="J493" s="2497"/>
      <c r="K493" s="2497"/>
      <c r="L493" s="2497"/>
      <c r="M493" s="2497"/>
      <c r="N493" s="2497"/>
      <c r="O493" s="2497"/>
      <c r="P493" s="2497"/>
      <c r="Q493" s="2497"/>
      <c r="R493" s="2497"/>
      <c r="S493" s="2497"/>
      <c r="T493" s="2497"/>
      <c r="U493" s="2497"/>
      <c r="V493" s="2497"/>
      <c r="W493" s="2497"/>
      <c r="X493" s="2497"/>
      <c r="Y493" s="2497"/>
      <c r="Z493" s="2497"/>
    </row>
    <row r="494" spans="10:26" s="2498" customFormat="1" ht="21.75" customHeight="1">
      <c r="J494" s="2497"/>
      <c r="K494" s="2497"/>
      <c r="L494" s="2497"/>
      <c r="M494" s="2497"/>
      <c r="N494" s="2497"/>
      <c r="O494" s="2497"/>
      <c r="P494" s="2497"/>
      <c r="Q494" s="2497"/>
      <c r="R494" s="2497"/>
      <c r="S494" s="2497"/>
      <c r="T494" s="2497"/>
      <c r="U494" s="2497"/>
      <c r="V494" s="2497"/>
      <c r="W494" s="2497"/>
      <c r="X494" s="2497"/>
      <c r="Y494" s="2497"/>
      <c r="Z494" s="2497"/>
    </row>
    <row r="495" spans="10:26" s="2498" customFormat="1" ht="21.75" customHeight="1">
      <c r="J495" s="2497"/>
      <c r="K495" s="2497"/>
      <c r="L495" s="2497"/>
      <c r="M495" s="2497"/>
      <c r="N495" s="2497"/>
      <c r="O495" s="2497"/>
      <c r="P495" s="2497"/>
      <c r="Q495" s="2497"/>
      <c r="R495" s="2497"/>
      <c r="S495" s="2497"/>
      <c r="T495" s="2497"/>
      <c r="U495" s="2497"/>
      <c r="V495" s="2497"/>
      <c r="W495" s="2497"/>
      <c r="X495" s="2497"/>
      <c r="Y495" s="2497"/>
      <c r="Z495" s="2497"/>
    </row>
    <row r="496" spans="10:26" s="2498" customFormat="1" ht="21.75" customHeight="1">
      <c r="J496" s="2497"/>
      <c r="K496" s="2497"/>
      <c r="L496" s="2497"/>
      <c r="M496" s="2497"/>
      <c r="N496" s="2497"/>
      <c r="O496" s="2497"/>
      <c r="P496" s="2497"/>
      <c r="Q496" s="2497"/>
      <c r="R496" s="2497"/>
      <c r="S496" s="2497"/>
      <c r="T496" s="2497"/>
      <c r="U496" s="2497"/>
      <c r="V496" s="2497"/>
      <c r="W496" s="2497"/>
      <c r="X496" s="2497"/>
      <c r="Y496" s="2497"/>
      <c r="Z496" s="2497"/>
    </row>
    <row r="497" spans="10:26" s="2498" customFormat="1" ht="21.75" customHeight="1">
      <c r="J497" s="2497"/>
      <c r="K497" s="2497"/>
      <c r="L497" s="2497"/>
      <c r="M497" s="2497"/>
      <c r="N497" s="2497"/>
      <c r="O497" s="2497"/>
      <c r="P497" s="2497"/>
      <c r="Q497" s="2497"/>
      <c r="R497" s="2497"/>
      <c r="S497" s="2497"/>
      <c r="T497" s="2497"/>
      <c r="U497" s="2497"/>
      <c r="V497" s="2497"/>
      <c r="W497" s="2497"/>
      <c r="X497" s="2497"/>
      <c r="Y497" s="2497"/>
      <c r="Z497" s="2497"/>
    </row>
    <row r="498" spans="10:26" s="2498" customFormat="1" ht="21.75" customHeight="1">
      <c r="J498" s="2497"/>
      <c r="K498" s="2497"/>
      <c r="L498" s="2497"/>
      <c r="M498" s="2497"/>
      <c r="N498" s="2497"/>
      <c r="O498" s="2497"/>
      <c r="P498" s="2497"/>
      <c r="Q498" s="2497"/>
      <c r="R498" s="2497"/>
      <c r="S498" s="2497"/>
      <c r="T498" s="2497"/>
      <c r="U498" s="2497"/>
      <c r="V498" s="2497"/>
      <c r="W498" s="2497"/>
      <c r="X498" s="2497"/>
      <c r="Y498" s="2497"/>
      <c r="Z498" s="2497"/>
    </row>
    <row r="499" spans="10:26" s="2498" customFormat="1" ht="21.75" customHeight="1">
      <c r="J499" s="2497"/>
      <c r="K499" s="2497"/>
      <c r="L499" s="2497"/>
      <c r="M499" s="2497"/>
      <c r="N499" s="2497"/>
      <c r="O499" s="2497"/>
      <c r="P499" s="2497"/>
      <c r="Q499" s="2497"/>
      <c r="R499" s="2497"/>
      <c r="S499" s="2497"/>
      <c r="T499" s="2497"/>
      <c r="U499" s="2497"/>
      <c r="V499" s="2497"/>
      <c r="W499" s="2497"/>
      <c r="X499" s="2497"/>
      <c r="Y499" s="2497"/>
      <c r="Z499" s="2497"/>
    </row>
    <row r="500" spans="10:26" s="2498" customFormat="1" ht="21.75" customHeight="1">
      <c r="J500" s="2497"/>
      <c r="K500" s="2497"/>
      <c r="L500" s="2497"/>
      <c r="M500" s="2497"/>
      <c r="N500" s="2497"/>
      <c r="O500" s="2497"/>
      <c r="P500" s="2497"/>
      <c r="Q500" s="2497"/>
      <c r="R500" s="2497"/>
      <c r="S500" s="2497"/>
      <c r="T500" s="2497"/>
      <c r="U500" s="2497"/>
      <c r="V500" s="2497"/>
      <c r="W500" s="2497"/>
      <c r="X500" s="2497"/>
      <c r="Y500" s="2497"/>
      <c r="Z500" s="2497"/>
    </row>
    <row r="501" spans="10:26" s="2498" customFormat="1" ht="21.75" customHeight="1">
      <c r="J501" s="2497"/>
      <c r="K501" s="2497"/>
      <c r="L501" s="2497"/>
      <c r="M501" s="2497"/>
      <c r="N501" s="2497"/>
      <c r="O501" s="2497"/>
      <c r="P501" s="2497"/>
      <c r="Q501" s="2497"/>
      <c r="R501" s="2497"/>
      <c r="S501" s="2497"/>
      <c r="T501" s="2497"/>
      <c r="U501" s="2497"/>
      <c r="V501" s="2497"/>
      <c r="W501" s="2497"/>
      <c r="X501" s="2497"/>
      <c r="Y501" s="2497"/>
      <c r="Z501" s="2497"/>
    </row>
    <row r="502" spans="10:26" s="2498" customFormat="1" ht="21.75" customHeight="1">
      <c r="J502" s="2497"/>
      <c r="K502" s="2497"/>
      <c r="L502" s="2497"/>
      <c r="M502" s="2497"/>
      <c r="N502" s="2497"/>
      <c r="O502" s="2497"/>
      <c r="P502" s="2497"/>
      <c r="Q502" s="2497"/>
      <c r="R502" s="2497"/>
      <c r="S502" s="2497"/>
      <c r="T502" s="2497"/>
      <c r="U502" s="2497"/>
      <c r="V502" s="2497"/>
      <c r="W502" s="2497"/>
      <c r="X502" s="2497"/>
      <c r="Y502" s="2497"/>
      <c r="Z502" s="2497"/>
    </row>
    <row r="503" spans="10:26" s="2498" customFormat="1" ht="21.75" customHeight="1">
      <c r="J503" s="2497"/>
      <c r="K503" s="2497"/>
      <c r="L503" s="2497"/>
      <c r="M503" s="2497"/>
      <c r="N503" s="2497"/>
      <c r="O503" s="2497"/>
      <c r="P503" s="2497"/>
      <c r="Q503" s="2497"/>
      <c r="R503" s="2497"/>
      <c r="S503" s="2497"/>
      <c r="T503" s="2497"/>
      <c r="U503" s="2497"/>
      <c r="V503" s="2497"/>
      <c r="W503" s="2497"/>
      <c r="X503" s="2497"/>
      <c r="Y503" s="2497"/>
      <c r="Z503" s="2497"/>
    </row>
    <row r="504" spans="10:26" s="2498" customFormat="1" ht="21.75" customHeight="1">
      <c r="J504" s="2497"/>
      <c r="K504" s="2497"/>
      <c r="L504" s="2497"/>
      <c r="M504" s="2497"/>
      <c r="N504" s="2497"/>
      <c r="O504" s="2497"/>
      <c r="P504" s="2497"/>
      <c r="Q504" s="2497"/>
      <c r="R504" s="2497"/>
      <c r="S504" s="2497"/>
      <c r="T504" s="2497"/>
      <c r="U504" s="2497"/>
      <c r="V504" s="2497"/>
      <c r="W504" s="2497"/>
      <c r="X504" s="2497"/>
      <c r="Y504" s="2497"/>
      <c r="Z504" s="2497"/>
    </row>
    <row r="505" spans="10:26" s="2498" customFormat="1" ht="21.75" customHeight="1">
      <c r="J505" s="2497"/>
      <c r="K505" s="2497"/>
      <c r="L505" s="2497"/>
      <c r="M505" s="2497"/>
      <c r="N505" s="2497"/>
      <c r="O505" s="2497"/>
      <c r="P505" s="2497"/>
      <c r="Q505" s="2497"/>
      <c r="R505" s="2497"/>
      <c r="S505" s="2497"/>
      <c r="T505" s="2497"/>
      <c r="U505" s="2497"/>
      <c r="V505" s="2497"/>
      <c r="W505" s="2497"/>
      <c r="X505" s="2497"/>
      <c r="Y505" s="2497"/>
      <c r="Z505" s="2497"/>
    </row>
    <row r="506" spans="10:26" s="2498" customFormat="1" ht="21.75" customHeight="1">
      <c r="J506" s="2497"/>
      <c r="K506" s="2497"/>
      <c r="L506" s="2497"/>
      <c r="M506" s="2497"/>
      <c r="N506" s="2497"/>
      <c r="O506" s="2497"/>
      <c r="P506" s="2497"/>
      <c r="Q506" s="2497"/>
      <c r="R506" s="2497"/>
      <c r="S506" s="2497"/>
      <c r="T506" s="2497"/>
      <c r="U506" s="2497"/>
      <c r="V506" s="2497"/>
      <c r="W506" s="2497"/>
      <c r="X506" s="2497"/>
      <c r="Y506" s="2497"/>
      <c r="Z506" s="2497"/>
    </row>
    <row r="507" spans="10:26" s="2498" customFormat="1" ht="21.75" customHeight="1">
      <c r="J507" s="2497"/>
      <c r="K507" s="2497"/>
      <c r="L507" s="2497"/>
      <c r="M507" s="2497"/>
      <c r="N507" s="2497"/>
      <c r="O507" s="2497"/>
      <c r="P507" s="2497"/>
      <c r="Q507" s="2497"/>
      <c r="R507" s="2497"/>
      <c r="S507" s="2497"/>
      <c r="T507" s="2497"/>
      <c r="U507" s="2497"/>
      <c r="V507" s="2497"/>
      <c r="W507" s="2497"/>
      <c r="X507" s="2497"/>
      <c r="Y507" s="2497"/>
      <c r="Z507" s="2497"/>
    </row>
    <row r="508" spans="10:26" s="2498" customFormat="1" ht="21.75" customHeight="1">
      <c r="J508" s="2497"/>
      <c r="K508" s="2497"/>
      <c r="L508" s="2497"/>
      <c r="M508" s="2497"/>
      <c r="N508" s="2497"/>
      <c r="O508" s="2497"/>
      <c r="P508" s="2497"/>
      <c r="Q508" s="2497"/>
      <c r="R508" s="2497"/>
      <c r="S508" s="2497"/>
      <c r="T508" s="2497"/>
      <c r="U508" s="2497"/>
      <c r="V508" s="2497"/>
      <c r="W508" s="2497"/>
      <c r="X508" s="2497"/>
      <c r="Y508" s="2497"/>
      <c r="Z508" s="2497"/>
    </row>
    <row r="509" spans="10:26" s="2498" customFormat="1" ht="21.75" customHeight="1">
      <c r="J509" s="2497"/>
      <c r="K509" s="2497"/>
      <c r="L509" s="2497"/>
      <c r="M509" s="2497"/>
      <c r="N509" s="2497"/>
      <c r="O509" s="2497"/>
      <c r="P509" s="2497"/>
      <c r="Q509" s="2497"/>
      <c r="R509" s="2497"/>
      <c r="S509" s="2497"/>
      <c r="T509" s="2497"/>
      <c r="U509" s="2497"/>
      <c r="V509" s="2497"/>
      <c r="W509" s="2497"/>
      <c r="X509" s="2497"/>
      <c r="Y509" s="2497"/>
      <c r="Z509" s="2497"/>
    </row>
    <row r="510" spans="10:26" s="2498" customFormat="1" ht="21.75" customHeight="1">
      <c r="J510" s="2497"/>
      <c r="K510" s="2497"/>
      <c r="L510" s="2497"/>
      <c r="M510" s="2497"/>
      <c r="N510" s="2497"/>
      <c r="O510" s="2497"/>
      <c r="P510" s="2497"/>
      <c r="Q510" s="2497"/>
      <c r="R510" s="2497"/>
      <c r="S510" s="2497"/>
      <c r="T510" s="2497"/>
      <c r="U510" s="2497"/>
      <c r="V510" s="2497"/>
      <c r="W510" s="2497"/>
      <c r="X510" s="2497"/>
      <c r="Y510" s="2497"/>
      <c r="Z510" s="2497"/>
    </row>
    <row r="511" spans="10:26" s="2498" customFormat="1" ht="21.75" customHeight="1">
      <c r="J511" s="2497"/>
      <c r="K511" s="2497"/>
      <c r="L511" s="2497"/>
      <c r="M511" s="2497"/>
      <c r="N511" s="2497"/>
      <c r="O511" s="2497"/>
      <c r="P511" s="2497"/>
      <c r="Q511" s="2497"/>
      <c r="R511" s="2497"/>
      <c r="S511" s="2497"/>
      <c r="T511" s="2497"/>
      <c r="U511" s="2497"/>
      <c r="V511" s="2497"/>
      <c r="W511" s="2497"/>
      <c r="X511" s="2497"/>
      <c r="Y511" s="2497"/>
      <c r="Z511" s="2497"/>
    </row>
    <row r="512" spans="10:26" s="2498" customFormat="1" ht="21.75" customHeight="1">
      <c r="J512" s="2497"/>
      <c r="K512" s="2497"/>
      <c r="L512" s="2497"/>
      <c r="M512" s="2497"/>
      <c r="N512" s="2497"/>
      <c r="O512" s="2497"/>
      <c r="P512" s="2497"/>
      <c r="Q512" s="2497"/>
      <c r="R512" s="2497"/>
      <c r="S512" s="2497"/>
      <c r="T512" s="2497"/>
      <c r="U512" s="2497"/>
      <c r="V512" s="2497"/>
      <c r="W512" s="2497"/>
      <c r="X512" s="2497"/>
      <c r="Y512" s="2497"/>
      <c r="Z512" s="2497"/>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67" priority="21" stopIfTrue="1" operator="equal">
      <formula>25</formula>
    </cfRule>
  </conditionalFormatting>
  <conditionalFormatting sqref="C8:C9">
    <cfRule type="cellIs" dxfId="166" priority="19" stopIfTrue="1" operator="equal">
      <formula>15</formula>
    </cfRule>
  </conditionalFormatting>
  <conditionalFormatting sqref="C14:C16">
    <cfRule type="cellIs" dxfId="165" priority="13" stopIfTrue="1" operator="equal">
      <formula>30</formula>
    </cfRule>
  </conditionalFormatting>
  <conditionalFormatting sqref="D5:D7">
    <cfRule type="cellIs" dxfId="164" priority="10" stopIfTrue="1" operator="equal">
      <formula>25</formula>
    </cfRule>
  </conditionalFormatting>
  <conditionalFormatting sqref="D8:D9">
    <cfRule type="cellIs" dxfId="163" priority="9" stopIfTrue="1" operator="equal">
      <formula>15</formula>
    </cfRule>
  </conditionalFormatting>
  <conditionalFormatting sqref="C10:D13">
    <cfRule type="cellIs" dxfId="162" priority="8" stopIfTrue="1" operator="equal">
      <formula>15</formula>
    </cfRule>
  </conditionalFormatting>
  <conditionalFormatting sqref="D14:D16">
    <cfRule type="cellIs" dxfId="161" priority="6" stopIfTrue="1" operator="equal">
      <formula>30</formula>
    </cfRule>
  </conditionalFormatting>
  <conditionalFormatting sqref="C90">
    <cfRule type="expression" dxfId="160" priority="3" stopIfTrue="1">
      <formula>$H$88&lt;&gt;"仅含出让金"</formula>
    </cfRule>
  </conditionalFormatting>
  <conditionalFormatting sqref="C91">
    <cfRule type="expression" dxfId="159" priority="2" stopIfTrue="1">
      <formula>$H$91="由企业提供"</formula>
    </cfRule>
  </conditionalFormatting>
  <conditionalFormatting sqref="E36">
    <cfRule type="expression" dxfId="15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E47" sqref="E47"/>
    </sheetView>
  </sheetViews>
  <sheetFormatPr defaultColWidth="8.375" defaultRowHeight="12.75"/>
  <cols>
    <col min="1" max="1" width="10.375" style="139" customWidth="1"/>
    <col min="2" max="2" width="29.25" style="121" customWidth="1"/>
    <col min="3" max="3" width="12.125" style="121" customWidth="1"/>
    <col min="4" max="5" width="11.25" style="142" customWidth="1"/>
    <col min="6" max="6" width="9.5" style="121" customWidth="1"/>
    <col min="7" max="7" width="31.875" style="121" customWidth="1"/>
    <col min="8" max="254" width="9" style="121" customWidth="1"/>
    <col min="255" max="16384" width="8.375" style="121"/>
  </cols>
  <sheetData>
    <row r="1" spans="1:9" s="70" customFormat="1" ht="20.25">
      <c r="A1" s="66" t="s">
        <v>2332</v>
      </c>
      <c r="B1" s="1536"/>
      <c r="C1" s="68"/>
      <c r="D1" s="68"/>
      <c r="E1" s="68"/>
      <c r="F1" s="68"/>
      <c r="G1" s="1056">
        <f>MATCH(B1,'数据-取费表'!A6:A16,0)+5</f>
        <v>10</v>
      </c>
    </row>
    <row r="2" spans="1:9" s="70" customFormat="1" ht="18" customHeight="1">
      <c r="A2" s="71" t="s">
        <v>2333</v>
      </c>
      <c r="B2" s="72">
        <f ca="1">IF(D2="——",C52,C52-E2)</f>
        <v>8431</v>
      </c>
      <c r="C2" s="69" t="s">
        <v>2334</v>
      </c>
      <c r="D2" s="1771" t="s">
        <v>70</v>
      </c>
      <c r="E2" s="1106" t="e">
        <f ca="1">SUMIF(INDIRECT("'"&amp;G2&amp;"'"&amp;"!A:A"),"承租人权益价值",INDIRECT("'"&amp;G2&amp;"'"&amp;"!c:c"))</f>
        <v>#REF!</v>
      </c>
      <c r="F2" s="1772" t="s">
        <v>2334</v>
      </c>
      <c r="G2" s="1773"/>
    </row>
    <row r="3" spans="1:9" s="70" customFormat="1" ht="18" customHeight="1" thickBot="1">
      <c r="A3" s="73" t="s">
        <v>2335</v>
      </c>
      <c r="B3" s="74">
        <f ca="1">ROUND(B2*10000/(IF(B1="",'数据-汇总表'!E3,INDIRECT("'数据-取费表'!k"&amp;$G$1))),0)</f>
        <v>1894</v>
      </c>
      <c r="C3" s="69" t="s">
        <v>2336</v>
      </c>
      <c r="D3" s="69"/>
      <c r="E3" s="69"/>
      <c r="F3" s="69"/>
      <c r="G3" s="69"/>
    </row>
    <row r="4" spans="1:9" s="78" customFormat="1" ht="15.75">
      <c r="A4" s="75" t="s">
        <v>2337</v>
      </c>
      <c r="B4" s="76"/>
      <c r="C4" s="76"/>
      <c r="D4" s="76"/>
      <c r="E4" s="76"/>
      <c r="F4" s="76"/>
      <c r="G4" s="77"/>
    </row>
    <row r="5" spans="1:9" s="84" customFormat="1" ht="13.5" customHeight="1">
      <c r="A5" s="125" t="s">
        <v>2338</v>
      </c>
      <c r="B5" s="80" t="s">
        <v>2339</v>
      </c>
      <c r="C5" s="81">
        <f>C6+C7+C8</f>
        <v>0</v>
      </c>
      <c r="D5" s="81" t="s">
        <v>2340</v>
      </c>
      <c r="E5" s="82" t="s">
        <v>2341</v>
      </c>
      <c r="F5" s="82" t="s">
        <v>2342</v>
      </c>
      <c r="G5" s="83"/>
    </row>
    <row r="6" spans="1:9" s="84" customFormat="1" ht="13.5" customHeight="1">
      <c r="A6" s="714" t="s">
        <v>2343</v>
      </c>
      <c r="B6" s="85" t="s">
        <v>2344</v>
      </c>
      <c r="C6" s="86"/>
      <c r="D6" s="87"/>
      <c r="E6" s="88"/>
      <c r="F6" s="88"/>
      <c r="G6" s="89"/>
    </row>
    <row r="7" spans="1:9" s="84" customFormat="1" ht="13.5" customHeight="1">
      <c r="A7" s="714" t="s">
        <v>2345</v>
      </c>
      <c r="B7" s="85" t="s">
        <v>2346</v>
      </c>
      <c r="C7" s="90">
        <f>ROUND(C6*F7,0)</f>
        <v>0</v>
      </c>
      <c r="D7" s="90"/>
      <c r="E7" s="88"/>
      <c r="F7" s="91">
        <f>'数据-取费表'!B48+'数据-取费表'!B49</f>
        <v>3.0499999999999999E-2</v>
      </c>
      <c r="G7" s="89"/>
    </row>
    <row r="8" spans="1:9" s="93" customFormat="1">
      <c r="A8" s="714" t="s">
        <v>2347</v>
      </c>
      <c r="B8" s="85" t="s">
        <v>2348</v>
      </c>
      <c r="C8" s="90">
        <f>IF(G8="已包含在土地购买价格中","0",IF(B1="",'数据-取费表'!B29,IF(G9="全部缴纳",C9+C10,H9)))</f>
        <v>0</v>
      </c>
      <c r="D8" s="92"/>
      <c r="E8" s="90"/>
      <c r="F8" s="91"/>
      <c r="G8" s="1774"/>
    </row>
    <row r="9" spans="1:9" s="84" customFormat="1" ht="13.5" customHeight="1">
      <c r="A9" s="715" t="s">
        <v>800</v>
      </c>
      <c r="B9" s="94" t="s">
        <v>2349</v>
      </c>
      <c r="C9" s="95">
        <f ca="1">ROUND(D9*E9/10000,0)</f>
        <v>0</v>
      </c>
      <c r="D9" s="797">
        <f ca="1">IF(B1="",'数据-汇总表'!E5,IF(INDIRECT("'数据-取费表'!c"&amp;$G$1)="住宅",INDIRECT("'数据-取费表'!k"&amp;$G$1),0))</f>
        <v>0</v>
      </c>
      <c r="E9" s="95">
        <f>'数据-取费表'!B27</f>
        <v>0</v>
      </c>
      <c r="F9" s="91"/>
      <c r="G9" s="1775"/>
      <c r="H9" s="1067"/>
      <c r="I9" s="1776" t="s">
        <v>2350</v>
      </c>
    </row>
    <row r="10" spans="1:9" s="84" customFormat="1" ht="13.5" customHeight="1">
      <c r="A10" s="715" t="s">
        <v>801</v>
      </c>
      <c r="B10" s="94" t="s">
        <v>2351</v>
      </c>
      <c r="C10" s="95">
        <f ca="1">ROUND(D10*E10/10000,0)</f>
        <v>0</v>
      </c>
      <c r="D10" s="797">
        <f ca="1">IF(B1="",'数据-汇总表'!E6,IF(INDIRECT("'数据-取费表'!c"&amp;$G$1)="住宅",INDIRECT("'数据-取费表'!s"&amp;$G$1),INDIRECT("'数据-取费表'!k"&amp;$G$1)+INDIRECT("'数据-取费表'!s"&amp;$G$1)))</f>
        <v>44516.22</v>
      </c>
      <c r="E10" s="95">
        <f>'数据-取费表'!B28</f>
        <v>0</v>
      </c>
      <c r="F10" s="91"/>
      <c r="G10" s="96"/>
    </row>
    <row r="11" spans="1:9" s="84" customFormat="1" ht="13.5" hidden="1" customHeight="1">
      <c r="A11" s="97" t="s">
        <v>7</v>
      </c>
      <c r="B11" s="85" t="s">
        <v>2352</v>
      </c>
      <c r="C11" s="81"/>
      <c r="D11" s="799"/>
      <c r="E11" s="88"/>
      <c r="F11" s="88"/>
      <c r="G11" s="89"/>
    </row>
    <row r="12" spans="1:9" s="84" customFormat="1" ht="13.5" hidden="1" customHeight="1">
      <c r="A12" s="97" t="s">
        <v>8</v>
      </c>
      <c r="B12" s="85" t="s">
        <v>2353</v>
      </c>
      <c r="C12" s="81">
        <v>0</v>
      </c>
      <c r="D12" s="799"/>
      <c r="E12" s="98"/>
      <c r="F12" s="91">
        <v>3.0499999999999999E-2</v>
      </c>
      <c r="G12" s="89"/>
    </row>
    <row r="13" spans="1:9" s="84" customFormat="1" ht="13.5" hidden="1" customHeight="1">
      <c r="A13" s="97" t="s">
        <v>9</v>
      </c>
      <c r="B13" s="85" t="s">
        <v>2354</v>
      </c>
      <c r="C13" s="81"/>
      <c r="D13" s="799"/>
      <c r="E13" s="88"/>
      <c r="F13" s="88"/>
      <c r="G13" s="89"/>
    </row>
    <row r="14" spans="1:9" s="84" customFormat="1" ht="13.5" hidden="1" customHeight="1">
      <c r="A14" s="97" t="s">
        <v>10</v>
      </c>
      <c r="B14" s="85" t="s">
        <v>2355</v>
      </c>
      <c r="C14" s="81"/>
      <c r="D14" s="799"/>
      <c r="E14" s="88"/>
      <c r="F14" s="88"/>
      <c r="G14" s="89" t="s">
        <v>2356</v>
      </c>
    </row>
    <row r="15" spans="1:9" s="84" customFormat="1" ht="13.5" hidden="1" customHeight="1">
      <c r="A15" s="97" t="s">
        <v>11</v>
      </c>
      <c r="B15" s="85" t="s">
        <v>2357</v>
      </c>
      <c r="C15" s="90"/>
      <c r="D15" s="799"/>
      <c r="E15" s="88"/>
      <c r="F15" s="88"/>
      <c r="G15" s="89" t="s">
        <v>2358</v>
      </c>
    </row>
    <row r="16" spans="1:9" s="84" customFormat="1" ht="13.5" hidden="1" customHeight="1">
      <c r="A16" s="97" t="s">
        <v>12</v>
      </c>
      <c r="B16" s="85" t="s">
        <v>2355</v>
      </c>
      <c r="C16" s="90"/>
      <c r="D16" s="799"/>
      <c r="E16" s="88"/>
      <c r="F16" s="88"/>
      <c r="G16" s="89"/>
    </row>
    <row r="17" spans="1:7" s="84" customFormat="1" ht="13.5" hidden="1" customHeight="1">
      <c r="A17" s="97" t="s">
        <v>13</v>
      </c>
      <c r="B17" s="85" t="s">
        <v>2359</v>
      </c>
      <c r="C17" s="99"/>
      <c r="D17" s="800"/>
      <c r="E17" s="99"/>
      <c r="F17" s="99"/>
      <c r="G17" s="89" t="s">
        <v>2358</v>
      </c>
    </row>
    <row r="18" spans="1:7" s="84" customFormat="1" ht="13.5" hidden="1" customHeight="1">
      <c r="A18" s="97" t="s">
        <v>14</v>
      </c>
      <c r="B18" s="85" t="s">
        <v>2360</v>
      </c>
      <c r="C18" s="90">
        <v>0</v>
      </c>
      <c r="D18" s="799"/>
      <c r="E18" s="88"/>
      <c r="F18" s="91">
        <v>3.0499999999999999E-2</v>
      </c>
      <c r="G18" s="89" t="s">
        <v>2361</v>
      </c>
    </row>
    <row r="19" spans="1:7" s="93" customFormat="1" ht="13.5" customHeight="1">
      <c r="A19" s="125" t="s">
        <v>2362</v>
      </c>
      <c r="B19" s="80" t="s">
        <v>2363</v>
      </c>
      <c r="C19" s="81">
        <f ca="1">IF(G19="已包含在土地取得成本中","0",ROUND(D19*E19/10000,0))</f>
        <v>890</v>
      </c>
      <c r="D19" s="801">
        <f ca="1">D9+D10</f>
        <v>44516.22</v>
      </c>
      <c r="E19" s="81">
        <f>'数据-取费表'!B31</f>
        <v>200</v>
      </c>
      <c r="F19" s="101"/>
      <c r="G19" s="1774"/>
    </row>
    <row r="20" spans="1:7" s="84" customFormat="1" ht="13.5" customHeight="1">
      <c r="A20" s="125" t="s">
        <v>2364</v>
      </c>
      <c r="B20" s="80" t="s">
        <v>2365</v>
      </c>
      <c r="C20" s="102">
        <f ca="1">ROUND((C5+C19)*F20,0)</f>
        <v>27</v>
      </c>
      <c r="D20" s="102"/>
      <c r="E20" s="102"/>
      <c r="F20" s="103">
        <f>'数据-取费表'!B37</f>
        <v>0.03</v>
      </c>
      <c r="G20" s="104" t="s">
        <v>2366</v>
      </c>
    </row>
    <row r="21" spans="1:7" s="84" customFormat="1" ht="13.5" customHeight="1">
      <c r="A21" s="125" t="s">
        <v>2367</v>
      </c>
      <c r="B21" s="80" t="s">
        <v>2368</v>
      </c>
      <c r="C21" s="105">
        <f>F21</f>
        <v>0.03</v>
      </c>
      <c r="D21" s="106" t="s">
        <v>2369</v>
      </c>
      <c r="E21" s="102"/>
      <c r="F21" s="103">
        <f>'数据-取费表'!B38</f>
        <v>0.03</v>
      </c>
      <c r="G21" s="104" t="s">
        <v>2370</v>
      </c>
    </row>
    <row r="22" spans="1:7" s="84" customFormat="1" ht="13.5" customHeight="1">
      <c r="A22" s="125" t="s">
        <v>2371</v>
      </c>
      <c r="B22" s="80" t="s">
        <v>2372</v>
      </c>
      <c r="C22" s="1033">
        <f ca="1">ROUND(SUM(C23:C25),0)</f>
        <v>88</v>
      </c>
      <c r="D22" s="105">
        <f ca="1">C26</f>
        <v>1.4E-3</v>
      </c>
      <c r="E22" s="106" t="s">
        <v>2369</v>
      </c>
      <c r="F22" s="107">
        <f ca="1">'数据-取费表'!B40</f>
        <v>4.7500000000000001E-2</v>
      </c>
      <c r="G22" s="104" t="str">
        <f>IF('数据-取费表'!B22&lt;=1,"单利计息","复利计息")</f>
        <v>复利计息</v>
      </c>
    </row>
    <row r="23" spans="1:7" s="84" customFormat="1" ht="13.5" customHeight="1">
      <c r="A23" s="716" t="s">
        <v>2373</v>
      </c>
      <c r="B23" s="85" t="s">
        <v>2374</v>
      </c>
      <c r="C23" s="1034">
        <f ca="1">ROUND(IF('数据-取费表'!B22&lt;=1,C5*F22*'数据-取费表'!B23,C5*(POWER((1+F22),'数据-取费表'!B23)-1)),0)</f>
        <v>0</v>
      </c>
      <c r="D23" s="108"/>
      <c r="E23" s="108"/>
      <c r="F23" s="109"/>
      <c r="G23" s="110" t="s">
        <v>2375</v>
      </c>
    </row>
    <row r="24" spans="1:7" s="84" customFormat="1" ht="13.5" customHeight="1">
      <c r="A24" s="716" t="s">
        <v>2376</v>
      </c>
      <c r="B24" s="85" t="s">
        <v>2377</v>
      </c>
      <c r="C24" s="1034">
        <f ca="1">ROUND(IF('数据-取费表'!B22&lt;=1,C19*F22*('数据-取费表'!B19/2+'数据-取费表'!B21),C19*(POWER((1+F22),('数据-取费表'!B19/2+'数据-取费表'!B21))-1)),0)</f>
        <v>87</v>
      </c>
      <c r="D24" s="108"/>
      <c r="E24" s="108"/>
      <c r="F24" s="109"/>
      <c r="G24" s="110" t="s">
        <v>2378</v>
      </c>
    </row>
    <row r="25" spans="1:7" s="84" customFormat="1" ht="24">
      <c r="A25" s="716" t="s">
        <v>2379</v>
      </c>
      <c r="B25" s="85" t="s">
        <v>2380</v>
      </c>
      <c r="C25" s="1034">
        <f ca="1">ROUND(IF('数据-取费表'!B22&lt;=1,C20*F22*'数据-取费表'!B23/2,C20*(POWER((1+F22),'数据-取费表'!B23/2)-1)),0)</f>
        <v>1</v>
      </c>
      <c r="D25" s="108"/>
      <c r="E25" s="111"/>
      <c r="F25" s="109"/>
      <c r="G25" s="112" t="s">
        <v>2381</v>
      </c>
    </row>
    <row r="26" spans="1:7" s="84" customFormat="1">
      <c r="A26" s="716" t="s">
        <v>795</v>
      </c>
      <c r="B26" s="85" t="s">
        <v>2382</v>
      </c>
      <c r="C26" s="108">
        <f ca="1">ROUND(IF('数据-取费表'!B22&lt;=1,F21*F22*'数据-取费表'!B23/2,F21*(POWER((1+F22),'数据-取费表'!B23/2)-1)),4)</f>
        <v>1.4E-3</v>
      </c>
      <c r="D26" s="108"/>
      <c r="E26" s="111"/>
      <c r="F26" s="109"/>
      <c r="G26" s="113"/>
    </row>
    <row r="27" spans="1:7" s="84" customFormat="1" ht="24.75">
      <c r="A27" s="125" t="s">
        <v>2383</v>
      </c>
      <c r="B27" s="114" t="s">
        <v>2384</v>
      </c>
      <c r="C27" s="115">
        <f ca="1">C28</f>
        <v>183</v>
      </c>
      <c r="D27" s="105">
        <f ca="1">C29</f>
        <v>6.0000000000000001E-3</v>
      </c>
      <c r="E27" s="106" t="s">
        <v>2385</v>
      </c>
      <c r="F27" s="116">
        <f ca="1">IF(B1="",'数据-取费表'!Q16,INDIRECT("'数据-取费表'!q"&amp;$G$1))</f>
        <v>0.2</v>
      </c>
      <c r="G27" s="117" t="s">
        <v>2386</v>
      </c>
    </row>
    <row r="28" spans="1:7" s="84" customFormat="1" ht="13.5" customHeight="1">
      <c r="A28" s="716" t="s">
        <v>791</v>
      </c>
      <c r="B28" s="118" t="s">
        <v>2387</v>
      </c>
      <c r="C28" s="119">
        <f ca="1">ROUND((C5+C19+C20)*F27*'数据-取费表'!B21/'数据-取费表'!B20,0)</f>
        <v>183</v>
      </c>
      <c r="D28" s="105"/>
      <c r="E28" s="106"/>
      <c r="F28" s="116"/>
      <c r="G28" s="117"/>
    </row>
    <row r="29" spans="1:7" s="84" customFormat="1" ht="13.5" customHeight="1">
      <c r="A29" s="716" t="s">
        <v>792</v>
      </c>
      <c r="B29" s="118" t="s">
        <v>2388</v>
      </c>
      <c r="C29" s="108">
        <f ca="1">ROUND(C21*F27*'数据-取费表'!B21/'数据-取费表'!B20,4)</f>
        <v>6.0000000000000001E-3</v>
      </c>
      <c r="D29" s="105"/>
      <c r="E29" s="106"/>
      <c r="F29" s="116"/>
      <c r="G29" s="117"/>
    </row>
    <row r="30" spans="1:7" s="84" customFormat="1" ht="13.5" customHeight="1">
      <c r="A30" s="125" t="s">
        <v>2389</v>
      </c>
      <c r="B30" s="80" t="s">
        <v>2390</v>
      </c>
      <c r="C30" s="105">
        <f>ROUND(F30/(1+'数据-取费表'!C42),4)</f>
        <v>5.33E-2</v>
      </c>
      <c r="D30" s="106" t="s">
        <v>2385</v>
      </c>
      <c r="E30" s="111"/>
      <c r="F30" s="107">
        <f>'数据-取费表'!B41</f>
        <v>5.6000000000000001E-2</v>
      </c>
      <c r="G30" s="104" t="s">
        <v>2391</v>
      </c>
    </row>
    <row r="31" spans="1:7" ht="16.5" customHeight="1">
      <c r="A31" s="79">
        <v>1</v>
      </c>
      <c r="B31" s="80" t="s">
        <v>2392</v>
      </c>
      <c r="C31" s="81">
        <f ca="1">ROUND((C5+C19+C20+C22+C27)/(1-C21-D22-D27-C30),0)</f>
        <v>1306</v>
      </c>
      <c r="D31" s="100"/>
      <c r="E31" s="81"/>
      <c r="F31" s="120"/>
      <c r="G31" s="104" t="s">
        <v>2393</v>
      </c>
    </row>
    <row r="32" spans="1:7" s="78" customFormat="1" ht="15.75">
      <c r="A32" s="122" t="s">
        <v>2394</v>
      </c>
      <c r="B32" s="123"/>
      <c r="C32" s="123"/>
      <c r="D32" s="123"/>
      <c r="E32" s="123"/>
      <c r="F32" s="123"/>
      <c r="G32" s="124"/>
    </row>
    <row r="33" spans="1:7" s="84" customFormat="1" ht="13.5" customHeight="1">
      <c r="A33" s="125" t="s">
        <v>782</v>
      </c>
      <c r="B33" s="80" t="s">
        <v>2395</v>
      </c>
      <c r="C33" s="126">
        <f ca="1">SUM(C34:C38)</f>
        <v>5146</v>
      </c>
      <c r="D33" s="102"/>
      <c r="E33" s="82"/>
      <c r="F33" s="111"/>
      <c r="G33" s="104"/>
    </row>
    <row r="34" spans="1:7" s="128" customFormat="1" ht="13.5" customHeight="1">
      <c r="A34" s="716" t="s">
        <v>791</v>
      </c>
      <c r="B34" s="85" t="s">
        <v>2396</v>
      </c>
      <c r="C34" s="90">
        <f ca="1">IF(B1="",IF(F34=100%,'数据-取费表'!M16,'数据-取费表'!O16),IF(F34=100%,INDIRECT("'数据-取费表'!m"&amp;$G$1)+INDIRECT("'数据-取费表'!t"&amp;$G$1),INDIRECT("'数据-取费表'!o"&amp;$G$1)+INDIRECT("'数据-取费表'!aq"&amp;$G$1)))</f>
        <v>3996</v>
      </c>
      <c r="D34" s="87"/>
      <c r="E34" s="90"/>
      <c r="F34" s="127">
        <f ca="1">IF('数据-取费表'!B24=0,1,IF(B1="",'数据-取费表'!N16,INDIRECT("'数据-取费表'!n"&amp;$G$1)))</f>
        <v>1</v>
      </c>
      <c r="G34" s="89" t="s">
        <v>2397</v>
      </c>
    </row>
    <row r="35" spans="1:7" ht="13.5" customHeight="1">
      <c r="A35" s="716" t="s">
        <v>796</v>
      </c>
      <c r="B35" s="85" t="s">
        <v>2398</v>
      </c>
      <c r="C35" s="90">
        <f ca="1">ROUND(C34*F35,0)</f>
        <v>200</v>
      </c>
      <c r="D35" s="90"/>
      <c r="E35" s="90"/>
      <c r="F35" s="129">
        <f>'数据-取费表'!B33</f>
        <v>0.05</v>
      </c>
      <c r="G35" s="89" t="s">
        <v>2399</v>
      </c>
    </row>
    <row r="36" spans="1:7" ht="24">
      <c r="A36" s="716" t="s">
        <v>797</v>
      </c>
      <c r="B36" s="85" t="s">
        <v>2400</v>
      </c>
      <c r="C36" s="90">
        <f ca="1">ROUND(IF(B1="",SUMIF('数据-取费表'!C:C,"住宅",IF(F34=100%,'数据-取费表'!M:M,'数据-取费表'!O:O))*F36,IF(INDIRECT("'数据-取费表'!c"&amp;$G$1)="住宅",IF(F34=100%,INDIRECT("'数据-取费表'!m"&amp;$G$1)*F36,INDIRECT("'数据-取费表'!o"&amp;$G$1)*F36),0)),0)</f>
        <v>0</v>
      </c>
      <c r="D36" s="90"/>
      <c r="E36" s="90"/>
      <c r="F36" s="129">
        <f>'数据-取费表'!B34</f>
        <v>0</v>
      </c>
      <c r="G36" s="130" t="s">
        <v>2401</v>
      </c>
    </row>
    <row r="37" spans="1:7" s="128" customFormat="1" ht="13.5" customHeight="1">
      <c r="A37" s="716" t="s">
        <v>798</v>
      </c>
      <c r="B37" s="85" t="s">
        <v>2402</v>
      </c>
      <c r="C37" s="119">
        <f ca="1">ROUND(E37*D37*F34/10000,0)</f>
        <v>890</v>
      </c>
      <c r="D37" s="87">
        <f ca="1">D19</f>
        <v>44516.22</v>
      </c>
      <c r="E37" s="119">
        <f>'数据-取费表'!B35</f>
        <v>200</v>
      </c>
      <c r="F37" s="129"/>
      <c r="G37" s="131" t="s">
        <v>2403</v>
      </c>
    </row>
    <row r="38" spans="1:7" ht="13.5" customHeight="1">
      <c r="A38" s="716" t="s">
        <v>799</v>
      </c>
      <c r="B38" s="85" t="s">
        <v>2404</v>
      </c>
      <c r="C38" s="90">
        <f ca="1">ROUND(C34*F38,0)</f>
        <v>60</v>
      </c>
      <c r="D38" s="90"/>
      <c r="E38" s="90"/>
      <c r="F38" s="129">
        <f>'数据-取费表'!B36</f>
        <v>1.4999999999999999E-2</v>
      </c>
      <c r="G38" s="89" t="s">
        <v>2399</v>
      </c>
    </row>
    <row r="39" spans="1:7" s="84" customFormat="1" ht="13.5" customHeight="1">
      <c r="A39" s="125" t="s">
        <v>2405</v>
      </c>
      <c r="B39" s="80" t="s">
        <v>2406</v>
      </c>
      <c r="C39" s="102">
        <f ca="1">ROUND(C33*F20,0)</f>
        <v>154</v>
      </c>
      <c r="D39" s="102"/>
      <c r="E39" s="102"/>
      <c r="F39" s="103"/>
      <c r="G39" s="104" t="s">
        <v>2407</v>
      </c>
    </row>
    <row r="40" spans="1:7" s="84" customFormat="1" ht="13.5" customHeight="1">
      <c r="A40" s="125" t="s">
        <v>2408</v>
      </c>
      <c r="B40" s="80" t="s">
        <v>2409</v>
      </c>
      <c r="C40" s="1370">
        <f>F21</f>
        <v>0.03</v>
      </c>
      <c r="D40" s="106" t="s">
        <v>2410</v>
      </c>
      <c r="E40" s="102"/>
      <c r="F40" s="103"/>
      <c r="G40" s="104" t="s">
        <v>2411</v>
      </c>
    </row>
    <row r="41" spans="1:7" s="84" customFormat="1" ht="13.5" customHeight="1">
      <c r="A41" s="125" t="s">
        <v>2412</v>
      </c>
      <c r="B41" s="80" t="s">
        <v>2413</v>
      </c>
      <c r="C41" s="102">
        <f ca="1">ROUND(SUM(C42:C43),0)</f>
        <v>251</v>
      </c>
      <c r="D41" s="105">
        <f ca="1">C44</f>
        <v>1.4E-3</v>
      </c>
      <c r="E41" s="106" t="s">
        <v>2410</v>
      </c>
      <c r="F41" s="107"/>
      <c r="G41" s="104" t="str">
        <f>IF('数据-取费表'!B22&lt;=1,"单利计息","复利计息")</f>
        <v>复利计息</v>
      </c>
    </row>
    <row r="42" spans="1:7" ht="13.5" customHeight="1">
      <c r="A42" s="716" t="s">
        <v>791</v>
      </c>
      <c r="B42" s="85" t="s">
        <v>2414</v>
      </c>
      <c r="C42" s="108">
        <f ca="1">ROUND(IF('数据-取费表'!B22&lt;=1,C33*F22*'数据-取费表'!B21/2,C33*(POWER((1+F22),'数据-取费表'!B21/2)-1)),0)</f>
        <v>244</v>
      </c>
      <c r="D42" s="108"/>
      <c r="E42" s="108"/>
      <c r="F42" s="109"/>
      <c r="G42" s="3823" t="s">
        <v>2415</v>
      </c>
    </row>
    <row r="43" spans="1:7" ht="13.5" customHeight="1">
      <c r="A43" s="716" t="s">
        <v>792</v>
      </c>
      <c r="B43" s="85" t="s">
        <v>2416</v>
      </c>
      <c r="C43" s="108">
        <f ca="1">ROUND(IF('数据-取费表'!B22&lt;=1,C39*F22*'数据-取费表'!B21/2,C39*(POWER((1+F22),'数据-取费表'!B21/2)-1)),0)</f>
        <v>7</v>
      </c>
      <c r="D43" s="108"/>
      <c r="E43" s="108"/>
      <c r="F43" s="109"/>
      <c r="G43" s="3824"/>
    </row>
    <row r="44" spans="1:7" ht="13.5" customHeight="1">
      <c r="A44" s="716" t="s">
        <v>793</v>
      </c>
      <c r="B44" s="85" t="s">
        <v>2417</v>
      </c>
      <c r="C44" s="108">
        <f ca="1">ROUND(IF('数据-取费表'!B22&lt;=1,C40*F22*'数据-取费表'!B21/2,C40*(POWER((1+F22),'数据-取费表'!B21/2)-1)),4)</f>
        <v>1.4E-3</v>
      </c>
      <c r="D44" s="108"/>
      <c r="E44" s="108"/>
      <c r="F44" s="109"/>
      <c r="G44" s="3825"/>
    </row>
    <row r="45" spans="1:7" s="84" customFormat="1" ht="13.5" customHeight="1">
      <c r="A45" s="125" t="s">
        <v>2418</v>
      </c>
      <c r="B45" s="114" t="s">
        <v>2384</v>
      </c>
      <c r="C45" s="115">
        <f ca="1">C46</f>
        <v>1060</v>
      </c>
      <c r="D45" s="105">
        <f ca="1">C47</f>
        <v>6.0000000000000001E-3</v>
      </c>
      <c r="E45" s="106" t="s">
        <v>2410</v>
      </c>
      <c r="F45" s="116"/>
      <c r="G45" s="117" t="s">
        <v>2419</v>
      </c>
    </row>
    <row r="46" spans="1:7" s="84" customFormat="1" ht="13.5" customHeight="1">
      <c r="A46" s="716" t="s">
        <v>791</v>
      </c>
      <c r="B46" s="118" t="s">
        <v>2420</v>
      </c>
      <c r="C46" s="119">
        <f ca="1">ROUND((C33+C39)*F27,0)</f>
        <v>1060</v>
      </c>
      <c r="D46" s="133"/>
      <c r="E46" s="106"/>
      <c r="F46" s="116"/>
      <c r="G46" s="117"/>
    </row>
    <row r="47" spans="1:7" s="84" customFormat="1" ht="13.5" customHeight="1">
      <c r="A47" s="716" t="s">
        <v>792</v>
      </c>
      <c r="B47" s="118" t="s">
        <v>2421</v>
      </c>
      <c r="C47" s="108">
        <f ca="1">ROUND(C40*F27,4)</f>
        <v>6.0000000000000001E-3</v>
      </c>
      <c r="D47" s="133"/>
      <c r="E47" s="106"/>
      <c r="F47" s="116"/>
      <c r="G47" s="117"/>
    </row>
    <row r="48" spans="1:7" s="84" customFormat="1" ht="13.5" customHeight="1">
      <c r="A48" s="125" t="s">
        <v>2383</v>
      </c>
      <c r="B48" s="80" t="s">
        <v>2422</v>
      </c>
      <c r="C48" s="1370">
        <f>ROUND(F30/(1+'数据-取费表'!C42),4)</f>
        <v>5.33E-2</v>
      </c>
      <c r="D48" s="106" t="s">
        <v>2410</v>
      </c>
      <c r="E48" s="102"/>
      <c r="F48" s="107"/>
      <c r="G48" s="104" t="s">
        <v>2423</v>
      </c>
    </row>
    <row r="49" spans="1:7" ht="16.5" customHeight="1">
      <c r="A49" s="125" t="s">
        <v>2389</v>
      </c>
      <c r="B49" s="80" t="s">
        <v>2424</v>
      </c>
      <c r="C49" s="102">
        <f ca="1">ROUND((C33+C39+C41+C45)/(1-C40-D41-D45-C48),0)</f>
        <v>7270</v>
      </c>
      <c r="D49" s="102"/>
      <c r="E49" s="102"/>
      <c r="F49" s="134"/>
      <c r="G49" s="104" t="s">
        <v>2425</v>
      </c>
    </row>
    <row r="50" spans="1:7" s="128" customFormat="1" ht="24">
      <c r="A50" s="125" t="s">
        <v>2426</v>
      </c>
      <c r="B50" s="80" t="s">
        <v>2427</v>
      </c>
      <c r="C50" s="102"/>
      <c r="D50" s="102"/>
      <c r="E50" s="102"/>
      <c r="F50" s="134">
        <f>IF('数据-取费表'!B24=0,'数据-取费表'!N16,1)</f>
        <v>0.98</v>
      </c>
      <c r="G50" s="117" t="s">
        <v>2428</v>
      </c>
    </row>
    <row r="51" spans="1:7" ht="16.5" customHeight="1">
      <c r="A51" s="125" t="s">
        <v>2429</v>
      </c>
      <c r="B51" s="80" t="s">
        <v>2430</v>
      </c>
      <c r="C51" s="102">
        <f ca="1">ROUND(C49*F50,0)</f>
        <v>7125</v>
      </c>
      <c r="D51" s="102"/>
      <c r="E51" s="102"/>
      <c r="F51" s="134"/>
      <c r="G51" s="104" t="s">
        <v>2431</v>
      </c>
    </row>
    <row r="52" spans="1:7" s="78" customFormat="1" ht="16.5" thickBot="1">
      <c r="A52" s="135" t="s">
        <v>2432</v>
      </c>
      <c r="B52" s="136"/>
      <c r="C52" s="137">
        <f ca="1">C31+C51</f>
        <v>8431</v>
      </c>
      <c r="D52" s="136"/>
      <c r="E52" s="136"/>
      <c r="F52" s="136"/>
      <c r="G52" s="138"/>
    </row>
    <row r="55" spans="1:7" ht="15">
      <c r="B55" s="140" t="s">
        <v>2433</v>
      </c>
      <c r="C55" s="141"/>
    </row>
    <row r="56" spans="1:7">
      <c r="B56" s="143" t="s">
        <v>1515</v>
      </c>
      <c r="C56" s="145">
        <f ca="1">1-C57</f>
        <v>0.15500000000000003</v>
      </c>
    </row>
    <row r="57" spans="1:7">
      <c r="B57" s="143" t="s">
        <v>1516</v>
      </c>
      <c r="C57" s="144">
        <f ca="1">ROUND(C51/C52,3)</f>
        <v>0.84499999999999997</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780" customWidth="1"/>
    <col min="2" max="9" width="10" style="780" customWidth="1"/>
    <col min="10" max="16384" width="9" style="780"/>
  </cols>
  <sheetData>
    <row r="36" spans="1:9">
      <c r="A36" s="779" t="s">
        <v>818</v>
      </c>
      <c r="B36" s="779" t="s">
        <v>819</v>
      </c>
    </row>
    <row r="37" spans="1:9" ht="27.75" customHeight="1">
      <c r="A37" s="779"/>
      <c r="B37" s="3640" t="str">
        <f>项目基本情况!B1</f>
        <v>福建省福州市仓山区盖山镇天水路6号（原天水路北侧）利嘉海峡商业城（二区）6A#、6B#、7A#、7B#、9#、11#、12#馆部分商业房地产抵押价值预评估</v>
      </c>
      <c r="C37" s="3640"/>
      <c r="D37" s="3640"/>
      <c r="E37" s="3640"/>
      <c r="F37" s="3640"/>
      <c r="G37" s="3640"/>
      <c r="H37" s="3640"/>
      <c r="I37" s="3640"/>
    </row>
    <row r="38" spans="1:9">
      <c r="A38" s="781"/>
      <c r="B38" s="781"/>
    </row>
    <row r="39" spans="1:9">
      <c r="A39" s="779" t="s">
        <v>818</v>
      </c>
      <c r="B39" s="779" t="s">
        <v>820</v>
      </c>
    </row>
    <row r="40" spans="1:9">
      <c r="A40" s="779"/>
      <c r="B40" s="1541">
        <f>项目基本情况!B5</f>
        <v>0</v>
      </c>
    </row>
    <row r="41" spans="1:9">
      <c r="A41" s="779"/>
      <c r="B41" s="779"/>
    </row>
    <row r="42" spans="1:9">
      <c r="A42" s="779" t="s">
        <v>818</v>
      </c>
      <c r="B42" s="779" t="s">
        <v>821</v>
      </c>
    </row>
    <row r="43" spans="1:9">
      <c r="A43" s="779"/>
      <c r="B43" s="1541" t="s">
        <v>822</v>
      </c>
    </row>
    <row r="44" spans="1:9">
      <c r="A44" s="779"/>
      <c r="B44" s="779"/>
    </row>
    <row r="45" spans="1:9">
      <c r="A45" s="779" t="s">
        <v>818</v>
      </c>
      <c r="B45" s="779" t="s">
        <v>823</v>
      </c>
    </row>
    <row r="46" spans="1:9" s="779" customFormat="1" ht="12.75">
      <c r="B46" s="1541" t="str">
        <f ca="1">项目基本情况!K4</f>
        <v>郑燚（注册号：1120070131)、王鹏（注册号：1120050019)</v>
      </c>
    </row>
    <row r="47" spans="1:9">
      <c r="A47" s="779"/>
      <c r="B47" s="779" t="str">
        <f>项目基本情况!K5</f>
        <v/>
      </c>
    </row>
    <row r="48" spans="1:9">
      <c r="A48" s="779" t="s">
        <v>818</v>
      </c>
      <c r="B48" s="779" t="s">
        <v>824</v>
      </c>
    </row>
    <row r="49" spans="2:2">
      <c r="B49" s="1541"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139" customWidth="1"/>
    <col min="2" max="2" width="29.25" style="121" customWidth="1"/>
    <col min="3" max="3" width="12.125" style="121" customWidth="1"/>
    <col min="4" max="5" width="11.25" style="142" customWidth="1"/>
    <col min="6" max="6" width="9.5" style="121" customWidth="1"/>
    <col min="7" max="7" width="31.875" style="121" customWidth="1"/>
    <col min="8" max="8" width="10.75" style="121" customWidth="1"/>
    <col min="9" max="254" width="9" style="121" customWidth="1"/>
    <col min="255" max="16384" width="8.375" style="121"/>
  </cols>
  <sheetData>
    <row r="1" spans="1:8" s="70" customFormat="1" ht="20.25">
      <c r="A1" s="66" t="s">
        <v>2332</v>
      </c>
      <c r="B1" s="1536"/>
      <c r="C1" s="1777" t="s">
        <v>2434</v>
      </c>
      <c r="D1" s="68"/>
      <c r="E1" s="68"/>
      <c r="F1" s="68"/>
      <c r="G1" s="1056">
        <f>MATCH(B1,'数据-取费表'!A6:A16,0)+5</f>
        <v>10</v>
      </c>
      <c r="H1" s="962" t="str">
        <f>IF(ISERROR(FIND("住宅",B1)),"非住宅","住宅")</f>
        <v>非住宅</v>
      </c>
    </row>
    <row r="2" spans="1:8" s="70" customFormat="1" ht="18" customHeight="1">
      <c r="A2" s="71" t="s">
        <v>2333</v>
      </c>
      <c r="B2" s="72">
        <f ca="1">ROUND(IF(D2="——",C52/10000,C52/10000-E2),0)</f>
        <v>8433</v>
      </c>
      <c r="C2" s="69" t="s">
        <v>2334</v>
      </c>
      <c r="D2" s="1771" t="s">
        <v>70</v>
      </c>
      <c r="E2" s="1106" t="e">
        <f ca="1">SUMIF(INDIRECT("'"&amp;G2&amp;"'"&amp;"!A:A"),"承租人权益价值",INDIRECT("'"&amp;G2&amp;"'"&amp;"!c:c"))</f>
        <v>#REF!</v>
      </c>
      <c r="F2" s="1772" t="s">
        <v>2334</v>
      </c>
      <c r="G2" s="1773"/>
    </row>
    <row r="3" spans="1:8" s="70" customFormat="1" ht="18" customHeight="1" thickBot="1">
      <c r="A3" s="73" t="s">
        <v>2335</v>
      </c>
      <c r="B3" s="74">
        <f ca="1">ROUND(B2*10000/(IF(B1="",'数据-汇总表'!E3,INDIRECT("'数据-取费表'!k"&amp;$G$1))),0)</f>
        <v>1894</v>
      </c>
      <c r="C3" s="69" t="s">
        <v>2336</v>
      </c>
      <c r="D3" s="69"/>
      <c r="E3" s="69"/>
      <c r="F3" s="69"/>
      <c r="G3" s="69"/>
    </row>
    <row r="4" spans="1:8" s="78" customFormat="1" ht="15.75">
      <c r="A4" s="75" t="s">
        <v>2337</v>
      </c>
      <c r="B4" s="76"/>
      <c r="C4" s="76"/>
      <c r="D4" s="76"/>
      <c r="E4" s="76"/>
      <c r="F4" s="76"/>
      <c r="G4" s="77"/>
    </row>
    <row r="5" spans="1:8" s="84" customFormat="1" ht="13.5" customHeight="1">
      <c r="A5" s="125" t="s">
        <v>2338</v>
      </c>
      <c r="B5" s="80" t="s">
        <v>2339</v>
      </c>
      <c r="C5" s="81">
        <f ca="1">C6+C7+C8</f>
        <v>0</v>
      </c>
      <c r="D5" s="81" t="s">
        <v>2340</v>
      </c>
      <c r="E5" s="82" t="s">
        <v>2341</v>
      </c>
      <c r="F5" s="82" t="s">
        <v>2342</v>
      </c>
      <c r="G5" s="83"/>
    </row>
    <row r="6" spans="1:8" s="84" customFormat="1" ht="13.5" customHeight="1">
      <c r="A6" s="714" t="s">
        <v>2343</v>
      </c>
      <c r="B6" s="85" t="s">
        <v>2344</v>
      </c>
      <c r="C6" s="86"/>
      <c r="D6" s="87"/>
      <c r="E6" s="88"/>
      <c r="F6" s="88"/>
      <c r="G6" s="89"/>
    </row>
    <row r="7" spans="1:8" s="84" customFormat="1" ht="13.5" customHeight="1">
      <c r="A7" s="714" t="s">
        <v>2345</v>
      </c>
      <c r="B7" s="85" t="s">
        <v>2346</v>
      </c>
      <c r="C7" s="90">
        <f>ROUND(C6*F7,0)</f>
        <v>0</v>
      </c>
      <c r="D7" s="90"/>
      <c r="E7" s="88"/>
      <c r="F7" s="91">
        <f>'数据-取费表'!B48+'数据-取费表'!B49</f>
        <v>3.0499999999999999E-2</v>
      </c>
      <c r="G7" s="89"/>
    </row>
    <row r="8" spans="1:8" s="93" customFormat="1">
      <c r="A8" s="714" t="s">
        <v>2347</v>
      </c>
      <c r="B8" s="85" t="s">
        <v>2348</v>
      </c>
      <c r="C8" s="90">
        <f ca="1">IF(G8="已包含在土地购买价格中",0,C9+C10)</f>
        <v>0</v>
      </c>
      <c r="D8" s="92"/>
      <c r="E8" s="90"/>
      <c r="F8" s="91"/>
      <c r="G8" s="1774"/>
    </row>
    <row r="9" spans="1:8" s="84" customFormat="1" ht="13.5" customHeight="1">
      <c r="A9" s="715" t="s">
        <v>800</v>
      </c>
      <c r="B9" s="94" t="s">
        <v>2349</v>
      </c>
      <c r="C9" s="95">
        <f ca="1">ROUND(D9*E9,0)</f>
        <v>0</v>
      </c>
      <c r="D9" s="797">
        <f ca="1">IF(B1="",'数据-汇总表'!E5,IF(INDIRECT("'数据-取费表'!c"&amp;$G$1)="住宅",INDIRECT("'数据-取费表'!k"&amp;$G$1),0))</f>
        <v>0</v>
      </c>
      <c r="E9" s="95">
        <f>'数据-取费表'!B27</f>
        <v>0</v>
      </c>
      <c r="F9" s="91"/>
      <c r="G9" s="96"/>
    </row>
    <row r="10" spans="1:8" s="84" customFormat="1" ht="13.5" customHeight="1">
      <c r="A10" s="715" t="s">
        <v>801</v>
      </c>
      <c r="B10" s="94" t="s">
        <v>2351</v>
      </c>
      <c r="C10" s="95">
        <f ca="1">ROUND(D10*E10,0)</f>
        <v>0</v>
      </c>
      <c r="D10" s="797">
        <f ca="1">IF(B1="",'数据-汇总表'!E6,IF(INDIRECT("'数据-取费表'!c"&amp;$G$1)="住宅",INDIRECT("'数据-取费表'!s"&amp;$G$1),INDIRECT("'数据-取费表'!k"&amp;$G$1)+INDIRECT("'数据-取费表'!s"&amp;$G$1)))</f>
        <v>44516.22</v>
      </c>
      <c r="E10" s="95">
        <f>'数据-取费表'!B28</f>
        <v>0</v>
      </c>
      <c r="F10" s="91"/>
      <c r="G10" s="96"/>
    </row>
    <row r="11" spans="1:8" s="84" customFormat="1" ht="13.5" hidden="1" customHeight="1">
      <c r="A11" s="97" t="s">
        <v>7</v>
      </c>
      <c r="B11" s="85" t="s">
        <v>2352</v>
      </c>
      <c r="C11" s="81"/>
      <c r="D11" s="799"/>
      <c r="E11" s="88"/>
      <c r="F11" s="88"/>
      <c r="G11" s="89"/>
    </row>
    <row r="12" spans="1:8" s="84" customFormat="1" ht="13.5" hidden="1" customHeight="1">
      <c r="A12" s="97" t="s">
        <v>8</v>
      </c>
      <c r="B12" s="85" t="s">
        <v>2435</v>
      </c>
      <c r="C12" s="81">
        <v>0</v>
      </c>
      <c r="D12" s="799"/>
      <c r="E12" s="98"/>
      <c r="F12" s="91">
        <v>3.0499999999999999E-2</v>
      </c>
      <c r="G12" s="89"/>
    </row>
    <row r="13" spans="1:8" s="84" customFormat="1" ht="13.5" hidden="1" customHeight="1">
      <c r="A13" s="97" t="s">
        <v>9</v>
      </c>
      <c r="B13" s="85" t="s">
        <v>2436</v>
      </c>
      <c r="C13" s="81"/>
      <c r="D13" s="799"/>
      <c r="E13" s="88"/>
      <c r="F13" s="88"/>
      <c r="G13" s="89"/>
    </row>
    <row r="14" spans="1:8" s="84" customFormat="1" ht="13.5" hidden="1" customHeight="1">
      <c r="A14" s="97" t="s">
        <v>10</v>
      </c>
      <c r="B14" s="85" t="s">
        <v>2348</v>
      </c>
      <c r="C14" s="81"/>
      <c r="D14" s="799"/>
      <c r="E14" s="88"/>
      <c r="F14" s="88"/>
      <c r="G14" s="89" t="s">
        <v>2437</v>
      </c>
    </row>
    <row r="15" spans="1:8" s="84" customFormat="1" ht="13.5" hidden="1" customHeight="1">
      <c r="A15" s="97" t="s">
        <v>11</v>
      </c>
      <c r="B15" s="85" t="s">
        <v>2438</v>
      </c>
      <c r="C15" s="90"/>
      <c r="D15" s="799"/>
      <c r="E15" s="88"/>
      <c r="F15" s="88"/>
      <c r="G15" s="89" t="s">
        <v>2439</v>
      </c>
    </row>
    <row r="16" spans="1:8" s="84" customFormat="1" ht="13.5" hidden="1" customHeight="1">
      <c r="A16" s="97" t="s">
        <v>12</v>
      </c>
      <c r="B16" s="85" t="s">
        <v>2348</v>
      </c>
      <c r="C16" s="90"/>
      <c r="D16" s="799"/>
      <c r="E16" s="88"/>
      <c r="F16" s="88"/>
      <c r="G16" s="89"/>
    </row>
    <row r="17" spans="1:7" s="84" customFormat="1" ht="13.5" hidden="1" customHeight="1">
      <c r="A17" s="97" t="s">
        <v>13</v>
      </c>
      <c r="B17" s="85" t="s">
        <v>2440</v>
      </c>
      <c r="C17" s="99"/>
      <c r="D17" s="800"/>
      <c r="E17" s="99"/>
      <c r="F17" s="99"/>
      <c r="G17" s="89" t="s">
        <v>2439</v>
      </c>
    </row>
    <row r="18" spans="1:7" s="84" customFormat="1" ht="13.5" hidden="1" customHeight="1">
      <c r="A18" s="97" t="s">
        <v>14</v>
      </c>
      <c r="B18" s="85" t="s">
        <v>2441</v>
      </c>
      <c r="C18" s="90">
        <v>0</v>
      </c>
      <c r="D18" s="799"/>
      <c r="E18" s="88"/>
      <c r="F18" s="91">
        <v>3.0499999999999999E-2</v>
      </c>
      <c r="G18" s="89" t="s">
        <v>2442</v>
      </c>
    </row>
    <row r="19" spans="1:7" s="93" customFormat="1" ht="13.5" customHeight="1">
      <c r="A19" s="125" t="s">
        <v>2443</v>
      </c>
      <c r="B19" s="80" t="s">
        <v>2444</v>
      </c>
      <c r="C19" s="81">
        <f ca="1">IF(G19="已包含在土地取得成本中","0",ROUND(D19*E19,0))</f>
        <v>8903244</v>
      </c>
      <c r="D19" s="801">
        <f ca="1">D9+D10</f>
        <v>44516.22</v>
      </c>
      <c r="E19" s="81">
        <f>'数据-取费表'!B31</f>
        <v>200</v>
      </c>
      <c r="F19" s="101"/>
      <c r="G19" s="1774"/>
    </row>
    <row r="20" spans="1:7" s="84" customFormat="1" ht="13.5" customHeight="1">
      <c r="A20" s="125" t="s">
        <v>2445</v>
      </c>
      <c r="B20" s="80" t="s">
        <v>2446</v>
      </c>
      <c r="C20" s="102">
        <f ca="1">ROUND((C5+C19)*F20,0)</f>
        <v>267097</v>
      </c>
      <c r="D20" s="102"/>
      <c r="E20" s="102"/>
      <c r="F20" s="103">
        <f>'数据-取费表'!B37</f>
        <v>0.03</v>
      </c>
      <c r="G20" s="104" t="s">
        <v>2447</v>
      </c>
    </row>
    <row r="21" spans="1:7" s="84" customFormat="1" ht="13.5" customHeight="1">
      <c r="A21" s="125" t="s">
        <v>2448</v>
      </c>
      <c r="B21" s="80" t="s">
        <v>2449</v>
      </c>
      <c r="C21" s="105">
        <f>F21</f>
        <v>0.03</v>
      </c>
      <c r="D21" s="106" t="s">
        <v>2450</v>
      </c>
      <c r="E21" s="102"/>
      <c r="F21" s="103">
        <f>'数据-取费表'!B38</f>
        <v>0.03</v>
      </c>
      <c r="G21" s="104" t="s">
        <v>2451</v>
      </c>
    </row>
    <row r="22" spans="1:7" s="84" customFormat="1" ht="13.5" customHeight="1">
      <c r="A22" s="125" t="s">
        <v>2452</v>
      </c>
      <c r="B22" s="80" t="s">
        <v>2453</v>
      </c>
      <c r="C22" s="1057">
        <f ca="1">ROUND(SUM(C23:C25),0)</f>
        <v>878583</v>
      </c>
      <c r="D22" s="105">
        <f ca="1">C26</f>
        <v>1.4E-3</v>
      </c>
      <c r="E22" s="106" t="s">
        <v>2450</v>
      </c>
      <c r="F22" s="107">
        <f ca="1">'数据-取费表'!B40</f>
        <v>4.7500000000000001E-2</v>
      </c>
      <c r="G22" s="104" t="str">
        <f>IF('数据-取费表'!B22&lt;=1,"单利计息","复利计息")</f>
        <v>复利计息</v>
      </c>
    </row>
    <row r="23" spans="1:7" s="84" customFormat="1" ht="13.5" customHeight="1">
      <c r="A23" s="716" t="s">
        <v>2343</v>
      </c>
      <c r="B23" s="85" t="s">
        <v>2454</v>
      </c>
      <c r="C23" s="1058">
        <f ca="1">ROUND(IF('数据-取费表'!B22&lt;=1,C5*F22*'数据-取费表'!B22,C5*(POWER((1+F22),'数据-取费表'!B22)-1)),0)</f>
        <v>0</v>
      </c>
      <c r="D23" s="108"/>
      <c r="E23" s="108"/>
      <c r="F23" s="109"/>
      <c r="G23" s="110" t="s">
        <v>2455</v>
      </c>
    </row>
    <row r="24" spans="1:7" s="84" customFormat="1" ht="13.5" customHeight="1">
      <c r="A24" s="716" t="s">
        <v>2345</v>
      </c>
      <c r="B24" s="85" t="s">
        <v>2456</v>
      </c>
      <c r="C24" s="1058">
        <f ca="1">ROUND(IF('数据-取费表'!B22&lt;=1,C19*F22*('数据-取费表'!B19/2+'数据-取费表'!B20),C19*(POWER((1+F22),('数据-取费表'!B19/2+'数据-取费表'!B20))-1)),0)</f>
        <v>865896</v>
      </c>
      <c r="D24" s="108"/>
      <c r="E24" s="108"/>
      <c r="F24" s="109"/>
      <c r="G24" s="110" t="s">
        <v>2457</v>
      </c>
    </row>
    <row r="25" spans="1:7" s="84" customFormat="1" ht="24">
      <c r="A25" s="716" t="s">
        <v>2347</v>
      </c>
      <c r="B25" s="85" t="s">
        <v>2458</v>
      </c>
      <c r="C25" s="1058">
        <f ca="1">ROUND(IF('数据-取费表'!B22&lt;=1,C20*F22*'数据-取费表'!B22/2,C20*(POWER((1+F22),'数据-取费表'!B22/2)-1)),0)</f>
        <v>12687</v>
      </c>
      <c r="D25" s="108"/>
      <c r="E25" s="111"/>
      <c r="F25" s="109"/>
      <c r="G25" s="112" t="s">
        <v>2459</v>
      </c>
    </row>
    <row r="26" spans="1:7" s="84" customFormat="1">
      <c r="A26" s="716" t="s">
        <v>795</v>
      </c>
      <c r="B26" s="85" t="s">
        <v>2382</v>
      </c>
      <c r="C26" s="108">
        <f ca="1">ROUND(IF('数据-取费表'!B22&lt;=1,F21*F22*'数据-取费表'!B22/2,F21*(POWER((1+F22),'数据-取费表'!B22/2)-1)),4)</f>
        <v>1.4E-3</v>
      </c>
      <c r="D26" s="108"/>
      <c r="E26" s="111"/>
      <c r="F26" s="109"/>
      <c r="G26" s="113"/>
    </row>
    <row r="27" spans="1:7" s="84" customFormat="1" ht="24.75">
      <c r="A27" s="125" t="s">
        <v>2383</v>
      </c>
      <c r="B27" s="114" t="s">
        <v>2384</v>
      </c>
      <c r="C27" s="115">
        <f ca="1">C28</f>
        <v>1834068</v>
      </c>
      <c r="D27" s="105">
        <f ca="1">C29</f>
        <v>6.0000000000000001E-3</v>
      </c>
      <c r="E27" s="106" t="s">
        <v>2385</v>
      </c>
      <c r="F27" s="116">
        <f ca="1">IF(B1="",'数据-取费表'!Q16,INDIRECT("'数据-取费表'!q"&amp;$G$1))</f>
        <v>0.2</v>
      </c>
      <c r="G27" s="117" t="s">
        <v>2386</v>
      </c>
    </row>
    <row r="28" spans="1:7" s="84" customFormat="1" ht="13.5" customHeight="1">
      <c r="A28" s="716" t="s">
        <v>791</v>
      </c>
      <c r="B28" s="118" t="s">
        <v>2387</v>
      </c>
      <c r="C28" s="119">
        <f ca="1">ROUND((C5+C19+C20)*F27,0)</f>
        <v>1834068</v>
      </c>
      <c r="D28" s="105"/>
      <c r="E28" s="106"/>
      <c r="F28" s="116"/>
      <c r="G28" s="117"/>
    </row>
    <row r="29" spans="1:7" s="84" customFormat="1" ht="13.5" customHeight="1">
      <c r="A29" s="716" t="s">
        <v>792</v>
      </c>
      <c r="B29" s="118" t="s">
        <v>2388</v>
      </c>
      <c r="C29" s="108">
        <f ca="1">ROUND(C21*F27,4)</f>
        <v>6.0000000000000001E-3</v>
      </c>
      <c r="D29" s="105"/>
      <c r="E29" s="106"/>
      <c r="F29" s="116"/>
      <c r="G29" s="117"/>
    </row>
    <row r="30" spans="1:7" s="84" customFormat="1" ht="13.5" customHeight="1">
      <c r="A30" s="125" t="s">
        <v>2389</v>
      </c>
      <c r="B30" s="80" t="s">
        <v>2390</v>
      </c>
      <c r="C30" s="105">
        <f>ROUND(F30/(1+'数据-取费表'!C42),4)</f>
        <v>5.33E-2</v>
      </c>
      <c r="D30" s="106" t="s">
        <v>2385</v>
      </c>
      <c r="E30" s="111"/>
      <c r="F30" s="107">
        <f>'数据-取费表'!B41</f>
        <v>5.6000000000000001E-2</v>
      </c>
      <c r="G30" s="104" t="s">
        <v>2391</v>
      </c>
    </row>
    <row r="31" spans="1:7" ht="16.5" customHeight="1">
      <c r="A31" s="79">
        <v>1</v>
      </c>
      <c r="B31" s="80" t="s">
        <v>2392</v>
      </c>
      <c r="C31" s="81">
        <f ca="1">ROUND((C5+C19+C20+C22+C27)/(1-C21-D22-D27-C30),0)</f>
        <v>13068285</v>
      </c>
      <c r="D31" s="100"/>
      <c r="E31" s="81"/>
      <c r="F31" s="120"/>
      <c r="G31" s="104" t="s">
        <v>2393</v>
      </c>
    </row>
    <row r="32" spans="1:7" s="78" customFormat="1" ht="15.75">
      <c r="A32" s="122" t="s">
        <v>2460</v>
      </c>
      <c r="B32" s="123"/>
      <c r="C32" s="123"/>
      <c r="D32" s="123"/>
      <c r="E32" s="123"/>
      <c r="F32" s="123"/>
      <c r="G32" s="124"/>
    </row>
    <row r="33" spans="1:7" s="84" customFormat="1" ht="13.5" customHeight="1">
      <c r="A33" s="125" t="s">
        <v>782</v>
      </c>
      <c r="B33" s="80" t="s">
        <v>2461</v>
      </c>
      <c r="C33" s="126">
        <f ca="1">SUM(C34:C38)</f>
        <v>51457556</v>
      </c>
      <c r="D33" s="102"/>
      <c r="E33" s="82"/>
      <c r="F33" s="111"/>
      <c r="G33" s="104"/>
    </row>
    <row r="34" spans="1:7" s="128" customFormat="1" ht="13.5" customHeight="1">
      <c r="A34" s="716" t="s">
        <v>791</v>
      </c>
      <c r="B34" s="85" t="s">
        <v>2396</v>
      </c>
      <c r="C34" s="90">
        <f ca="1">ROUND(IF(B1="",SUMPRODUCT('数据-取费表'!K6:K14,'数据-取费表'!L6:L14),INDIRECT("'数据-取费表'!l"&amp;$G$1)*INDIRECT("'数据-取费表'!k"&amp;$G$1)+'数据-取费表'!L14*INDIRECT("'数据-取费表'!S"&amp;$G$1)),0)</f>
        <v>39957100</v>
      </c>
      <c r="D34" s="87"/>
      <c r="E34" s="90"/>
      <c r="F34" s="127"/>
      <c r="G34" s="89"/>
    </row>
    <row r="35" spans="1:7" ht="13.5" customHeight="1">
      <c r="A35" s="716" t="s">
        <v>796</v>
      </c>
      <c r="B35" s="85" t="s">
        <v>2398</v>
      </c>
      <c r="C35" s="90">
        <f ca="1">ROUND(C34*F35,0)</f>
        <v>1997855</v>
      </c>
      <c r="D35" s="90"/>
      <c r="E35" s="90"/>
      <c r="F35" s="129">
        <f>'数据-取费表'!B33</f>
        <v>0.05</v>
      </c>
      <c r="G35" s="89" t="s">
        <v>2399</v>
      </c>
    </row>
    <row r="36" spans="1:7" ht="24">
      <c r="A36" s="716" t="s">
        <v>797</v>
      </c>
      <c r="B36" s="85" t="s">
        <v>2400</v>
      </c>
      <c r="C36" s="90">
        <f ca="1">ROUND(IF(B1="",SUM('数据-取费表'!AP6:AP13)*F36,IF(INDIRECT("'数据-取费表'!c"&amp;$G$1)="住宅",INDIRECT("'数据-取费表'!k"&amp;$G$1)*INDIRECT("'数据-取费表'!l"&amp;$G$1)*F36,0)),0)</f>
        <v>0</v>
      </c>
      <c r="D36" s="90"/>
      <c r="E36" s="90"/>
      <c r="F36" s="129">
        <f>'数据-取费表'!B34</f>
        <v>0</v>
      </c>
      <c r="G36" s="130" t="s">
        <v>2401</v>
      </c>
    </row>
    <row r="37" spans="1:7" s="128" customFormat="1" ht="13.5" customHeight="1">
      <c r="A37" s="716" t="s">
        <v>798</v>
      </c>
      <c r="B37" s="85" t="s">
        <v>2402</v>
      </c>
      <c r="C37" s="119">
        <f ca="1">ROUND(E37*D37,0)</f>
        <v>8903244</v>
      </c>
      <c r="D37" s="87">
        <f ca="1">D19</f>
        <v>44516.22</v>
      </c>
      <c r="E37" s="119">
        <f>'数据-取费表'!B35</f>
        <v>200</v>
      </c>
      <c r="F37" s="129"/>
      <c r="G37" s="131"/>
    </row>
    <row r="38" spans="1:7" ht="13.5" customHeight="1">
      <c r="A38" s="716" t="s">
        <v>799</v>
      </c>
      <c r="B38" s="85" t="s">
        <v>2404</v>
      </c>
      <c r="C38" s="90">
        <f ca="1">ROUND(C34*F38,0)</f>
        <v>599357</v>
      </c>
      <c r="D38" s="90"/>
      <c r="E38" s="90"/>
      <c r="F38" s="129">
        <f>'数据-取费表'!B36</f>
        <v>1.4999999999999999E-2</v>
      </c>
      <c r="G38" s="89" t="s">
        <v>2399</v>
      </c>
    </row>
    <row r="39" spans="1:7" s="84" customFormat="1" ht="13.5" customHeight="1">
      <c r="A39" s="125" t="s">
        <v>2405</v>
      </c>
      <c r="B39" s="80" t="s">
        <v>2406</v>
      </c>
      <c r="C39" s="102">
        <f ca="1">ROUND(C33*F20,0)</f>
        <v>1543727</v>
      </c>
      <c r="D39" s="102"/>
      <c r="E39" s="102"/>
      <c r="F39" s="103"/>
      <c r="G39" s="104" t="s">
        <v>2407</v>
      </c>
    </row>
    <row r="40" spans="1:7" s="84" customFormat="1" ht="13.5" customHeight="1">
      <c r="A40" s="125" t="s">
        <v>2408</v>
      </c>
      <c r="B40" s="80" t="s">
        <v>2409</v>
      </c>
      <c r="C40" s="1370">
        <f>F21</f>
        <v>0.03</v>
      </c>
      <c r="D40" s="106" t="s">
        <v>2410</v>
      </c>
      <c r="E40" s="102"/>
      <c r="F40" s="103"/>
      <c r="G40" s="104" t="s">
        <v>2411</v>
      </c>
    </row>
    <row r="41" spans="1:7" s="84" customFormat="1" ht="13.5" customHeight="1">
      <c r="A41" s="125" t="s">
        <v>2412</v>
      </c>
      <c r="B41" s="80" t="s">
        <v>2413</v>
      </c>
      <c r="C41" s="102">
        <f ca="1">ROUND(SUM(C42:C43),0)</f>
        <v>2517561</v>
      </c>
      <c r="D41" s="105">
        <f ca="1">C44</f>
        <v>1.4E-3</v>
      </c>
      <c r="E41" s="106" t="s">
        <v>2410</v>
      </c>
      <c r="F41" s="107"/>
      <c r="G41" s="104" t="str">
        <f>IF('数据-取费表'!B22&lt;=1,"单利计息","复利计息")</f>
        <v>复利计息</v>
      </c>
    </row>
    <row r="42" spans="1:7" ht="13.5" customHeight="1">
      <c r="A42" s="716" t="s">
        <v>791</v>
      </c>
      <c r="B42" s="85" t="s">
        <v>2414</v>
      </c>
      <c r="C42" s="108">
        <f ca="1">ROUND(IF('数据-取费表'!B22&lt;=1,C33*F22*'数据-取费表'!B20/2,C33*(POWER((1+F22),'数据-取费表'!B20/2)-1)),0)</f>
        <v>2444234</v>
      </c>
      <c r="D42" s="108"/>
      <c r="E42" s="108"/>
      <c r="F42" s="109"/>
      <c r="G42" s="3823" t="s">
        <v>2462</v>
      </c>
    </row>
    <row r="43" spans="1:7" ht="13.5" customHeight="1">
      <c r="A43" s="716" t="s">
        <v>792</v>
      </c>
      <c r="B43" s="85" t="s">
        <v>2416</v>
      </c>
      <c r="C43" s="108">
        <f ca="1">ROUND(IF('数据-取费表'!B22&lt;=1,C39*F22*'数据-取费表'!B20/2,C39*(POWER((1+F22),'数据-取费表'!B20/2)-1)),0)</f>
        <v>73327</v>
      </c>
      <c r="D43" s="108"/>
      <c r="E43" s="108"/>
      <c r="F43" s="109"/>
      <c r="G43" s="3824"/>
    </row>
    <row r="44" spans="1:7" ht="13.5" customHeight="1">
      <c r="A44" s="716" t="s">
        <v>793</v>
      </c>
      <c r="B44" s="85" t="s">
        <v>2417</v>
      </c>
      <c r="C44" s="108">
        <f ca="1">ROUND(IF('数据-取费表'!B22&lt;=1,C40*F22*'数据-取费表'!B20/2,C40*(POWER((1+F22),'数据-取费表'!B20/2)-1)),4)</f>
        <v>1.4E-3</v>
      </c>
      <c r="D44" s="108"/>
      <c r="E44" s="108"/>
      <c r="F44" s="109"/>
      <c r="G44" s="3825"/>
    </row>
    <row r="45" spans="1:7" s="84" customFormat="1" ht="13.5" customHeight="1">
      <c r="A45" s="125" t="s">
        <v>2418</v>
      </c>
      <c r="B45" s="114" t="s">
        <v>2384</v>
      </c>
      <c r="C45" s="115">
        <f ca="1">C46</f>
        <v>10600257</v>
      </c>
      <c r="D45" s="105">
        <f ca="1">C47</f>
        <v>6.0000000000000001E-3</v>
      </c>
      <c r="E45" s="106" t="s">
        <v>2410</v>
      </c>
      <c r="F45" s="116"/>
      <c r="G45" s="117" t="s">
        <v>2419</v>
      </c>
    </row>
    <row r="46" spans="1:7" s="84" customFormat="1" ht="13.5" customHeight="1">
      <c r="A46" s="716" t="s">
        <v>791</v>
      </c>
      <c r="B46" s="118" t="s">
        <v>2420</v>
      </c>
      <c r="C46" s="119">
        <f ca="1">ROUND((C33+C39)*F27,0)</f>
        <v>10600257</v>
      </c>
      <c r="D46" s="133"/>
      <c r="E46" s="106"/>
      <c r="F46" s="116"/>
      <c r="G46" s="117"/>
    </row>
    <row r="47" spans="1:7" s="84" customFormat="1" ht="13.5" customHeight="1">
      <c r="A47" s="716" t="s">
        <v>792</v>
      </c>
      <c r="B47" s="118" t="s">
        <v>2421</v>
      </c>
      <c r="C47" s="108">
        <f ca="1">ROUND(C40*F27,4)</f>
        <v>6.0000000000000001E-3</v>
      </c>
      <c r="D47" s="133"/>
      <c r="E47" s="106"/>
      <c r="F47" s="116"/>
      <c r="G47" s="117"/>
    </row>
    <row r="48" spans="1:7" s="84" customFormat="1" ht="13.5" customHeight="1">
      <c r="A48" s="125" t="s">
        <v>2383</v>
      </c>
      <c r="B48" s="80" t="s">
        <v>2422</v>
      </c>
      <c r="C48" s="132">
        <f>ROUND(F30/(1+'数据-取费表'!C42),4)</f>
        <v>5.33E-2</v>
      </c>
      <c r="D48" s="106" t="s">
        <v>2410</v>
      </c>
      <c r="E48" s="102"/>
      <c r="F48" s="107"/>
      <c r="G48" s="104" t="s">
        <v>2423</v>
      </c>
    </row>
    <row r="49" spans="1:7" ht="16.5" customHeight="1">
      <c r="A49" s="125" t="s">
        <v>2389</v>
      </c>
      <c r="B49" s="80" t="s">
        <v>2463</v>
      </c>
      <c r="C49" s="102">
        <f ca="1">ROUND((C33+C39+C41+C45)/(1-C40-D41-D45-C48),0)</f>
        <v>72714287</v>
      </c>
      <c r="D49" s="102"/>
      <c r="E49" s="102"/>
      <c r="F49" s="134"/>
      <c r="G49" s="104" t="s">
        <v>2425</v>
      </c>
    </row>
    <row r="50" spans="1:7" s="128" customFormat="1">
      <c r="A50" s="125" t="s">
        <v>2426</v>
      </c>
      <c r="B50" s="80" t="s">
        <v>2427</v>
      </c>
      <c r="C50" s="102"/>
      <c r="D50" s="102"/>
      <c r="E50" s="102"/>
      <c r="F50" s="134">
        <f>IF('数据-取费表'!B24=0,'数据-取费表'!N16,1)</f>
        <v>0.98</v>
      </c>
      <c r="G50" s="117"/>
    </row>
    <row r="51" spans="1:7" ht="16.5" customHeight="1">
      <c r="A51" s="125" t="s">
        <v>2429</v>
      </c>
      <c r="B51" s="80" t="s">
        <v>2464</v>
      </c>
      <c r="C51" s="102">
        <f ca="1">ROUND(C49*F50,0)</f>
        <v>71260001</v>
      </c>
      <c r="D51" s="102"/>
      <c r="E51" s="102"/>
      <c r="F51" s="134"/>
      <c r="G51" s="104" t="s">
        <v>2431</v>
      </c>
    </row>
    <row r="52" spans="1:7" s="78" customFormat="1" ht="16.5" thickBot="1">
      <c r="A52" s="135" t="s">
        <v>2432</v>
      </c>
      <c r="B52" s="136"/>
      <c r="C52" s="137">
        <f ca="1">C31+C51</f>
        <v>84328286</v>
      </c>
      <c r="D52" s="136"/>
      <c r="E52" s="136"/>
      <c r="F52" s="136"/>
      <c r="G52" s="138"/>
    </row>
    <row r="55" spans="1:7" ht="15">
      <c r="B55" s="140" t="s">
        <v>2433</v>
      </c>
      <c r="C55" s="141"/>
    </row>
    <row r="56" spans="1:7">
      <c r="B56" s="143" t="s">
        <v>1515</v>
      </c>
      <c r="C56" s="145">
        <f ca="1">1-C57</f>
        <v>0.15500000000000003</v>
      </c>
    </row>
    <row r="57" spans="1:7">
      <c r="B57" s="143" t="s">
        <v>1516</v>
      </c>
      <c r="C57" s="144">
        <f ca="1">ROUND(C51/C52,3)</f>
        <v>0.84499999999999997</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38" sqref="C38"/>
    </sheetView>
  </sheetViews>
  <sheetFormatPr defaultColWidth="6.625" defaultRowHeight="12.75"/>
  <cols>
    <col min="1" max="1" width="9.75" style="574" customWidth="1"/>
    <col min="2" max="2" width="25.75" style="717" customWidth="1"/>
    <col min="3" max="3" width="10.375" style="760" customWidth="1"/>
    <col min="4" max="4" width="9.875" style="717" customWidth="1"/>
    <col min="5" max="5" width="9.5" style="574" customWidth="1"/>
    <col min="6" max="6" width="10.125" style="717" customWidth="1"/>
    <col min="7" max="7" width="10.75" style="717" customWidth="1"/>
    <col min="8" max="8" width="10" style="717" customWidth="1"/>
    <col min="9" max="11" width="9.5" style="717" customWidth="1"/>
    <col min="12" max="12" width="9" style="717" customWidth="1"/>
    <col min="13" max="13" width="10.5" style="717" bestFit="1" customWidth="1"/>
    <col min="14" max="254" width="9" style="717" customWidth="1"/>
    <col min="255" max="16384" width="6.625" style="717"/>
  </cols>
  <sheetData>
    <row r="1" spans="1:33" ht="20.25">
      <c r="A1" s="66" t="s">
        <v>2465</v>
      </c>
      <c r="B1" s="1244"/>
      <c r="C1" s="1245"/>
      <c r="D1" s="1243"/>
      <c r="E1" s="146"/>
      <c r="F1" s="146"/>
      <c r="G1" s="1244"/>
      <c r="H1" s="146"/>
      <c r="I1" s="146"/>
      <c r="J1" s="146"/>
      <c r="K1" s="146">
        <f>MATCH(C1,'数据-取费表'!A6:A16,0)+5</f>
        <v>10</v>
      </c>
    </row>
    <row r="2" spans="1:33" ht="18" customHeight="1">
      <c r="A2" s="71" t="s">
        <v>2333</v>
      </c>
      <c r="B2" s="74">
        <f ca="1">C32</f>
        <v>0</v>
      </c>
      <c r="C2" s="146" t="s">
        <v>2466</v>
      </c>
      <c r="D2" s="146"/>
      <c r="E2" s="146"/>
      <c r="F2" s="146"/>
      <c r="G2" s="146"/>
      <c r="H2" s="146"/>
      <c r="I2" s="146"/>
      <c r="J2" s="146"/>
      <c r="K2" s="146"/>
    </row>
    <row r="3" spans="1:33" ht="18" customHeight="1" thickBot="1">
      <c r="A3" s="73" t="s">
        <v>2335</v>
      </c>
      <c r="B3" s="74">
        <f ca="1">ROUND(B2*10000/IF(C1="",'数据-汇总表'!E3,INDIRECT("'数据-取费表'!K"&amp;$K$1)),0)</f>
        <v>0</v>
      </c>
      <c r="C3" s="146" t="s">
        <v>2467</v>
      </c>
      <c r="D3" s="146"/>
      <c r="E3" s="146"/>
      <c r="F3" s="146"/>
      <c r="G3" s="146"/>
      <c r="H3" s="146"/>
      <c r="I3" s="146"/>
      <c r="J3" s="146"/>
      <c r="K3" s="146"/>
    </row>
    <row r="4" spans="1:33" s="721" customFormat="1" ht="16.5" customHeight="1">
      <c r="A4" s="718" t="s">
        <v>2468</v>
      </c>
      <c r="B4" s="719"/>
      <c r="C4" s="761">
        <f>SUM(C8:K8)</f>
        <v>0</v>
      </c>
      <c r="D4" s="719"/>
      <c r="E4" s="719"/>
      <c r="F4" s="719"/>
      <c r="G4" s="719"/>
      <c r="H4" s="719"/>
      <c r="I4" s="719"/>
      <c r="J4" s="719"/>
      <c r="K4" s="720"/>
    </row>
    <row r="5" spans="1:33" s="725" customFormat="1" ht="24.75">
      <c r="A5" s="722" t="s">
        <v>2469</v>
      </c>
      <c r="B5" s="723" t="s">
        <v>2470</v>
      </c>
      <c r="C5" s="1778" t="s">
        <v>2471</v>
      </c>
      <c r="D5" s="1778" t="s">
        <v>2472</v>
      </c>
      <c r="E5" s="1778" t="s">
        <v>2473</v>
      </c>
      <c r="F5" s="1778"/>
      <c r="G5" s="1778"/>
      <c r="H5" s="1778"/>
      <c r="I5" s="1778"/>
      <c r="J5" s="1778"/>
      <c r="K5" s="1778"/>
      <c r="L5" s="724"/>
      <c r="M5" s="724"/>
      <c r="N5" s="724"/>
      <c r="O5" s="724"/>
      <c r="P5" s="724"/>
      <c r="Q5" s="724"/>
      <c r="R5" s="724"/>
      <c r="S5" s="724"/>
      <c r="T5" s="724"/>
      <c r="U5" s="724"/>
      <c r="V5" s="724"/>
      <c r="W5" s="724"/>
      <c r="X5" s="724"/>
      <c r="Y5" s="724"/>
      <c r="Z5" s="724"/>
      <c r="AA5" s="724"/>
      <c r="AB5" s="724"/>
      <c r="AC5" s="724"/>
      <c r="AD5" s="724"/>
      <c r="AE5" s="724"/>
      <c r="AF5" s="724"/>
      <c r="AG5" s="724"/>
    </row>
    <row r="6" spans="1:33" s="730" customFormat="1" ht="13.5" customHeight="1">
      <c r="A6" s="726" t="s">
        <v>802</v>
      </c>
      <c r="B6" s="55" t="s">
        <v>2474</v>
      </c>
      <c r="C6" s="727"/>
      <c r="D6" s="727"/>
      <c r="E6" s="727"/>
      <c r="F6" s="727"/>
      <c r="G6" s="727"/>
      <c r="H6" s="727"/>
      <c r="I6" s="727"/>
      <c r="J6" s="727"/>
      <c r="K6" s="728"/>
      <c r="L6" s="729"/>
      <c r="M6" s="729"/>
      <c r="N6" s="729"/>
      <c r="O6" s="729"/>
      <c r="P6" s="729"/>
      <c r="Q6" s="729"/>
      <c r="R6" s="729"/>
      <c r="S6" s="729"/>
      <c r="T6" s="729"/>
      <c r="U6" s="729"/>
      <c r="V6" s="729"/>
      <c r="W6" s="729"/>
      <c r="X6" s="729"/>
      <c r="Y6" s="729"/>
      <c r="Z6" s="729"/>
      <c r="AA6" s="729"/>
      <c r="AB6" s="729"/>
      <c r="AC6" s="729"/>
      <c r="AD6" s="729"/>
      <c r="AE6" s="729"/>
      <c r="AF6" s="729"/>
      <c r="AG6" s="729"/>
    </row>
    <row r="7" spans="1:33" s="730" customFormat="1" ht="13.5" customHeight="1">
      <c r="A7" s="726" t="s">
        <v>2475</v>
      </c>
      <c r="B7" s="55" t="s">
        <v>2476</v>
      </c>
      <c r="C7" s="147">
        <f>SUMIF('数据-汇总表'!$C19:$C33,假设开发法!C5,'数据-汇总表'!$E19:$E33)</f>
        <v>0</v>
      </c>
      <c r="D7" s="147">
        <f>SUMIF('数据-汇总表'!$C19:$C33,假设开发法!D5,'数据-汇总表'!$E19:$E33)</f>
        <v>0</v>
      </c>
      <c r="E7" s="147">
        <f>SUMIF('数据-汇总表'!$C19:$C33,假设开发法!E5,'数据-汇总表'!$E19:$E33)</f>
        <v>0</v>
      </c>
      <c r="F7" s="147">
        <f>SUMIF('数据-汇总表'!$C19:$C33,假设开发法!F5,'数据-汇总表'!$E19:$E33)</f>
        <v>0</v>
      </c>
      <c r="G7" s="147">
        <f>SUMIF('数据-汇总表'!$C19:$C33,假设开发法!G5,'数据-汇总表'!$E19:$E33)</f>
        <v>0</v>
      </c>
      <c r="H7" s="147">
        <f>SUMIF('数据-汇总表'!$C19:$C33,假设开发法!H5,'数据-汇总表'!$E19:$E33)</f>
        <v>0</v>
      </c>
      <c r="I7" s="147">
        <f>SUMIF('数据-汇总表'!$C19:$C33,假设开发法!I5,'数据-汇总表'!$E19:$E33)</f>
        <v>0</v>
      </c>
      <c r="J7" s="147">
        <f>SUMIF('数据-汇总表'!$C19:$C33,假设开发法!J5,'数据-汇总表'!$E19:$E33)</f>
        <v>0</v>
      </c>
      <c r="K7" s="148">
        <f>SUMIF('数据-汇总表'!$C19:$C33,假设开发法!K5,'数据-汇总表'!$E19:$E33)</f>
        <v>0</v>
      </c>
      <c r="L7" s="729"/>
      <c r="M7" s="729"/>
      <c r="N7" s="729"/>
      <c r="O7" s="729"/>
      <c r="P7" s="729"/>
      <c r="Q7" s="729"/>
      <c r="R7" s="729"/>
      <c r="S7" s="729"/>
      <c r="T7" s="729"/>
      <c r="U7" s="729"/>
      <c r="V7" s="729"/>
      <c r="W7" s="729"/>
      <c r="X7" s="729"/>
      <c r="Y7" s="729"/>
      <c r="Z7" s="729"/>
      <c r="AA7" s="729"/>
      <c r="AB7" s="729"/>
      <c r="AC7" s="729"/>
      <c r="AD7" s="729"/>
      <c r="AE7" s="729"/>
      <c r="AF7" s="729"/>
      <c r="AG7" s="729"/>
    </row>
    <row r="8" spans="1:33" s="730" customFormat="1" ht="13.5" customHeight="1" thickBot="1">
      <c r="A8" s="1779" t="s">
        <v>2477</v>
      </c>
      <c r="B8" s="60" t="s">
        <v>2478</v>
      </c>
      <c r="C8" s="762"/>
      <c r="D8" s="762"/>
      <c r="E8" s="762"/>
      <c r="F8" s="763"/>
      <c r="G8" s="763"/>
      <c r="H8" s="763"/>
      <c r="I8" s="763"/>
      <c r="J8" s="763"/>
      <c r="K8" s="764"/>
      <c r="L8" s="729"/>
      <c r="M8" s="729"/>
      <c r="N8" s="729"/>
      <c r="O8" s="729"/>
      <c r="P8" s="729"/>
      <c r="Q8" s="729"/>
      <c r="R8" s="729"/>
      <c r="S8" s="729"/>
      <c r="T8" s="729"/>
      <c r="U8" s="729"/>
      <c r="V8" s="729"/>
      <c r="W8" s="729"/>
      <c r="X8" s="729"/>
      <c r="Y8" s="729"/>
      <c r="Z8" s="729"/>
      <c r="AA8" s="729"/>
      <c r="AB8" s="729"/>
      <c r="AC8" s="729"/>
      <c r="AD8" s="729"/>
      <c r="AE8" s="729"/>
      <c r="AF8" s="729"/>
      <c r="AG8" s="729"/>
    </row>
    <row r="9" spans="1:33" s="721" customFormat="1" ht="16.5" customHeight="1">
      <c r="A9" s="718" t="s">
        <v>2479</v>
      </c>
      <c r="B9" s="719"/>
      <c r="C9" s="719"/>
      <c r="D9" s="719"/>
      <c r="E9" s="719"/>
      <c r="F9" s="719"/>
      <c r="G9" s="719"/>
      <c r="H9" s="719"/>
      <c r="I9" s="719"/>
      <c r="J9" s="719"/>
      <c r="K9" s="720"/>
    </row>
    <row r="10" spans="1:33" s="735" customFormat="1" ht="13.5" customHeight="1">
      <c r="A10" s="722" t="s">
        <v>2480</v>
      </c>
      <c r="B10" s="8" t="s">
        <v>2481</v>
      </c>
      <c r="C10" s="731" t="s">
        <v>2482</v>
      </c>
      <c r="D10" s="732" t="s">
        <v>2483</v>
      </c>
      <c r="E10" s="732" t="s">
        <v>2484</v>
      </c>
      <c r="F10" s="732" t="s">
        <v>2485</v>
      </c>
      <c r="G10" s="8"/>
      <c r="H10" s="733"/>
      <c r="I10" s="733"/>
      <c r="J10" s="733"/>
      <c r="K10" s="734"/>
    </row>
    <row r="11" spans="1:33" s="740" customFormat="1" ht="13.5" customHeight="1">
      <c r="A11" s="736" t="s">
        <v>1335</v>
      </c>
      <c r="B11" s="737" t="s">
        <v>2486</v>
      </c>
      <c r="C11" s="149">
        <f ca="1">IF(C1="",'数据-取费表'!P16,INDIRECT("'数据-取费表'!p"&amp;$K$1)+INDIRECT("'数据-取费表'!ar"&amp;$K$1))</f>
        <v>0</v>
      </c>
      <c r="D11" s="738"/>
      <c r="E11" s="199"/>
      <c r="F11" s="739">
        <f ca="1">1-IF('数据-取费表'!B24=0,1,IF(C1="",'数据-取费表'!N16,INDIRECT("'数据-取费表'!n"&amp;$K$1)))</f>
        <v>0</v>
      </c>
      <c r="G11" s="8"/>
      <c r="H11" s="733"/>
      <c r="I11" s="733"/>
      <c r="J11" s="733"/>
      <c r="K11" s="734"/>
    </row>
    <row r="12" spans="1:33" s="740" customFormat="1" ht="13.5" customHeight="1">
      <c r="A12" s="736" t="s">
        <v>1336</v>
      </c>
      <c r="B12" s="737" t="s">
        <v>2487</v>
      </c>
      <c r="C12" s="19">
        <f ca="1">ROUND(C11*F12,0)</f>
        <v>0</v>
      </c>
      <c r="D12" s="738"/>
      <c r="E12" s="199"/>
      <c r="F12" s="741">
        <f>'数据-取费表'!B33</f>
        <v>0.05</v>
      </c>
      <c r="G12" s="8" t="s">
        <v>2488</v>
      </c>
      <c r="H12" s="733"/>
      <c r="I12" s="733"/>
      <c r="J12" s="733"/>
      <c r="K12" s="734"/>
    </row>
    <row r="13" spans="1:33" s="740" customFormat="1" ht="13.5" customHeight="1">
      <c r="A13" s="736" t="s">
        <v>1337</v>
      </c>
      <c r="B13" s="737" t="s">
        <v>2489</v>
      </c>
      <c r="C13" s="19">
        <f ca="1">ROUND(IF(C1="",SUMIF('数据-取费表'!C:C,"住宅",'数据-取费表'!P:P)*F13,IF(INDIRECT("'数据-取费表'!c"&amp;$K$1)="住宅",INDIRECT("'数据-取费表'!P"&amp;$K$1)*F13,0)),0)</f>
        <v>0</v>
      </c>
      <c r="D13" s="798"/>
      <c r="E13" s="199"/>
      <c r="F13" s="741">
        <f>'数据-取费表'!B34</f>
        <v>0</v>
      </c>
      <c r="G13" s="8" t="s">
        <v>2490</v>
      </c>
      <c r="H13" s="733"/>
      <c r="I13" s="733"/>
      <c r="J13" s="733"/>
      <c r="K13" s="734"/>
    </row>
    <row r="14" spans="1:33" s="742" customFormat="1" ht="13.5" customHeight="1">
      <c r="A14" s="736" t="s">
        <v>1338</v>
      </c>
      <c r="B14" s="737" t="s">
        <v>2491</v>
      </c>
      <c r="C14" s="19">
        <f ca="1">ROUND(D14*E14*F11/10000,0)</f>
        <v>0</v>
      </c>
      <c r="D14" s="798">
        <f ca="1">IF(C1="",'数据-汇总表'!E3,INDIRECT("'数据-取费表'!K"&amp;$K$1)+INDIRECT("'数据-取费表'!S"&amp;$K$1))</f>
        <v>44516.22</v>
      </c>
      <c r="E14" s="19">
        <f>'数据-取费表'!B35</f>
        <v>200</v>
      </c>
      <c r="F14" s="741"/>
      <c r="G14" s="8" t="s">
        <v>2492</v>
      </c>
      <c r="H14" s="733"/>
      <c r="I14" s="733"/>
      <c r="J14" s="733"/>
      <c r="K14" s="734"/>
      <c r="L14" s="740"/>
      <c r="M14" s="740"/>
      <c r="N14" s="740"/>
      <c r="O14" s="740"/>
      <c r="P14" s="740"/>
      <c r="Q14" s="740"/>
      <c r="R14" s="740"/>
      <c r="S14" s="740"/>
      <c r="T14" s="740"/>
      <c r="U14" s="740"/>
      <c r="V14" s="740"/>
      <c r="W14" s="740"/>
      <c r="X14" s="740"/>
      <c r="Y14" s="740"/>
      <c r="Z14" s="740"/>
      <c r="AA14" s="740"/>
      <c r="AB14" s="740"/>
      <c r="AC14" s="740"/>
      <c r="AD14" s="740"/>
      <c r="AE14" s="740"/>
      <c r="AF14" s="740"/>
      <c r="AG14" s="740"/>
    </row>
    <row r="15" spans="1:33" s="742" customFormat="1" ht="13.5" customHeight="1">
      <c r="A15" s="736" t="s">
        <v>1339</v>
      </c>
      <c r="B15" s="737" t="s">
        <v>2493</v>
      </c>
      <c r="C15" s="748">
        <f ca="1">ROUND(C11*F15,0)</f>
        <v>0</v>
      </c>
      <c r="D15" s="743"/>
      <c r="E15" s="748"/>
      <c r="F15" s="749">
        <f>'数据-取费表'!B36</f>
        <v>1.4999999999999999E-2</v>
      </c>
      <c r="G15" s="55" t="s">
        <v>2494</v>
      </c>
      <c r="H15" s="744"/>
      <c r="I15" s="744"/>
      <c r="J15" s="744"/>
      <c r="K15" s="745"/>
      <c r="L15" s="740"/>
      <c r="M15" s="740"/>
      <c r="N15" s="740"/>
      <c r="O15" s="740"/>
      <c r="P15" s="740"/>
      <c r="Q15" s="740"/>
      <c r="R15" s="740"/>
      <c r="S15" s="740"/>
      <c r="T15" s="740"/>
      <c r="U15" s="740"/>
      <c r="V15" s="740"/>
      <c r="W15" s="740"/>
      <c r="X15" s="740"/>
      <c r="Y15" s="740"/>
      <c r="Z15" s="740"/>
      <c r="AA15" s="740"/>
      <c r="AB15" s="740"/>
      <c r="AC15" s="740"/>
      <c r="AD15" s="740"/>
      <c r="AE15" s="740"/>
      <c r="AF15" s="740"/>
      <c r="AG15" s="740"/>
    </row>
    <row r="16" spans="1:33" s="742" customFormat="1" ht="13.5" customHeight="1">
      <c r="A16" s="736" t="s">
        <v>803</v>
      </c>
      <c r="B16" s="737" t="s">
        <v>2495</v>
      </c>
      <c r="C16" s="748">
        <f ca="1">SUM(C11:C15)</f>
        <v>0</v>
      </c>
      <c r="D16" s="743"/>
      <c r="E16" s="748"/>
      <c r="F16" s="749"/>
      <c r="G16" s="55"/>
      <c r="H16" s="1241"/>
      <c r="I16" s="744"/>
      <c r="J16" s="744"/>
      <c r="K16" s="745"/>
      <c r="L16" s="740"/>
      <c r="M16" s="740"/>
      <c r="N16" s="740"/>
      <c r="O16" s="740"/>
      <c r="P16" s="740"/>
      <c r="Q16" s="740"/>
      <c r="R16" s="740"/>
      <c r="S16" s="740"/>
      <c r="T16" s="740"/>
      <c r="U16" s="740"/>
      <c r="V16" s="740"/>
      <c r="W16" s="740"/>
      <c r="X16" s="740"/>
      <c r="Y16" s="740"/>
      <c r="Z16" s="740"/>
      <c r="AA16" s="740"/>
      <c r="AB16" s="740"/>
      <c r="AC16" s="740"/>
      <c r="AD16" s="740"/>
      <c r="AE16" s="740"/>
      <c r="AF16" s="740"/>
      <c r="AG16" s="740"/>
    </row>
    <row r="17" spans="1:33" s="742" customFormat="1" ht="13.5" customHeight="1">
      <c r="A17" s="736" t="s">
        <v>804</v>
      </c>
      <c r="B17" s="737" t="s">
        <v>2496</v>
      </c>
      <c r="C17" s="19">
        <f ca="1">ROUND(D17*E17/10000,0)</f>
        <v>0</v>
      </c>
      <c r="D17" s="798">
        <f ca="1">D14</f>
        <v>44516.22</v>
      </c>
      <c r="E17" s="19">
        <f>'数据-取费表'!B32</f>
        <v>0</v>
      </c>
      <c r="F17" s="743"/>
      <c r="G17" s="55" t="s">
        <v>2497</v>
      </c>
      <c r="H17" s="1241"/>
      <c r="I17" s="744"/>
      <c r="J17" s="744"/>
      <c r="K17" s="745"/>
      <c r="L17" s="740"/>
      <c r="M17" s="740"/>
      <c r="N17" s="740"/>
      <c r="O17" s="740"/>
      <c r="P17" s="740"/>
      <c r="Q17" s="740"/>
      <c r="R17" s="740"/>
      <c r="S17" s="740"/>
      <c r="T17" s="740"/>
      <c r="U17" s="740"/>
      <c r="V17" s="740"/>
      <c r="W17" s="740"/>
      <c r="X17" s="740"/>
      <c r="Y17" s="740"/>
      <c r="Z17" s="740"/>
      <c r="AA17" s="740"/>
      <c r="AB17" s="740"/>
      <c r="AC17" s="740"/>
      <c r="AD17" s="740"/>
      <c r="AE17" s="740"/>
      <c r="AF17" s="740"/>
      <c r="AG17" s="740"/>
    </row>
    <row r="18" spans="1:33" s="740" customFormat="1" ht="13.5" customHeight="1">
      <c r="A18" s="736" t="s">
        <v>1340</v>
      </c>
      <c r="B18" s="737" t="s">
        <v>2498</v>
      </c>
      <c r="C18" s="19">
        <f ca="1">C19+C20-IF(C1="",'数据-取费表'!B29,IF(G18="已全部缴纳",C19+C20,H18))</f>
        <v>0</v>
      </c>
      <c r="D18" s="798"/>
      <c r="E18" s="19"/>
      <c r="F18" s="741"/>
      <c r="G18" s="1780"/>
      <c r="H18" s="1240"/>
      <c r="I18" s="1781" t="s">
        <v>2499</v>
      </c>
      <c r="J18" s="744"/>
      <c r="K18" s="745"/>
    </row>
    <row r="19" spans="1:33" s="740" customFormat="1" ht="13.5" customHeight="1">
      <c r="A19" s="736" t="s">
        <v>805</v>
      </c>
      <c r="B19" s="737" t="s">
        <v>2500</v>
      </c>
      <c r="C19" s="19">
        <f ca="1">ROUND(D19*E19/10000,0)</f>
        <v>0</v>
      </c>
      <c r="D19" s="798">
        <f ca="1">IF(C1="",'数据-汇总表'!E5,IF(INDIRECT("'数据-取费表'!c"&amp;$K$1)="住宅",INDIRECT("'数据-取费表'!k"&amp;$K$1),0))</f>
        <v>0</v>
      </c>
      <c r="E19" s="19">
        <f>'数据-取费表'!B27</f>
        <v>0</v>
      </c>
      <c r="F19" s="741"/>
      <c r="G19" s="14"/>
      <c r="H19" s="1242"/>
      <c r="I19" s="746"/>
      <c r="J19" s="746"/>
      <c r="K19" s="747"/>
    </row>
    <row r="20" spans="1:33" s="740" customFormat="1" ht="13.5" customHeight="1">
      <c r="A20" s="736" t="s">
        <v>806</v>
      </c>
      <c r="B20" s="737" t="s">
        <v>2501</v>
      </c>
      <c r="C20" s="19">
        <f ca="1">ROUND(D20*E20/10000,0)</f>
        <v>0</v>
      </c>
      <c r="D20" s="798">
        <f ca="1">IF(C1="",'数据-汇总表'!E6,IF(INDIRECT("'数据-取费表'!c"&amp;$K$1)="住宅",INDIRECT("'数据-取费表'!s"&amp;$K$1),INDIRECT("'数据-取费表'!k"&amp;$K$1)+INDIRECT("'数据-取费表'!s"&amp;$K$1)))</f>
        <v>44516.22</v>
      </c>
      <c r="E20" s="19">
        <f>'数据-取费表'!B28</f>
        <v>0</v>
      </c>
      <c r="F20" s="741"/>
      <c r="G20" s="14"/>
      <c r="H20" s="746"/>
      <c r="I20" s="746"/>
      <c r="J20" s="746"/>
      <c r="K20" s="747"/>
    </row>
    <row r="21" spans="1:33" s="740" customFormat="1" ht="13.5" customHeight="1">
      <c r="A21" s="726" t="s">
        <v>802</v>
      </c>
      <c r="B21" s="750" t="s">
        <v>2502</v>
      </c>
      <c r="C21" s="751">
        <f ca="1">C16+C17+C18</f>
        <v>0</v>
      </c>
      <c r="D21" s="752"/>
      <c r="E21" s="151"/>
      <c r="F21" s="151"/>
      <c r="G21" s="55" t="s">
        <v>2503</v>
      </c>
      <c r="H21" s="744"/>
      <c r="I21" s="744"/>
      <c r="J21" s="744"/>
      <c r="K21" s="745"/>
    </row>
    <row r="22" spans="1:33" s="740" customFormat="1" ht="13.5" customHeight="1">
      <c r="A22" s="726" t="s">
        <v>2475</v>
      </c>
      <c r="B22" s="750" t="s">
        <v>2504</v>
      </c>
      <c r="C22" s="751">
        <f ca="1">ROUND(C21*F22,0)</f>
        <v>0</v>
      </c>
      <c r="D22" s="151"/>
      <c r="E22" s="151"/>
      <c r="F22" s="753">
        <f>'数据-取费表'!B37</f>
        <v>0.03</v>
      </c>
      <c r="G22" s="8" t="s">
        <v>2505</v>
      </c>
      <c r="H22" s="733"/>
      <c r="I22" s="733"/>
      <c r="J22" s="733"/>
      <c r="K22" s="734"/>
    </row>
    <row r="23" spans="1:33" s="740" customFormat="1" ht="13.5" customHeight="1">
      <c r="A23" s="726" t="s">
        <v>2477</v>
      </c>
      <c r="B23" s="750" t="s">
        <v>2506</v>
      </c>
      <c r="C23" s="751">
        <f ca="1">ROUND(C4*F23*F11,0)</f>
        <v>0</v>
      </c>
      <c r="D23" s="151"/>
      <c r="E23" s="151"/>
      <c r="F23" s="753">
        <f>'数据-取费表'!B38</f>
        <v>0.03</v>
      </c>
      <c r="G23" s="8" t="s">
        <v>2507</v>
      </c>
      <c r="H23" s="733"/>
      <c r="I23" s="733"/>
      <c r="J23" s="733"/>
      <c r="K23" s="734"/>
    </row>
    <row r="24" spans="1:33" s="740" customFormat="1" ht="13.5" customHeight="1">
      <c r="A24" s="726" t="s">
        <v>2508</v>
      </c>
      <c r="B24" s="750" t="s">
        <v>2509</v>
      </c>
      <c r="C24" s="150">
        <f>ROUND(F24/(1+'数据-取费表'!C42),4)</f>
        <v>2.9000000000000001E-2</v>
      </c>
      <c r="D24" s="151" t="s">
        <v>15</v>
      </c>
      <c r="E24" s="151"/>
      <c r="F24" s="753">
        <f>'数据-取费表'!B48+'数据-取费表'!B49</f>
        <v>3.0499999999999999E-2</v>
      </c>
      <c r="G24" s="8" t="s">
        <v>2510</v>
      </c>
      <c r="H24" s="755"/>
      <c r="I24" s="755"/>
      <c r="J24" s="755"/>
      <c r="K24" s="756"/>
    </row>
    <row r="25" spans="1:33" s="740" customFormat="1" ht="13.5" customHeight="1">
      <c r="A25" s="726" t="s">
        <v>2511</v>
      </c>
      <c r="B25" s="752" t="s">
        <v>2512</v>
      </c>
      <c r="C25" s="1035">
        <f ca="1">C27</f>
        <v>0</v>
      </c>
      <c r="D25" s="150">
        <f ca="1">C26</f>
        <v>0</v>
      </c>
      <c r="E25" s="152" t="s">
        <v>15</v>
      </c>
      <c r="F25" s="153">
        <f ca="1">'数据-取费表'!B40</f>
        <v>4.7500000000000001E-2</v>
      </c>
      <c r="G25" s="55" t="str">
        <f>IF('数据-取费表'!B22&lt;=1,"单利计息。","复利计息。")&amp;"后续开发成本、管理费用及销售费用产生的利息。"</f>
        <v>复利计息。后续开发成本、管理费用及销售费用产生的利息。</v>
      </c>
      <c r="H25" s="755"/>
      <c r="I25" s="755"/>
      <c r="J25" s="755"/>
      <c r="K25" s="756"/>
    </row>
    <row r="26" spans="1:33" s="758" customFormat="1" ht="13.5" customHeight="1">
      <c r="A26" s="736" t="s">
        <v>803</v>
      </c>
      <c r="B26" s="757" t="s">
        <v>2513</v>
      </c>
      <c r="C26" s="1036">
        <f ca="1">ROUND(IF('数据-取费表'!B22&lt;=1,(1+C24)*F25*'数据-取费表'!B24,(1+C24)*(POWER((1+F25),'数据-取费表'!B24)-1)),4)</f>
        <v>0</v>
      </c>
      <c r="D26" s="154"/>
      <c r="E26" s="155"/>
      <c r="F26" s="156"/>
      <c r="G26" s="1782" t="str">
        <f>IF('数据-取费表'!B22&lt;=1,"（(1)+取得税费率/(1+5%)）×年利率×建设期","（(1)+取得税费率）/(1+5%)×((1+年利率)^建设期-1)")</f>
        <v>（(1)+取得税费率）/(1+5%)×((1+年利率)^建设期-1)</v>
      </c>
      <c r="H26" s="744"/>
      <c r="I26" s="744"/>
      <c r="J26" s="744"/>
      <c r="K26" s="745"/>
    </row>
    <row r="27" spans="1:33" s="758" customFormat="1" ht="13.5" customHeight="1">
      <c r="A27" s="736" t="s">
        <v>804</v>
      </c>
      <c r="B27" s="757" t="s">
        <v>2514</v>
      </c>
      <c r="C27" s="1037">
        <f ca="1">ROUND(IF('数据-取费表'!B22&lt;=1,(C21+C22+C23)*F25*'数据-取费表'!B24/2,(C21+C22+C23)*(POWER((1+F25),'数据-取费表'!B24/2)-1)),0)</f>
        <v>0</v>
      </c>
      <c r="D27" s="154"/>
      <c r="E27" s="155"/>
      <c r="F27" s="156"/>
      <c r="G27" s="1782" t="str">
        <f>IF('数据-取费表'!B22&lt;=1,"（1）-（3）项×年利率×建设期÷2","（1）-（3）项×((1+年利率)^(建设期÷2)-1)")</f>
        <v>（1）-（3）项×((1+年利率)^(建设期÷2)-1)</v>
      </c>
      <c r="H27" s="744"/>
      <c r="I27" s="744"/>
      <c r="J27" s="744"/>
      <c r="K27" s="745"/>
    </row>
    <row r="28" spans="1:33" s="159" customFormat="1" ht="13.5" customHeight="1">
      <c r="A28" s="726" t="s">
        <v>2515</v>
      </c>
      <c r="B28" s="1783" t="s">
        <v>2516</v>
      </c>
      <c r="C28" s="157">
        <f ca="1">C30</f>
        <v>0</v>
      </c>
      <c r="D28" s="150">
        <f ca="1">C29</f>
        <v>0</v>
      </c>
      <c r="E28" s="152" t="s">
        <v>15</v>
      </c>
      <c r="F28" s="158">
        <f ca="1">IF(C1="",'数据-取费表'!Q16,INDIRECT("'数据-取费表'!q"&amp;$K$1))</f>
        <v>0.2</v>
      </c>
      <c r="G28" s="754"/>
      <c r="H28" s="755"/>
      <c r="I28" s="755"/>
      <c r="J28" s="755"/>
      <c r="K28" s="756"/>
    </row>
    <row r="29" spans="1:33" s="161" customFormat="1" ht="13.5" customHeight="1">
      <c r="A29" s="736" t="s">
        <v>803</v>
      </c>
      <c r="B29" s="759" t="s">
        <v>2517</v>
      </c>
      <c r="C29" s="154">
        <f ca="1">ROUND((1+C24)*F28*'数据-取费表'!B24/'数据-取费表'!B20,4)</f>
        <v>0</v>
      </c>
      <c r="D29" s="154"/>
      <c r="E29" s="155"/>
      <c r="F29" s="160"/>
      <c r="G29" s="55" t="s">
        <v>2518</v>
      </c>
      <c r="H29" s="744"/>
      <c r="I29" s="744"/>
      <c r="J29" s="744"/>
      <c r="K29" s="745"/>
    </row>
    <row r="30" spans="1:33" s="161" customFormat="1" ht="13.5" customHeight="1">
      <c r="A30" s="736" t="s">
        <v>804</v>
      </c>
      <c r="B30" s="759" t="s">
        <v>2519</v>
      </c>
      <c r="C30" s="162">
        <f ca="1">ROUND((C21+C22+C23)*F28,0)</f>
        <v>0</v>
      </c>
      <c r="D30" s="154"/>
      <c r="E30" s="155"/>
      <c r="F30" s="160"/>
      <c r="G30" s="55"/>
      <c r="H30" s="744"/>
      <c r="I30" s="744"/>
      <c r="J30" s="744"/>
      <c r="K30" s="745"/>
    </row>
    <row r="31" spans="1:33" s="740" customFormat="1" ht="13.5" customHeight="1" thickBot="1">
      <c r="A31" s="1784" t="s">
        <v>2520</v>
      </c>
      <c r="B31" s="770" t="s">
        <v>2521</v>
      </c>
      <c r="C31" s="771">
        <f>ROUND(C4*F31/(1+'数据-取费表'!C42),0)</f>
        <v>0</v>
      </c>
      <c r="D31" s="772"/>
      <c r="E31" s="773"/>
      <c r="F31" s="774">
        <f>'数据-取费表'!B41</f>
        <v>5.6000000000000001E-2</v>
      </c>
      <c r="G31" s="775" t="s">
        <v>2522</v>
      </c>
      <c r="H31" s="776"/>
      <c r="I31" s="776"/>
      <c r="J31" s="776"/>
      <c r="K31" s="777"/>
    </row>
    <row r="32" spans="1:33" s="735" customFormat="1" ht="13.5" customHeight="1" thickBot="1">
      <c r="A32" s="765" t="s">
        <v>2523</v>
      </c>
      <c r="B32" s="766"/>
      <c r="C32" s="767">
        <f ca="1">ROUND((C4-C21-C22-C23-C25-C28-C31)/(1+C24+D25+D28),0)</f>
        <v>0</v>
      </c>
      <c r="D32" s="766"/>
      <c r="E32" s="766"/>
      <c r="F32" s="766"/>
      <c r="G32" s="768" t="s">
        <v>2524</v>
      </c>
      <c r="H32" s="766"/>
      <c r="I32" s="766"/>
      <c r="J32" s="766"/>
      <c r="K32" s="769"/>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7" zoomScale="90" zoomScaleNormal="90" zoomScaleSheetLayoutView="90" workbookViewId="0">
      <selection activeCell="C38" sqref="C38"/>
    </sheetView>
  </sheetViews>
  <sheetFormatPr defaultRowHeight="12.75"/>
  <cols>
    <col min="1" max="1" width="9" style="128" customWidth="1"/>
    <col min="2" max="2" width="20.625" style="522" customWidth="1"/>
    <col min="3" max="3" width="11.875" style="522" customWidth="1"/>
    <col min="4" max="4" width="40.5" style="128" customWidth="1"/>
    <col min="5" max="5" width="15.75" style="128" customWidth="1"/>
    <col min="6" max="6" width="10.625" style="128" customWidth="1"/>
    <col min="7" max="7" width="4.875" style="128" customWidth="1"/>
    <col min="8" max="8" width="8.5" style="128" customWidth="1"/>
    <col min="9" max="9" width="21.25" style="128" customWidth="1"/>
    <col min="10" max="10" width="12.25" style="128" customWidth="1"/>
    <col min="11" max="11" width="40.125" style="1534" customWidth="1"/>
    <col min="12" max="12" width="16.375" style="128" customWidth="1"/>
    <col min="13" max="13" width="13" style="128" customWidth="1"/>
    <col min="14" max="14" width="13.75" style="1441" customWidth="1"/>
    <col min="15" max="15" width="5.125" style="1441" customWidth="1"/>
    <col min="16" max="16" width="25.75" style="1441" customWidth="1"/>
    <col min="17" max="17" width="13.75" style="1441" customWidth="1"/>
    <col min="18" max="18" width="20.5" style="1441" customWidth="1"/>
    <col min="19" max="19" width="13.25" style="1441" customWidth="1"/>
    <col min="20" max="37" width="9" style="1441"/>
    <col min="38" max="16384" width="9" style="128"/>
  </cols>
  <sheetData>
    <row r="1" spans="1:37" s="163" customFormat="1" ht="21">
      <c r="A1" s="1432" t="s">
        <v>1591</v>
      </c>
      <c r="B1" s="564"/>
      <c r="C1" s="1436"/>
      <c r="D1" s="1421"/>
      <c r="E1" s="1422" t="s">
        <v>1388</v>
      </c>
      <c r="F1" s="963" t="b">
        <f>J53</f>
        <v>0</v>
      </c>
      <c r="G1" s="1435">
        <f>MATCH(C1,'数据-取费表'!A6:A16,0)+5</f>
        <v>10</v>
      </c>
      <c r="H1" s="534"/>
      <c r="I1" s="164"/>
      <c r="J1" s="164"/>
      <c r="K1" s="535"/>
      <c r="L1" s="164"/>
      <c r="M1" s="164"/>
      <c r="N1" s="572"/>
      <c r="O1" s="572"/>
      <c r="P1" s="572"/>
      <c r="Q1" s="572"/>
      <c r="R1" s="572"/>
      <c r="S1" s="572"/>
      <c r="T1" s="572"/>
      <c r="U1" s="572"/>
      <c r="V1" s="572"/>
      <c r="W1" s="572"/>
      <c r="X1" s="572"/>
      <c r="Y1" s="572"/>
      <c r="Z1" s="572"/>
      <c r="AA1" s="572"/>
      <c r="AB1" s="572"/>
      <c r="AC1" s="572"/>
      <c r="AD1" s="572"/>
      <c r="AE1" s="572"/>
      <c r="AF1" s="572"/>
      <c r="AG1" s="572"/>
      <c r="AH1" s="572"/>
      <c r="AI1" s="572"/>
      <c r="AJ1" s="572"/>
      <c r="AK1" s="572"/>
    </row>
    <row r="2" spans="1:37" ht="18" customHeight="1">
      <c r="A2" s="1442" t="s">
        <v>1592</v>
      </c>
      <c r="B2" s="1443" t="e">
        <f ca="1">ROUND(D2/10000,0)</f>
        <v>#DIV/0!</v>
      </c>
      <c r="C2" s="1444" t="s">
        <v>1593</v>
      </c>
      <c r="D2" s="1537" t="e">
        <f ca="1">C40+J29+L46</f>
        <v>#DIV/0!</v>
      </c>
      <c r="E2" s="1445" t="s">
        <v>1594</v>
      </c>
      <c r="F2" s="1446"/>
      <c r="G2" s="1447"/>
      <c r="H2" s="1439"/>
      <c r="I2" s="1439"/>
      <c r="J2" s="1439"/>
      <c r="K2" s="1440"/>
      <c r="L2" s="1439"/>
      <c r="M2" s="1439"/>
    </row>
    <row r="3" spans="1:37" ht="18" customHeight="1" thickBot="1">
      <c r="A3" s="1448" t="s">
        <v>1595</v>
      </c>
      <c r="B3" s="1449">
        <f ca="1">IF(ISERROR(D2/F43),0,ROUND(D2/F43,0))</f>
        <v>0</v>
      </c>
      <c r="C3" s="1444" t="s">
        <v>1596</v>
      </c>
      <c r="D3" s="1444"/>
      <c r="E3" s="1445"/>
      <c r="F3" s="1446"/>
      <c r="G3" s="1447"/>
      <c r="H3" s="526" t="s">
        <v>1590</v>
      </c>
      <c r="I3" s="1439"/>
      <c r="J3" s="1439"/>
      <c r="K3" s="1440"/>
      <c r="L3" s="1439"/>
      <c r="M3" s="1439"/>
    </row>
    <row r="4" spans="1:37" ht="18" customHeight="1">
      <c r="A4" s="165" t="s">
        <v>1597</v>
      </c>
      <c r="B4" s="166" t="s">
        <v>1598</v>
      </c>
      <c r="C4" s="166" t="s">
        <v>1599</v>
      </c>
      <c r="D4" s="166" t="s">
        <v>1600</v>
      </c>
      <c r="E4" s="167" t="s">
        <v>1601</v>
      </c>
      <c r="F4" s="168"/>
      <c r="G4" s="1450"/>
      <c r="H4" s="165" t="s">
        <v>1597</v>
      </c>
      <c r="I4" s="166" t="s">
        <v>1598</v>
      </c>
      <c r="J4" s="166" t="s">
        <v>1599</v>
      </c>
      <c r="K4" s="166" t="s">
        <v>1600</v>
      </c>
      <c r="L4" s="167" t="s">
        <v>1601</v>
      </c>
      <c r="M4" s="168"/>
    </row>
    <row r="5" spans="1:37" ht="18" customHeight="1">
      <c r="A5" s="169">
        <v>1</v>
      </c>
      <c r="B5" s="170" t="s">
        <v>1602</v>
      </c>
      <c r="C5" s="972">
        <f ca="1">C6+C10+C12</f>
        <v>0</v>
      </c>
      <c r="D5" s="1423" t="s">
        <v>1603</v>
      </c>
      <c r="E5" s="973"/>
      <c r="F5" s="974"/>
      <c r="G5" s="1450"/>
      <c r="H5" s="169">
        <v>1</v>
      </c>
      <c r="I5" s="170" t="s">
        <v>1602</v>
      </c>
      <c r="J5" s="972">
        <f ca="1">J6+J10+J12</f>
        <v>0</v>
      </c>
      <c r="K5" s="1423" t="s">
        <v>1603</v>
      </c>
      <c r="L5" s="973"/>
      <c r="M5" s="974"/>
    </row>
    <row r="6" spans="1:37" ht="18" customHeight="1">
      <c r="A6" s="971" t="s">
        <v>1035</v>
      </c>
      <c r="B6" s="3826" t="s">
        <v>1404</v>
      </c>
      <c r="C6" s="976">
        <f ca="1">ROUND(F6*F8*F7*(1-F9),0)</f>
        <v>0</v>
      </c>
      <c r="D6" s="59" t="s">
        <v>3034</v>
      </c>
      <c r="E6" s="172" t="s">
        <v>1406</v>
      </c>
      <c r="F6" s="173">
        <f ca="1">INDIRECT("'数据-取费表'!u"&amp;$G$1)</f>
        <v>0</v>
      </c>
      <c r="G6" s="1450"/>
      <c r="H6" s="971" t="s">
        <v>1035</v>
      </c>
      <c r="I6" s="3826" t="s">
        <v>1404</v>
      </c>
      <c r="J6" s="171">
        <f ca="1">ROUND(M6*M8*M7*(1-M9),0)</f>
        <v>0</v>
      </c>
      <c r="K6" s="1433" t="s">
        <v>3037</v>
      </c>
      <c r="L6" s="172" t="s">
        <v>1406</v>
      </c>
      <c r="M6" s="173">
        <f ca="1">INDIRECT("'数据-取费表'!z"&amp;$G$1)</f>
        <v>0</v>
      </c>
    </row>
    <row r="7" spans="1:37" ht="18" customHeight="1">
      <c r="A7" s="975"/>
      <c r="B7" s="3827"/>
      <c r="C7" s="977"/>
      <c r="D7" s="177"/>
      <c r="E7" s="978" t="s">
        <v>1407</v>
      </c>
      <c r="F7" s="173">
        <f ca="1">IF(INDIRECT("'数据-取费表'!ah"&amp;$G$1)="",INDIRECT("'数据-取费表'!k"&amp;$G$1),INDIRECT("'数据-取费表'!ah"&amp;$G$1))</f>
        <v>0</v>
      </c>
      <c r="G7" s="1450"/>
      <c r="H7" s="174"/>
      <c r="I7" s="3827"/>
      <c r="J7" s="176"/>
      <c r="K7" s="177"/>
      <c r="L7" s="172" t="s">
        <v>1407</v>
      </c>
      <c r="M7" s="173">
        <f ca="1">F7</f>
        <v>0</v>
      </c>
    </row>
    <row r="8" spans="1:37" ht="18" customHeight="1">
      <c r="A8" s="174"/>
      <c r="B8" s="3827"/>
      <c r="C8" s="176"/>
      <c r="D8" s="177"/>
      <c r="E8" s="172" t="s">
        <v>1408</v>
      </c>
      <c r="F8" s="173">
        <f ca="1">INDIRECT("'数据-取费表'!ai"&amp;$G$1)</f>
        <v>365</v>
      </c>
      <c r="G8" s="1450"/>
      <c r="H8" s="174"/>
      <c r="I8" s="3827"/>
      <c r="J8" s="176"/>
      <c r="K8" s="177"/>
      <c r="L8" s="172" t="s">
        <v>1408</v>
      </c>
      <c r="M8" s="173">
        <f ca="1">INDIRECT("'数据-取费表'!ai"&amp;$G$1)</f>
        <v>365</v>
      </c>
    </row>
    <row r="9" spans="1:37" ht="18" customHeight="1">
      <c r="A9" s="174"/>
      <c r="B9" s="3828"/>
      <c r="C9" s="176"/>
      <c r="D9" s="177"/>
      <c r="E9" s="172" t="s">
        <v>1409</v>
      </c>
      <c r="F9" s="182">
        <f ca="1">INDIRECT("'数据-取费表'!w"&amp;$G$1)</f>
        <v>0</v>
      </c>
      <c r="G9" s="1450"/>
      <c r="H9" s="174"/>
      <c r="I9" s="3828"/>
      <c r="J9" s="176"/>
      <c r="K9" s="177"/>
      <c r="L9" s="183" t="s">
        <v>1409</v>
      </c>
      <c r="M9" s="184">
        <f ca="1">INDIRECT("'数据-取费表'!ab"&amp;$G$1)</f>
        <v>0</v>
      </c>
    </row>
    <row r="10" spans="1:37" ht="18" customHeight="1">
      <c r="A10" s="971" t="s">
        <v>1039</v>
      </c>
      <c r="B10" s="1424" t="s">
        <v>1410</v>
      </c>
      <c r="C10" s="186">
        <f ca="1">ROUND(IF(F10="押一",F6*F8*F7/12*F11,IF(F10="押二",F6*F8*F7/12*2*F11,IF(F10="押三",F6*F8*F7/12*3*F11,C11*F11))),0)</f>
        <v>0</v>
      </c>
      <c r="D10" s="1425" t="s">
        <v>3035</v>
      </c>
      <c r="E10" s="183" t="s">
        <v>1412</v>
      </c>
      <c r="F10" s="1045"/>
      <c r="G10" s="1450"/>
      <c r="H10" s="971" t="s">
        <v>1039</v>
      </c>
      <c r="I10" s="1424" t="s">
        <v>1410</v>
      </c>
      <c r="J10" s="171">
        <f ca="1">ROUND(IF(M10="押一",M6*M8*M7/12*M11,IF(M10="押二",M6*M8*M7/12*2*M11,IF(M10="押三",M6*M8*M7/12*3*M11,J11*M11))),0)</f>
        <v>0</v>
      </c>
      <c r="K10" s="1434" t="s">
        <v>3036</v>
      </c>
      <c r="L10" s="183" t="s">
        <v>1412</v>
      </c>
      <c r="M10" s="1045"/>
    </row>
    <row r="11" spans="1:37" ht="18" customHeight="1">
      <c r="A11" s="178"/>
      <c r="B11" s="1426" t="s">
        <v>1604</v>
      </c>
      <c r="C11" s="923"/>
      <c r="D11" s="177"/>
      <c r="E11" s="183" t="s">
        <v>1414</v>
      </c>
      <c r="F11" s="184">
        <f ca="1">'数据-取费表'!B39</f>
        <v>1.4999999999999999E-2</v>
      </c>
      <c r="G11" s="1450"/>
      <c r="H11" s="979"/>
      <c r="I11" s="1426" t="s">
        <v>1605</v>
      </c>
      <c r="J11" s="923"/>
      <c r="K11" s="530"/>
      <c r="L11" s="183" t="s">
        <v>1414</v>
      </c>
      <c r="M11" s="809">
        <f ca="1">'数据-取费表'!B39</f>
        <v>1.4999999999999999E-2</v>
      </c>
    </row>
    <row r="12" spans="1:37" ht="18" customHeight="1" thickBot="1">
      <c r="A12" s="1012" t="s">
        <v>1075</v>
      </c>
      <c r="B12" s="1427" t="s">
        <v>1415</v>
      </c>
      <c r="C12" s="1013"/>
      <c r="D12" s="1014"/>
      <c r="E12" s="1019"/>
      <c r="F12" s="1015"/>
      <c r="G12" s="1450"/>
      <c r="H12" s="1012" t="s">
        <v>1075</v>
      </c>
      <c r="I12" s="1427" t="s">
        <v>1415</v>
      </c>
      <c r="J12" s="1013"/>
      <c r="K12" s="1027"/>
      <c r="L12" s="1019"/>
      <c r="M12" s="1028"/>
    </row>
    <row r="13" spans="1:37" ht="18" customHeight="1" thickTop="1">
      <c r="A13" s="1008">
        <v>2</v>
      </c>
      <c r="B13" s="1009" t="s">
        <v>1416</v>
      </c>
      <c r="C13" s="180">
        <f ca="1">ROUND(C29*F13,0)</f>
        <v>0</v>
      </c>
      <c r="D13" s="1010" t="s">
        <v>1417</v>
      </c>
      <c r="E13" s="1010" t="s">
        <v>1418</v>
      </c>
      <c r="F13" s="1011">
        <f ca="1">INDIRECT("'数据-取费表'!y"&amp;$G$1)</f>
        <v>0</v>
      </c>
      <c r="G13" s="1450"/>
      <c r="H13" s="1008">
        <v>2</v>
      </c>
      <c r="I13" s="1009" t="s">
        <v>1416</v>
      </c>
      <c r="J13" s="970">
        <f ca="1">ROUND(J14*J15,0)</f>
        <v>0</v>
      </c>
      <c r="K13" s="1016" t="s">
        <v>1417</v>
      </c>
      <c r="L13" s="1451"/>
      <c r="M13" s="1452"/>
    </row>
    <row r="14" spans="1:37" ht="18" customHeight="1">
      <c r="A14" s="946" t="s">
        <v>1034</v>
      </c>
      <c r="B14" s="172" t="s">
        <v>1419</v>
      </c>
      <c r="C14" s="187">
        <f ca="1">ROUND(INDIRECT("'数据-取费表'!l"&amp;$G$1)*F43+'数据-取费表'!L14*INDIRECT("'数据-取费表'!S"&amp;$G$1),0)</f>
        <v>0</v>
      </c>
      <c r="D14" s="1405" t="s">
        <v>1420</v>
      </c>
      <c r="E14" s="1402"/>
      <c r="F14" s="188"/>
      <c r="G14" s="1450"/>
      <c r="H14" s="946" t="s">
        <v>1035</v>
      </c>
      <c r="I14" s="172" t="s">
        <v>1421</v>
      </c>
      <c r="J14" s="19">
        <f ca="1">C29</f>
        <v>0</v>
      </c>
      <c r="K14" s="14"/>
      <c r="L14" s="744"/>
      <c r="M14" s="745"/>
    </row>
    <row r="15" spans="1:37" s="1457" customFormat="1" ht="18" customHeight="1" thickBot="1">
      <c r="A15" s="946" t="s">
        <v>1036</v>
      </c>
      <c r="B15" s="172" t="s">
        <v>1422</v>
      </c>
      <c r="C15" s="19">
        <f ca="1">ROUND(C14*F15,0)</f>
        <v>0</v>
      </c>
      <c r="D15" s="189" t="s">
        <v>1423</v>
      </c>
      <c r="E15" s="189" t="s">
        <v>1424</v>
      </c>
      <c r="F15" s="190">
        <f>'数据-取费表'!B33</f>
        <v>0.05</v>
      </c>
      <c r="G15" s="1453"/>
      <c r="H15" s="1018" t="s">
        <v>1039</v>
      </c>
      <c r="I15" s="1019" t="s">
        <v>1418</v>
      </c>
      <c r="J15" s="1028">
        <f ca="1">INDIRECT("'数据-取费表'!ad"&amp;$G$1)</f>
        <v>0</v>
      </c>
      <c r="K15" s="1029"/>
      <c r="L15" s="1454"/>
      <c r="M15" s="1455"/>
      <c r="N15" s="1456"/>
      <c r="O15" s="1456"/>
      <c r="P15" s="1456"/>
      <c r="Q15" s="1456"/>
      <c r="R15" s="1456"/>
      <c r="S15" s="1456"/>
      <c r="T15" s="1456"/>
      <c r="U15" s="1456"/>
      <c r="V15" s="1456"/>
      <c r="W15" s="1456"/>
      <c r="X15" s="1456"/>
      <c r="Y15" s="1456"/>
      <c r="Z15" s="1456"/>
      <c r="AA15" s="1456"/>
      <c r="AB15" s="1456"/>
      <c r="AC15" s="1456"/>
      <c r="AD15" s="1456"/>
      <c r="AE15" s="1456"/>
      <c r="AF15" s="1456"/>
      <c r="AG15" s="1456"/>
      <c r="AH15" s="1456"/>
      <c r="AI15" s="1456"/>
      <c r="AJ15" s="1456"/>
      <c r="AK15" s="1456"/>
    </row>
    <row r="16" spans="1:37" ht="18" customHeight="1" thickTop="1">
      <c r="A16" s="946" t="s">
        <v>1390</v>
      </c>
      <c r="B16" s="172" t="s">
        <v>1425</v>
      </c>
      <c r="C16" s="19">
        <f ca="1">ROUND(INDIRECT("'数据-取费表'!l"&amp;$G$1)*F43*F16,0)</f>
        <v>0</v>
      </c>
      <c r="D16" s="172" t="s">
        <v>1423</v>
      </c>
      <c r="E16" s="172" t="s">
        <v>1424</v>
      </c>
      <c r="F16" s="191">
        <f ca="1">IF(INDIRECT("'数据-取费表'!c"&amp;$G$1)="住宅",'数据-取费表'!B34,0)</f>
        <v>0</v>
      </c>
      <c r="G16" s="1450"/>
      <c r="H16" s="1008" t="s">
        <v>1030</v>
      </c>
      <c r="I16" s="1009" t="s">
        <v>1426</v>
      </c>
      <c r="J16" s="180">
        <f ca="1">ROUND(J17+J22+J23+J24,0)</f>
        <v>0</v>
      </c>
      <c r="K16" s="1016" t="s">
        <v>1427</v>
      </c>
      <c r="L16" s="1017"/>
      <c r="M16" s="974"/>
    </row>
    <row r="17" spans="1:37" s="1457" customFormat="1" ht="18" customHeight="1">
      <c r="A17" s="946" t="s">
        <v>1391</v>
      </c>
      <c r="B17" s="172" t="s">
        <v>1428</v>
      </c>
      <c r="C17" s="19">
        <f ca="1">ROUND(F17*(F43+INDIRECT("'数据-取费表'!S"&amp;$G$1)),0)</f>
        <v>0</v>
      </c>
      <c r="D17" s="172" t="s">
        <v>1429</v>
      </c>
      <c r="E17" s="172" t="s">
        <v>1430</v>
      </c>
      <c r="F17" s="21">
        <f>'数据-取费表'!B35</f>
        <v>200</v>
      </c>
      <c r="G17" s="1453"/>
      <c r="H17" s="946" t="s">
        <v>1035</v>
      </c>
      <c r="I17" s="172" t="s">
        <v>1431</v>
      </c>
      <c r="J17" s="19">
        <f ca="1">ROUND(IF(项目基本情况!B11="自然人",J5*M17,J18+J19+J20),0)</f>
        <v>0</v>
      </c>
      <c r="K17" s="1405" t="s">
        <v>1432</v>
      </c>
      <c r="L17" s="1404" t="s">
        <v>1433</v>
      </c>
      <c r="M17" s="192" t="str">
        <f ca="1">IF(项目基本情况!B11="企业","",IF(INDIRECT("'数据-取费表'!c"&amp;$G$1)="住宅",5%,IF(M6*M7*M8/12/(1+'数据-取费表'!C42)&gt;20000,12%,7%)))</f>
        <v/>
      </c>
      <c r="N17" s="1456"/>
      <c r="O17" s="1456"/>
      <c r="P17" s="1456"/>
      <c r="Q17" s="1456"/>
      <c r="R17" s="1456"/>
      <c r="S17" s="1456"/>
      <c r="T17" s="1456"/>
      <c r="U17" s="1456"/>
      <c r="V17" s="1456"/>
      <c r="W17" s="1456"/>
      <c r="X17" s="1456"/>
      <c r="Y17" s="1456"/>
      <c r="Z17" s="1456"/>
      <c r="AA17" s="1456"/>
      <c r="AB17" s="1456"/>
      <c r="AC17" s="1456"/>
      <c r="AD17" s="1456"/>
      <c r="AE17" s="1456"/>
      <c r="AF17" s="1456"/>
      <c r="AG17" s="1456"/>
      <c r="AH17" s="1456"/>
      <c r="AI17" s="1456"/>
      <c r="AJ17" s="1456"/>
      <c r="AK17" s="1456"/>
    </row>
    <row r="18" spans="1:37" s="1457" customFormat="1" ht="18" customHeight="1">
      <c r="A18" s="946" t="s">
        <v>1392</v>
      </c>
      <c r="B18" s="172" t="s">
        <v>1434</v>
      </c>
      <c r="C18" s="19">
        <f ca="1">ROUND(C14*F18,0)</f>
        <v>0</v>
      </c>
      <c r="D18" s="172" t="s">
        <v>1423</v>
      </c>
      <c r="E18" s="172" t="s">
        <v>1424</v>
      </c>
      <c r="F18" s="191">
        <f>'数据-取费表'!B36</f>
        <v>1.4999999999999999E-2</v>
      </c>
      <c r="G18" s="1453"/>
      <c r="H18" s="946" t="s">
        <v>1034</v>
      </c>
      <c r="I18" s="172" t="s">
        <v>1435</v>
      </c>
      <c r="J18" s="19">
        <f ca="1">ROUND(J5*M18/(1+'数据-取费表'!C42),0)</f>
        <v>0</v>
      </c>
      <c r="K18" s="1404" t="s">
        <v>1436</v>
      </c>
      <c r="L18" s="172" t="s">
        <v>1424</v>
      </c>
      <c r="M18" s="191">
        <f>'数据-取费表'!B41</f>
        <v>5.6000000000000001E-2</v>
      </c>
      <c r="N18" s="1456"/>
      <c r="O18" s="1456"/>
      <c r="P18" s="1456"/>
      <c r="Q18" s="1456"/>
      <c r="R18" s="1456"/>
      <c r="S18" s="1456"/>
      <c r="T18" s="1456"/>
      <c r="U18" s="1456"/>
      <c r="V18" s="1456"/>
      <c r="W18" s="1456"/>
      <c r="X18" s="1456"/>
      <c r="Y18" s="1456"/>
      <c r="Z18" s="1456"/>
      <c r="AA18" s="1456"/>
      <c r="AB18" s="1456"/>
      <c r="AC18" s="1456"/>
      <c r="AD18" s="1456"/>
      <c r="AE18" s="1456"/>
      <c r="AF18" s="1456"/>
      <c r="AG18" s="1456"/>
      <c r="AH18" s="1456"/>
      <c r="AI18" s="1456"/>
      <c r="AJ18" s="1456"/>
      <c r="AK18" s="1456"/>
    </row>
    <row r="19" spans="1:37" ht="18" customHeight="1">
      <c r="A19" s="946" t="s">
        <v>1035</v>
      </c>
      <c r="B19" s="172" t="s">
        <v>1437</v>
      </c>
      <c r="C19" s="19">
        <f ca="1">SUM(C14:C18)</f>
        <v>0</v>
      </c>
      <c r="D19" s="55" t="s">
        <v>1438</v>
      </c>
      <c r="E19" s="1419"/>
      <c r="F19" s="21"/>
      <c r="G19" s="1450"/>
      <c r="H19" s="946" t="s">
        <v>1036</v>
      </c>
      <c r="I19" s="172" t="s">
        <v>1439</v>
      </c>
      <c r="J19" s="19">
        <f ca="1">IF(K19="按租金收入计税",ROUND(J5*M19,0),ROUND(C29*M19*0.7,0))</f>
        <v>0</v>
      </c>
      <c r="K19" s="1428" t="s">
        <v>1440</v>
      </c>
      <c r="L19" s="172" t="s">
        <v>1424</v>
      </c>
      <c r="M19" s="191">
        <f>IF(K19="按租金收入计税",'数据-取费表'!B51,'数据-取费表'!B50)</f>
        <v>1.2E-2</v>
      </c>
    </row>
    <row r="20" spans="1:37" s="1457" customFormat="1" ht="18" customHeight="1">
      <c r="A20" s="946" t="s">
        <v>1039</v>
      </c>
      <c r="B20" s="172" t="s">
        <v>1441</v>
      </c>
      <c r="C20" s="19">
        <f ca="1">ROUND(C19*F20,0)</f>
        <v>0</v>
      </c>
      <c r="D20" s="193" t="s">
        <v>1442</v>
      </c>
      <c r="E20" s="172" t="s">
        <v>1424</v>
      </c>
      <c r="F20" s="191">
        <f>'数据-取费表'!B37</f>
        <v>0.03</v>
      </c>
      <c r="G20" s="1453"/>
      <c r="H20" s="946" t="s">
        <v>1390</v>
      </c>
      <c r="I20" s="59" t="s">
        <v>1443</v>
      </c>
      <c r="J20" s="20">
        <f ca="1">ROUND(M20*M21,0)</f>
        <v>0</v>
      </c>
      <c r="K20" s="194" t="s">
        <v>1444</v>
      </c>
      <c r="L20" s="172" t="s">
        <v>1445</v>
      </c>
      <c r="M20" s="195">
        <f>'数据-取费表'!B52</f>
        <v>8</v>
      </c>
      <c r="N20" s="1456"/>
      <c r="O20" s="1456"/>
      <c r="P20" s="1456"/>
      <c r="Q20" s="1456"/>
      <c r="R20" s="1456"/>
      <c r="S20" s="1456"/>
      <c r="T20" s="1456"/>
      <c r="U20" s="1456"/>
      <c r="V20" s="1456"/>
      <c r="W20" s="1456"/>
      <c r="X20" s="1456"/>
      <c r="Y20" s="1456"/>
      <c r="Z20" s="1456"/>
      <c r="AA20" s="1456"/>
      <c r="AB20" s="1456"/>
      <c r="AC20" s="1456"/>
      <c r="AD20" s="1456"/>
      <c r="AE20" s="1456"/>
      <c r="AF20" s="1456"/>
      <c r="AG20" s="1456"/>
      <c r="AH20" s="1456"/>
      <c r="AI20" s="1456"/>
      <c r="AJ20" s="1456"/>
      <c r="AK20" s="1456"/>
    </row>
    <row r="21" spans="1:37" s="1457" customFormat="1" ht="18" customHeight="1">
      <c r="A21" s="946" t="s">
        <v>1075</v>
      </c>
      <c r="B21" s="172" t="s">
        <v>1446</v>
      </c>
      <c r="C21" s="19" t="s">
        <v>1</v>
      </c>
      <c r="D21" s="193" t="s">
        <v>1447</v>
      </c>
      <c r="E21" s="172" t="s">
        <v>1448</v>
      </c>
      <c r="F21" s="191">
        <f>'数据-取费表'!B38</f>
        <v>0.03</v>
      </c>
      <c r="G21" s="1453"/>
      <c r="H21" s="196"/>
      <c r="I21" s="181"/>
      <c r="J21" s="23"/>
      <c r="K21" s="197"/>
      <c r="L21" s="172" t="s">
        <v>1449</v>
      </c>
      <c r="M21" s="173">
        <f ca="1">INDIRECT("'数据-取费表'!r"&amp;$G$1)</f>
        <v>0</v>
      </c>
      <c r="N21" s="1456"/>
      <c r="O21" s="1456"/>
      <c r="P21" s="1456"/>
      <c r="Q21" s="1456"/>
      <c r="R21" s="1456"/>
      <c r="S21" s="1456"/>
      <c r="T21" s="1456"/>
      <c r="U21" s="1456"/>
      <c r="V21" s="1456"/>
      <c r="W21" s="1456"/>
      <c r="X21" s="1456"/>
      <c r="Y21" s="1456"/>
      <c r="Z21" s="1456"/>
      <c r="AA21" s="1456"/>
      <c r="AB21" s="1456"/>
      <c r="AC21" s="1456"/>
      <c r="AD21" s="1456"/>
      <c r="AE21" s="1456"/>
      <c r="AF21" s="1456"/>
      <c r="AG21" s="1456"/>
      <c r="AH21" s="1456"/>
      <c r="AI21" s="1456"/>
      <c r="AJ21" s="1456"/>
      <c r="AK21" s="1456"/>
    </row>
    <row r="22" spans="1:37" ht="18" customHeight="1">
      <c r="A22" s="946" t="s">
        <v>1393</v>
      </c>
      <c r="B22" s="172" t="s">
        <v>1450</v>
      </c>
      <c r="C22" s="19"/>
      <c r="D22" s="55" t="str">
        <f>IF(F23&lt;=1,"单利计息。","复利计息。")&amp;"建造成本、管理费用、销售费用产生的利息。"</f>
        <v>复利计息。建造成本、管理费用、销售费用产生的利息。</v>
      </c>
      <c r="E22" s="1419"/>
      <c r="F22" s="21"/>
      <c r="G22" s="1450"/>
      <c r="H22" s="946" t="s">
        <v>1039</v>
      </c>
      <c r="I22" s="172" t="s">
        <v>1451</v>
      </c>
      <c r="J22" s="19">
        <f ca="1">ROUND(J14*M22,0)</f>
        <v>0</v>
      </c>
      <c r="K22" s="1404" t="s">
        <v>1452</v>
      </c>
      <c r="L22" s="172" t="s">
        <v>1424</v>
      </c>
      <c r="M22" s="198">
        <f ca="1">INDIRECT("'数据-取费表'!Ak"&amp;$G$1)</f>
        <v>0</v>
      </c>
    </row>
    <row r="23" spans="1:37" s="1457" customFormat="1" ht="18" customHeight="1">
      <c r="A23" s="946" t="s">
        <v>1034</v>
      </c>
      <c r="B23" s="172" t="s">
        <v>1453</v>
      </c>
      <c r="C23" s="19">
        <f ca="1">IF('数据-取费表'!B22&lt;=1,ROUND(C19*F24*F23/2,0)+ROUND(C20*F24*F23/2,0),ROUND(C19*(POWER((1+F24),F23/2)-1),0)+ROUND(C20*(POWER((1+F24),F23/2)-1),0))</f>
        <v>0</v>
      </c>
      <c r="D23" s="199" t="str">
        <f>IF(F23&lt;=1,"(建造成本+管理费用)×利率×(建设周期÷2)","(建造成本+管理费用)×((1+利率)^(建设周期÷2)-1)")</f>
        <v>(建造成本+管理费用)×((1+利率)^(建设周期÷2)-1)</v>
      </c>
      <c r="E23" s="172" t="s">
        <v>1454</v>
      </c>
      <c r="F23" s="195">
        <f>'数据-取费表'!B20</f>
        <v>2</v>
      </c>
      <c r="G23" s="1453"/>
      <c r="H23" s="946" t="s">
        <v>1075</v>
      </c>
      <c r="I23" s="172" t="s">
        <v>1455</v>
      </c>
      <c r="J23" s="19">
        <f ca="1">ROUND(J13*M23,0)</f>
        <v>0</v>
      </c>
      <c r="K23" s="1404" t="s">
        <v>1456</v>
      </c>
      <c r="L23" s="172" t="s">
        <v>1457</v>
      </c>
      <c r="M23" s="200">
        <f ca="1">INDIRECT("'数据-取费表'!Al"&amp;$G$1)</f>
        <v>0</v>
      </c>
      <c r="N23" s="1456"/>
      <c r="O23" s="1456"/>
      <c r="P23" s="1456"/>
      <c r="Q23" s="1456"/>
      <c r="R23" s="1456"/>
      <c r="S23" s="1456"/>
      <c r="T23" s="1456"/>
      <c r="U23" s="1456"/>
      <c r="V23" s="1456"/>
      <c r="W23" s="1456"/>
      <c r="X23" s="1456"/>
      <c r="Y23" s="1456"/>
      <c r="Z23" s="1456"/>
      <c r="AA23" s="1456"/>
      <c r="AB23" s="1456"/>
      <c r="AC23" s="1456"/>
      <c r="AD23" s="1456"/>
      <c r="AE23" s="1456"/>
      <c r="AF23" s="1456"/>
      <c r="AG23" s="1456"/>
      <c r="AH23" s="1456"/>
      <c r="AI23" s="1456"/>
      <c r="AJ23" s="1456"/>
      <c r="AK23" s="1456"/>
    </row>
    <row r="24" spans="1:37" s="1457" customFormat="1" ht="18" customHeight="1" thickBot="1">
      <c r="A24" s="946" t="s">
        <v>1458</v>
      </c>
      <c r="B24" s="172" t="s">
        <v>1459</v>
      </c>
      <c r="C24" s="19">
        <f ca="1">ROUND(IF('数据-取费表'!B22&lt;=1,F21*F24*F23/2,F21*(POWER((1+F24),F23/2)-1)),4)</f>
        <v>1.4E-3</v>
      </c>
      <c r="D24" s="199" t="str">
        <f>IF(F23&lt;=1,"销售费用×利率×(建设周期÷2)","销售费用×((1+利率)^(建设周期÷2)-1)")</f>
        <v>销售费用×((1+利率)^(建设周期÷2)-1)</v>
      </c>
      <c r="E24" s="172" t="s">
        <v>1460</v>
      </c>
      <c r="F24" s="201">
        <f ca="1">'数据-取费表'!B40</f>
        <v>4.7500000000000001E-2</v>
      </c>
      <c r="G24" s="1453"/>
      <c r="H24" s="1018" t="s">
        <v>1394</v>
      </c>
      <c r="I24" s="1019" t="s">
        <v>1441</v>
      </c>
      <c r="J24" s="1020">
        <f ca="1">ROUND(J5*M24,0)</f>
        <v>0</v>
      </c>
      <c r="K24" s="1021" t="s">
        <v>1461</v>
      </c>
      <c r="L24" s="1019" t="s">
        <v>1457</v>
      </c>
      <c r="M24" s="1015">
        <f ca="1">INDIRECT("'数据-取费表'!Am"&amp;$G$1)</f>
        <v>0</v>
      </c>
      <c r="N24" s="1456"/>
      <c r="O24" s="1456"/>
      <c r="P24" s="1456"/>
      <c r="Q24" s="1456"/>
      <c r="R24" s="1456"/>
      <c r="S24" s="1456"/>
      <c r="T24" s="1456"/>
      <c r="U24" s="1456"/>
      <c r="V24" s="1456"/>
      <c r="W24" s="1456"/>
      <c r="X24" s="1456"/>
      <c r="Y24" s="1456"/>
      <c r="Z24" s="1456"/>
      <c r="AA24" s="1456"/>
      <c r="AB24" s="1456"/>
      <c r="AC24" s="1456"/>
      <c r="AD24" s="1456"/>
      <c r="AE24" s="1456"/>
      <c r="AF24" s="1456"/>
      <c r="AG24" s="1456"/>
      <c r="AH24" s="1456"/>
      <c r="AI24" s="1456"/>
      <c r="AJ24" s="1456"/>
      <c r="AK24" s="1456"/>
    </row>
    <row r="25" spans="1:37" ht="18" customHeight="1" thickTop="1">
      <c r="A25" s="946" t="s">
        <v>1462</v>
      </c>
      <c r="B25" s="172" t="s">
        <v>1463</v>
      </c>
      <c r="C25" s="19"/>
      <c r="D25" s="55" t="s">
        <v>1464</v>
      </c>
      <c r="E25" s="1419"/>
      <c r="F25" s="21"/>
      <c r="G25" s="1450"/>
      <c r="H25" s="1008" t="s">
        <v>1031</v>
      </c>
      <c r="I25" s="1023" t="s">
        <v>1465</v>
      </c>
      <c r="J25" s="180">
        <f ca="1">J5-J16</f>
        <v>0</v>
      </c>
      <c r="K25" s="1024" t="s">
        <v>1466</v>
      </c>
      <c r="L25" s="1025"/>
      <c r="M25" s="1026"/>
    </row>
    <row r="26" spans="1:37" ht="18" customHeight="1">
      <c r="A26" s="946" t="s">
        <v>1034</v>
      </c>
      <c r="B26" s="172" t="s">
        <v>1467</v>
      </c>
      <c r="C26" s="19">
        <f ca="1">ROUND((C19+C20)*F26,0)</f>
        <v>0</v>
      </c>
      <c r="D26" s="193" t="s">
        <v>1468</v>
      </c>
      <c r="E26" s="183" t="s">
        <v>1469</v>
      </c>
      <c r="F26" s="182">
        <f ca="1">INDIRECT("'数据-取费表'!q"&amp;$G$1)</f>
        <v>0</v>
      </c>
      <c r="G26" s="1450"/>
      <c r="H26" s="169" t="s">
        <v>1032</v>
      </c>
      <c r="I26" s="170" t="s">
        <v>1470</v>
      </c>
      <c r="J26" s="171">
        <f ca="1">IF(J5&lt;&gt;0,ROUND(J25*(1-((1+M28)/(1+M26))^M27)/(M26-M28),0),0)</f>
        <v>0</v>
      </c>
      <c r="K26" s="194" t="s">
        <v>1471</v>
      </c>
      <c r="L26" s="172" t="s">
        <v>1472</v>
      </c>
      <c r="M26" s="182">
        <f ca="1">INDIRECT("'数据-取费表'!I"&amp;$G$1)</f>
        <v>0</v>
      </c>
    </row>
    <row r="27" spans="1:37" ht="18" customHeight="1">
      <c r="A27" s="946" t="s">
        <v>1036</v>
      </c>
      <c r="B27" s="172" t="s">
        <v>1473</v>
      </c>
      <c r="C27" s="19">
        <f ca="1">ROUND(F21*F26,4)</f>
        <v>0</v>
      </c>
      <c r="D27" s="193" t="s">
        <v>1474</v>
      </c>
      <c r="E27" s="189"/>
      <c r="F27" s="190"/>
      <c r="G27" s="1450"/>
      <c r="H27" s="174"/>
      <c r="I27" s="175"/>
      <c r="J27" s="176"/>
      <c r="K27" s="202" t="s">
        <v>1475</v>
      </c>
      <c r="L27" s="172" t="s">
        <v>1476</v>
      </c>
      <c r="M27" s="203">
        <f ca="1">INDIRECT("'数据-取费表'!ag"&amp;$G$1)</f>
        <v>0</v>
      </c>
    </row>
    <row r="28" spans="1:37" s="1457" customFormat="1" ht="18" customHeight="1">
      <c r="A28" s="946" t="s">
        <v>1037</v>
      </c>
      <c r="B28" s="172" t="s">
        <v>1477</v>
      </c>
      <c r="C28" s="19">
        <f>ROUND(F28/(1+'数据-取费表'!C42),4)</f>
        <v>5.33E-2</v>
      </c>
      <c r="D28" s="193" t="s">
        <v>1478</v>
      </c>
      <c r="E28" s="172" t="s">
        <v>1424</v>
      </c>
      <c r="F28" s="191">
        <f>'数据-取费表'!B41</f>
        <v>5.6000000000000001E-2</v>
      </c>
      <c r="G28" s="1453"/>
      <c r="H28" s="178"/>
      <c r="I28" s="179"/>
      <c r="J28" s="180"/>
      <c r="K28" s="197"/>
      <c r="L28" s="172" t="s">
        <v>1479</v>
      </c>
      <c r="M28" s="182">
        <f ca="1">INDIRECT("'数据-取费表'!aa"&amp;$G$1)</f>
        <v>0</v>
      </c>
      <c r="N28" s="1456"/>
      <c r="O28" s="1456"/>
      <c r="P28" s="1456"/>
      <c r="Q28" s="1456"/>
      <c r="R28" s="1456"/>
      <c r="S28" s="1456"/>
      <c r="T28" s="1456"/>
      <c r="U28" s="1456"/>
      <c r="V28" s="1456"/>
      <c r="W28" s="1456"/>
      <c r="X28" s="1456"/>
      <c r="Y28" s="1456"/>
      <c r="Z28" s="1456"/>
      <c r="AA28" s="1456"/>
      <c r="AB28" s="1456"/>
      <c r="AC28" s="1456"/>
      <c r="AD28" s="1456"/>
      <c r="AE28" s="1456"/>
      <c r="AF28" s="1456"/>
      <c r="AG28" s="1456"/>
      <c r="AH28" s="1456"/>
      <c r="AI28" s="1456"/>
      <c r="AJ28" s="1456"/>
      <c r="AK28" s="1456"/>
    </row>
    <row r="29" spans="1:37" s="1457" customFormat="1" ht="18" customHeight="1" thickBot="1">
      <c r="A29" s="1018" t="s">
        <v>1038</v>
      </c>
      <c r="B29" s="1019" t="s">
        <v>1480</v>
      </c>
      <c r="C29" s="1020">
        <f ca="1">ROUND((C19+C20+C23+C26)/(1-F21-C24-C27-C28),0)</f>
        <v>0</v>
      </c>
      <c r="D29" s="1021"/>
      <c r="E29" s="1019"/>
      <c r="F29" s="1022"/>
      <c r="G29" s="1453"/>
      <c r="H29" s="204" t="s">
        <v>1033</v>
      </c>
      <c r="I29" s="205" t="s">
        <v>1481</v>
      </c>
      <c r="J29" s="206">
        <f ca="1">ROUND(J26/(1+F40)^F41,0)</f>
        <v>0</v>
      </c>
      <c r="K29" s="207" t="s">
        <v>1482</v>
      </c>
      <c r="L29" s="208"/>
      <c r="M29" s="209">
        <f ca="1">INDIRECT("'数据-取费表'!k"&amp;$G$1)</f>
        <v>0</v>
      </c>
      <c r="N29" s="1456"/>
      <c r="O29" s="1456"/>
      <c r="P29" s="1456"/>
      <c r="Q29" s="1456"/>
      <c r="R29" s="1456"/>
      <c r="S29" s="1456"/>
      <c r="T29" s="1456"/>
      <c r="U29" s="1456"/>
      <c r="V29" s="1456"/>
      <c r="W29" s="1456"/>
      <c r="X29" s="1456"/>
      <c r="Y29" s="1456"/>
      <c r="Z29" s="1456"/>
      <c r="AA29" s="1456"/>
      <c r="AB29" s="1456"/>
      <c r="AC29" s="1456"/>
      <c r="AD29" s="1456"/>
      <c r="AE29" s="1456"/>
      <c r="AF29" s="1456"/>
      <c r="AG29" s="1456"/>
      <c r="AH29" s="1456"/>
      <c r="AI29" s="1456"/>
      <c r="AJ29" s="1456"/>
      <c r="AK29" s="1456"/>
    </row>
    <row r="30" spans="1:37" ht="18" customHeight="1" thickTop="1">
      <c r="A30" s="1008" t="s">
        <v>1030</v>
      </c>
      <c r="B30" s="1009" t="s">
        <v>1426</v>
      </c>
      <c r="C30" s="180">
        <f ca="1">ROUND(C31+C36+C37+C38,0)</f>
        <v>0</v>
      </c>
      <c r="D30" s="1016" t="s">
        <v>1427</v>
      </c>
      <c r="E30" s="1017"/>
      <c r="F30" s="974"/>
      <c r="G30" s="1450"/>
      <c r="H30" s="527"/>
      <c r="I30" s="528"/>
      <c r="J30" s="529"/>
      <c r="K30" s="530"/>
      <c r="L30" s="531"/>
      <c r="M30" s="532"/>
    </row>
    <row r="31" spans="1:37" ht="18" customHeight="1">
      <c r="A31" s="946" t="s">
        <v>1035</v>
      </c>
      <c r="B31" s="172" t="s">
        <v>1431</v>
      </c>
      <c r="C31" s="19">
        <f ca="1">ROUND(IF(项目基本情况!B11="自然人",C5*F31,C32+C33+C34),0)</f>
        <v>0</v>
      </c>
      <c r="D31" s="1405" t="s">
        <v>1432</v>
      </c>
      <c r="E31" s="1404" t="s">
        <v>1483</v>
      </c>
      <c r="F31" s="192" t="str">
        <f ca="1">IF(项目基本情况!B11="企业","",IF(INDIRECT("'数据-取费表'!c"&amp;$G$1)="住宅",5%,IF(F6*F7*F8/12/(1+'数据-取费表'!C42)&gt;20000,12%,7%)))</f>
        <v/>
      </c>
      <c r="G31" s="1450"/>
      <c r="H31" s="527"/>
      <c r="I31" s="528"/>
      <c r="J31" s="529"/>
      <c r="K31" s="530"/>
      <c r="L31" s="531"/>
      <c r="M31" s="532"/>
    </row>
    <row r="32" spans="1:37" ht="18" customHeight="1">
      <c r="A32" s="946" t="s">
        <v>1034</v>
      </c>
      <c r="B32" s="172" t="s">
        <v>1435</v>
      </c>
      <c r="C32" s="19">
        <f ca="1">IF(项目基本情况!B11="自然人","——",ROUND(C5*F32/(1+'数据-取费表'!C42),0))</f>
        <v>0</v>
      </c>
      <c r="D32" s="1404" t="s">
        <v>1436</v>
      </c>
      <c r="E32" s="172" t="s">
        <v>1424</v>
      </c>
      <c r="F32" s="201">
        <f>'数据-取费表'!B41</f>
        <v>5.6000000000000001E-2</v>
      </c>
      <c r="G32" s="1450"/>
      <c r="H32" s="527"/>
      <c r="I32" s="528"/>
      <c r="J32" s="529"/>
      <c r="K32" s="530"/>
      <c r="L32" s="531"/>
      <c r="M32" s="532"/>
    </row>
    <row r="33" spans="1:18" ht="18" customHeight="1">
      <c r="A33" s="946" t="s">
        <v>1036</v>
      </c>
      <c r="B33" s="172" t="s">
        <v>1439</v>
      </c>
      <c r="C33" s="19">
        <f ca="1">IF(项目基本情况!B11="自然人","——",IF(D33="按租金收入计税",ROUND(C5*F33,0),IF(D33="按房产原值计税",ROUND(C29*F33*0.7,0),INDIRECT("'数据-取费表'!Aj"&amp;$G$1))))</f>
        <v>0</v>
      </c>
      <c r="D33" s="1428" t="s">
        <v>1440</v>
      </c>
      <c r="E33" s="172" t="s">
        <v>1424</v>
      </c>
      <c r="F33" s="191">
        <f>IF(D33="按票据","——",IF(D33="按租金收入计税",'数据-取费表'!B51,'数据-取费表'!B50))</f>
        <v>1.2E-2</v>
      </c>
      <c r="G33" s="1450"/>
      <c r="H33" s="1458"/>
      <c r="I33" s="1459"/>
      <c r="J33" s="1460"/>
      <c r="K33" s="1461"/>
      <c r="L33" s="1458"/>
      <c r="M33" s="1458"/>
    </row>
    <row r="34" spans="1:18" ht="18" customHeight="1">
      <c r="A34" s="971" t="s">
        <v>1390</v>
      </c>
      <c r="B34" s="59" t="s">
        <v>1443</v>
      </c>
      <c r="C34" s="20">
        <f ca="1">IF(项目基本情况!B11="自然人","——",ROUND(F34*F35,))</f>
        <v>0</v>
      </c>
      <c r="D34" s="194" t="s">
        <v>1444</v>
      </c>
      <c r="E34" s="172" t="s">
        <v>1445</v>
      </c>
      <c r="F34" s="195">
        <f>'数据-取费表'!B52</f>
        <v>8</v>
      </c>
      <c r="G34" s="1450"/>
      <c r="H34" s="527"/>
      <c r="I34" s="1459"/>
      <c r="J34" s="1460"/>
      <c r="K34" s="1462"/>
      <c r="L34" s="1463"/>
      <c r="M34" s="1463"/>
    </row>
    <row r="35" spans="1:18" ht="18" customHeight="1">
      <c r="A35" s="1032"/>
      <c r="B35" s="1030"/>
      <c r="C35" s="23"/>
      <c r="D35" s="197"/>
      <c r="E35" s="172" t="s">
        <v>1449</v>
      </c>
      <c r="F35" s="173">
        <f ca="1">INDIRECT("'数据-取费表'!r"&amp;$G$1)</f>
        <v>0</v>
      </c>
      <c r="G35" s="1450"/>
      <c r="H35" s="527"/>
      <c r="I35" s="1459"/>
      <c r="J35" s="1460"/>
      <c r="K35" s="1461"/>
      <c r="L35" s="1458"/>
      <c r="M35" s="1458"/>
    </row>
    <row r="36" spans="1:18" ht="18" customHeight="1">
      <c r="A36" s="1031" t="s">
        <v>1039</v>
      </c>
      <c r="B36" s="172" t="s">
        <v>1451</v>
      </c>
      <c r="C36" s="19">
        <f ca="1">ROUND(C29*F36,0)</f>
        <v>0</v>
      </c>
      <c r="D36" s="1404" t="s">
        <v>1484</v>
      </c>
      <c r="E36" s="172" t="s">
        <v>1424</v>
      </c>
      <c r="F36" s="198">
        <f ca="1">INDIRECT("'数据-取费表'!Ak"&amp;$G$1)</f>
        <v>0</v>
      </c>
      <c r="G36" s="1450"/>
      <c r="H36" s="1458"/>
      <c r="I36" s="1459"/>
      <c r="J36" s="1460"/>
      <c r="K36" s="533"/>
      <c r="L36" s="1458"/>
      <c r="M36" s="1458"/>
    </row>
    <row r="37" spans="1:18" ht="18" customHeight="1">
      <c r="A37" s="946" t="s">
        <v>1075</v>
      </c>
      <c r="B37" s="172" t="s">
        <v>1455</v>
      </c>
      <c r="C37" s="19">
        <f ca="1">ROUND(C13*F37,0)</f>
        <v>0</v>
      </c>
      <c r="D37" s="1404" t="s">
        <v>1456</v>
      </c>
      <c r="E37" s="172" t="s">
        <v>1457</v>
      </c>
      <c r="F37" s="200">
        <f ca="1">INDIRECT("'数据-取费表'!Al"&amp;$G$1)</f>
        <v>0</v>
      </c>
      <c r="G37" s="1450"/>
      <c r="H37" s="1458"/>
      <c r="I37" s="1459"/>
      <c r="J37" s="1460"/>
      <c r="K37" s="533"/>
      <c r="L37" s="1458"/>
      <c r="M37" s="1458"/>
    </row>
    <row r="38" spans="1:18" ht="18" customHeight="1" thickBot="1">
      <c r="A38" s="1018" t="s">
        <v>1394</v>
      </c>
      <c r="B38" s="1019" t="s">
        <v>1441</v>
      </c>
      <c r="C38" s="1020">
        <f ca="1">ROUND(C5*F38,1)</f>
        <v>0</v>
      </c>
      <c r="D38" s="1021" t="s">
        <v>1461</v>
      </c>
      <c r="E38" s="1019" t="s">
        <v>1457</v>
      </c>
      <c r="F38" s="1015">
        <f ca="1">INDIRECT("'数据-取费表'!Am"&amp;$G$1)</f>
        <v>0</v>
      </c>
      <c r="G38" s="1450"/>
      <c r="H38" s="1458"/>
      <c r="I38" s="1459"/>
      <c r="J38" s="1460"/>
      <c r="K38" s="1464"/>
      <c r="L38" s="1458"/>
      <c r="M38" s="1458"/>
    </row>
    <row r="39" spans="1:18" ht="24.6" customHeight="1" thickTop="1">
      <c r="A39" s="1008" t="s">
        <v>1031</v>
      </c>
      <c r="B39" s="1023" t="s">
        <v>1485</v>
      </c>
      <c r="C39" s="180">
        <f ca="1">C5-C30</f>
        <v>0</v>
      </c>
      <c r="D39" s="1024" t="s">
        <v>1486</v>
      </c>
      <c r="E39" s="1025"/>
      <c r="F39" s="1026"/>
      <c r="G39" s="1450"/>
      <c r="H39" s="1458"/>
      <c r="I39" s="1459"/>
      <c r="J39" s="1460"/>
      <c r="K39" s="1464"/>
      <c r="L39" s="1458"/>
      <c r="M39" s="1458"/>
    </row>
    <row r="40" spans="1:18" ht="18" customHeight="1">
      <c r="A40" s="169" t="s">
        <v>1032</v>
      </c>
      <c r="B40" s="170" t="s">
        <v>1487</v>
      </c>
      <c r="C40" s="171" t="e">
        <f ca="1">ROUND(C39*(1-((1+F42)/(1+F40))^F41)/(F40-F42),0)</f>
        <v>#DIV/0!</v>
      </c>
      <c r="D40" s="194" t="s">
        <v>1471</v>
      </c>
      <c r="E40" s="172" t="s">
        <v>1472</v>
      </c>
      <c r="F40" s="182">
        <f ca="1">INDIRECT("'数据-取费表'!I"&amp;$G$1)</f>
        <v>0</v>
      </c>
      <c r="G40" s="1450"/>
      <c r="H40" s="1438"/>
      <c r="I40" s="1459"/>
      <c r="J40" s="1460"/>
      <c r="K40" s="1464"/>
      <c r="L40" s="1438"/>
      <c r="M40" s="1438"/>
    </row>
    <row r="41" spans="1:18" ht="18" customHeight="1">
      <c r="A41" s="174"/>
      <c r="B41" s="175"/>
      <c r="C41" s="176"/>
      <c r="D41" s="202" t="s">
        <v>1488</v>
      </c>
      <c r="E41" s="172" t="s">
        <v>1476</v>
      </c>
      <c r="F41" s="203">
        <f ca="1">IF(INDIRECT("'数据-取费表'!af"&amp;$G$1)=0,INDIRECT("'数据-取费表'!ae"&amp;$G$1),INDIRECT("'数据-取费表'!af"&amp;$G$1))</f>
        <v>0</v>
      </c>
      <c r="G41" s="1450"/>
      <c r="H41" s="525"/>
      <c r="I41" s="1459"/>
      <c r="J41" s="1460"/>
      <c r="K41" s="533"/>
      <c r="L41" s="525"/>
      <c r="M41" s="525"/>
    </row>
    <row r="42" spans="1:18" ht="18" customHeight="1">
      <c r="A42" s="178"/>
      <c r="B42" s="179"/>
      <c r="C42" s="180"/>
      <c r="D42" s="197"/>
      <c r="E42" s="172" t="s">
        <v>1479</v>
      </c>
      <c r="F42" s="182">
        <f ca="1">INDIRECT("'数据-取费表'!v"&amp;$G$1)</f>
        <v>0</v>
      </c>
      <c r="G42" s="1450"/>
      <c r="H42" s="525"/>
      <c r="I42" s="1459"/>
      <c r="J42" s="1460"/>
      <c r="K42" s="533"/>
      <c r="L42" s="525"/>
      <c r="M42" s="525"/>
    </row>
    <row r="43" spans="1:18" ht="18" customHeight="1" thickBot="1">
      <c r="A43" s="204" t="s">
        <v>1033</v>
      </c>
      <c r="B43" s="205" t="s">
        <v>1489</v>
      </c>
      <c r="C43" s="206" t="e">
        <f ca="1">ROUND(C40/F43,0)</f>
        <v>#DIV/0!</v>
      </c>
      <c r="D43" s="207" t="s">
        <v>1490</v>
      </c>
      <c r="E43" s="208" t="s">
        <v>1491</v>
      </c>
      <c r="F43" s="209">
        <f ca="1">INDIRECT("'数据-取费表'!k"&amp;$G$1)</f>
        <v>0</v>
      </c>
      <c r="G43" s="1450"/>
      <c r="H43" s="525"/>
      <c r="I43" s="525"/>
      <c r="J43" s="525"/>
      <c r="K43" s="533"/>
      <c r="L43" s="525"/>
      <c r="M43" s="525"/>
    </row>
    <row r="44" spans="1:18" s="1441" customFormat="1" ht="18" customHeight="1">
      <c r="A44" s="1465"/>
      <c r="B44" s="1465"/>
      <c r="C44" s="1466"/>
      <c r="D44" s="1465"/>
      <c r="E44" s="1465"/>
      <c r="F44" s="1465"/>
      <c r="K44" s="1467"/>
    </row>
    <row r="45" spans="1:18" s="1441" customFormat="1" ht="18" customHeight="1" thickBot="1">
      <c r="A45" s="1465"/>
      <c r="B45" s="1465"/>
      <c r="C45" s="1538" t="e">
        <f ca="1">C68-C40</f>
        <v>#DIV/0!</v>
      </c>
      <c r="D45" s="1539" t="s">
        <v>1606</v>
      </c>
      <c r="E45" s="1465"/>
      <c r="F45" s="1465"/>
      <c r="O45" s="1468" t="s">
        <v>1521</v>
      </c>
      <c r="P45" s="1438"/>
      <c r="Q45" s="1438"/>
      <c r="R45" s="1438"/>
    </row>
    <row r="46" spans="1:18" s="1441" customFormat="1" ht="13.5" thickBot="1">
      <c r="A46" s="1469" t="s">
        <v>1522</v>
      </c>
      <c r="C46" s="1470" t="e">
        <f ca="1">ROUND(C45/10000,0)</f>
        <v>#DIV/0!</v>
      </c>
      <c r="D46" s="1471" t="str">
        <f>C2</f>
        <v>万元</v>
      </c>
      <c r="I46" s="1472" t="s">
        <v>1523</v>
      </c>
      <c r="J46" s="1473"/>
      <c r="K46" s="1474"/>
      <c r="L46" s="1475" t="e">
        <f ca="1">IF(M47="住宅",0,IF(L48&gt;J51,L60,J60))</f>
        <v>#DIV/0!</v>
      </c>
      <c r="O46" s="1476" t="s">
        <v>1524</v>
      </c>
      <c r="P46" s="1477" t="s">
        <v>1525</v>
      </c>
      <c r="Q46" s="1478" t="s">
        <v>1526</v>
      </c>
      <c r="R46" s="1478" t="s">
        <v>1527</v>
      </c>
    </row>
    <row r="47" spans="1:18" s="1441" customFormat="1" ht="13.5" thickBot="1">
      <c r="A47" s="910" t="s">
        <v>1397</v>
      </c>
      <c r="B47" s="942" t="s">
        <v>1398</v>
      </c>
      <c r="C47" s="942" t="s">
        <v>1399</v>
      </c>
      <c r="D47" s="942" t="s">
        <v>1400</v>
      </c>
      <c r="E47" s="959" t="s">
        <v>1401</v>
      </c>
      <c r="F47" s="960"/>
      <c r="G47" s="570"/>
      <c r="I47" s="1479" t="s">
        <v>1528</v>
      </c>
      <c r="J47" s="1480"/>
      <c r="K47" s="1481" t="s">
        <v>1529</v>
      </c>
      <c r="L47" s="1482">
        <f ca="1">INDIRECT("'数据-取费表'!d"&amp;$G$1)</f>
        <v>0</v>
      </c>
      <c r="M47" s="1437" t="str">
        <f>IF(ISNUMBER(FIND("住宅",C1)),"住宅","非住宅")</f>
        <v>非住宅</v>
      </c>
      <c r="O47" s="1483" t="s">
        <v>1040</v>
      </c>
      <c r="P47" s="1484" t="s">
        <v>1530</v>
      </c>
      <c r="Q47" s="1485" t="e">
        <f ca="1">C40+J29</f>
        <v>#DIV/0!</v>
      </c>
      <c r="R47" s="1485" t="s">
        <v>1531</v>
      </c>
    </row>
    <row r="48" spans="1:18" s="1441" customFormat="1" ht="28.5" thickBot="1">
      <c r="A48" s="1039" t="s">
        <v>1135</v>
      </c>
      <c r="B48" s="170" t="s">
        <v>1402</v>
      </c>
      <c r="C48" s="1418">
        <f ca="1">C49+C53+C55</f>
        <v>0</v>
      </c>
      <c r="D48" s="1041"/>
      <c r="E48" s="1042"/>
      <c r="F48" s="926"/>
      <c r="G48" s="570"/>
      <c r="H48" s="571"/>
      <c r="I48" s="1486" t="s">
        <v>1532</v>
      </c>
      <c r="J48" s="1487"/>
      <c r="K48" s="1488" t="s">
        <v>1533</v>
      </c>
      <c r="L48" s="1489">
        <f ca="1">INDIRECT("'数据-取费表'!f"&amp;$G$1)</f>
        <v>0</v>
      </c>
      <c r="O48" s="1483" t="s">
        <v>1041</v>
      </c>
      <c r="P48" s="1484" t="s">
        <v>1534</v>
      </c>
      <c r="Q48" s="1485" t="e">
        <f ca="1">J60</f>
        <v>#DIV/0!</v>
      </c>
      <c r="R48" s="1485" t="s">
        <v>1535</v>
      </c>
    </row>
    <row r="49" spans="1:18" s="1441" customFormat="1" ht="13.5" thickBot="1">
      <c r="A49" s="939" t="s">
        <v>1136</v>
      </c>
      <c r="B49" s="1429" t="s">
        <v>1492</v>
      </c>
      <c r="C49" s="1043">
        <f ca="1">ROUND(F49*F51*F50*(1-F52),0)</f>
        <v>0</v>
      </c>
      <c r="D49" s="956" t="s">
        <v>1405</v>
      </c>
      <c r="E49" s="1430" t="s">
        <v>1493</v>
      </c>
      <c r="F49" s="961"/>
      <c r="G49" s="1490"/>
      <c r="H49" s="571"/>
      <c r="I49" s="1486" t="s">
        <v>1536</v>
      </c>
      <c r="J49" s="1491"/>
      <c r="K49" s="1488" t="s">
        <v>1537</v>
      </c>
      <c r="L49" s="1492"/>
      <c r="O49" s="1493" t="s">
        <v>1042</v>
      </c>
      <c r="P49" s="1484" t="s">
        <v>1538</v>
      </c>
      <c r="Q49" s="1485">
        <f ca="1">C29</f>
        <v>0</v>
      </c>
      <c r="R49" s="1485" t="s">
        <v>1531</v>
      </c>
    </row>
    <row r="50" spans="1:18" s="1441" customFormat="1" ht="13.5" thickBot="1">
      <c r="A50" s="940"/>
      <c r="B50" s="943"/>
      <c r="C50" s="944"/>
      <c r="D50" s="917"/>
      <c r="E50" s="957" t="s">
        <v>1407</v>
      </c>
      <c r="F50" s="958">
        <f ca="1">F7</f>
        <v>0</v>
      </c>
      <c r="H50" s="571"/>
      <c r="I50" s="1486" t="s">
        <v>1539</v>
      </c>
      <c r="J50" s="1494">
        <f>SUMPRODUCT((I63:I65=J47)*(J62:L62=J48)*(J63:L65))</f>
        <v>0</v>
      </c>
      <c r="K50" s="1488" t="s">
        <v>1540</v>
      </c>
      <c r="L50" s="1492"/>
      <c r="M50" s="1495"/>
      <c r="O50" s="1493" t="s">
        <v>1043</v>
      </c>
      <c r="P50" s="1484" t="s">
        <v>1541</v>
      </c>
      <c r="Q50" s="1496" t="e">
        <f ca="1">J58</f>
        <v>#DIV/0!</v>
      </c>
      <c r="R50" s="1485"/>
    </row>
    <row r="51" spans="1:18" s="1441" customFormat="1" ht="13.5" thickBot="1">
      <c r="A51" s="941"/>
      <c r="B51" s="943"/>
      <c r="C51" s="944"/>
      <c r="D51" s="917"/>
      <c r="E51" s="945" t="s">
        <v>1408</v>
      </c>
      <c r="F51" s="173">
        <f ca="1">F8</f>
        <v>365</v>
      </c>
      <c r="I51" s="1497" t="s">
        <v>1542</v>
      </c>
      <c r="J51" s="1498">
        <f>IF(J49="",J50,J49+J50-YEAR('数据-取费表'!B2))</f>
        <v>0</v>
      </c>
      <c r="K51" s="1499" t="s">
        <v>1543</v>
      </c>
      <c r="L51" s="1500">
        <f ca="1">ROUND(-PV(INDIRECT("'数据-取费表'!h"&amp;$G$1),L48,(C39-C13*C76),0),0)</f>
        <v>0</v>
      </c>
      <c r="M51" s="1501"/>
      <c r="O51" s="1493" t="s">
        <v>1044</v>
      </c>
      <c r="P51" s="1484" t="s">
        <v>1544</v>
      </c>
      <c r="Q51" s="1496">
        <f>J52</f>
        <v>0</v>
      </c>
      <c r="R51" s="1485"/>
    </row>
    <row r="52" spans="1:18" s="1441" customFormat="1" ht="13.5" thickBot="1">
      <c r="A52" s="941"/>
      <c r="B52" s="943"/>
      <c r="C52" s="944"/>
      <c r="D52" s="917"/>
      <c r="E52" s="945" t="s">
        <v>1409</v>
      </c>
      <c r="F52" s="955"/>
      <c r="I52" s="1502" t="s">
        <v>1545</v>
      </c>
      <c r="J52" s="1503"/>
      <c r="K52" s="1502" t="s">
        <v>1546</v>
      </c>
      <c r="L52" s="1503"/>
      <c r="O52" s="1493" t="s">
        <v>1045</v>
      </c>
      <c r="P52" s="1484" t="s">
        <v>1547</v>
      </c>
      <c r="Q52" s="1485" t="b">
        <f>J53</f>
        <v>0</v>
      </c>
      <c r="R52" s="1485" t="s">
        <v>1548</v>
      </c>
    </row>
    <row r="53" spans="1:18" s="1441" customFormat="1" ht="30.75" customHeight="1" thickBot="1">
      <c r="A53" s="1040" t="s">
        <v>1137</v>
      </c>
      <c r="B53" s="193" t="s">
        <v>1410</v>
      </c>
      <c r="C53" s="186">
        <f ca="1">ROUND(IF(F53="押一",F49*F51*F50/12*F11,IF(F53="押二",F49*F51*F50/12*2*F11,IF(F53="押三",F49*F51*F50/12*3*F11,C54*F11))),0)</f>
        <v>0</v>
      </c>
      <c r="D53" s="1425" t="s">
        <v>1411</v>
      </c>
      <c r="E53" s="183" t="s">
        <v>1412</v>
      </c>
      <c r="F53" s="1045"/>
      <c r="I53" s="1504" t="s">
        <v>1549</v>
      </c>
      <c r="J53" s="1505" t="b">
        <f>IF(M47="住宅",J51,IF(D1="——",MIN(J51,L48),IF(D1="在建（套用方法）",MIN(J51,L48-'数据-取费表'!B24),IF(D1="土地（套用方法）",MIN(J51,L48-'数据-取费表'!B20)))))</f>
        <v>0</v>
      </c>
      <c r="K53" s="3829" t="s">
        <v>1550</v>
      </c>
      <c r="L53" s="3830"/>
      <c r="O53" s="1483" t="s">
        <v>1046</v>
      </c>
      <c r="P53" s="1484" t="s">
        <v>1551</v>
      </c>
      <c r="Q53" s="1485" t="e">
        <f ca="1">Q47+Q48</f>
        <v>#DIV/0!</v>
      </c>
      <c r="R53" s="1485" t="s">
        <v>1047</v>
      </c>
    </row>
    <row r="54" spans="1:18" s="1441" customFormat="1" ht="13.5" thickBot="1">
      <c r="A54" s="939"/>
      <c r="B54" s="1540" t="s">
        <v>1605</v>
      </c>
      <c r="C54" s="923"/>
      <c r="D54" s="1425"/>
      <c r="E54" s="1431"/>
      <c r="F54" s="1506"/>
      <c r="I54" s="15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08"/>
      <c r="K54" s="1508"/>
      <c r="L54" s="1508"/>
      <c r="M54" s="1490"/>
      <c r="O54" s="1468" t="s">
        <v>1552</v>
      </c>
      <c r="P54" s="1438"/>
      <c r="Q54" s="1438"/>
      <c r="R54" s="1438"/>
    </row>
    <row r="55" spans="1:18" s="1441" customFormat="1" ht="13.5" thickBot="1">
      <c r="A55" s="1012" t="s">
        <v>1075</v>
      </c>
      <c r="B55" s="1427" t="s">
        <v>1415</v>
      </c>
      <c r="C55" s="1013"/>
      <c r="D55" s="1425"/>
      <c r="E55" s="1431"/>
      <c r="F55" s="1506"/>
      <c r="I55" s="1509" t="s">
        <v>1553</v>
      </c>
      <c r="J55" s="1510" t="e">
        <f ca="1">ROUND(IF(J47="钢混",J57/J50,1-(1-2%)*(J50-J57)/J50),3)</f>
        <v>#DIV/0!</v>
      </c>
      <c r="K55" s="1511" t="s">
        <v>1554</v>
      </c>
      <c r="L55" s="1512"/>
      <c r="O55" s="1476" t="s">
        <v>1524</v>
      </c>
      <c r="P55" s="1477" t="s">
        <v>1525</v>
      </c>
      <c r="Q55" s="1478" t="s">
        <v>1526</v>
      </c>
      <c r="R55" s="1478" t="s">
        <v>1527</v>
      </c>
    </row>
    <row r="56" spans="1:18" s="1441" customFormat="1" ht="36" customHeight="1" thickTop="1" thickBot="1">
      <c r="A56" s="921">
        <v>2</v>
      </c>
      <c r="B56" s="922" t="s">
        <v>1416</v>
      </c>
      <c r="C56" s="102">
        <f ca="1">C13</f>
        <v>0</v>
      </c>
      <c r="D56" s="1513"/>
      <c r="E56" s="1514"/>
      <c r="F56" s="1506"/>
      <c r="I56" s="1515" t="s">
        <v>1556</v>
      </c>
      <c r="J56" s="1516"/>
      <c r="K56" s="1486" t="s">
        <v>1557</v>
      </c>
      <c r="L56" s="1489">
        <f ca="1">IF(L48&lt;J51,"——",L48-J51)</f>
        <v>0</v>
      </c>
      <c r="O56" s="1483" t="s">
        <v>1040</v>
      </c>
      <c r="P56" s="1484" t="s">
        <v>1530</v>
      </c>
      <c r="Q56" s="1485" t="e">
        <f ca="1">C40+J29</f>
        <v>#DIV/0!</v>
      </c>
      <c r="R56" s="1485" t="s">
        <v>1531</v>
      </c>
    </row>
    <row r="57" spans="1:18" s="1441" customFormat="1" ht="24.75" thickBot="1">
      <c r="A57" s="1517"/>
      <c r="B57" s="914" t="s">
        <v>1480</v>
      </c>
      <c r="C57" s="108">
        <f ca="1">C29</f>
        <v>0</v>
      </c>
      <c r="D57" s="1518"/>
      <c r="E57" s="1519"/>
      <c r="F57" s="1520"/>
      <c r="I57" s="1521" t="s">
        <v>1558</v>
      </c>
      <c r="J57" s="1522">
        <f ca="1">IF(OR(M47="住宅",J51&lt;L48,J56="是"),"——",J51-L48)</f>
        <v>0</v>
      </c>
      <c r="K57" s="1486" t="s">
        <v>1607</v>
      </c>
      <c r="L57" s="1489">
        <f ca="1">IF(L48&lt;J51,"——",IF(L55="比较法",L49,IF(L55="基准地价",L50,L51)))</f>
        <v>0</v>
      </c>
      <c r="O57" s="1483" t="s">
        <v>1041</v>
      </c>
      <c r="P57" s="1484" t="s">
        <v>1608</v>
      </c>
      <c r="Q57" s="1485" t="e">
        <f ca="1">L60</f>
        <v>#DIV/0!</v>
      </c>
      <c r="R57" s="1485" t="s">
        <v>1609</v>
      </c>
    </row>
    <row r="58" spans="1:18" s="1441" customFormat="1" ht="24.75" thickBot="1">
      <c r="A58" s="185" t="s">
        <v>1030</v>
      </c>
      <c r="B58" s="922" t="s">
        <v>1426</v>
      </c>
      <c r="C58" s="186">
        <f ca="1">ROUND(C59+C64+C65+C66,0)</f>
        <v>0</v>
      </c>
      <c r="D58" s="924" t="s">
        <v>1427</v>
      </c>
      <c r="E58" s="925"/>
      <c r="F58" s="926"/>
      <c r="I58" s="1521" t="s">
        <v>1562</v>
      </c>
      <c r="J58" s="1523" t="e">
        <f ca="1">IF(J55&lt;0.4,0.4,J55)</f>
        <v>#DIV/0!</v>
      </c>
      <c r="K58" s="1499" t="s">
        <v>1610</v>
      </c>
      <c r="L58" s="1489" t="e">
        <f ca="1">ROUND(POWER(1+L52,L47-L48)*(POWER(1+L52,L48)-1)/(POWER(1+L52,L47)-1),4)</f>
        <v>#DIV/0!</v>
      </c>
      <c r="O58" s="1493" t="s">
        <v>1042</v>
      </c>
      <c r="P58" s="1484" t="s">
        <v>1564</v>
      </c>
      <c r="Q58" s="1485">
        <f>IF(L55="比较法",L49,IF(L55="基准地价",L50,0))</f>
        <v>0</v>
      </c>
      <c r="R58" s="1485" t="s">
        <v>1531</v>
      </c>
    </row>
    <row r="59" spans="1:18" s="1441" customFormat="1" ht="24.75" thickBot="1">
      <c r="A59" s="946" t="s">
        <v>1035</v>
      </c>
      <c r="B59" s="914" t="s">
        <v>1431</v>
      </c>
      <c r="C59" s="19">
        <f ca="1">ROUND(IF(项目基本情况!B11="自然人",C48*F59,C60+C61+C62),0)</f>
        <v>0</v>
      </c>
      <c r="D59" s="927" t="s">
        <v>1432</v>
      </c>
      <c r="E59" s="928" t="s">
        <v>1433</v>
      </c>
      <c r="F59" s="192" t="str">
        <f ca="1">IF(项目基本情况!B11="企业","",IF(INDIRECT("'数据-取费表'!c"&amp;$G$1)="住宅",5%,IF(F49*F50*F51/12/(1+'数据-取费表'!C42)&gt;20000,12%,7%)))</f>
        <v/>
      </c>
      <c r="I59" s="1521" t="s">
        <v>1565</v>
      </c>
      <c r="J59" s="1522" t="e">
        <f ca="1">IF(OR(M47="住宅",J51&lt;L48,J56="是"),"——",ROUND(C29*J58,0))</f>
        <v>#DIV/0!</v>
      </c>
      <c r="K59" s="148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489" t="e">
        <f ca="1">ROUND(IF(D1="在建（套用方法）",M59,IF(D1="土地（套用方法）",N59,POWER(1+L52,L47-J51)*(POWER(1+L52,J51)-1)/(POWER(1+L52,L47)-1))),4)</f>
        <v>#DIV/0!</v>
      </c>
      <c r="M59" s="1438" t="e">
        <f ca="1">ROUND(POWER(1+L52,L47-(J51+'数据-取费表'!B24))*(POWER(1+L52,(J51+'数据-取费表'!B24))-1)/(POWER(1+L52,L47)-1),4)</f>
        <v>#DIV/0!</v>
      </c>
      <c r="N59" s="1438" t="e">
        <f ca="1">ROUND(POWER(1+L52,L47-(J51+'数据-取费表'!B20))*(POWER(1+L52,(J51+'数据-取费表'!B20))-1)/(POWER(1+L52,L47)-1),4)</f>
        <v>#DIV/0!</v>
      </c>
      <c r="O59" s="1493" t="s">
        <v>1043</v>
      </c>
      <c r="P59" s="1484" t="s">
        <v>1566</v>
      </c>
      <c r="Q59" s="1496">
        <f>L52</f>
        <v>0</v>
      </c>
      <c r="R59" s="1485"/>
    </row>
    <row r="60" spans="1:18" s="1441" customFormat="1" ht="16.5" thickBot="1">
      <c r="A60" s="946" t="s">
        <v>1034</v>
      </c>
      <c r="B60" s="914" t="s">
        <v>1435</v>
      </c>
      <c r="C60" s="19">
        <f ca="1">IF(项目基本情况!B11="自然人","——",ROUND(C48*F60/(1+'数据-取费表'!C42),0))</f>
        <v>0</v>
      </c>
      <c r="D60" s="928" t="s">
        <v>1436</v>
      </c>
      <c r="E60" s="914" t="s">
        <v>1424</v>
      </c>
      <c r="F60" s="201">
        <f t="shared" ref="F60:F66" si="0">F32</f>
        <v>5.6000000000000001E-2</v>
      </c>
      <c r="I60" s="1524" t="s">
        <v>1567</v>
      </c>
      <c r="J60" s="1525" t="e">
        <f ca="1">IF(OR(M47="住宅",J51&lt;L48,J56="是"),"0",ROUND(J59/(1+J52)^J53,0))</f>
        <v>#DIV/0!</v>
      </c>
      <c r="K60" s="1526" t="s">
        <v>1568</v>
      </c>
      <c r="L60" s="1525" t="e">
        <f ca="1">IF(OR(M47="住宅",L48&lt;J51),0,ROUND(L57*(L58/L59-1),0))</f>
        <v>#DIV/0!</v>
      </c>
      <c r="O60" s="1493" t="s">
        <v>1044</v>
      </c>
      <c r="P60" s="1484" t="s">
        <v>1569</v>
      </c>
      <c r="Q60" s="1485" t="e">
        <f ca="1">L58</f>
        <v>#DIV/0!</v>
      </c>
      <c r="R60" s="1485" t="s">
        <v>1570</v>
      </c>
    </row>
    <row r="61" spans="1:18" s="1441" customFormat="1" ht="13.5" thickBot="1">
      <c r="A61" s="946" t="s">
        <v>1494</v>
      </c>
      <c r="B61" s="914" t="s">
        <v>1495</v>
      </c>
      <c r="C61" s="19">
        <f ca="1">IF(项目基本情况!B11="自然人","——",IF(D61="按租金收入计税",ROUND(C48*F61,0),IF(D61="按房产原值计税",ROUND(C57*F61*0.7,0),INDIRECT("'数据-取费表'!Aj"&amp;$G$1))))</f>
        <v>0</v>
      </c>
      <c r="D61" s="1428" t="s">
        <v>1440</v>
      </c>
      <c r="E61" s="914" t="s">
        <v>1496</v>
      </c>
      <c r="F61" s="191">
        <f t="shared" si="0"/>
        <v>1.2E-2</v>
      </c>
      <c r="I61" s="1527"/>
      <c r="J61" s="1527"/>
      <c r="K61" s="1527"/>
      <c r="L61" s="1527"/>
      <c r="O61" s="1493" t="s">
        <v>1045</v>
      </c>
      <c r="P61" s="1484" t="str">
        <f>K59</f>
        <v>建设期及建筑物耐用年限下的土地年期修正系数Kn</v>
      </c>
      <c r="Q61" s="1485" t="e">
        <f ca="1">L59</f>
        <v>#DIV/0!</v>
      </c>
      <c r="R61" s="1485" t="s">
        <v>1571</v>
      </c>
    </row>
    <row r="62" spans="1:18" s="1441" customFormat="1" ht="13.5" thickBot="1">
      <c r="A62" s="946" t="s">
        <v>1497</v>
      </c>
      <c r="B62" s="913" t="s">
        <v>1498</v>
      </c>
      <c r="C62" s="20">
        <f ca="1">IF(项目基本情况!B11="自然人","——",ROUND(F62*F63,0))</f>
        <v>0</v>
      </c>
      <c r="D62" s="929" t="s">
        <v>1499</v>
      </c>
      <c r="E62" s="914" t="s">
        <v>1500</v>
      </c>
      <c r="F62" s="195">
        <f t="shared" si="0"/>
        <v>8</v>
      </c>
      <c r="I62" s="1528" t="s">
        <v>1572</v>
      </c>
      <c r="J62" s="1529" t="s">
        <v>1573</v>
      </c>
      <c r="K62" s="1529" t="s">
        <v>1574</v>
      </c>
      <c r="L62" s="1529" t="s">
        <v>1575</v>
      </c>
      <c r="M62" s="1530" t="s">
        <v>1576</v>
      </c>
      <c r="O62" s="1483" t="s">
        <v>1046</v>
      </c>
      <c r="P62" s="1484" t="s">
        <v>1577</v>
      </c>
      <c r="Q62" s="1485" t="e">
        <f ca="1">Q56+Q57</f>
        <v>#DIV/0!</v>
      </c>
      <c r="R62" s="1485" t="s">
        <v>1047</v>
      </c>
    </row>
    <row r="63" spans="1:18" s="1441" customFormat="1" ht="13.5" thickBot="1">
      <c r="A63" s="196"/>
      <c r="B63" s="920"/>
      <c r="C63" s="23"/>
      <c r="D63" s="930"/>
      <c r="E63" s="914" t="s">
        <v>1501</v>
      </c>
      <c r="F63" s="173">
        <f t="shared" ca="1" si="0"/>
        <v>0</v>
      </c>
      <c r="I63" s="1528" t="s">
        <v>1578</v>
      </c>
      <c r="J63" s="1529">
        <v>70</v>
      </c>
      <c r="K63" s="1529">
        <v>50</v>
      </c>
      <c r="L63" s="1529">
        <v>80</v>
      </c>
      <c r="M63" s="1531">
        <v>0.02</v>
      </c>
      <c r="O63" s="1468" t="s">
        <v>1579</v>
      </c>
      <c r="P63" s="1438"/>
      <c r="Q63" s="1438"/>
      <c r="R63" s="1438"/>
    </row>
    <row r="64" spans="1:18" s="1441" customFormat="1" ht="13.5" thickBot="1">
      <c r="A64" s="946" t="s">
        <v>1502</v>
      </c>
      <c r="B64" s="914" t="s">
        <v>1503</v>
      </c>
      <c r="C64" s="19">
        <f ca="1">ROUND(C57*F64,0)</f>
        <v>0</v>
      </c>
      <c r="D64" s="928" t="s">
        <v>1504</v>
      </c>
      <c r="E64" s="914" t="s">
        <v>1496</v>
      </c>
      <c r="F64" s="198">
        <f t="shared" ca="1" si="0"/>
        <v>0</v>
      </c>
      <c r="I64" s="1528" t="s">
        <v>1580</v>
      </c>
      <c r="J64" s="1529">
        <v>50</v>
      </c>
      <c r="K64" s="1529">
        <v>35</v>
      </c>
      <c r="L64" s="1529">
        <v>60</v>
      </c>
      <c r="M64" s="1530">
        <v>0</v>
      </c>
      <c r="O64" s="1476" t="s">
        <v>1524</v>
      </c>
      <c r="P64" s="1477" t="s">
        <v>1525</v>
      </c>
      <c r="Q64" s="1478" t="s">
        <v>1526</v>
      </c>
      <c r="R64" s="1478" t="s">
        <v>1527</v>
      </c>
    </row>
    <row r="65" spans="1:18" s="1441" customFormat="1" ht="13.5" thickBot="1">
      <c r="A65" s="946" t="s">
        <v>1505</v>
      </c>
      <c r="B65" s="914" t="s">
        <v>1455</v>
      </c>
      <c r="C65" s="19">
        <f ca="1">ROUND(C56*F65,0)</f>
        <v>0</v>
      </c>
      <c r="D65" s="928" t="s">
        <v>1456</v>
      </c>
      <c r="E65" s="914" t="s">
        <v>1457</v>
      </c>
      <c r="F65" s="200">
        <f t="shared" ca="1" si="0"/>
        <v>0</v>
      </c>
      <c r="I65" s="1528" t="s">
        <v>1581</v>
      </c>
      <c r="J65" s="1529">
        <v>40</v>
      </c>
      <c r="K65" s="1529">
        <v>30</v>
      </c>
      <c r="L65" s="1529">
        <v>50</v>
      </c>
      <c r="M65" s="1531">
        <v>0.02</v>
      </c>
      <c r="O65" s="1483" t="s">
        <v>1040</v>
      </c>
      <c r="P65" s="1484" t="s">
        <v>1582</v>
      </c>
      <c r="Q65" s="1485" t="e">
        <f ca="1">C40+J29</f>
        <v>#DIV/0!</v>
      </c>
      <c r="R65" s="1485" t="s">
        <v>1531</v>
      </c>
    </row>
    <row r="66" spans="1:18" s="1441" customFormat="1" ht="16.5" thickBot="1">
      <c r="A66" s="946" t="s">
        <v>1506</v>
      </c>
      <c r="B66" s="914" t="s">
        <v>1441</v>
      </c>
      <c r="C66" s="19">
        <f ca="1">ROUND(C48*F66,0)</f>
        <v>0</v>
      </c>
      <c r="D66" s="928" t="s">
        <v>1507</v>
      </c>
      <c r="E66" s="914" t="s">
        <v>1424</v>
      </c>
      <c r="F66" s="182">
        <f t="shared" ca="1" si="0"/>
        <v>0</v>
      </c>
      <c r="O66" s="1483" t="s">
        <v>1041</v>
      </c>
      <c r="P66" s="1484" t="s">
        <v>1560</v>
      </c>
      <c r="Q66" s="1485" t="e">
        <f ca="1">L60</f>
        <v>#DIV/0!</v>
      </c>
      <c r="R66" s="1485" t="s">
        <v>1583</v>
      </c>
    </row>
    <row r="67" spans="1:18" s="1441" customFormat="1" ht="16.5" thickBot="1">
      <c r="A67" s="921" t="s">
        <v>1031</v>
      </c>
      <c r="B67" s="931" t="s">
        <v>1465</v>
      </c>
      <c r="C67" s="186">
        <f ca="1">C48-C58</f>
        <v>0</v>
      </c>
      <c r="D67" s="927" t="s">
        <v>1466</v>
      </c>
      <c r="E67" s="932"/>
      <c r="F67" s="933"/>
      <c r="O67" s="1493" t="s">
        <v>1042</v>
      </c>
      <c r="P67" s="1484" t="s">
        <v>1564</v>
      </c>
      <c r="Q67" s="1532">
        <f ca="1">L51</f>
        <v>0</v>
      </c>
      <c r="R67" s="1485" t="s">
        <v>1584</v>
      </c>
    </row>
    <row r="68" spans="1:18" s="1441" customFormat="1" ht="16.5" thickBot="1">
      <c r="A68" s="911" t="s">
        <v>1032</v>
      </c>
      <c r="B68" s="912" t="s">
        <v>1487</v>
      </c>
      <c r="C68" s="171" t="e">
        <f ca="1">ROUND(C67*(1-((1+F70)/(1+F68))^F69)/(F68-F70),0)</f>
        <v>#DIV/0!</v>
      </c>
      <c r="D68" s="929" t="s">
        <v>1471</v>
      </c>
      <c r="E68" s="914" t="s">
        <v>1472</v>
      </c>
      <c r="F68" s="182">
        <f ca="1">F40</f>
        <v>0</v>
      </c>
      <c r="O68" s="1493" t="s">
        <v>1043</v>
      </c>
      <c r="P68" s="1533" t="s">
        <v>1585</v>
      </c>
      <c r="Q68" s="1485">
        <f ca="1">ROUND(Q69-Q70*Q71,0)</f>
        <v>0</v>
      </c>
      <c r="R68" s="1485" t="s">
        <v>1051</v>
      </c>
    </row>
    <row r="69" spans="1:18" s="1441" customFormat="1" ht="13.5" thickBot="1">
      <c r="A69" s="915"/>
      <c r="B69" s="916"/>
      <c r="C69" s="176"/>
      <c r="D69" s="934" t="s">
        <v>1475</v>
      </c>
      <c r="E69" s="914" t="s">
        <v>1476</v>
      </c>
      <c r="F69" s="203">
        <f ca="1">F41</f>
        <v>0</v>
      </c>
      <c r="O69" s="1493" t="s">
        <v>1048</v>
      </c>
      <c r="P69" s="1533" t="s">
        <v>1586</v>
      </c>
      <c r="Q69" s="1485">
        <f ca="1">C39</f>
        <v>0</v>
      </c>
      <c r="R69" s="1485" t="s">
        <v>1531</v>
      </c>
    </row>
    <row r="70" spans="1:18" s="1441" customFormat="1" ht="13.5" thickBot="1">
      <c r="A70" s="918"/>
      <c r="B70" s="919"/>
      <c r="C70" s="180"/>
      <c r="D70" s="930"/>
      <c r="E70" s="914" t="s">
        <v>1479</v>
      </c>
      <c r="F70" s="955">
        <f ca="1">F42</f>
        <v>0</v>
      </c>
      <c r="O70" s="1493" t="s">
        <v>1049</v>
      </c>
      <c r="P70" s="1533" t="s">
        <v>1587</v>
      </c>
      <c r="Q70" s="1485">
        <f ca="1">C13</f>
        <v>0</v>
      </c>
      <c r="R70" s="1485" t="s">
        <v>1531</v>
      </c>
    </row>
    <row r="71" spans="1:18" s="1441" customFormat="1" ht="13.5" thickBot="1">
      <c r="A71" s="935" t="s">
        <v>1033</v>
      </c>
      <c r="B71" s="936" t="s">
        <v>1489</v>
      </c>
      <c r="C71" s="206" t="e">
        <f ca="1">ROUND(C68/F71,0)</f>
        <v>#DIV/0!</v>
      </c>
      <c r="D71" s="937" t="s">
        <v>1490</v>
      </c>
      <c r="E71" s="938" t="s">
        <v>1491</v>
      </c>
      <c r="F71" s="209">
        <f ca="1">F43</f>
        <v>0</v>
      </c>
      <c r="O71" s="1493" t="s">
        <v>1050</v>
      </c>
      <c r="P71" s="1533" t="s">
        <v>1588</v>
      </c>
      <c r="Q71" s="1496">
        <f ca="1">C76</f>
        <v>0</v>
      </c>
      <c r="R71" s="1485"/>
    </row>
    <row r="72" spans="1:18" s="1441" customFormat="1" ht="13.5" thickBot="1">
      <c r="B72" s="573"/>
      <c r="C72" s="573"/>
      <c r="O72" s="1493" t="s">
        <v>1044</v>
      </c>
      <c r="P72" s="1484" t="s">
        <v>1566</v>
      </c>
      <c r="Q72" s="1496">
        <f>L52</f>
        <v>0</v>
      </c>
      <c r="R72" s="1485"/>
    </row>
    <row r="73" spans="1:18" ht="16.5" thickBot="1">
      <c r="A73" s="1441"/>
      <c r="B73" s="573"/>
      <c r="C73" s="573"/>
      <c r="D73" s="1441"/>
      <c r="E73" s="1441"/>
      <c r="F73" s="1441"/>
      <c r="O73" s="1493" t="s">
        <v>1045</v>
      </c>
      <c r="P73" s="1484" t="s">
        <v>1569</v>
      </c>
      <c r="Q73" s="1485" t="e">
        <f ca="1">L58</f>
        <v>#DIV/0!</v>
      </c>
      <c r="R73" s="1485" t="s">
        <v>1570</v>
      </c>
    </row>
    <row r="74" spans="1:18" ht="13.5" thickBot="1">
      <c r="A74" s="1441"/>
      <c r="B74" s="143" t="s">
        <v>1589</v>
      </c>
      <c r="C74" s="1535"/>
      <c r="D74" s="1441"/>
      <c r="E74" s="1441"/>
      <c r="F74" s="1441"/>
      <c r="O74" s="1493" t="s">
        <v>1052</v>
      </c>
      <c r="P74" s="1484" t="str">
        <f>K59</f>
        <v>建设期及建筑物耐用年限下的土地年期修正系数Kn</v>
      </c>
      <c r="Q74" s="1485" t="e">
        <f ca="1">L59</f>
        <v>#DIV/0!</v>
      </c>
      <c r="R74" s="1485" t="s">
        <v>1571</v>
      </c>
    </row>
    <row r="75" spans="1:18" ht="13.5" thickBot="1">
      <c r="A75" s="1441"/>
      <c r="B75" s="210" t="s">
        <v>1508</v>
      </c>
      <c r="C75" s="211">
        <f ca="1">ROUND(C13*C76,0)</f>
        <v>0</v>
      </c>
      <c r="D75" s="1441"/>
      <c r="E75" s="1441"/>
      <c r="F75" s="1441"/>
      <c r="K75" s="1467"/>
      <c r="L75" s="1441"/>
      <c r="O75" s="1483" t="s">
        <v>1046</v>
      </c>
      <c r="P75" s="1484" t="s">
        <v>1551</v>
      </c>
      <c r="Q75" s="1485" t="e">
        <f ca="1">Q65+Q66</f>
        <v>#DIV/0!</v>
      </c>
      <c r="R75" s="1485" t="s">
        <v>1047</v>
      </c>
    </row>
    <row r="76" spans="1:18">
      <c r="B76" s="212" t="s">
        <v>1509</v>
      </c>
      <c r="C76" s="213">
        <f ca="1">INDIRECT("'数据-取费表'!j"&amp;$G$1)</f>
        <v>0</v>
      </c>
      <c r="I76" s="1441"/>
      <c r="J76" s="1441"/>
      <c r="K76" s="1467"/>
      <c r="L76" s="1441"/>
    </row>
    <row r="77" spans="1:18">
      <c r="B77" s="214" t="s">
        <v>1510</v>
      </c>
      <c r="C77" s="215"/>
      <c r="I77" s="1441"/>
      <c r="J77" s="1441"/>
      <c r="K77" s="1467"/>
      <c r="L77" s="1441"/>
    </row>
    <row r="78" spans="1:18">
      <c r="B78" s="140" t="s">
        <v>1511</v>
      </c>
      <c r="C78" s="216"/>
    </row>
    <row r="79" spans="1:18">
      <c r="B79" s="210" t="s">
        <v>1512</v>
      </c>
      <c r="C79" s="144" t="e">
        <f ca="1">1-C80</f>
        <v>#DIV/0!</v>
      </c>
    </row>
    <row r="80" spans="1:18">
      <c r="B80" s="210" t="s">
        <v>1513</v>
      </c>
      <c r="C80" s="144" t="e">
        <f ca="1">ROUND(C75/C39,3)</f>
        <v>#DIV/0!</v>
      </c>
    </row>
    <row r="81" spans="2:3">
      <c r="B81" s="140" t="s">
        <v>1514</v>
      </c>
      <c r="C81" s="108"/>
    </row>
    <row r="82" spans="2:3">
      <c r="B82" s="143" t="s">
        <v>1515</v>
      </c>
      <c r="C82" s="145" t="e">
        <f ca="1">1-C83</f>
        <v>#DIV/0!</v>
      </c>
    </row>
    <row r="83" spans="2:3">
      <c r="B83" s="143" t="s">
        <v>1516</v>
      </c>
      <c r="C83" s="144"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57" priority="4">
      <formula>$L$48&gt;$J$51</formula>
    </cfRule>
  </conditionalFormatting>
  <conditionalFormatting sqref="I55 I60">
    <cfRule type="expression" dxfId="156" priority="5">
      <formula>$J$51&gt;$L$48</formula>
    </cfRule>
  </conditionalFormatting>
  <conditionalFormatting sqref="C11">
    <cfRule type="expression" dxfId="155" priority="3">
      <formula>$F$10="自定义"</formula>
    </cfRule>
  </conditionalFormatting>
  <conditionalFormatting sqref="J11">
    <cfRule type="expression" dxfId="154" priority="2">
      <formula>$M$10="自定义"</formula>
    </cfRule>
  </conditionalFormatting>
  <conditionalFormatting sqref="C54">
    <cfRule type="expression" dxfId="15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70" zoomScaleNormal="70" workbookViewId="0">
      <selection activeCell="M17" sqref="M17"/>
    </sheetView>
  </sheetViews>
  <sheetFormatPr defaultRowHeight="14.25"/>
  <cols>
    <col min="1" max="1" width="10.5" style="2785" customWidth="1"/>
    <col min="2" max="2" width="15.75" style="2785" customWidth="1"/>
    <col min="3" max="3" width="15.125" style="2785" customWidth="1"/>
    <col min="4" max="4" width="12.25" style="2785" customWidth="1"/>
    <col min="5" max="5" width="14.375" style="2785" customWidth="1"/>
    <col min="6" max="6" width="12.25" style="2785" customWidth="1"/>
    <col min="7" max="7" width="14.5" style="2785" customWidth="1"/>
    <col min="8" max="8" width="12.25" style="2785" customWidth="1"/>
    <col min="9" max="9" width="14.5" style="2785" customWidth="1"/>
    <col min="10" max="15" width="12.25" style="2785" customWidth="1"/>
    <col min="16" max="16" width="4.75" style="3008" customWidth="1"/>
    <col min="17" max="17" width="19.5" style="2785" customWidth="1"/>
    <col min="18" max="22" width="6.125" style="2785" customWidth="1"/>
    <col min="23" max="23" width="5.75" style="2785" customWidth="1"/>
    <col min="24" max="24" width="4.25" style="2785" customWidth="1"/>
    <col min="25" max="25" width="3.5" style="2785" customWidth="1"/>
    <col min="26" max="26" width="19.75" style="2785" customWidth="1"/>
    <col min="27" max="28" width="9.375" style="2785" customWidth="1"/>
    <col min="29" max="16384" width="9" style="2785"/>
  </cols>
  <sheetData>
    <row r="1" spans="1:29" s="2762" customFormat="1" ht="28.5" customHeight="1" thickBot="1">
      <c r="A1" s="2751" t="s">
        <v>2534</v>
      </c>
      <c r="B1" s="2752" t="s">
        <v>2648</v>
      </c>
      <c r="C1" s="2753" t="s">
        <v>2536</v>
      </c>
      <c r="D1" s="2754" t="s">
        <v>3080</v>
      </c>
      <c r="E1" s="2755"/>
      <c r="F1" s="2756" t="s">
        <v>3081</v>
      </c>
      <c r="G1" s="2757" t="s">
        <v>2649</v>
      </c>
      <c r="H1" s="2758"/>
      <c r="I1" s="2758"/>
      <c r="J1" s="2758"/>
      <c r="K1" s="2753"/>
      <c r="L1" s="2758"/>
      <c r="M1" s="2753"/>
      <c r="N1" s="2753"/>
      <c r="O1" s="2753"/>
      <c r="P1" s="2759"/>
      <c r="Q1" s="2760"/>
      <c r="R1" s="2760"/>
      <c r="S1" s="2760"/>
      <c r="T1" s="2760"/>
      <c r="U1" s="2760"/>
      <c r="V1" s="2760"/>
      <c r="W1" s="2760"/>
      <c r="X1" s="2760"/>
      <c r="Y1" s="2760"/>
      <c r="Z1" s="2760"/>
      <c r="AA1" s="2760"/>
      <c r="AB1" s="2760"/>
      <c r="AC1" s="2761"/>
    </row>
    <row r="2" spans="1:29" s="2773" customFormat="1" ht="28.5" customHeight="1" thickTop="1">
      <c r="A2" s="2763" t="s">
        <v>2333</v>
      </c>
      <c r="B2" s="2764">
        <f>IF(C2="——",ROUND(C49*D3/10000,0),ROUND(C49*D3/10000,0)-D2)</f>
        <v>62920</v>
      </c>
      <c r="C2" s="2765" t="s">
        <v>70</v>
      </c>
      <c r="D2" s="2766">
        <f ca="1">SUMIF(INDIRECT("'"&amp;F2&amp;"'"&amp;"!A:A"),"承租人权益价值",INDIRECT("'"&amp;F2&amp;"'"&amp;"!c:c"))</f>
        <v>0</v>
      </c>
      <c r="E2" s="2767" t="s">
        <v>2334</v>
      </c>
      <c r="F2" s="2768" t="s">
        <v>3082</v>
      </c>
      <c r="G2" s="2769"/>
      <c r="H2" s="2769"/>
      <c r="I2" s="2769"/>
      <c r="J2" s="2769"/>
      <c r="K2" s="2769"/>
      <c r="L2" s="2769"/>
      <c r="M2" s="2770"/>
      <c r="N2" s="2770"/>
      <c r="O2" s="2770"/>
      <c r="P2" s="2771"/>
      <c r="Q2" s="2770"/>
      <c r="R2" s="2770"/>
      <c r="S2" s="2770"/>
      <c r="T2" s="2770"/>
      <c r="U2" s="2770"/>
      <c r="V2" s="2770"/>
      <c r="W2" s="2770"/>
      <c r="X2" s="2770"/>
      <c r="Y2" s="2770"/>
      <c r="Z2" s="2770"/>
      <c r="AA2" s="2770"/>
      <c r="AB2" s="2770"/>
      <c r="AC2" s="2772"/>
    </row>
    <row r="3" spans="1:29" s="2773" customFormat="1" ht="28.5" customHeight="1" thickBot="1">
      <c r="A3" s="2774" t="s">
        <v>2335</v>
      </c>
      <c r="B3" s="2775">
        <f>IF(C2="——",C49,ROUND(B2*10000/D3,0))</f>
        <v>39367</v>
      </c>
      <c r="C3" s="2776" t="s">
        <v>2650</v>
      </c>
      <c r="D3" s="2775">
        <f>IF(D1="",'数据-汇总表'!E3,SUMIF('数据-汇总表'!$C19:$C33,D1,'数据-汇总表'!$E19:$E33))</f>
        <v>15982.84</v>
      </c>
      <c r="E3" s="2777"/>
      <c r="F3" s="2778"/>
      <c r="G3" s="2769"/>
      <c r="H3" s="2769"/>
      <c r="I3" s="2769"/>
      <c r="J3" s="2769"/>
      <c r="K3" s="2770"/>
      <c r="L3" s="2769"/>
      <c r="M3" s="2770"/>
      <c r="N3" s="2770"/>
      <c r="O3" s="2770"/>
      <c r="P3" s="2771"/>
      <c r="Q3" s="2770"/>
      <c r="R3" s="2770"/>
      <c r="S3" s="2770"/>
      <c r="T3" s="2770"/>
      <c r="U3" s="2770"/>
      <c r="V3" s="2770"/>
      <c r="W3" s="2770"/>
      <c r="X3" s="2770"/>
      <c r="Y3" s="2770"/>
      <c r="Z3" s="2770"/>
      <c r="AA3" s="2770"/>
      <c r="AB3" s="2770"/>
      <c r="AC3" s="2777"/>
    </row>
    <row r="4" spans="1:29" ht="15">
      <c r="A4" s="2779" t="s">
        <v>2651</v>
      </c>
      <c r="B4" s="2780"/>
      <c r="C4" s="3848" t="s">
        <v>2652</v>
      </c>
      <c r="D4" s="3849"/>
      <c r="E4" s="3850" t="s">
        <v>2653</v>
      </c>
      <c r="F4" s="3851"/>
      <c r="G4" s="3848" t="s">
        <v>2654</v>
      </c>
      <c r="H4" s="3849"/>
      <c r="I4" s="3848" t="s">
        <v>2655</v>
      </c>
      <c r="J4" s="3849"/>
      <c r="K4" s="2781" t="s">
        <v>2656</v>
      </c>
      <c r="L4" s="2782"/>
      <c r="M4" s="2783"/>
      <c r="N4" s="2783"/>
      <c r="O4" s="2783"/>
      <c r="P4" s="3852" t="s">
        <v>2657</v>
      </c>
      <c r="Q4" s="3853"/>
      <c r="R4" s="3837" t="s">
        <v>2653</v>
      </c>
      <c r="S4" s="3838"/>
      <c r="T4" s="3837" t="s">
        <v>2654</v>
      </c>
      <c r="U4" s="3838"/>
      <c r="V4" s="3834" t="s">
        <v>2655</v>
      </c>
      <c r="W4" s="3834"/>
      <c r="X4" s="2784"/>
      <c r="Y4" s="3837" t="s">
        <v>2657</v>
      </c>
      <c r="Z4" s="3838"/>
      <c r="AA4" s="3831" t="s">
        <v>2653</v>
      </c>
      <c r="AB4" s="3834" t="s">
        <v>2654</v>
      </c>
      <c r="AC4" s="3831" t="s">
        <v>2655</v>
      </c>
    </row>
    <row r="5" spans="1:29" ht="15">
      <c r="A5" s="2786"/>
      <c r="B5" s="2787"/>
      <c r="C5" s="3841" t="s">
        <v>3083</v>
      </c>
      <c r="D5" s="3842"/>
      <c r="E5" s="3841" t="s">
        <v>7169</v>
      </c>
      <c r="F5" s="3842"/>
      <c r="G5" s="3841" t="s">
        <v>7080</v>
      </c>
      <c r="H5" s="3842"/>
      <c r="I5" s="3841" t="s">
        <v>7117</v>
      </c>
      <c r="J5" s="3842"/>
      <c r="K5" s="2781"/>
      <c r="L5" s="2782"/>
      <c r="M5" s="2783"/>
      <c r="N5" s="2783"/>
      <c r="O5" s="2783"/>
      <c r="P5" s="3854"/>
      <c r="Q5" s="3855"/>
      <c r="R5" s="3839"/>
      <c r="S5" s="3840"/>
      <c r="T5" s="3839"/>
      <c r="U5" s="3840"/>
      <c r="V5" s="3834"/>
      <c r="W5" s="3834"/>
      <c r="X5" s="2784"/>
      <c r="Y5" s="3839"/>
      <c r="Z5" s="3840"/>
      <c r="AA5" s="3832"/>
      <c r="AB5" s="3834"/>
      <c r="AC5" s="3832"/>
    </row>
    <row r="6" spans="1:29" ht="15.75" thickBot="1">
      <c r="A6" s="2788"/>
      <c r="B6" s="2789"/>
      <c r="C6" s="3843" t="s">
        <v>2552</v>
      </c>
      <c r="D6" s="3844"/>
      <c r="E6" s="3845" t="s">
        <v>2552</v>
      </c>
      <c r="F6" s="3846"/>
      <c r="G6" s="3843" t="s">
        <v>2552</v>
      </c>
      <c r="H6" s="3844"/>
      <c r="I6" s="3843" t="s">
        <v>2552</v>
      </c>
      <c r="J6" s="3844"/>
      <c r="K6" s="2781" t="s">
        <v>2553</v>
      </c>
      <c r="L6" s="2782"/>
      <c r="M6" s="2783"/>
      <c r="N6" s="2783"/>
      <c r="O6" s="2783"/>
      <c r="P6" s="3856"/>
      <c r="Q6" s="3857"/>
      <c r="R6" s="3839"/>
      <c r="S6" s="3840"/>
      <c r="T6" s="3858"/>
      <c r="U6" s="3859"/>
      <c r="V6" s="3834"/>
      <c r="W6" s="3834"/>
      <c r="X6" s="2784"/>
      <c r="Y6" s="3858"/>
      <c r="Z6" s="3859"/>
      <c r="AA6" s="3833"/>
      <c r="AB6" s="3834"/>
      <c r="AC6" s="3833"/>
    </row>
    <row r="7" spans="1:29" s="2797" customFormat="1" ht="15.75" thickBot="1">
      <c r="A7" s="2790" t="s">
        <v>2554</v>
      </c>
      <c r="B7" s="2791"/>
      <c r="C7" s="3538">
        <f>'数据-取费表'!B2</f>
        <v>43071</v>
      </c>
      <c r="D7" s="2792">
        <v>100</v>
      </c>
      <c r="E7" s="3539">
        <v>43006</v>
      </c>
      <c r="F7" s="2793">
        <f>SUMIF(58:58,YEAR(E7)&amp;"-"&amp;MONTH(E7),59:59)</f>
        <v>98.5</v>
      </c>
      <c r="G7" s="3539">
        <v>42736</v>
      </c>
      <c r="H7" s="2792">
        <f>SUMIF(58:58,YEAR(G7)&amp;"-"&amp;MONTH(G7),59:59)</f>
        <v>94.5</v>
      </c>
      <c r="I7" s="3539">
        <v>42980</v>
      </c>
      <c r="J7" s="2792">
        <f>SUMIF(58:58,YEAR(I7)&amp;"-"&amp;MONTH(I7),59:59)</f>
        <v>98.5</v>
      </c>
      <c r="K7" s="2781"/>
      <c r="L7" s="2794"/>
      <c r="M7" s="2795"/>
      <c r="N7" s="2795"/>
      <c r="O7" s="2795"/>
      <c r="P7" s="3835" t="s">
        <v>2555</v>
      </c>
      <c r="Q7" s="3860"/>
      <c r="R7" s="2411" t="s">
        <v>17</v>
      </c>
      <c r="S7" s="2435">
        <f t="shared" ref="S7:S15" si="0">F7</f>
        <v>98.5</v>
      </c>
      <c r="T7" s="2411" t="s">
        <v>17</v>
      </c>
      <c r="U7" s="2435">
        <f t="shared" ref="U7:U15" si="1">H7</f>
        <v>94.5</v>
      </c>
      <c r="V7" s="2411" t="s">
        <v>17</v>
      </c>
      <c r="W7" s="2435">
        <f t="shared" ref="W7:W15" si="2">J7</f>
        <v>98.5</v>
      </c>
      <c r="X7" s="2796"/>
      <c r="Y7" s="3835" t="s">
        <v>2555</v>
      </c>
      <c r="Z7" s="3836"/>
      <c r="AA7" s="2302">
        <f>D7/F7</f>
        <v>1.015228426395939</v>
      </c>
      <c r="AB7" s="2302">
        <f>D7/H7</f>
        <v>1.0582010582010581</v>
      </c>
      <c r="AC7" s="2302">
        <f>D7/J7</f>
        <v>1.015228426395939</v>
      </c>
    </row>
    <row r="8" spans="1:29" s="2797" customFormat="1" ht="15.75" thickBot="1">
      <c r="A8" s="2790" t="s">
        <v>2556</v>
      </c>
      <c r="B8" s="2791"/>
      <c r="C8" s="2798" t="s">
        <v>2658</v>
      </c>
      <c r="D8" s="2792">
        <v>100</v>
      </c>
      <c r="E8" s="2798" t="s">
        <v>7079</v>
      </c>
      <c r="F8" s="2793">
        <f>SUMIF(61:61,E8,62:62)-SUMIF(61:61,C8,62:62)+100</f>
        <v>100</v>
      </c>
      <c r="G8" s="2798" t="s">
        <v>7079</v>
      </c>
      <c r="H8" s="2792">
        <f>SUMIF(61:61,G8,62:62)-SUMIF(61:61,C8,62:62)+100</f>
        <v>100</v>
      </c>
      <c r="I8" s="2798" t="s">
        <v>7079</v>
      </c>
      <c r="J8" s="2792">
        <f>SUMIF(61:61,I8,62:62)-SUMIF(61:61,C8,62:62)+100</f>
        <v>100</v>
      </c>
      <c r="K8" s="2781"/>
      <c r="L8" s="2794"/>
      <c r="M8" s="2795"/>
      <c r="N8" s="2795"/>
      <c r="O8" s="2795"/>
      <c r="P8" s="3835" t="s">
        <v>2558</v>
      </c>
      <c r="Q8" s="3836"/>
      <c r="R8" s="2411" t="s">
        <v>17</v>
      </c>
      <c r="S8" s="2435">
        <f t="shared" si="0"/>
        <v>100</v>
      </c>
      <c r="T8" s="2411" t="s">
        <v>17</v>
      </c>
      <c r="U8" s="2435">
        <f t="shared" si="1"/>
        <v>100</v>
      </c>
      <c r="V8" s="2411" t="s">
        <v>17</v>
      </c>
      <c r="W8" s="2435">
        <f t="shared" si="2"/>
        <v>100</v>
      </c>
      <c r="X8" s="2796"/>
      <c r="Y8" s="3835" t="s">
        <v>2558</v>
      </c>
      <c r="Z8" s="3836"/>
      <c r="AA8" s="2302">
        <f t="shared" ref="AA8:AA46" si="3">D8/F8</f>
        <v>1</v>
      </c>
      <c r="AB8" s="2302">
        <f t="shared" ref="AB8:AB46" si="4">D8/H8</f>
        <v>1</v>
      </c>
      <c r="AC8" s="2302">
        <f t="shared" ref="AC8:AC46" si="5">D8/J8</f>
        <v>1</v>
      </c>
    </row>
    <row r="9" spans="1:29" s="2797" customFormat="1">
      <c r="A9" s="2799" t="s">
        <v>2559</v>
      </c>
      <c r="B9" s="2398" t="s">
        <v>2560</v>
      </c>
      <c r="C9" s="2800" t="s">
        <v>3084</v>
      </c>
      <c r="D9" s="2399">
        <v>100</v>
      </c>
      <c r="E9" s="2801" t="s">
        <v>1378</v>
      </c>
      <c r="F9" s="2398">
        <f>SUMIF(63:63,E9,64:64)-SUMIF(63:63,C9,64:64)+100</f>
        <v>100</v>
      </c>
      <c r="G9" s="2801" t="s">
        <v>1378</v>
      </c>
      <c r="H9" s="2399">
        <f>SUMIF(63:63,G9,64:64)-SUMIF(63:63,C9,64:64)+100</f>
        <v>100</v>
      </c>
      <c r="I9" s="2801" t="s">
        <v>1378</v>
      </c>
      <c r="J9" s="2399">
        <f>SUMIF(63:63,I9,64:64)-SUMIF(63:63,C9,64:64)+100</f>
        <v>100</v>
      </c>
      <c r="K9" s="2781"/>
      <c r="L9" s="2794"/>
      <c r="M9" s="2795"/>
      <c r="N9" s="2795"/>
      <c r="O9" s="2795"/>
      <c r="P9" s="3847" t="s">
        <v>2561</v>
      </c>
      <c r="Q9" s="28" t="str">
        <f t="shared" ref="Q9:Q15" si="6">B9</f>
        <v>用途</v>
      </c>
      <c r="R9" s="2411" t="s">
        <v>17</v>
      </c>
      <c r="S9" s="2435">
        <f t="shared" si="0"/>
        <v>100</v>
      </c>
      <c r="T9" s="2411" t="s">
        <v>17</v>
      </c>
      <c r="U9" s="2435">
        <f t="shared" si="1"/>
        <v>100</v>
      </c>
      <c r="V9" s="2411" t="s">
        <v>17</v>
      </c>
      <c r="W9" s="2435">
        <f t="shared" si="2"/>
        <v>100</v>
      </c>
      <c r="X9" s="2796"/>
      <c r="Y9" s="3706" t="s">
        <v>2562</v>
      </c>
      <c r="Z9" s="2302" t="str">
        <f t="shared" ref="Z9:Z15" si="7">Q9</f>
        <v>用途</v>
      </c>
      <c r="AA9" s="2302">
        <f t="shared" si="3"/>
        <v>1</v>
      </c>
      <c r="AB9" s="2302">
        <f t="shared" si="4"/>
        <v>1</v>
      </c>
      <c r="AC9" s="2302">
        <f t="shared" si="5"/>
        <v>1</v>
      </c>
    </row>
    <row r="10" spans="1:29" s="2808" customFormat="1" ht="27">
      <c r="A10" s="2802"/>
      <c r="B10" s="2273" t="s">
        <v>2563</v>
      </c>
      <c r="C10" s="2803" t="s">
        <v>3085</v>
      </c>
      <c r="D10" s="36">
        <v>100</v>
      </c>
      <c r="E10" s="2804" t="s">
        <v>3085</v>
      </c>
      <c r="F10" s="2273">
        <f>SUMIF(65:65,E10,66:66)-SUMIF(65:65,C10,66:66)+100</f>
        <v>100</v>
      </c>
      <c r="G10" s="2804" t="s">
        <v>3085</v>
      </c>
      <c r="H10" s="36">
        <f>SUMIF(65:65,G10,66:66)-SUMIF(65:65,C10,66:66)+100</f>
        <v>100</v>
      </c>
      <c r="I10" s="2804" t="s">
        <v>3085</v>
      </c>
      <c r="J10" s="36">
        <f>SUMIF(65:65,I10,66:66)-SUMIF(65:65,C10,66:66)+100</f>
        <v>100</v>
      </c>
      <c r="K10" s="2805">
        <v>1</v>
      </c>
      <c r="L10" s="2806"/>
      <c r="M10" s="2807"/>
      <c r="N10" s="2807"/>
      <c r="O10" s="2807"/>
      <c r="P10" s="3847"/>
      <c r="Q10" s="28" t="str">
        <f t="shared" si="6"/>
        <v>土地使用年限（年）</v>
      </c>
      <c r="R10" s="2411" t="s">
        <v>17</v>
      </c>
      <c r="S10" s="2435">
        <f t="shared" si="0"/>
        <v>100</v>
      </c>
      <c r="T10" s="2411" t="s">
        <v>17</v>
      </c>
      <c r="U10" s="2435">
        <f t="shared" si="1"/>
        <v>100</v>
      </c>
      <c r="V10" s="2411" t="s">
        <v>17</v>
      </c>
      <c r="W10" s="2435">
        <f t="shared" si="2"/>
        <v>100</v>
      </c>
      <c r="X10" s="2796"/>
      <c r="Y10" s="3706"/>
      <c r="Z10" s="2302" t="str">
        <f t="shared" si="7"/>
        <v>土地使用年限（年）</v>
      </c>
      <c r="AA10" s="2302">
        <f t="shared" si="3"/>
        <v>1</v>
      </c>
      <c r="AB10" s="2302">
        <f t="shared" si="4"/>
        <v>1</v>
      </c>
      <c r="AC10" s="2302">
        <f t="shared" si="5"/>
        <v>1</v>
      </c>
    </row>
    <row r="11" spans="1:29" ht="15.75" thickBot="1">
      <c r="A11" s="2809"/>
      <c r="B11" s="2273" t="s">
        <v>2564</v>
      </c>
      <c r="C11" s="2810">
        <v>1.07</v>
      </c>
      <c r="D11" s="36">
        <v>100</v>
      </c>
      <c r="E11" s="2811">
        <v>1.07</v>
      </c>
      <c r="F11" s="2273">
        <f>LOOKUP(E11,68:68,69:69)-LOOKUP(C11,68:68,69:69)+100</f>
        <v>100</v>
      </c>
      <c r="G11" s="2811">
        <v>1.07</v>
      </c>
      <c r="H11" s="36">
        <f>LOOKUP(G11,68:68,69:69)-LOOKUP(C11,68:68,69:69)+100</f>
        <v>100</v>
      </c>
      <c r="I11" s="2811">
        <v>1.07</v>
      </c>
      <c r="J11" s="36">
        <f>LOOKUP(I11,68:68,69:69)-LOOKUP(C11,68:68,69:69)+100</f>
        <v>100</v>
      </c>
      <c r="K11" s="2805">
        <v>1</v>
      </c>
      <c r="L11" s="2812"/>
      <c r="M11" s="2783"/>
      <c r="N11" s="2783"/>
      <c r="O11" s="2783"/>
      <c r="P11" s="3847"/>
      <c r="Q11" s="28" t="str">
        <f t="shared" si="6"/>
        <v>容积率</v>
      </c>
      <c r="R11" s="2411" t="s">
        <v>17</v>
      </c>
      <c r="S11" s="2435">
        <f t="shared" si="0"/>
        <v>100</v>
      </c>
      <c r="T11" s="2411" t="s">
        <v>17</v>
      </c>
      <c r="U11" s="2435">
        <f t="shared" si="1"/>
        <v>100</v>
      </c>
      <c r="V11" s="2411" t="s">
        <v>17</v>
      </c>
      <c r="W11" s="2435">
        <f t="shared" si="2"/>
        <v>100</v>
      </c>
      <c r="X11" s="2796"/>
      <c r="Y11" s="3706"/>
      <c r="Z11" s="2302" t="str">
        <f t="shared" si="7"/>
        <v>容积率</v>
      </c>
      <c r="AA11" s="2302">
        <f t="shared" si="3"/>
        <v>1</v>
      </c>
      <c r="AB11" s="2302">
        <f t="shared" si="4"/>
        <v>1</v>
      </c>
      <c r="AC11" s="2302">
        <f t="shared" si="5"/>
        <v>1</v>
      </c>
    </row>
    <row r="12" spans="1:29" s="2797" customFormat="1" ht="15" hidden="1">
      <c r="A12" s="2813"/>
      <c r="B12" s="2814"/>
      <c r="C12" s="2815"/>
      <c r="D12" s="2816">
        <v>100</v>
      </c>
      <c r="E12" s="2817"/>
      <c r="F12" s="2273">
        <f>SUMIF(70:70,E12,71:71)-SUMIF(70:70,C12,71:71)+100</f>
        <v>100</v>
      </c>
      <c r="G12" s="2817"/>
      <c r="H12" s="36">
        <f>SUMIF(70:70,G12,71:71)-SUMIF(70:70,C12,71:71)+100</f>
        <v>100</v>
      </c>
      <c r="I12" s="2817"/>
      <c r="J12" s="36">
        <f>SUMIF(70:70,I12,71:71)-SUMIF(70:70,C12,71:71)+100</f>
        <v>100</v>
      </c>
      <c r="K12" s="2818"/>
      <c r="L12" s="2794"/>
      <c r="M12" s="2795"/>
      <c r="N12" s="2795"/>
      <c r="O12" s="2795"/>
      <c r="P12" s="3847"/>
      <c r="Q12" s="28">
        <f t="shared" si="6"/>
        <v>0</v>
      </c>
      <c r="R12" s="2411" t="s">
        <v>17</v>
      </c>
      <c r="S12" s="2435">
        <f t="shared" si="0"/>
        <v>100</v>
      </c>
      <c r="T12" s="2411" t="s">
        <v>17</v>
      </c>
      <c r="U12" s="2435">
        <f t="shared" si="1"/>
        <v>100</v>
      </c>
      <c r="V12" s="2411" t="s">
        <v>17</v>
      </c>
      <c r="W12" s="2435">
        <f t="shared" si="2"/>
        <v>100</v>
      </c>
      <c r="X12" s="2796"/>
      <c r="Y12" s="3706"/>
      <c r="Z12" s="2302">
        <f t="shared" si="7"/>
        <v>0</v>
      </c>
      <c r="AA12" s="2302">
        <f>D12/F12</f>
        <v>1</v>
      </c>
      <c r="AB12" s="2302">
        <f>D12/H12</f>
        <v>1</v>
      </c>
      <c r="AC12" s="2302">
        <f>D12/J12</f>
        <v>1</v>
      </c>
    </row>
    <row r="13" spans="1:29" ht="15" hidden="1">
      <c r="A13" s="2809"/>
      <c r="B13" s="2814"/>
      <c r="C13" s="2817"/>
      <c r="D13" s="2819">
        <v>100</v>
      </c>
      <c r="E13" s="2817"/>
      <c r="F13" s="2273">
        <f>SUMIF(72:72,E13,73:73)-SUMIF(72:72,C13,73:73)+100</f>
        <v>100</v>
      </c>
      <c r="G13" s="2817"/>
      <c r="H13" s="2819">
        <f>SUMIF(72:72,G13,73:73)-SUMIF(72:72,C13,73:73)+100</f>
        <v>100</v>
      </c>
      <c r="I13" s="2817"/>
      <c r="J13" s="2819">
        <f>SUMIF(72:72,I13,73:73)-SUMIF(72:72,C13,73:73)+100</f>
        <v>100</v>
      </c>
      <c r="K13" s="2818"/>
      <c r="L13" s="2820"/>
      <c r="M13" s="2783"/>
      <c r="N13" s="2783"/>
      <c r="O13" s="2783"/>
      <c r="P13" s="3847"/>
      <c r="Q13" s="28">
        <f t="shared" si="6"/>
        <v>0</v>
      </c>
      <c r="R13" s="2411" t="s">
        <v>17</v>
      </c>
      <c r="S13" s="2435">
        <f t="shared" si="0"/>
        <v>100</v>
      </c>
      <c r="T13" s="2411" t="s">
        <v>17</v>
      </c>
      <c r="U13" s="2435">
        <f t="shared" si="1"/>
        <v>100</v>
      </c>
      <c r="V13" s="2411" t="s">
        <v>17</v>
      </c>
      <c r="W13" s="2435">
        <f t="shared" si="2"/>
        <v>100</v>
      </c>
      <c r="X13" s="2796"/>
      <c r="Y13" s="3706"/>
      <c r="Z13" s="2302">
        <f t="shared" si="7"/>
        <v>0</v>
      </c>
      <c r="AA13" s="2302">
        <f t="shared" si="3"/>
        <v>1</v>
      </c>
      <c r="AB13" s="2302">
        <f t="shared" si="4"/>
        <v>1</v>
      </c>
      <c r="AC13" s="2302">
        <f t="shared" si="5"/>
        <v>1</v>
      </c>
    </row>
    <row r="14" spans="1:29" ht="15.75" hidden="1" thickBot="1">
      <c r="A14" s="2821"/>
      <c r="B14" s="2822"/>
      <c r="C14" s="2823"/>
      <c r="D14" s="2824">
        <v>100</v>
      </c>
      <c r="E14" s="2817"/>
      <c r="F14" s="2825">
        <f>SUMIF(74:74,E14,75:75)-SUMIF(74:74,C14,75:75)+100</f>
        <v>100</v>
      </c>
      <c r="G14" s="2817"/>
      <c r="H14" s="2824">
        <f>SUMIF(74:74,G14,75:75)-SUMIF(74:74,C14,75:75)+100</f>
        <v>100</v>
      </c>
      <c r="I14" s="2817"/>
      <c r="J14" s="2824">
        <f>SUMIF(74:74,I14,75:75)-SUMIF(74:74,C14,75:75)+100</f>
        <v>100</v>
      </c>
      <c r="K14" s="2818"/>
      <c r="L14" s="2820"/>
      <c r="M14" s="2783"/>
      <c r="N14" s="2783"/>
      <c r="O14" s="2783"/>
      <c r="P14" s="3847"/>
      <c r="Q14" s="28">
        <f t="shared" si="6"/>
        <v>0</v>
      </c>
      <c r="R14" s="2411" t="s">
        <v>17</v>
      </c>
      <c r="S14" s="2435">
        <f t="shared" si="0"/>
        <v>100</v>
      </c>
      <c r="T14" s="2411" t="s">
        <v>17</v>
      </c>
      <c r="U14" s="2435">
        <f t="shared" si="1"/>
        <v>100</v>
      </c>
      <c r="V14" s="2411" t="s">
        <v>17</v>
      </c>
      <c r="W14" s="2435">
        <f t="shared" si="2"/>
        <v>100</v>
      </c>
      <c r="X14" s="2796"/>
      <c r="Y14" s="3706"/>
      <c r="Z14" s="2302">
        <f t="shared" si="7"/>
        <v>0</v>
      </c>
      <c r="AA14" s="2302">
        <f t="shared" si="3"/>
        <v>1</v>
      </c>
      <c r="AB14" s="2302">
        <f t="shared" si="4"/>
        <v>1</v>
      </c>
      <c r="AC14" s="2302">
        <f t="shared" si="5"/>
        <v>1</v>
      </c>
    </row>
    <row r="15" spans="1:29" ht="71.25">
      <c r="A15" s="2826" t="s">
        <v>2565</v>
      </c>
      <c r="B15" s="2394" t="s">
        <v>2659</v>
      </c>
      <c r="C15" s="2827" t="str">
        <f>估价对象房地状况!C4</f>
        <v>估价对象位于XX商圈，周边商业氛围成熟，人流量大，商业繁华度好</v>
      </c>
      <c r="D15" s="2828">
        <v>100</v>
      </c>
      <c r="E15" s="2829"/>
      <c r="F15" s="2830">
        <f>SUMIF(76:76,E16,77:77)-SUMIF(76:76,C16,77:77)+100</f>
        <v>100</v>
      </c>
      <c r="G15" s="2829"/>
      <c r="H15" s="2828">
        <f>SUMIF(76:76,G16,77:77)-SUMIF(76:76,C16,77:77)+100</f>
        <v>100</v>
      </c>
      <c r="I15" s="2829"/>
      <c r="J15" s="2828">
        <f>SUMIF(76:76,I16,77:77)-SUMIF(76:76,C16,77:77)+100</f>
        <v>100</v>
      </c>
      <c r="K15" s="2831">
        <v>5</v>
      </c>
      <c r="L15" s="2820"/>
      <c r="M15" s="2783"/>
      <c r="N15" s="2783"/>
      <c r="O15" s="2783"/>
      <c r="P15" s="3861" t="s">
        <v>2566</v>
      </c>
      <c r="Q15" s="2832" t="str">
        <f t="shared" si="6"/>
        <v>商业繁华度</v>
      </c>
      <c r="R15" s="2833" t="s">
        <v>17</v>
      </c>
      <c r="S15" s="2834">
        <f t="shared" si="0"/>
        <v>100</v>
      </c>
      <c r="T15" s="2833" t="s">
        <v>17</v>
      </c>
      <c r="U15" s="2834">
        <f t="shared" si="1"/>
        <v>100</v>
      </c>
      <c r="V15" s="2833" t="s">
        <v>17</v>
      </c>
      <c r="W15" s="2834">
        <f t="shared" si="2"/>
        <v>100</v>
      </c>
      <c r="X15" s="2784"/>
      <c r="Y15" s="3863" t="s">
        <v>2566</v>
      </c>
      <c r="Z15" s="2835" t="str">
        <f t="shared" si="7"/>
        <v>商业繁华度</v>
      </c>
      <c r="AA15" s="2835">
        <f t="shared" si="3"/>
        <v>1</v>
      </c>
      <c r="AB15" s="2835">
        <f t="shared" si="4"/>
        <v>1</v>
      </c>
      <c r="AC15" s="2835">
        <f t="shared" si="5"/>
        <v>1</v>
      </c>
    </row>
    <row r="16" spans="1:29" ht="15">
      <c r="A16" s="2809"/>
      <c r="B16" s="2836"/>
      <c r="C16" s="2837" t="s">
        <v>3090</v>
      </c>
      <c r="D16" s="2838"/>
      <c r="E16" s="2837" t="s">
        <v>3090</v>
      </c>
      <c r="F16" s="2839"/>
      <c r="G16" s="2837" t="s">
        <v>3090</v>
      </c>
      <c r="H16" s="2840"/>
      <c r="I16" s="2837" t="s">
        <v>3090</v>
      </c>
      <c r="J16" s="2838"/>
      <c r="K16" s="2841"/>
      <c r="L16" s="2820"/>
      <c r="M16" s="2783"/>
      <c r="N16" s="2783"/>
      <c r="O16" s="2783"/>
      <c r="P16" s="3862"/>
      <c r="Q16" s="2832"/>
      <c r="R16" s="2833"/>
      <c r="S16" s="2834"/>
      <c r="T16" s="2833"/>
      <c r="U16" s="2834"/>
      <c r="V16" s="2833"/>
      <c r="W16" s="2834"/>
      <c r="X16" s="2784"/>
      <c r="Y16" s="3864"/>
      <c r="Z16" s="2835"/>
      <c r="AA16" s="2835">
        <v>1</v>
      </c>
      <c r="AB16" s="2835">
        <v>1</v>
      </c>
      <c r="AC16" s="2835">
        <v>1</v>
      </c>
    </row>
    <row r="17" spans="1:29" ht="85.5">
      <c r="A17" s="2809"/>
      <c r="B17" s="2842" t="s">
        <v>2102</v>
      </c>
      <c r="C17" s="2843" t="str">
        <f>估价对象房地状况!C6</f>
        <v>估价对象周边道路状况、公共交通通达情况、停车便捷程度，综合评价交通便捷度较好</v>
      </c>
      <c r="D17" s="2840">
        <v>100</v>
      </c>
      <c r="E17" s="2844"/>
      <c r="F17" s="2845">
        <f>SUMIF(78:78,E18,79:79)-SUMIF(78:78,C18,79:79)+100</f>
        <v>100</v>
      </c>
      <c r="G17" s="2844"/>
      <c r="H17" s="2846">
        <f>SUMIF(78:78,G18,79:79)-SUMIF(78:78,C18,79:79)+100</f>
        <v>100</v>
      </c>
      <c r="I17" s="2844"/>
      <c r="J17" s="2846">
        <f>SUMIF(78:78,I18,79:79)-SUMIF(78:78,C18,79:79)+100</f>
        <v>100</v>
      </c>
      <c r="K17" s="2831">
        <v>3</v>
      </c>
      <c r="L17" s="2820"/>
      <c r="M17" s="2783"/>
      <c r="N17" s="2783"/>
      <c r="O17" s="2783"/>
      <c r="P17" s="3862"/>
      <c r="Q17" s="2832" t="str">
        <f>B17</f>
        <v>交通便捷度</v>
      </c>
      <c r="R17" s="2833" t="s">
        <v>17</v>
      </c>
      <c r="S17" s="2834">
        <f>F17</f>
        <v>100</v>
      </c>
      <c r="T17" s="2833" t="s">
        <v>17</v>
      </c>
      <c r="U17" s="2834">
        <f>H17</f>
        <v>100</v>
      </c>
      <c r="V17" s="2833" t="s">
        <v>17</v>
      </c>
      <c r="W17" s="2834">
        <f>J17</f>
        <v>100</v>
      </c>
      <c r="X17" s="2784"/>
      <c r="Y17" s="3864"/>
      <c r="Z17" s="2835" t="str">
        <f>Q17</f>
        <v>交通便捷度</v>
      </c>
      <c r="AA17" s="2835">
        <f t="shared" si="3"/>
        <v>1</v>
      </c>
      <c r="AB17" s="2835">
        <f t="shared" si="4"/>
        <v>1</v>
      </c>
      <c r="AC17" s="2835">
        <f t="shared" si="5"/>
        <v>1</v>
      </c>
    </row>
    <row r="18" spans="1:29" ht="15">
      <c r="A18" s="2809"/>
      <c r="B18" s="2847"/>
      <c r="C18" s="2848" t="s">
        <v>3086</v>
      </c>
      <c r="D18" s="2840"/>
      <c r="E18" s="2849" t="s">
        <v>3086</v>
      </c>
      <c r="F18" s="2845"/>
      <c r="G18" s="2849" t="s">
        <v>3086</v>
      </c>
      <c r="H18" s="2838"/>
      <c r="I18" s="2849" t="s">
        <v>3086</v>
      </c>
      <c r="J18" s="2838"/>
      <c r="K18" s="2841"/>
      <c r="L18" s="2820"/>
      <c r="M18" s="2783"/>
      <c r="N18" s="2783"/>
      <c r="O18" s="2783"/>
      <c r="P18" s="3862"/>
      <c r="Q18" s="2832"/>
      <c r="R18" s="2833"/>
      <c r="S18" s="2834"/>
      <c r="T18" s="2833"/>
      <c r="U18" s="2834"/>
      <c r="V18" s="2833"/>
      <c r="W18" s="2834"/>
      <c r="X18" s="2784"/>
      <c r="Y18" s="3864"/>
      <c r="Z18" s="2835"/>
      <c r="AA18" s="2835">
        <v>1</v>
      </c>
      <c r="AB18" s="2835">
        <v>1</v>
      </c>
      <c r="AC18" s="2835">
        <v>1</v>
      </c>
    </row>
    <row r="19" spans="1:29" ht="42.75">
      <c r="A19" s="2809"/>
      <c r="B19" s="2842" t="s">
        <v>2660</v>
      </c>
      <c r="C19" s="2843" t="str">
        <f>估价对象房地状况!C7</f>
        <v>估价对象所在区域公共配套设施齐备情况</v>
      </c>
      <c r="D19" s="2846">
        <v>100</v>
      </c>
      <c r="E19" s="2850"/>
      <c r="F19" s="2851">
        <f>SUMIF(80:80,E20,81:81)-SUMIF(80:80,C20,81:81)+100</f>
        <v>100</v>
      </c>
      <c r="G19" s="2850"/>
      <c r="H19" s="2840">
        <f>SUMIF(80:80,G20,81:81)-SUMIF(80:80,C20,81:81)+100</f>
        <v>100</v>
      </c>
      <c r="I19" s="2850"/>
      <c r="J19" s="2840">
        <f>SUMIF(80:80,I20,81:81)-SUMIF(80:80,C20,81:81)+100</f>
        <v>100</v>
      </c>
      <c r="K19" s="2831">
        <v>5</v>
      </c>
      <c r="L19" s="2820"/>
      <c r="M19" s="2783"/>
      <c r="N19" s="2783"/>
      <c r="O19" s="2783"/>
      <c r="P19" s="3862"/>
      <c r="Q19" s="2832" t="str">
        <f>B19</f>
        <v>公共配套设施</v>
      </c>
      <c r="R19" s="2833" t="s">
        <v>17</v>
      </c>
      <c r="S19" s="2834">
        <f>F19</f>
        <v>100</v>
      </c>
      <c r="T19" s="2833" t="s">
        <v>17</v>
      </c>
      <c r="U19" s="2834">
        <f>H19</f>
        <v>100</v>
      </c>
      <c r="V19" s="2833" t="s">
        <v>17</v>
      </c>
      <c r="W19" s="2834">
        <f>J19</f>
        <v>100</v>
      </c>
      <c r="X19" s="2784"/>
      <c r="Y19" s="3864"/>
      <c r="Z19" s="2835" t="str">
        <f>Q19</f>
        <v>公共配套设施</v>
      </c>
      <c r="AA19" s="2835">
        <f t="shared" si="3"/>
        <v>1</v>
      </c>
      <c r="AB19" s="2835">
        <f t="shared" si="4"/>
        <v>1</v>
      </c>
      <c r="AC19" s="2835">
        <f t="shared" si="5"/>
        <v>1</v>
      </c>
    </row>
    <row r="20" spans="1:29" ht="15">
      <c r="A20" s="2809"/>
      <c r="B20" s="2847"/>
      <c r="C20" s="2837" t="s">
        <v>3086</v>
      </c>
      <c r="D20" s="2838"/>
      <c r="E20" s="2852" t="s">
        <v>3086</v>
      </c>
      <c r="F20" s="2839"/>
      <c r="G20" s="2852" t="s">
        <v>3086</v>
      </c>
      <c r="H20" s="2838"/>
      <c r="I20" s="2852" t="s">
        <v>3086</v>
      </c>
      <c r="J20" s="2838"/>
      <c r="K20" s="2841"/>
      <c r="L20" s="2820"/>
      <c r="M20" s="2783"/>
      <c r="N20" s="2783"/>
      <c r="O20" s="2783"/>
      <c r="P20" s="3862"/>
      <c r="Q20" s="2832"/>
      <c r="R20" s="2833"/>
      <c r="S20" s="2834"/>
      <c r="T20" s="2833"/>
      <c r="U20" s="2834"/>
      <c r="V20" s="2833"/>
      <c r="W20" s="2834"/>
      <c r="X20" s="2784"/>
      <c r="Y20" s="3864"/>
      <c r="Z20" s="2835"/>
      <c r="AA20" s="2835">
        <v>1</v>
      </c>
      <c r="AB20" s="2835">
        <v>1</v>
      </c>
      <c r="AC20" s="2835">
        <v>1</v>
      </c>
    </row>
    <row r="21" spans="1:29" ht="28.5">
      <c r="A21" s="2809"/>
      <c r="B21" s="2245" t="s">
        <v>2661</v>
      </c>
      <c r="C21" s="2843" t="str">
        <f>估价对象房地状况!C8</f>
        <v>估价对象所在区域基础设施水平</v>
      </c>
      <c r="D21" s="2846">
        <v>100</v>
      </c>
      <c r="E21" s="2850"/>
      <c r="F21" s="2851">
        <f>SUMIF(82:82,E22,83:83)-SUMIF(82:82,C22,83:83)+100</f>
        <v>100</v>
      </c>
      <c r="G21" s="2850"/>
      <c r="H21" s="2840">
        <f>SUMIF(82:82,G22,83:83)-SUMIF(82:82,C22,83:83)+100</f>
        <v>100</v>
      </c>
      <c r="I21" s="2850"/>
      <c r="J21" s="2840">
        <f>SUMIF(82:82,I22,83:83)-SUMIF(82:82,C22,83:83)+100</f>
        <v>100</v>
      </c>
      <c r="K21" s="2831">
        <v>3</v>
      </c>
      <c r="L21" s="2820"/>
      <c r="M21" s="2783"/>
      <c r="N21" s="2783"/>
      <c r="O21" s="2783"/>
      <c r="P21" s="3862"/>
      <c r="Q21" s="2832" t="str">
        <f>B21</f>
        <v>基础设施水平</v>
      </c>
      <c r="R21" s="2833" t="s">
        <v>17</v>
      </c>
      <c r="S21" s="2834">
        <f>F21</f>
        <v>100</v>
      </c>
      <c r="T21" s="2833" t="s">
        <v>17</v>
      </c>
      <c r="U21" s="2834">
        <f>H21</f>
        <v>100</v>
      </c>
      <c r="V21" s="2833" t="s">
        <v>17</v>
      </c>
      <c r="W21" s="2834">
        <f>J21</f>
        <v>100</v>
      </c>
      <c r="X21" s="2784"/>
      <c r="Y21" s="3864"/>
      <c r="Z21" s="2835" t="str">
        <f>Q21</f>
        <v>基础设施水平</v>
      </c>
      <c r="AA21" s="2835">
        <f t="shared" ref="AA21" si="8">D21/F21</f>
        <v>1</v>
      </c>
      <c r="AB21" s="2835">
        <f t="shared" ref="AB21" si="9">D21/H21</f>
        <v>1</v>
      </c>
      <c r="AC21" s="2835">
        <f t="shared" ref="AC21" si="10">D21/J21</f>
        <v>1</v>
      </c>
    </row>
    <row r="22" spans="1:29" ht="15">
      <c r="A22" s="2809"/>
      <c r="B22" s="2245"/>
      <c r="C22" s="2848" t="s">
        <v>3087</v>
      </c>
      <c r="D22" s="2838"/>
      <c r="E22" s="2837" t="s">
        <v>3087</v>
      </c>
      <c r="F22" s="2839"/>
      <c r="G22" s="2837" t="s">
        <v>3087</v>
      </c>
      <c r="H22" s="2838"/>
      <c r="I22" s="2837" t="s">
        <v>3087</v>
      </c>
      <c r="J22" s="2838"/>
      <c r="K22" s="2853"/>
      <c r="L22" s="2820"/>
      <c r="M22" s="2783"/>
      <c r="N22" s="2783"/>
      <c r="O22" s="2783"/>
      <c r="P22" s="3862"/>
      <c r="Q22" s="2832"/>
      <c r="R22" s="2833"/>
      <c r="S22" s="2834"/>
      <c r="T22" s="2833"/>
      <c r="U22" s="2834"/>
      <c r="V22" s="2833"/>
      <c r="W22" s="2834"/>
      <c r="X22" s="2784"/>
      <c r="Y22" s="3864"/>
      <c r="Z22" s="2835"/>
      <c r="AA22" s="2835">
        <v>1</v>
      </c>
      <c r="AB22" s="2835">
        <v>1</v>
      </c>
      <c r="AC22" s="2835">
        <v>1</v>
      </c>
    </row>
    <row r="23" spans="1:29" ht="57">
      <c r="A23" s="2809"/>
      <c r="B23" s="2842" t="s">
        <v>2107</v>
      </c>
      <c r="C23" s="2843" t="str">
        <f>估价对象房地状况!C9</f>
        <v>区域自然环境：；人文环境；综合评价环境状况一般</v>
      </c>
      <c r="D23" s="2840">
        <v>100</v>
      </c>
      <c r="E23" s="2844"/>
      <c r="F23" s="2845">
        <f>SUMIF(84:84,E24,85:85)-SUMIF(84:84,C24,85:85)+100</f>
        <v>100</v>
      </c>
      <c r="G23" s="2844"/>
      <c r="H23" s="2840">
        <f>SUMIF(84:84,G24,85:85)-SUMIF(84:84,C24,85:85)+100</f>
        <v>100</v>
      </c>
      <c r="I23" s="2844"/>
      <c r="J23" s="2840">
        <f>SUMIF(84:84,I24,85:85)-SUMIF(84:84,C24,85:85)+100</f>
        <v>100</v>
      </c>
      <c r="K23" s="2831">
        <v>3</v>
      </c>
      <c r="L23" s="2820"/>
      <c r="M23" s="2783"/>
      <c r="N23" s="2783"/>
      <c r="O23" s="2783"/>
      <c r="P23" s="3862"/>
      <c r="Q23" s="2832" t="str">
        <f>B23</f>
        <v>自然及人文环境</v>
      </c>
      <c r="R23" s="2833" t="s">
        <v>17</v>
      </c>
      <c r="S23" s="2834">
        <f>F23</f>
        <v>100</v>
      </c>
      <c r="T23" s="2833" t="s">
        <v>17</v>
      </c>
      <c r="U23" s="2834">
        <f>H23</f>
        <v>100</v>
      </c>
      <c r="V23" s="2833" t="s">
        <v>17</v>
      </c>
      <c r="W23" s="2834">
        <f>J23</f>
        <v>100</v>
      </c>
      <c r="X23" s="2784"/>
      <c r="Y23" s="3864"/>
      <c r="Z23" s="2835" t="str">
        <f>Q23</f>
        <v>自然及人文环境</v>
      </c>
      <c r="AA23" s="2835">
        <f t="shared" si="3"/>
        <v>1</v>
      </c>
      <c r="AB23" s="2835">
        <f t="shared" si="4"/>
        <v>1</v>
      </c>
      <c r="AC23" s="2835">
        <f t="shared" si="5"/>
        <v>1</v>
      </c>
    </row>
    <row r="24" spans="1:29" ht="15">
      <c r="A24" s="2809"/>
      <c r="B24" s="2847"/>
      <c r="C24" s="2837" t="s">
        <v>3086</v>
      </c>
      <c r="D24" s="2838"/>
      <c r="E24" s="2852" t="s">
        <v>3086</v>
      </c>
      <c r="F24" s="2839"/>
      <c r="G24" s="2852" t="s">
        <v>3086</v>
      </c>
      <c r="H24" s="2838"/>
      <c r="I24" s="2852" t="s">
        <v>3086</v>
      </c>
      <c r="J24" s="2838"/>
      <c r="K24" s="2841"/>
      <c r="L24" s="2820"/>
      <c r="M24" s="2783"/>
      <c r="N24" s="2783"/>
      <c r="O24" s="2783"/>
      <c r="P24" s="3862"/>
      <c r="Q24" s="2832"/>
      <c r="R24" s="2833"/>
      <c r="S24" s="2834"/>
      <c r="T24" s="2833"/>
      <c r="U24" s="2834"/>
      <c r="V24" s="2833"/>
      <c r="W24" s="2834"/>
      <c r="X24" s="2784"/>
      <c r="Y24" s="3864"/>
      <c r="Z24" s="2835"/>
      <c r="AA24" s="2835">
        <v>1</v>
      </c>
      <c r="AB24" s="2835">
        <v>1</v>
      </c>
      <c r="AC24" s="2835">
        <v>1</v>
      </c>
    </row>
    <row r="25" spans="1:29" ht="15" hidden="1">
      <c r="A25" s="2809"/>
      <c r="B25" s="2273" t="s">
        <v>2662</v>
      </c>
      <c r="C25" s="2854" t="s">
        <v>7166</v>
      </c>
      <c r="D25" s="2819">
        <v>100</v>
      </c>
      <c r="E25" s="2854" t="s">
        <v>7166</v>
      </c>
      <c r="F25" s="2855">
        <f>SUMIF(86:86,E25,87:87)-SUMIF(86:86,C25,87:87)+100</f>
        <v>100</v>
      </c>
      <c r="G25" s="2854" t="s">
        <v>7166</v>
      </c>
      <c r="H25" s="2819">
        <f>SUMIF(86:86,G25,87:87)-SUMIF(86:86,C25,87:87)+100</f>
        <v>100</v>
      </c>
      <c r="I25" s="2854" t="s">
        <v>7166</v>
      </c>
      <c r="J25" s="2819">
        <f>SUMIF(86:86,I25,87:87)-SUMIF(86:86,C25,87:87)+100</f>
        <v>100</v>
      </c>
      <c r="K25" s="2805">
        <v>0</v>
      </c>
      <c r="L25" s="2820"/>
      <c r="M25" s="2783"/>
      <c r="N25" s="2783"/>
      <c r="O25" s="2783"/>
      <c r="P25" s="3862"/>
      <c r="Q25" s="2832" t="str">
        <f t="shared" ref="Q25:Q46" si="11">B25</f>
        <v>临街状况</v>
      </c>
      <c r="R25" s="2833" t="s">
        <v>17</v>
      </c>
      <c r="S25" s="2834">
        <f>F25</f>
        <v>100</v>
      </c>
      <c r="T25" s="2833" t="s">
        <v>17</v>
      </c>
      <c r="U25" s="2834">
        <f>H25</f>
        <v>100</v>
      </c>
      <c r="V25" s="2833" t="s">
        <v>17</v>
      </c>
      <c r="W25" s="2834">
        <f>J25</f>
        <v>100</v>
      </c>
      <c r="X25" s="2784"/>
      <c r="Y25" s="3864"/>
      <c r="Z25" s="2835" t="str">
        <f>Q25</f>
        <v>临街状况</v>
      </c>
      <c r="AA25" s="2835">
        <f t="shared" si="3"/>
        <v>1</v>
      </c>
      <c r="AB25" s="2835">
        <f t="shared" si="4"/>
        <v>1</v>
      </c>
      <c r="AC25" s="2835">
        <f t="shared" si="5"/>
        <v>1</v>
      </c>
    </row>
    <row r="26" spans="1:29" ht="15">
      <c r="A26" s="2809"/>
      <c r="B26" s="2856" t="s">
        <v>2663</v>
      </c>
      <c r="C26" s="2857" t="s">
        <v>7164</v>
      </c>
      <c r="D26" s="2819">
        <v>100</v>
      </c>
      <c r="E26" s="2857" t="s">
        <v>7165</v>
      </c>
      <c r="F26" s="2855">
        <f>SUMIF(88:88,E26,89:89)-SUMIF(88:88,C26,89:89)+100</f>
        <v>105</v>
      </c>
      <c r="G26" s="2857" t="s">
        <v>7165</v>
      </c>
      <c r="H26" s="2819">
        <f>SUMIF(88:88,G26,89:89)-SUMIF(88:88,C26,89:89)+100</f>
        <v>105</v>
      </c>
      <c r="I26" s="2857" t="s">
        <v>7167</v>
      </c>
      <c r="J26" s="2819">
        <f>SUMIF(88:88,I26,89:89)-SUMIF(88:88,C26,89:89)+100</f>
        <v>100</v>
      </c>
      <c r="K26" s="2818"/>
      <c r="L26" s="2820"/>
      <c r="M26" s="2783"/>
      <c r="N26" s="2783"/>
      <c r="O26" s="2783"/>
      <c r="P26" s="3862"/>
      <c r="Q26" s="2832" t="str">
        <f t="shared" si="11"/>
        <v>平面位置/可视性</v>
      </c>
      <c r="R26" s="2833" t="s">
        <v>17</v>
      </c>
      <c r="S26" s="2834">
        <f>F26</f>
        <v>105</v>
      </c>
      <c r="T26" s="2833" t="s">
        <v>17</v>
      </c>
      <c r="U26" s="2834">
        <f>H26</f>
        <v>105</v>
      </c>
      <c r="V26" s="2833" t="s">
        <v>17</v>
      </c>
      <c r="W26" s="2834">
        <f>J26</f>
        <v>100</v>
      </c>
      <c r="X26" s="2784"/>
      <c r="Y26" s="3864"/>
      <c r="Z26" s="2835" t="str">
        <f>Q26</f>
        <v>平面位置/可视性</v>
      </c>
      <c r="AA26" s="2835">
        <f t="shared" si="3"/>
        <v>0.95238095238095233</v>
      </c>
      <c r="AB26" s="2835">
        <f t="shared" si="4"/>
        <v>0.95238095238095233</v>
      </c>
      <c r="AC26" s="2835">
        <f t="shared" si="5"/>
        <v>1</v>
      </c>
    </row>
    <row r="27" spans="1:29" s="2797" customFormat="1" ht="15">
      <c r="A27" s="2813"/>
      <c r="B27" s="2842" t="s">
        <v>2664</v>
      </c>
      <c r="C27" s="2858" t="s">
        <v>3086</v>
      </c>
      <c r="D27" s="2859">
        <v>100</v>
      </c>
      <c r="E27" s="3540" t="s">
        <v>7163</v>
      </c>
      <c r="F27" s="2847">
        <f>SUMIF(90:90,E27,91:91)-SUMIF(90:90,C27,91:91)+100</f>
        <v>104.5</v>
      </c>
      <c r="G27" s="3540" t="s">
        <v>7163</v>
      </c>
      <c r="H27" s="2859">
        <f>SUMIF(90:90,G27,91:91)-SUMIF(90:90,C27,91:91)+100</f>
        <v>104.5</v>
      </c>
      <c r="I27" s="2858" t="s">
        <v>3086</v>
      </c>
      <c r="J27" s="2859">
        <f>SUMIF(90:90,I27,91:91)-SUMIF(90:90,C27,91:91)+100</f>
        <v>100</v>
      </c>
      <c r="K27" s="2805">
        <v>4.5</v>
      </c>
      <c r="L27" s="2794"/>
      <c r="M27" s="2795"/>
      <c r="N27" s="2795"/>
      <c r="O27" s="2795"/>
      <c r="P27" s="3862"/>
      <c r="Q27" s="28" t="str">
        <f t="shared" si="11"/>
        <v>人流量</v>
      </c>
      <c r="R27" s="2411" t="s">
        <v>17</v>
      </c>
      <c r="S27" s="2435">
        <f>F27</f>
        <v>104.5</v>
      </c>
      <c r="T27" s="2411" t="s">
        <v>17</v>
      </c>
      <c r="U27" s="2435">
        <f>H27</f>
        <v>104.5</v>
      </c>
      <c r="V27" s="2411" t="s">
        <v>17</v>
      </c>
      <c r="W27" s="2435">
        <f>J27</f>
        <v>100</v>
      </c>
      <c r="X27" s="2796"/>
      <c r="Y27" s="3864"/>
      <c r="Z27" s="2302" t="str">
        <f>Q27</f>
        <v>人流量</v>
      </c>
      <c r="AA27" s="2835">
        <f>D27/F27</f>
        <v>0.9569377990430622</v>
      </c>
      <c r="AB27" s="2835">
        <f>D27/H27</f>
        <v>0.9569377990430622</v>
      </c>
      <c r="AC27" s="2835">
        <f>D27/J27</f>
        <v>1</v>
      </c>
    </row>
    <row r="28" spans="1:29" ht="15.75" thickBot="1">
      <c r="A28" s="2809"/>
      <c r="B28" s="2273" t="s">
        <v>2665</v>
      </c>
      <c r="C28" s="2854" t="s">
        <v>3080</v>
      </c>
      <c r="D28" s="2819">
        <v>100</v>
      </c>
      <c r="E28" s="2854" t="s">
        <v>3080</v>
      </c>
      <c r="F28" s="2855">
        <f>SUMIF(92:92,E28,93:93)-SUMIF(92:92,C28,93:93)+100</f>
        <v>100</v>
      </c>
      <c r="G28" s="2854" t="s">
        <v>3080</v>
      </c>
      <c r="H28" s="2819">
        <f>SUMIF(92:92,G28,93:93)-SUMIF(92:92,C28,93:93)+100</f>
        <v>100</v>
      </c>
      <c r="I28" s="2854" t="s">
        <v>3080</v>
      </c>
      <c r="J28" s="2819">
        <f>SUMIF(92:92,I28,93:93)-SUMIF(92:92,C28,93:93)+100</f>
        <v>100</v>
      </c>
      <c r="K28" s="2818"/>
      <c r="L28" s="2820"/>
      <c r="M28" s="2783"/>
      <c r="N28" s="2783"/>
      <c r="O28" s="2783"/>
      <c r="P28" s="3862"/>
      <c r="Q28" s="2832" t="str">
        <f t="shared" si="11"/>
        <v>楼层</v>
      </c>
      <c r="R28" s="2833" t="s">
        <v>17</v>
      </c>
      <c r="S28" s="2834">
        <f t="shared" ref="S28:S46" si="12">F28</f>
        <v>100</v>
      </c>
      <c r="T28" s="2833" t="s">
        <v>17</v>
      </c>
      <c r="U28" s="2834">
        <f t="shared" ref="U28:U46" si="13">H28</f>
        <v>100</v>
      </c>
      <c r="V28" s="2833" t="s">
        <v>17</v>
      </c>
      <c r="W28" s="2834">
        <f t="shared" ref="W28:W46" si="14">J28</f>
        <v>100</v>
      </c>
      <c r="X28" s="2784"/>
      <c r="Y28" s="3864"/>
      <c r="Z28" s="2835" t="str">
        <f t="shared" ref="Z28:Z46" si="15">Q28</f>
        <v>楼层</v>
      </c>
      <c r="AA28" s="2835">
        <f t="shared" si="3"/>
        <v>1</v>
      </c>
      <c r="AB28" s="2835">
        <f t="shared" si="4"/>
        <v>1</v>
      </c>
      <c r="AC28" s="2835">
        <f t="shared" si="5"/>
        <v>1</v>
      </c>
    </row>
    <row r="29" spans="1:29" ht="15" hidden="1">
      <c r="A29" s="2809"/>
      <c r="B29" s="2856"/>
      <c r="C29" s="2817"/>
      <c r="D29" s="2819">
        <v>100</v>
      </c>
      <c r="E29" s="2817"/>
      <c r="F29" s="2855">
        <f>SUMIF(94:94,E29,95:95)-SUMIF(94:94,C29,95:95)+100</f>
        <v>100</v>
      </c>
      <c r="G29" s="2817"/>
      <c r="H29" s="2819">
        <f>SUMIF(94:94,G29,95:95)-SUMIF(94:94,C29,95:95)+100</f>
        <v>100</v>
      </c>
      <c r="I29" s="2817"/>
      <c r="J29" s="2819">
        <f>SUMIF(94:94,I29,95:95)-SUMIF(94:94,C29,95:95)+100</f>
        <v>100</v>
      </c>
      <c r="K29" s="2818"/>
      <c r="L29" s="2820"/>
      <c r="M29" s="2783"/>
      <c r="N29" s="2783"/>
      <c r="O29" s="2783"/>
      <c r="P29" s="3862"/>
      <c r="Q29" s="2832">
        <f t="shared" si="11"/>
        <v>0</v>
      </c>
      <c r="R29" s="2833" t="s">
        <v>17</v>
      </c>
      <c r="S29" s="2834">
        <f t="shared" si="12"/>
        <v>100</v>
      </c>
      <c r="T29" s="2833" t="s">
        <v>17</v>
      </c>
      <c r="U29" s="2834">
        <f t="shared" si="13"/>
        <v>100</v>
      </c>
      <c r="V29" s="2833" t="s">
        <v>17</v>
      </c>
      <c r="W29" s="2834">
        <f t="shared" si="14"/>
        <v>100</v>
      </c>
      <c r="X29" s="2784"/>
      <c r="Y29" s="3864"/>
      <c r="Z29" s="2835">
        <f t="shared" si="15"/>
        <v>0</v>
      </c>
      <c r="AA29" s="2835">
        <f t="shared" si="3"/>
        <v>1</v>
      </c>
      <c r="AB29" s="2835">
        <f t="shared" si="4"/>
        <v>1</v>
      </c>
      <c r="AC29" s="2835">
        <f t="shared" si="5"/>
        <v>1</v>
      </c>
    </row>
    <row r="30" spans="1:29" ht="15" hidden="1">
      <c r="A30" s="2809"/>
      <c r="B30" s="2856"/>
      <c r="C30" s="2817"/>
      <c r="D30" s="2819">
        <v>100</v>
      </c>
      <c r="E30" s="2817"/>
      <c r="F30" s="2855">
        <f>SUMIF(96:96,E30,97:97)-SUMIF(96:96,C30,97:97)+100</f>
        <v>100</v>
      </c>
      <c r="G30" s="2817"/>
      <c r="H30" s="2819">
        <f>SUMIF(96:96,G30,97:97)-SUMIF(96:96,C30,97:97)+100</f>
        <v>100</v>
      </c>
      <c r="I30" s="2817"/>
      <c r="J30" s="2819">
        <f>SUMIF(96:96,I30,97:97)-SUMIF(96:96,C30,97:97)+100</f>
        <v>100</v>
      </c>
      <c r="K30" s="2818"/>
      <c r="L30" s="2820"/>
      <c r="M30" s="2783"/>
      <c r="N30" s="2783"/>
      <c r="O30" s="2783"/>
      <c r="P30" s="3862"/>
      <c r="Q30" s="2832">
        <f t="shared" si="11"/>
        <v>0</v>
      </c>
      <c r="R30" s="2833" t="s">
        <v>17</v>
      </c>
      <c r="S30" s="2834">
        <f t="shared" si="12"/>
        <v>100</v>
      </c>
      <c r="T30" s="2833" t="s">
        <v>17</v>
      </c>
      <c r="U30" s="2834">
        <f t="shared" si="13"/>
        <v>100</v>
      </c>
      <c r="V30" s="2833" t="s">
        <v>17</v>
      </c>
      <c r="W30" s="2834">
        <f t="shared" si="14"/>
        <v>100</v>
      </c>
      <c r="X30" s="2784"/>
      <c r="Y30" s="3864"/>
      <c r="Z30" s="2835">
        <f t="shared" si="15"/>
        <v>0</v>
      </c>
      <c r="AA30" s="2835">
        <f t="shared" si="3"/>
        <v>1</v>
      </c>
      <c r="AB30" s="2835">
        <f t="shared" si="4"/>
        <v>1</v>
      </c>
      <c r="AC30" s="2835">
        <f t="shared" si="5"/>
        <v>1</v>
      </c>
    </row>
    <row r="31" spans="1:29" ht="15.75" hidden="1" thickBot="1">
      <c r="A31" s="2821"/>
      <c r="B31" s="2856"/>
      <c r="C31" s="2823"/>
      <c r="D31" s="2824">
        <v>100</v>
      </c>
      <c r="E31" s="2823"/>
      <c r="F31" s="2825">
        <f>SUMIF(98:98,E31,99:99)-SUMIF(98:98,C31,99:99)+100</f>
        <v>100</v>
      </c>
      <c r="G31" s="2823"/>
      <c r="H31" s="2824">
        <f>SUMIF(98:98,G31,99:99)-SUMIF(98:98,C31,99:99)+100</f>
        <v>100</v>
      </c>
      <c r="I31" s="2823"/>
      <c r="J31" s="2824">
        <f>SUMIF(98:98,I31,99:99)-SUMIF(98:98,C31,99:99)+100</f>
        <v>100</v>
      </c>
      <c r="K31" s="2818"/>
      <c r="L31" s="2820"/>
      <c r="M31" s="2783"/>
      <c r="N31" s="2783"/>
      <c r="O31" s="2783"/>
      <c r="P31" s="3862"/>
      <c r="Q31" s="2832">
        <f t="shared" si="11"/>
        <v>0</v>
      </c>
      <c r="R31" s="2833" t="s">
        <v>17</v>
      </c>
      <c r="S31" s="2834">
        <f t="shared" si="12"/>
        <v>100</v>
      </c>
      <c r="T31" s="2833" t="s">
        <v>17</v>
      </c>
      <c r="U31" s="2834">
        <f t="shared" si="13"/>
        <v>100</v>
      </c>
      <c r="V31" s="2833" t="s">
        <v>17</v>
      </c>
      <c r="W31" s="2834">
        <f t="shared" si="14"/>
        <v>100</v>
      </c>
      <c r="X31" s="2784"/>
      <c r="Y31" s="3864"/>
      <c r="Z31" s="2835">
        <f t="shared" si="15"/>
        <v>0</v>
      </c>
      <c r="AA31" s="2835">
        <f t="shared" si="3"/>
        <v>1</v>
      </c>
      <c r="AB31" s="2835">
        <f t="shared" si="4"/>
        <v>1</v>
      </c>
      <c r="AC31" s="2835">
        <f t="shared" si="5"/>
        <v>1</v>
      </c>
    </row>
    <row r="32" spans="1:29" ht="15">
      <c r="A32" s="2826" t="s">
        <v>2569</v>
      </c>
      <c r="B32" s="2398" t="s">
        <v>2666</v>
      </c>
      <c r="C32" s="2860" t="s">
        <v>3047</v>
      </c>
      <c r="D32" s="2861">
        <v>100</v>
      </c>
      <c r="E32" s="2860" t="s">
        <v>3047</v>
      </c>
      <c r="F32" s="2855">
        <f>SUMIF(100:100,E32,101:101)-SUMIF(100:100,C32,101:101)+100</f>
        <v>100</v>
      </c>
      <c r="G32" s="2860" t="s">
        <v>3047</v>
      </c>
      <c r="H32" s="2819">
        <f>SUMIF(100:100,G32,101:101)-SUMIF(100:100,C32,101:101)+100</f>
        <v>100</v>
      </c>
      <c r="I32" s="2860" t="s">
        <v>3047</v>
      </c>
      <c r="J32" s="2861">
        <f>SUMIF(100:100,I32,101:101)-SUMIF(100:100,C32,101:101)+100</f>
        <v>100</v>
      </c>
      <c r="K32" s="2805">
        <v>10</v>
      </c>
      <c r="L32" s="2820"/>
      <c r="M32" s="2783"/>
      <c r="N32" s="2783"/>
      <c r="O32" s="2783"/>
      <c r="P32" s="3865" t="s">
        <v>2571</v>
      </c>
      <c r="Q32" s="2832" t="str">
        <f t="shared" si="11"/>
        <v>商业类型</v>
      </c>
      <c r="R32" s="2833" t="s">
        <v>17</v>
      </c>
      <c r="S32" s="2834">
        <f t="shared" si="12"/>
        <v>100</v>
      </c>
      <c r="T32" s="2833" t="s">
        <v>17</v>
      </c>
      <c r="U32" s="2834">
        <f t="shared" si="13"/>
        <v>100</v>
      </c>
      <c r="V32" s="2833" t="s">
        <v>17</v>
      </c>
      <c r="W32" s="2834">
        <f t="shared" si="14"/>
        <v>100</v>
      </c>
      <c r="X32" s="2784"/>
      <c r="Y32" s="3868" t="s">
        <v>2571</v>
      </c>
      <c r="Z32" s="2835" t="str">
        <f t="shared" si="15"/>
        <v>商业类型</v>
      </c>
      <c r="AA32" s="2835">
        <f t="shared" si="3"/>
        <v>1</v>
      </c>
      <c r="AB32" s="2835">
        <f t="shared" si="4"/>
        <v>1</v>
      </c>
      <c r="AC32" s="2835">
        <f t="shared" si="5"/>
        <v>1</v>
      </c>
    </row>
    <row r="33" spans="1:29" s="2870" customFormat="1" ht="15">
      <c r="A33" s="2862"/>
      <c r="B33" s="2273" t="s">
        <v>2572</v>
      </c>
      <c r="C33" s="2863"/>
      <c r="D33" s="36">
        <v>100</v>
      </c>
      <c r="E33" s="2863"/>
      <c r="F33" s="2273">
        <f>LOOKUP(E33,103:103,104:104)-LOOKUP(C33,103:103,104:104)+100</f>
        <v>100</v>
      </c>
      <c r="G33" s="2863"/>
      <c r="H33" s="36">
        <f>LOOKUP(G33,103:103,104:104)-LOOKUP(C33,103:103,104:104)+100</f>
        <v>100</v>
      </c>
      <c r="I33" s="2863"/>
      <c r="J33" s="36">
        <f>LOOKUP(I33,103:103,104:104)-LOOKUP(C33,103:103,104:104)+100</f>
        <v>100</v>
      </c>
      <c r="K33" s="2818"/>
      <c r="L33" s="2812"/>
      <c r="M33" s="2864"/>
      <c r="N33" s="2864"/>
      <c r="O33" s="2864"/>
      <c r="P33" s="3866"/>
      <c r="Q33" s="2865" t="str">
        <f t="shared" si="11"/>
        <v>项目建筑规模</v>
      </c>
      <c r="R33" s="2866" t="s">
        <v>17</v>
      </c>
      <c r="S33" s="2867">
        <f t="shared" si="12"/>
        <v>100</v>
      </c>
      <c r="T33" s="2866" t="s">
        <v>17</v>
      </c>
      <c r="U33" s="2867">
        <f t="shared" si="13"/>
        <v>100</v>
      </c>
      <c r="V33" s="2866" t="s">
        <v>17</v>
      </c>
      <c r="W33" s="2867">
        <f t="shared" si="14"/>
        <v>100</v>
      </c>
      <c r="X33" s="2868"/>
      <c r="Y33" s="3868"/>
      <c r="Z33" s="2869" t="str">
        <f t="shared" si="15"/>
        <v>项目建筑规模</v>
      </c>
      <c r="AA33" s="2835">
        <f t="shared" si="3"/>
        <v>1</v>
      </c>
      <c r="AB33" s="2835">
        <f t="shared" si="4"/>
        <v>1</v>
      </c>
      <c r="AC33" s="2835">
        <f t="shared" si="5"/>
        <v>1</v>
      </c>
    </row>
    <row r="34" spans="1:29" ht="15">
      <c r="A34" s="2871"/>
      <c r="B34" s="2273" t="s">
        <v>2573</v>
      </c>
      <c r="C34" s="2872" t="s">
        <v>3093</v>
      </c>
      <c r="D34" s="2819">
        <v>100</v>
      </c>
      <c r="E34" s="2872" t="s">
        <v>3093</v>
      </c>
      <c r="F34" s="2855">
        <f>SUMIF(105:105,E34,106:106)-SUMIF(105:105,C34,106:106)+100</f>
        <v>100</v>
      </c>
      <c r="G34" s="2872" t="s">
        <v>3093</v>
      </c>
      <c r="H34" s="2819">
        <f>SUMIF(105:105,G34,106:106)-SUMIF(105:105,C34,106:106)+100</f>
        <v>100</v>
      </c>
      <c r="I34" s="2872" t="s">
        <v>3093</v>
      </c>
      <c r="J34" s="2819">
        <f>SUMIF(105:105,I34,106:106)-SUMIF(105:105,C34,106:106)+100</f>
        <v>100</v>
      </c>
      <c r="K34" s="2805">
        <v>5</v>
      </c>
      <c r="L34" s="2820"/>
      <c r="M34" s="2783"/>
      <c r="N34" s="2783"/>
      <c r="O34" s="2783"/>
      <c r="P34" s="3866"/>
      <c r="Q34" s="2832" t="str">
        <f t="shared" si="11"/>
        <v>建筑结构</v>
      </c>
      <c r="R34" s="2833" t="s">
        <v>17</v>
      </c>
      <c r="S34" s="2834">
        <f t="shared" si="12"/>
        <v>100</v>
      </c>
      <c r="T34" s="2833" t="s">
        <v>17</v>
      </c>
      <c r="U34" s="2834">
        <f t="shared" si="13"/>
        <v>100</v>
      </c>
      <c r="V34" s="2833" t="s">
        <v>17</v>
      </c>
      <c r="W34" s="2834">
        <f t="shared" si="14"/>
        <v>100</v>
      </c>
      <c r="X34" s="2784"/>
      <c r="Y34" s="3868"/>
      <c r="Z34" s="2835" t="str">
        <f t="shared" si="15"/>
        <v>建筑结构</v>
      </c>
      <c r="AA34" s="2835">
        <f t="shared" si="3"/>
        <v>1</v>
      </c>
      <c r="AB34" s="2835">
        <f t="shared" si="4"/>
        <v>1</v>
      </c>
      <c r="AC34" s="2835">
        <f t="shared" si="5"/>
        <v>1</v>
      </c>
    </row>
    <row r="35" spans="1:29" ht="15">
      <c r="A35" s="2871"/>
      <c r="B35" s="2273" t="s">
        <v>2667</v>
      </c>
      <c r="C35" s="2872" t="s">
        <v>3094</v>
      </c>
      <c r="D35" s="2819">
        <v>100</v>
      </c>
      <c r="E35" s="2872" t="s">
        <v>3094</v>
      </c>
      <c r="F35" s="2855">
        <f>SUMIF(107:107,E35,108:108)-SUMIF(107:107,C35,108:108)+100</f>
        <v>100</v>
      </c>
      <c r="G35" s="2872" t="s">
        <v>3094</v>
      </c>
      <c r="H35" s="2819">
        <f>SUMIF(107:107,G35,108:108)-SUMIF(107:107,C35,108:108)+100</f>
        <v>100</v>
      </c>
      <c r="I35" s="2872" t="s">
        <v>3094</v>
      </c>
      <c r="J35" s="2819">
        <f>SUMIF(107:107,I35,108:108)-SUMIF(107:107,C35,108:108)+100</f>
        <v>100</v>
      </c>
      <c r="K35" s="2805">
        <v>2</v>
      </c>
      <c r="L35" s="2820"/>
      <c r="M35" s="2783"/>
      <c r="N35" s="2783"/>
      <c r="O35" s="2783"/>
      <c r="P35" s="3866"/>
      <c r="Q35" s="2832" t="str">
        <f t="shared" si="11"/>
        <v>公共部分装修</v>
      </c>
      <c r="R35" s="2833" t="s">
        <v>17</v>
      </c>
      <c r="S35" s="2834">
        <f t="shared" si="12"/>
        <v>100</v>
      </c>
      <c r="T35" s="2833" t="s">
        <v>17</v>
      </c>
      <c r="U35" s="2834">
        <f t="shared" si="13"/>
        <v>100</v>
      </c>
      <c r="V35" s="2833" t="s">
        <v>17</v>
      </c>
      <c r="W35" s="2834">
        <f t="shared" si="14"/>
        <v>100</v>
      </c>
      <c r="X35" s="2784"/>
      <c r="Y35" s="3868"/>
      <c r="Z35" s="2835" t="str">
        <f t="shared" si="15"/>
        <v>公共部分装修</v>
      </c>
      <c r="AA35" s="2835">
        <f t="shared" si="3"/>
        <v>1</v>
      </c>
      <c r="AB35" s="2835">
        <f t="shared" si="4"/>
        <v>1</v>
      </c>
      <c r="AC35" s="2835">
        <f t="shared" si="5"/>
        <v>1</v>
      </c>
    </row>
    <row r="36" spans="1:29" ht="15">
      <c r="A36" s="2871"/>
      <c r="B36" s="2273" t="s">
        <v>2668</v>
      </c>
      <c r="C36" s="2863">
        <v>0.98</v>
      </c>
      <c r="D36" s="2819">
        <v>100</v>
      </c>
      <c r="E36" s="2863">
        <v>0.98</v>
      </c>
      <c r="F36" s="2855">
        <f>LOOKUP(E36,110:110,111:111)-LOOKUP(C36,110:110,111:111)+100</f>
        <v>100</v>
      </c>
      <c r="G36" s="2863">
        <v>0.98</v>
      </c>
      <c r="H36" s="2855">
        <f>LOOKUP(G36,110:110,111:111)-LOOKUP(C36,110:110,111:111)+100</f>
        <v>100</v>
      </c>
      <c r="I36" s="2863">
        <v>0.98</v>
      </c>
      <c r="J36" s="2819">
        <f>LOOKUP(I36,110:110,111:111)-LOOKUP(C36,110:110,111:111)+100</f>
        <v>100</v>
      </c>
      <c r="K36" s="2805">
        <v>1</v>
      </c>
      <c r="L36" s="2820"/>
      <c r="M36" s="2783"/>
      <c r="N36" s="2783"/>
      <c r="O36" s="2783"/>
      <c r="P36" s="3866"/>
      <c r="Q36" s="2832" t="str">
        <f t="shared" si="11"/>
        <v>成新度</v>
      </c>
      <c r="R36" s="2833" t="s">
        <v>17</v>
      </c>
      <c r="S36" s="2834">
        <f t="shared" si="12"/>
        <v>100</v>
      </c>
      <c r="T36" s="2833" t="s">
        <v>17</v>
      </c>
      <c r="U36" s="2834">
        <f t="shared" si="13"/>
        <v>100</v>
      </c>
      <c r="V36" s="2833" t="s">
        <v>17</v>
      </c>
      <c r="W36" s="2834">
        <f t="shared" si="14"/>
        <v>100</v>
      </c>
      <c r="X36" s="2784"/>
      <c r="Y36" s="3868"/>
      <c r="Z36" s="2835" t="str">
        <f t="shared" si="15"/>
        <v>成新度</v>
      </c>
      <c r="AA36" s="2835">
        <f t="shared" si="3"/>
        <v>1</v>
      </c>
      <c r="AB36" s="2835">
        <f t="shared" si="4"/>
        <v>1</v>
      </c>
      <c r="AC36" s="2835">
        <f t="shared" si="5"/>
        <v>1</v>
      </c>
    </row>
    <row r="37" spans="1:29" s="2797" customFormat="1" ht="15">
      <c r="A37" s="2873"/>
      <c r="B37" s="2273" t="s">
        <v>2669</v>
      </c>
      <c r="C37" s="2872" t="s">
        <v>3097</v>
      </c>
      <c r="D37" s="36">
        <v>100</v>
      </c>
      <c r="E37" s="2872" t="s">
        <v>3097</v>
      </c>
      <c r="F37" s="2855">
        <f>SUMIF(112:112,E37,113:113)-SUMIF(112:112,C37,113:113)+100</f>
        <v>100</v>
      </c>
      <c r="G37" s="2872" t="s">
        <v>3097</v>
      </c>
      <c r="H37" s="2819">
        <f>SUMIF(112:112,G37,113:113)-SUMIF(112:112,C37,113:113)+100</f>
        <v>100</v>
      </c>
      <c r="I37" s="2872" t="s">
        <v>3097</v>
      </c>
      <c r="J37" s="2819">
        <f>SUMIF(112:112,I37,113:113)-SUMIF(112:112,C37,113:113)+100</f>
        <v>100</v>
      </c>
      <c r="K37" s="2805">
        <v>1</v>
      </c>
      <c r="L37" s="2794"/>
      <c r="M37" s="2795"/>
      <c r="N37" s="2795"/>
      <c r="O37" s="2795"/>
      <c r="P37" s="3866"/>
      <c r="Q37" s="28" t="str">
        <f t="shared" si="11"/>
        <v>市政基础设施</v>
      </c>
      <c r="R37" s="2411" t="s">
        <v>17</v>
      </c>
      <c r="S37" s="2435">
        <f t="shared" si="12"/>
        <v>100</v>
      </c>
      <c r="T37" s="2411" t="s">
        <v>17</v>
      </c>
      <c r="U37" s="2435">
        <f t="shared" si="13"/>
        <v>100</v>
      </c>
      <c r="V37" s="2411" t="s">
        <v>17</v>
      </c>
      <c r="W37" s="2435">
        <f t="shared" si="14"/>
        <v>100</v>
      </c>
      <c r="X37" s="2796"/>
      <c r="Y37" s="3868"/>
      <c r="Z37" s="2302" t="str">
        <f t="shared" si="15"/>
        <v>市政基础设施</v>
      </c>
      <c r="AA37" s="2302">
        <f t="shared" si="3"/>
        <v>1</v>
      </c>
      <c r="AB37" s="2302">
        <f t="shared" si="4"/>
        <v>1</v>
      </c>
      <c r="AC37" s="2302">
        <f t="shared" si="5"/>
        <v>1</v>
      </c>
    </row>
    <row r="38" spans="1:29" ht="15">
      <c r="A38" s="2871"/>
      <c r="B38" s="2273" t="s">
        <v>2670</v>
      </c>
      <c r="C38" s="2872" t="s">
        <v>7119</v>
      </c>
      <c r="D38" s="2819">
        <v>100</v>
      </c>
      <c r="E38" s="2872" t="s">
        <v>7119</v>
      </c>
      <c r="F38" s="2855">
        <f>SUMIF(114:114,E38,115:115)-SUMIF(114:114,C38,115:115)+100</f>
        <v>100</v>
      </c>
      <c r="G38" s="2872" t="s">
        <v>7119</v>
      </c>
      <c r="H38" s="2819">
        <f>SUMIF(114:114,G38,115:115)-SUMIF(114:114,C38,115:115)+100</f>
        <v>100</v>
      </c>
      <c r="I38" s="2872" t="s">
        <v>7119</v>
      </c>
      <c r="J38" s="2819">
        <f>SUMIF(114:114,I38,115:115)-SUMIF(114:114,C38,115:115)+100</f>
        <v>100</v>
      </c>
      <c r="K38" s="2805">
        <v>5</v>
      </c>
      <c r="L38" s="2820"/>
      <c r="M38" s="2783"/>
      <c r="N38" s="2783"/>
      <c r="O38" s="2783"/>
      <c r="P38" s="3866" t="s">
        <v>2571</v>
      </c>
      <c r="Q38" s="2832" t="str">
        <f t="shared" si="11"/>
        <v>业态</v>
      </c>
      <c r="R38" s="2833" t="s">
        <v>17</v>
      </c>
      <c r="S38" s="2834">
        <f t="shared" si="12"/>
        <v>100</v>
      </c>
      <c r="T38" s="2833" t="s">
        <v>17</v>
      </c>
      <c r="U38" s="2834">
        <f t="shared" si="13"/>
        <v>100</v>
      </c>
      <c r="V38" s="2833" t="s">
        <v>17</v>
      </c>
      <c r="W38" s="2834">
        <f t="shared" si="14"/>
        <v>100</v>
      </c>
      <c r="X38" s="2784"/>
      <c r="Y38" s="3868" t="s">
        <v>2571</v>
      </c>
      <c r="Z38" s="2835" t="str">
        <f t="shared" si="15"/>
        <v>业态</v>
      </c>
      <c r="AA38" s="2835">
        <f t="shared" si="3"/>
        <v>1</v>
      </c>
      <c r="AB38" s="2835">
        <f t="shared" si="4"/>
        <v>1</v>
      </c>
      <c r="AC38" s="2835">
        <f t="shared" si="5"/>
        <v>1</v>
      </c>
    </row>
    <row r="39" spans="1:29" ht="15">
      <c r="A39" s="2871"/>
      <c r="B39" s="2273" t="s">
        <v>2671</v>
      </c>
      <c r="C39" s="2872" t="s">
        <v>3129</v>
      </c>
      <c r="D39" s="2819">
        <v>100</v>
      </c>
      <c r="E39" s="2872" t="s">
        <v>3129</v>
      </c>
      <c r="F39" s="2855">
        <f>SUMIF(116:116,E39,117:117)-SUMIF(116:116,C39,117:117)+100</f>
        <v>100</v>
      </c>
      <c r="G39" s="2872" t="s">
        <v>3129</v>
      </c>
      <c r="H39" s="2819">
        <f>SUMIF(116:116,G39,117:117)-SUMIF(116:116,C39,117:117)+100</f>
        <v>100</v>
      </c>
      <c r="I39" s="2872" t="s">
        <v>3129</v>
      </c>
      <c r="J39" s="2819">
        <f>SUMIF(116:116,I39,117:117)-SUMIF(116:116,C39,117:117)+100</f>
        <v>100</v>
      </c>
      <c r="K39" s="2805">
        <v>5</v>
      </c>
      <c r="L39" s="2820"/>
      <c r="M39" s="2783"/>
      <c r="N39" s="2783"/>
      <c r="O39" s="2783"/>
      <c r="P39" s="3866"/>
      <c r="Q39" s="2832" t="str">
        <f t="shared" si="11"/>
        <v>层高</v>
      </c>
      <c r="R39" s="2833" t="s">
        <v>17</v>
      </c>
      <c r="S39" s="2834">
        <f t="shared" si="12"/>
        <v>100</v>
      </c>
      <c r="T39" s="2833" t="s">
        <v>17</v>
      </c>
      <c r="U39" s="2834">
        <f t="shared" si="13"/>
        <v>100</v>
      </c>
      <c r="V39" s="2833" t="s">
        <v>17</v>
      </c>
      <c r="W39" s="2834">
        <f t="shared" si="14"/>
        <v>100</v>
      </c>
      <c r="X39" s="2784"/>
      <c r="Y39" s="3868"/>
      <c r="Z39" s="2835" t="str">
        <f t="shared" si="15"/>
        <v>层高</v>
      </c>
      <c r="AA39" s="2835">
        <f t="shared" si="3"/>
        <v>1</v>
      </c>
      <c r="AB39" s="2835">
        <f t="shared" si="4"/>
        <v>1</v>
      </c>
      <c r="AC39" s="2835">
        <f t="shared" si="5"/>
        <v>1</v>
      </c>
    </row>
    <row r="40" spans="1:29" ht="15">
      <c r="A40" s="2871"/>
      <c r="B40" s="2273" t="s">
        <v>2672</v>
      </c>
      <c r="C40" s="2874"/>
      <c r="D40" s="2819">
        <v>100</v>
      </c>
      <c r="E40" s="2874"/>
      <c r="F40" s="2855">
        <f>SUMIF(118:118,E40,119:119)-SUMIF(118:118,C40,119:119)+100</f>
        <v>100</v>
      </c>
      <c r="G40" s="2874"/>
      <c r="H40" s="2819">
        <f>SUMIF(118:118,G40,119:119)-SUMIF(118:118,C40,119:119)+100</f>
        <v>100</v>
      </c>
      <c r="I40" s="2874"/>
      <c r="J40" s="2819">
        <f>SUMIF(118:118,I40,119:119)-SUMIF(118:118,C40,119:119)+100</f>
        <v>100</v>
      </c>
      <c r="K40" s="2818"/>
      <c r="L40" s="2820"/>
      <c r="M40" s="2783"/>
      <c r="N40" s="2783"/>
      <c r="O40" s="2783"/>
      <c r="P40" s="3866"/>
      <c r="Q40" s="2832" t="str">
        <f t="shared" si="11"/>
        <v>单套建筑面积</v>
      </c>
      <c r="R40" s="2833" t="s">
        <v>17</v>
      </c>
      <c r="S40" s="2834">
        <f t="shared" si="12"/>
        <v>100</v>
      </c>
      <c r="T40" s="2833" t="s">
        <v>17</v>
      </c>
      <c r="U40" s="2834">
        <f t="shared" si="13"/>
        <v>100</v>
      </c>
      <c r="V40" s="2833" t="s">
        <v>17</v>
      </c>
      <c r="W40" s="2834">
        <f t="shared" si="14"/>
        <v>100</v>
      </c>
      <c r="X40" s="2784"/>
      <c r="Y40" s="3868"/>
      <c r="Z40" s="2835" t="str">
        <f t="shared" si="15"/>
        <v>单套建筑面积</v>
      </c>
      <c r="AA40" s="2835">
        <f t="shared" si="3"/>
        <v>1</v>
      </c>
      <c r="AB40" s="2835">
        <f t="shared" si="4"/>
        <v>1</v>
      </c>
      <c r="AC40" s="2835">
        <f t="shared" si="5"/>
        <v>1</v>
      </c>
    </row>
    <row r="41" spans="1:29" s="2870" customFormat="1" ht="15">
      <c r="A41" s="2862"/>
      <c r="B41" s="2855" t="s">
        <v>2673</v>
      </c>
      <c r="C41" s="2854" t="s">
        <v>3130</v>
      </c>
      <c r="D41" s="2819">
        <v>100</v>
      </c>
      <c r="E41" s="2854" t="s">
        <v>3130</v>
      </c>
      <c r="F41" s="2855">
        <f>SUMIF(120:120,E41,121:121)-SUMIF(120:120,C41,121:121)+100</f>
        <v>100</v>
      </c>
      <c r="G41" s="2854" t="s">
        <v>3130</v>
      </c>
      <c r="H41" s="2819">
        <f>SUMIF(120:120,G41,121:121)-SUMIF(120:120,C41,121:121)+100</f>
        <v>100</v>
      </c>
      <c r="I41" s="2854" t="s">
        <v>3130</v>
      </c>
      <c r="J41" s="2819">
        <f>SUMIF(120:120,I41,121:121)-SUMIF(120:120,C41,121:121)+100</f>
        <v>100</v>
      </c>
      <c r="K41" s="2805">
        <v>2</v>
      </c>
      <c r="L41" s="2812"/>
      <c r="M41" s="2864"/>
      <c r="N41" s="2864"/>
      <c r="O41" s="2864"/>
      <c r="P41" s="3866"/>
      <c r="Q41" s="2865" t="str">
        <f t="shared" si="11"/>
        <v>进深比</v>
      </c>
      <c r="R41" s="2866" t="s">
        <v>17</v>
      </c>
      <c r="S41" s="2867">
        <f t="shared" si="12"/>
        <v>100</v>
      </c>
      <c r="T41" s="2866" t="s">
        <v>17</v>
      </c>
      <c r="U41" s="2867">
        <f t="shared" si="13"/>
        <v>100</v>
      </c>
      <c r="V41" s="2866" t="s">
        <v>17</v>
      </c>
      <c r="W41" s="2867">
        <f t="shared" si="14"/>
        <v>100</v>
      </c>
      <c r="X41" s="2868"/>
      <c r="Y41" s="3868"/>
      <c r="Z41" s="2869" t="str">
        <f t="shared" si="15"/>
        <v>进深比</v>
      </c>
      <c r="AA41" s="2835">
        <f t="shared" si="3"/>
        <v>1</v>
      </c>
      <c r="AB41" s="2835">
        <f t="shared" si="4"/>
        <v>1</v>
      </c>
      <c r="AC41" s="2835">
        <f t="shared" si="5"/>
        <v>1</v>
      </c>
    </row>
    <row r="42" spans="1:29" ht="15">
      <c r="A42" s="2871"/>
      <c r="B42" s="2273" t="s">
        <v>2674</v>
      </c>
      <c r="C42" s="2872" t="s">
        <v>3131</v>
      </c>
      <c r="D42" s="2819">
        <v>100</v>
      </c>
      <c r="E42" s="2872" t="s">
        <v>3131</v>
      </c>
      <c r="F42" s="2855">
        <f>SUMIF(122:122,E42,123:123)-SUMIF(122:122,C42,123:123)+100</f>
        <v>100</v>
      </c>
      <c r="G42" s="2872" t="s">
        <v>3131</v>
      </c>
      <c r="H42" s="2819">
        <f>SUMIF(122:122,G42,123:123)-SUMIF(122:122,C42,123:123)+100</f>
        <v>100</v>
      </c>
      <c r="I42" s="2872" t="s">
        <v>3131</v>
      </c>
      <c r="J42" s="2819">
        <f>SUMIF(122:122,I42,123:123)-SUMIF(122:122,C42,123:123)+100</f>
        <v>100</v>
      </c>
      <c r="K42" s="2805">
        <v>2</v>
      </c>
      <c r="L42" s="2820"/>
      <c r="M42" s="2783"/>
      <c r="N42" s="2783"/>
      <c r="O42" s="2783"/>
      <c r="P42" s="3866"/>
      <c r="Q42" s="2832" t="str">
        <f t="shared" si="11"/>
        <v>内部装修</v>
      </c>
      <c r="R42" s="2833" t="s">
        <v>17</v>
      </c>
      <c r="S42" s="2834">
        <f t="shared" si="12"/>
        <v>100</v>
      </c>
      <c r="T42" s="2833" t="s">
        <v>17</v>
      </c>
      <c r="U42" s="2834">
        <f t="shared" si="13"/>
        <v>100</v>
      </c>
      <c r="V42" s="2833" t="s">
        <v>17</v>
      </c>
      <c r="W42" s="2834">
        <f t="shared" si="14"/>
        <v>100</v>
      </c>
      <c r="X42" s="2784"/>
      <c r="Y42" s="3868"/>
      <c r="Z42" s="2835" t="str">
        <f t="shared" si="15"/>
        <v>内部装修</v>
      </c>
      <c r="AA42" s="2835">
        <f t="shared" si="3"/>
        <v>1</v>
      </c>
      <c r="AB42" s="2835">
        <f t="shared" si="4"/>
        <v>1</v>
      </c>
      <c r="AC42" s="2835">
        <f t="shared" si="5"/>
        <v>1</v>
      </c>
    </row>
    <row r="43" spans="1:29" ht="15.75" thickBot="1">
      <c r="A43" s="2871"/>
      <c r="B43" s="2273" t="s">
        <v>2582</v>
      </c>
      <c r="C43" s="2872" t="s">
        <v>3090</v>
      </c>
      <c r="D43" s="2819">
        <v>100</v>
      </c>
      <c r="E43" s="2872" t="s">
        <v>3090</v>
      </c>
      <c r="F43" s="2855">
        <f>SUMIF(124:124,E43,125:125)-SUMIF(124:124,C43,125:125)+100</f>
        <v>100</v>
      </c>
      <c r="G43" s="2872" t="s">
        <v>3090</v>
      </c>
      <c r="H43" s="2819">
        <f>SUMIF(124:124,G43,125:125)-SUMIF(124:124,C43,125:125)+100</f>
        <v>100</v>
      </c>
      <c r="I43" s="2872" t="s">
        <v>3090</v>
      </c>
      <c r="J43" s="2819">
        <f>SUMIF(124:124,I43,125:125)-SUMIF(124:124,C43,125:125)+100</f>
        <v>100</v>
      </c>
      <c r="K43" s="2805">
        <v>2</v>
      </c>
      <c r="L43" s="2820"/>
      <c r="M43" s="2783"/>
      <c r="N43" s="2783"/>
      <c r="O43" s="2783"/>
      <c r="P43" s="3866"/>
      <c r="Q43" s="2832" t="str">
        <f t="shared" si="11"/>
        <v>内部装修维护情况</v>
      </c>
      <c r="R43" s="2833" t="s">
        <v>17</v>
      </c>
      <c r="S43" s="2834">
        <f t="shared" si="12"/>
        <v>100</v>
      </c>
      <c r="T43" s="2833" t="s">
        <v>17</v>
      </c>
      <c r="U43" s="2834">
        <f t="shared" si="13"/>
        <v>100</v>
      </c>
      <c r="V43" s="2833" t="s">
        <v>17</v>
      </c>
      <c r="W43" s="2834">
        <f t="shared" si="14"/>
        <v>100</v>
      </c>
      <c r="X43" s="2784"/>
      <c r="Y43" s="3868"/>
      <c r="Z43" s="2835" t="str">
        <f t="shared" si="15"/>
        <v>内部装修维护情况</v>
      </c>
      <c r="AA43" s="2835">
        <f t="shared" si="3"/>
        <v>1</v>
      </c>
      <c r="AB43" s="2835">
        <f t="shared" si="4"/>
        <v>1</v>
      </c>
      <c r="AC43" s="2835">
        <f t="shared" si="5"/>
        <v>1</v>
      </c>
    </row>
    <row r="44" spans="1:29" s="2797" customFormat="1" ht="15" hidden="1">
      <c r="A44" s="2873"/>
      <c r="B44" s="2856"/>
      <c r="C44" s="2863"/>
      <c r="D44" s="36">
        <v>100</v>
      </c>
      <c r="E44" s="2817"/>
      <c r="F44" s="2273">
        <f>SUMIF(126:126,E44,127:127)-SUMIF(126:126,C44,127:127)+100</f>
        <v>100</v>
      </c>
      <c r="G44" s="2817"/>
      <c r="H44" s="36">
        <f>SUMIF(126:126,G44,127:127)-SUMIF(126:126,C44,127:127)+100</f>
        <v>100</v>
      </c>
      <c r="I44" s="2817"/>
      <c r="J44" s="36">
        <f>SUMIF(126:126,I44,127:127)-SUMIF(126:126,C44,127:127)+100</f>
        <v>100</v>
      </c>
      <c r="K44" s="2818"/>
      <c r="L44" s="2794"/>
      <c r="M44" s="2795"/>
      <c r="N44" s="2795"/>
      <c r="O44" s="2795"/>
      <c r="P44" s="3866"/>
      <c r="Q44" s="28">
        <f t="shared" si="11"/>
        <v>0</v>
      </c>
      <c r="R44" s="2411" t="s">
        <v>17</v>
      </c>
      <c r="S44" s="2435">
        <f t="shared" si="12"/>
        <v>100</v>
      </c>
      <c r="T44" s="2411" t="s">
        <v>17</v>
      </c>
      <c r="U44" s="2435">
        <f t="shared" si="13"/>
        <v>100</v>
      </c>
      <c r="V44" s="2411" t="s">
        <v>17</v>
      </c>
      <c r="W44" s="2435">
        <f t="shared" si="14"/>
        <v>100</v>
      </c>
      <c r="X44" s="2796"/>
      <c r="Y44" s="3868"/>
      <c r="Z44" s="2302">
        <f t="shared" si="15"/>
        <v>0</v>
      </c>
      <c r="AA44" s="2302">
        <f t="shared" si="3"/>
        <v>1</v>
      </c>
      <c r="AB44" s="2302">
        <f t="shared" si="4"/>
        <v>1</v>
      </c>
      <c r="AC44" s="2302">
        <f t="shared" si="5"/>
        <v>1</v>
      </c>
    </row>
    <row r="45" spans="1:29" ht="15" hidden="1">
      <c r="A45" s="2871"/>
      <c r="B45" s="2856"/>
      <c r="C45" s="2817"/>
      <c r="D45" s="2819">
        <v>100</v>
      </c>
      <c r="E45" s="2817"/>
      <c r="F45" s="2855">
        <f>SUMIF(128:128,E45,129:129)-SUMIF(128:128,C45,129:129)+100</f>
        <v>100</v>
      </c>
      <c r="G45" s="2817"/>
      <c r="H45" s="2819">
        <f>SUMIF(128:128,G45,129:129)-SUMIF(128:128,C45,129:129)+100</f>
        <v>100</v>
      </c>
      <c r="I45" s="2817"/>
      <c r="J45" s="2819">
        <f>SUMIF(128:128,I45,129:129)-SUMIF(128:128,C45,129:129)+100</f>
        <v>100</v>
      </c>
      <c r="K45" s="2818"/>
      <c r="L45" s="2820"/>
      <c r="M45" s="2783"/>
      <c r="N45" s="2783"/>
      <c r="O45" s="2783"/>
      <c r="P45" s="3866"/>
      <c r="Q45" s="2832">
        <f t="shared" si="11"/>
        <v>0</v>
      </c>
      <c r="R45" s="2833" t="s">
        <v>17</v>
      </c>
      <c r="S45" s="2834">
        <f t="shared" si="12"/>
        <v>100</v>
      </c>
      <c r="T45" s="2833" t="s">
        <v>17</v>
      </c>
      <c r="U45" s="2834">
        <f t="shared" si="13"/>
        <v>100</v>
      </c>
      <c r="V45" s="2833" t="s">
        <v>17</v>
      </c>
      <c r="W45" s="2834">
        <f t="shared" si="14"/>
        <v>100</v>
      </c>
      <c r="X45" s="2784"/>
      <c r="Y45" s="3868"/>
      <c r="Z45" s="2835">
        <f t="shared" si="15"/>
        <v>0</v>
      </c>
      <c r="AA45" s="2835">
        <f t="shared" si="3"/>
        <v>1</v>
      </c>
      <c r="AB45" s="2835">
        <f t="shared" si="4"/>
        <v>1</v>
      </c>
      <c r="AC45" s="2835">
        <f t="shared" si="5"/>
        <v>1</v>
      </c>
    </row>
    <row r="46" spans="1:29" ht="15.75" hidden="1" thickBot="1">
      <c r="A46" s="2875"/>
      <c r="B46" s="2822"/>
      <c r="C46" s="2823"/>
      <c r="D46" s="2824">
        <v>100</v>
      </c>
      <c r="E46" s="2817"/>
      <c r="F46" s="2825">
        <f>SUMIF(130:130,E46,131:131)-SUMIF(130:130,C46,131:131)+100</f>
        <v>100</v>
      </c>
      <c r="G46" s="2817"/>
      <c r="H46" s="2824">
        <f>SUMIF(130:130,G46,131:131)-SUMIF(130:130,C46,131:131)+100</f>
        <v>100</v>
      </c>
      <c r="I46" s="2817"/>
      <c r="J46" s="2824">
        <f>SUMIF(130:130,I46,131:131)-SUMIF(130:130,C46,131:131)+100</f>
        <v>100</v>
      </c>
      <c r="K46" s="2818"/>
      <c r="L46" s="2820"/>
      <c r="M46" s="2783"/>
      <c r="N46" s="2783"/>
      <c r="O46" s="2783"/>
      <c r="P46" s="3867"/>
      <c r="Q46" s="2832">
        <f t="shared" si="11"/>
        <v>0</v>
      </c>
      <c r="R46" s="2833" t="s">
        <v>17</v>
      </c>
      <c r="S46" s="2834">
        <f t="shared" si="12"/>
        <v>100</v>
      </c>
      <c r="T46" s="2833" t="s">
        <v>17</v>
      </c>
      <c r="U46" s="2834">
        <f t="shared" si="13"/>
        <v>100</v>
      </c>
      <c r="V46" s="2833" t="s">
        <v>17</v>
      </c>
      <c r="W46" s="2834">
        <f t="shared" si="14"/>
        <v>100</v>
      </c>
      <c r="X46" s="2784"/>
      <c r="Y46" s="3869"/>
      <c r="Z46" s="2835">
        <f t="shared" si="15"/>
        <v>0</v>
      </c>
      <c r="AA46" s="2835">
        <f t="shared" si="3"/>
        <v>1</v>
      </c>
      <c r="AB46" s="2835">
        <f t="shared" si="4"/>
        <v>1</v>
      </c>
      <c r="AC46" s="2835">
        <f t="shared" si="5"/>
        <v>1</v>
      </c>
    </row>
    <row r="47" spans="1:29" ht="15">
      <c r="A47" s="2876" t="s">
        <v>2583</v>
      </c>
      <c r="B47" s="2877"/>
      <c r="C47" s="2878" t="s">
        <v>1</v>
      </c>
      <c r="D47" s="2879"/>
      <c r="E47" s="2880">
        <v>42544</v>
      </c>
      <c r="F47" s="2881"/>
      <c r="G47" s="2882">
        <v>41710</v>
      </c>
      <c r="H47" s="2883"/>
      <c r="I47" s="2880">
        <v>37934</v>
      </c>
      <c r="J47" s="2883"/>
      <c r="K47" s="2834"/>
      <c r="L47" s="2884"/>
      <c r="M47" s="895"/>
      <c r="N47" s="2783"/>
      <c r="O47" s="895"/>
      <c r="P47" s="3870" t="str">
        <f>A47</f>
        <v>成交单价（元/平方米）</v>
      </c>
      <c r="Q47" s="3870"/>
      <c r="R47" s="3834">
        <f>E47</f>
        <v>42544</v>
      </c>
      <c r="S47" s="3834"/>
      <c r="T47" s="3834">
        <f>G47</f>
        <v>41710</v>
      </c>
      <c r="U47" s="3834"/>
      <c r="V47" s="3834">
        <f>I47</f>
        <v>37934</v>
      </c>
      <c r="W47" s="3834"/>
      <c r="X47" s="544"/>
      <c r="Y47" s="2885"/>
      <c r="Z47" s="544"/>
      <c r="AA47" s="544"/>
      <c r="AB47" s="544"/>
      <c r="AC47" s="544"/>
    </row>
    <row r="48" spans="1:29" ht="15.75" thickBot="1">
      <c r="A48" s="2886" t="s">
        <v>2675</v>
      </c>
      <c r="B48" s="2887"/>
      <c r="C48" s="2888">
        <f>R49</f>
        <v>39367</v>
      </c>
      <c r="D48" s="2889"/>
      <c r="E48" s="2890">
        <f>R48</f>
        <v>39364</v>
      </c>
      <c r="F48" s="2890"/>
      <c r="G48" s="2888">
        <f>T48</f>
        <v>40226</v>
      </c>
      <c r="H48" s="2889"/>
      <c r="I48" s="2890">
        <f>V48</f>
        <v>38512</v>
      </c>
      <c r="J48" s="2889"/>
      <c r="K48" s="2891"/>
      <c r="L48" s="2884"/>
      <c r="M48" s="895"/>
      <c r="N48" s="2783"/>
      <c r="O48" s="895"/>
      <c r="P48" s="3870" t="str">
        <f>A48</f>
        <v>比较价值（元/平方米）</v>
      </c>
      <c r="Q48" s="3870"/>
      <c r="R48" s="3834">
        <f>IF(F1="售价",ROUND(PRODUCT(R47,AA7:AA46),0),ROUND(PRODUCT(R47,AA7:AA46),1))</f>
        <v>39364</v>
      </c>
      <c r="S48" s="3834"/>
      <c r="T48" s="3834">
        <f>IF(F1="售价",ROUND(PRODUCT(T47,AB7:AB46),0),ROUND(PRODUCT(T47,AB7:AB46),1))</f>
        <v>40226</v>
      </c>
      <c r="U48" s="3834"/>
      <c r="V48" s="3834">
        <f>IF(F1="售价",ROUND(PRODUCT(V47,AC7:AC46),0),ROUND(PRODUCT(V47,AC7:AC46),1))</f>
        <v>38512</v>
      </c>
      <c r="W48" s="3834"/>
      <c r="X48" s="544"/>
      <c r="Y48" s="544"/>
      <c r="Z48" s="544"/>
      <c r="AA48" s="544"/>
      <c r="AB48" s="544"/>
      <c r="AC48" s="544"/>
    </row>
    <row r="49" spans="1:29" ht="15.75" thickBot="1">
      <c r="A49" s="2892" t="s">
        <v>2676</v>
      </c>
      <c r="B49" s="2893"/>
      <c r="C49" s="2789">
        <f>R49</f>
        <v>39367</v>
      </c>
      <c r="D49" s="2789"/>
      <c r="E49" s="2789"/>
      <c r="F49" s="2789"/>
      <c r="G49" s="2789"/>
      <c r="H49" s="2789"/>
      <c r="I49" s="2789"/>
      <c r="J49" s="2789"/>
      <c r="K49" s="2832"/>
      <c r="L49" s="2884"/>
      <c r="M49" s="895"/>
      <c r="N49" s="2783"/>
      <c r="O49" s="895"/>
      <c r="P49" s="3871" t="str">
        <f>A49</f>
        <v>估价对象XX用房的比较价值（楼面单价，元/平方米）</v>
      </c>
      <c r="Q49" s="3872"/>
      <c r="R49" s="3873">
        <f>IF(F1="售价",ROUND(AVERAGE(R48:V48),0),ROUND(AVERAGE(R48:V48),1))</f>
        <v>39367</v>
      </c>
      <c r="S49" s="3873"/>
      <c r="T49" s="3873"/>
      <c r="U49" s="3873"/>
      <c r="V49" s="3873"/>
      <c r="W49" s="3873"/>
      <c r="X49" s="544"/>
      <c r="Y49" s="544"/>
      <c r="Z49" s="544"/>
      <c r="AA49" s="544"/>
      <c r="AB49" s="544"/>
      <c r="AC49" s="544"/>
    </row>
    <row r="50" spans="1:29">
      <c r="A50" s="895"/>
      <c r="B50" s="895"/>
      <c r="C50" s="895"/>
      <c r="D50" s="895"/>
      <c r="E50" s="895"/>
      <c r="F50" s="895"/>
      <c r="G50" s="895"/>
      <c r="H50" s="895"/>
      <c r="I50" s="895"/>
      <c r="J50" s="895"/>
      <c r="K50" s="895"/>
      <c r="L50" s="895"/>
      <c r="M50" s="895"/>
      <c r="N50" s="895"/>
      <c r="O50" s="895"/>
      <c r="P50" s="2894"/>
      <c r="Q50" s="544"/>
      <c r="R50" s="544"/>
      <c r="S50" s="544"/>
      <c r="T50" s="544"/>
      <c r="U50" s="544"/>
      <c r="V50" s="544"/>
      <c r="W50" s="544"/>
      <c r="X50" s="544"/>
      <c r="Y50" s="544"/>
      <c r="Z50" s="544"/>
      <c r="AA50" s="544"/>
      <c r="AB50" s="544"/>
      <c r="AC50" s="544"/>
    </row>
    <row r="51" spans="1:29">
      <c r="A51" s="895"/>
      <c r="B51" s="895"/>
      <c r="C51" s="895"/>
      <c r="D51" s="895"/>
      <c r="E51" s="895"/>
      <c r="F51" s="895"/>
      <c r="G51" s="895"/>
      <c r="H51" s="895"/>
      <c r="I51" s="895"/>
      <c r="J51" s="895"/>
      <c r="K51" s="895"/>
      <c r="L51" s="895"/>
      <c r="M51" s="895"/>
      <c r="N51" s="895"/>
      <c r="O51" s="895"/>
      <c r="P51" s="2894"/>
      <c r="Q51" s="544"/>
      <c r="R51" s="544"/>
      <c r="S51" s="544"/>
      <c r="T51" s="544"/>
      <c r="U51" s="544"/>
      <c r="V51" s="544"/>
      <c r="W51" s="544"/>
      <c r="X51" s="544"/>
      <c r="Y51" s="544"/>
      <c r="Z51" s="544"/>
      <c r="AA51" s="544"/>
      <c r="AB51" s="544"/>
      <c r="AC51" s="544"/>
    </row>
    <row r="52" spans="1:29" ht="13.5" customHeight="1">
      <c r="A52" s="895"/>
      <c r="B52" s="895"/>
      <c r="C52" s="2895" t="s">
        <v>2677</v>
      </c>
      <c r="D52" s="2896"/>
      <c r="E52" s="2833">
        <f>IF(E47&lt;E48,E48/E47-1,E47/E48-1)</f>
        <v>8.0784473122650136E-2</v>
      </c>
      <c r="F52" s="2897" t="str">
        <f>IF(OR(E52&gt;=0.3,E52&lt;=-0.3),"超过30%","")</f>
        <v/>
      </c>
      <c r="G52" s="2833">
        <f>IF(G47&lt;G48,G48/G47-1,G47/G48-1)</f>
        <v>3.6891562670909428E-2</v>
      </c>
      <c r="H52" s="2897" t="str">
        <f>IF(OR(G52&gt;=0.3,G52&lt;=-0.3),"超过30%","")</f>
        <v/>
      </c>
      <c r="I52" s="2833">
        <f>IF(I47&lt;I48,I48/I47-1,I47/I48-1)</f>
        <v>1.5236990562556008E-2</v>
      </c>
      <c r="J52" s="2897" t="str">
        <f>IF(OR(I52&gt;=0.3,I52&lt;=-0.3),"超过30%","")</f>
        <v/>
      </c>
      <c r="K52" s="895"/>
      <c r="L52" s="895"/>
      <c r="M52" s="895"/>
      <c r="N52" s="895"/>
      <c r="O52" s="895"/>
      <c r="P52" s="2894"/>
      <c r="Q52" s="544"/>
      <c r="R52" s="544"/>
      <c r="S52" s="544"/>
      <c r="T52" s="544"/>
      <c r="U52" s="544"/>
      <c r="V52" s="544"/>
      <c r="W52" s="544"/>
      <c r="X52" s="544"/>
      <c r="Y52" s="544"/>
      <c r="Z52" s="544"/>
      <c r="AA52" s="544"/>
      <c r="AB52" s="544"/>
      <c r="AC52" s="544"/>
    </row>
    <row r="53" spans="1:29" ht="13.5" customHeight="1">
      <c r="A53" s="895"/>
      <c r="B53" s="895"/>
      <c r="C53" s="2895" t="s">
        <v>2678</v>
      </c>
      <c r="D53" s="2898"/>
      <c r="E53" s="2833">
        <f>IF(E48&lt;G48,G48/E48-1,E48/G48-1)</f>
        <v>2.189818107915853E-2</v>
      </c>
      <c r="F53" s="2897" t="str">
        <f>IF(OR(E53&gt;=0.2,E53&lt;=-0.2),"超过20%","")</f>
        <v/>
      </c>
      <c r="G53" s="2833">
        <f>IF(G48&lt;I48,I48/G48-1,G48/I48-1)</f>
        <v>4.4505608641462358E-2</v>
      </c>
      <c r="H53" s="2897" t="str">
        <f>IF(OR(G53&gt;=0.2,G53&lt;=-0.2),"超过20%","")</f>
        <v/>
      </c>
      <c r="I53" s="2833">
        <f>IF(I48&lt;E48,E48/I48-1,I48/E48-1)</f>
        <v>2.2122974657249772E-2</v>
      </c>
      <c r="J53" s="2897" t="str">
        <f>IF(OR(I53&gt;=0.2,I53&lt;=-0.2),"超过20%","")</f>
        <v/>
      </c>
      <c r="K53" s="895"/>
      <c r="L53" s="895"/>
      <c r="M53" s="895"/>
      <c r="N53" s="895"/>
      <c r="O53" s="895"/>
      <c r="P53" s="2894"/>
      <c r="Q53" s="544"/>
      <c r="R53" s="544"/>
      <c r="S53" s="544"/>
      <c r="T53" s="544"/>
      <c r="U53" s="544"/>
      <c r="V53" s="544"/>
      <c r="W53" s="544"/>
      <c r="X53" s="544"/>
      <c r="Y53" s="544"/>
      <c r="Z53" s="544"/>
      <c r="AA53" s="544"/>
      <c r="AB53" s="544"/>
      <c r="AC53" s="544"/>
    </row>
    <row r="54" spans="1:29" s="2902" customFormat="1" ht="13.5" customHeight="1">
      <c r="A54" s="2899"/>
      <c r="B54" s="2899"/>
      <c r="C54" s="2895" t="s">
        <v>2679</v>
      </c>
      <c r="D54" s="2898"/>
      <c r="E54" s="2833">
        <f>IF(E47&lt;G47,G47/E47-1,E47/G47-1)</f>
        <v>1.999520498681373E-2</v>
      </c>
      <c r="F54" s="2897" t="str">
        <f>IF(OR(E54&gt;=0.3,E54&lt;=-0.3),"超过30%","")</f>
        <v/>
      </c>
      <c r="G54" s="2833">
        <f>IF(G47&lt;I47,I47/G47-1,G47/I47-1)</f>
        <v>9.9541308588601218E-2</v>
      </c>
      <c r="H54" s="2897" t="str">
        <f>IF(OR(G54&gt;=0.3,G54&lt;=-0.3),"超过30%","")</f>
        <v/>
      </c>
      <c r="I54" s="2833">
        <f>IF(I47&lt;E47,E47/I47-1,I47/E47-1)</f>
        <v>0.12152686244529964</v>
      </c>
      <c r="J54" s="2897" t="str">
        <f>IF(OR(I54&gt;=0.3,I54&lt;=-0.3),"超过30%","")</f>
        <v/>
      </c>
      <c r="K54" s="2899"/>
      <c r="L54" s="2899"/>
      <c r="M54" s="2899"/>
      <c r="N54" s="2899"/>
      <c r="O54" s="2899"/>
      <c r="P54" s="2900"/>
      <c r="Q54" s="2901"/>
      <c r="R54" s="2901"/>
      <c r="S54" s="2901"/>
      <c r="T54" s="2901"/>
      <c r="U54" s="2901"/>
      <c r="V54" s="2901"/>
      <c r="W54" s="2901"/>
      <c r="X54" s="2901"/>
      <c r="Y54" s="2901"/>
      <c r="Z54" s="2901"/>
      <c r="AA54" s="2901"/>
      <c r="AB54" s="2901"/>
      <c r="AC54" s="2901"/>
    </row>
    <row r="55" spans="1:29" s="2902" customFormat="1">
      <c r="A55" s="2899"/>
      <c r="B55" s="895"/>
      <c r="C55" s="895"/>
      <c r="D55" s="2899"/>
      <c r="E55" s="2899"/>
      <c r="F55" s="2899"/>
      <c r="G55" s="2899"/>
      <c r="H55" s="2899"/>
      <c r="I55" s="2899"/>
      <c r="J55" s="2899"/>
      <c r="K55" s="2899"/>
      <c r="L55" s="2899"/>
      <c r="M55" s="2899"/>
      <c r="N55" s="2899"/>
      <c r="O55" s="2899"/>
      <c r="P55" s="2900"/>
      <c r="Q55" s="2901"/>
      <c r="R55" s="2901"/>
      <c r="S55" s="2901"/>
      <c r="T55" s="2901"/>
      <c r="U55" s="2901"/>
      <c r="V55" s="2901"/>
      <c r="W55" s="2901"/>
      <c r="X55" s="2901"/>
      <c r="Y55" s="2901"/>
      <c r="Z55" s="2901"/>
      <c r="AA55" s="2901"/>
      <c r="AB55" s="2901"/>
      <c r="AC55" s="2901"/>
    </row>
    <row r="56" spans="1:29">
      <c r="A56" s="895"/>
      <c r="B56" s="895"/>
      <c r="C56" s="895"/>
      <c r="D56" s="895"/>
      <c r="E56" s="895"/>
      <c r="F56" s="895"/>
      <c r="G56" s="895"/>
      <c r="H56" s="895"/>
      <c r="I56" s="895"/>
      <c r="J56" s="895"/>
      <c r="K56" s="895"/>
      <c r="L56" s="895"/>
      <c r="M56" s="895"/>
      <c r="N56" s="895"/>
      <c r="O56" s="895"/>
      <c r="P56" s="2894"/>
      <c r="Q56" s="544"/>
      <c r="R56" s="544"/>
      <c r="S56" s="544"/>
      <c r="T56" s="544"/>
      <c r="U56" s="544"/>
      <c r="V56" s="544"/>
      <c r="W56" s="544"/>
      <c r="X56" s="544"/>
      <c r="Y56" s="544"/>
      <c r="Z56" s="544"/>
      <c r="AA56" s="544"/>
      <c r="AB56" s="544"/>
      <c r="AC56" s="544"/>
    </row>
    <row r="57" spans="1:29" ht="21.75" thickBot="1">
      <c r="A57" s="2903" t="s">
        <v>2680</v>
      </c>
      <c r="B57" s="544"/>
      <c r="C57" s="2904"/>
      <c r="D57" s="2904"/>
      <c r="E57" s="2904"/>
      <c r="F57" s="2905"/>
      <c r="G57" s="2905"/>
      <c r="H57" s="2904"/>
      <c r="I57" s="2904"/>
      <c r="J57" s="2904"/>
      <c r="K57" s="2905"/>
      <c r="L57" s="2906"/>
      <c r="M57" s="2906"/>
      <c r="N57" s="2906"/>
      <c r="O57" s="2906"/>
      <c r="P57" s="2907"/>
      <c r="Q57" s="2269"/>
      <c r="R57" s="544"/>
      <c r="S57" s="544"/>
      <c r="T57" s="544"/>
      <c r="U57" s="544"/>
      <c r="V57" s="544"/>
      <c r="W57" s="544"/>
      <c r="X57" s="544"/>
      <c r="Y57" s="544"/>
      <c r="Z57" s="544"/>
      <c r="AA57" s="544"/>
      <c r="AB57" s="544"/>
      <c r="AC57" s="544"/>
    </row>
    <row r="58" spans="1:29" s="2797" customFormat="1" ht="15">
      <c r="A58" s="2908" t="s">
        <v>2554</v>
      </c>
      <c r="B58" s="2909"/>
      <c r="C58" s="3569" t="str">
        <f>YEAR(C7)&amp;"-"&amp;MONTH(C7)</f>
        <v>2017-12</v>
      </c>
      <c r="D58" s="3570">
        <f>EDATE(C58,-1)</f>
        <v>43040</v>
      </c>
      <c r="E58" s="3570">
        <f t="shared" ref="E58:N58" si="16">EDATE(D58,-1)</f>
        <v>43009</v>
      </c>
      <c r="F58" s="3570">
        <f t="shared" si="16"/>
        <v>42979</v>
      </c>
      <c r="G58" s="3570">
        <f t="shared" si="16"/>
        <v>42948</v>
      </c>
      <c r="H58" s="3570">
        <f t="shared" si="16"/>
        <v>42917</v>
      </c>
      <c r="I58" s="3570">
        <f t="shared" si="16"/>
        <v>42887</v>
      </c>
      <c r="J58" s="3570">
        <f t="shared" si="16"/>
        <v>42856</v>
      </c>
      <c r="K58" s="3570">
        <f t="shared" si="16"/>
        <v>42826</v>
      </c>
      <c r="L58" s="3570">
        <f t="shared" si="16"/>
        <v>42795</v>
      </c>
      <c r="M58" s="3570">
        <f t="shared" si="16"/>
        <v>42767</v>
      </c>
      <c r="N58" s="3570">
        <f t="shared" si="16"/>
        <v>42736</v>
      </c>
      <c r="O58" s="3570">
        <f>EDATE(N58,-1)</f>
        <v>42705</v>
      </c>
      <c r="P58" s="2910"/>
    </row>
    <row r="59" spans="1:29" s="2797" customFormat="1" ht="15">
      <c r="A59" s="2911"/>
      <c r="B59" s="2912"/>
      <c r="C59" s="2913">
        <v>100</v>
      </c>
      <c r="D59" s="2914">
        <v>99.5</v>
      </c>
      <c r="E59" s="2913">
        <v>99</v>
      </c>
      <c r="F59" s="2914">
        <v>98.5</v>
      </c>
      <c r="G59" s="2913">
        <v>98</v>
      </c>
      <c r="H59" s="2914">
        <v>97.5</v>
      </c>
      <c r="I59" s="2913">
        <v>97</v>
      </c>
      <c r="J59" s="2914">
        <v>96.5</v>
      </c>
      <c r="K59" s="2913">
        <v>96</v>
      </c>
      <c r="L59" s="2914">
        <v>95.5</v>
      </c>
      <c r="M59" s="2913">
        <v>95</v>
      </c>
      <c r="N59" s="2914">
        <v>94.5</v>
      </c>
      <c r="O59" s="2913">
        <v>94</v>
      </c>
      <c r="P59" s="2915"/>
    </row>
    <row r="60" spans="1:29" s="2797" customFormat="1" ht="15.75" thickBot="1">
      <c r="A60" s="2521" t="s">
        <v>2591</v>
      </c>
      <c r="B60" s="2916"/>
      <c r="C60" s="2917"/>
      <c r="D60" s="2918"/>
      <c r="E60" s="2918"/>
      <c r="F60" s="2918"/>
      <c r="G60" s="2918"/>
      <c r="H60" s="2918"/>
      <c r="I60" s="2918"/>
      <c r="J60" s="2918"/>
      <c r="K60" s="2918"/>
      <c r="L60" s="2918"/>
      <c r="M60" s="2919"/>
      <c r="N60" s="2918"/>
      <c r="O60" s="2919"/>
      <c r="P60" s="2915"/>
      <c r="Q60" s="2920"/>
    </row>
    <row r="61" spans="1:29" s="2797" customFormat="1" ht="15">
      <c r="A61" s="2921" t="s">
        <v>2556</v>
      </c>
      <c r="B61" s="2912"/>
      <c r="C61" s="2922" t="s">
        <v>2658</v>
      </c>
      <c r="D61" s="29"/>
      <c r="E61" s="29"/>
      <c r="F61" s="29"/>
      <c r="G61" s="29"/>
      <c r="H61" s="29"/>
      <c r="I61" s="29"/>
      <c r="J61" s="29"/>
      <c r="K61" s="29"/>
      <c r="L61" s="2923"/>
      <c r="M61" s="2924"/>
      <c r="N61" s="2794"/>
      <c r="O61" s="2794"/>
      <c r="P61" s="2925"/>
      <c r="Q61" s="2920"/>
    </row>
    <row r="62" spans="1:29" s="2797" customFormat="1" ht="15.75" thickBot="1">
      <c r="A62" s="2921"/>
      <c r="B62" s="2912"/>
      <c r="C62" s="2926">
        <v>100</v>
      </c>
      <c r="D62" s="2914"/>
      <c r="E62" s="2914"/>
      <c r="F62" s="2914"/>
      <c r="G62" s="2914"/>
      <c r="H62" s="2914"/>
      <c r="I62" s="2914"/>
      <c r="J62" s="2914"/>
      <c r="K62" s="2914"/>
      <c r="L62" s="2914"/>
      <c r="M62" s="2927"/>
      <c r="N62" s="2794"/>
      <c r="O62" s="2794"/>
      <c r="P62" s="2915"/>
      <c r="Q62" s="2920"/>
    </row>
    <row r="63" spans="1:29">
      <c r="A63" s="2826" t="s">
        <v>2594</v>
      </c>
      <c r="B63" s="2928" t="s">
        <v>2560</v>
      </c>
      <c r="C63" s="2929" t="str">
        <f>C9</f>
        <v>商业</v>
      </c>
      <c r="D63" s="2930"/>
      <c r="E63" s="2930"/>
      <c r="F63" s="2930"/>
      <c r="G63" s="2930"/>
      <c r="H63" s="2930"/>
      <c r="I63" s="2930"/>
      <c r="J63" s="2930"/>
      <c r="K63" s="2931"/>
      <c r="L63" s="2932"/>
      <c r="M63" s="2933"/>
      <c r="N63" s="2820"/>
      <c r="O63" s="2820"/>
      <c r="P63" s="2915"/>
      <c r="Q63" s="2920"/>
    </row>
    <row r="64" spans="1:29" ht="15.75" thickBot="1">
      <c r="A64" s="2809"/>
      <c r="B64" s="2934"/>
      <c r="C64" s="2935">
        <v>100</v>
      </c>
      <c r="D64" s="2935"/>
      <c r="E64" s="2935"/>
      <c r="F64" s="2935"/>
      <c r="G64" s="2935"/>
      <c r="H64" s="2935"/>
      <c r="I64" s="2935"/>
      <c r="J64" s="2935"/>
      <c r="K64" s="2935"/>
      <c r="L64" s="2935"/>
      <c r="M64" s="2936"/>
      <c r="N64" s="2937"/>
      <c r="O64" s="2937"/>
      <c r="P64" s="2915"/>
      <c r="Q64" s="2920"/>
    </row>
    <row r="65" spans="1:17" ht="27.75" thickTop="1">
      <c r="A65" s="2809"/>
      <c r="B65" s="2938" t="s">
        <v>2563</v>
      </c>
      <c r="C65" s="2939" t="s">
        <v>2595</v>
      </c>
      <c r="D65" s="2939" t="s">
        <v>2596</v>
      </c>
      <c r="E65" s="2939" t="s">
        <v>2597</v>
      </c>
      <c r="F65" s="2939" t="s">
        <v>2598</v>
      </c>
      <c r="G65" s="2939" t="s">
        <v>2599</v>
      </c>
      <c r="H65" s="2939" t="s">
        <v>2600</v>
      </c>
      <c r="I65" s="2939" t="s">
        <v>2601</v>
      </c>
      <c r="J65" s="2939"/>
      <c r="K65" s="2940"/>
      <c r="L65" s="2941"/>
      <c r="M65" s="2942"/>
      <c r="N65" s="2820"/>
      <c r="O65" s="2820"/>
      <c r="P65" s="2915"/>
      <c r="Q65" s="2920"/>
    </row>
    <row r="66" spans="1:17" ht="15.75" thickBot="1">
      <c r="A66" s="2809"/>
      <c r="B66" s="2943"/>
      <c r="C66" s="2944" t="s">
        <v>24</v>
      </c>
      <c r="D66" s="2944" t="s">
        <v>25</v>
      </c>
      <c r="E66" s="2944" t="s">
        <v>26</v>
      </c>
      <c r="F66" s="2944">
        <v>100</v>
      </c>
      <c r="G66" s="2944">
        <f>F66-$K10</f>
        <v>99</v>
      </c>
      <c r="H66" s="2944">
        <f>G66-$K10</f>
        <v>98</v>
      </c>
      <c r="I66" s="2944">
        <f>H66-$K10</f>
        <v>97</v>
      </c>
      <c r="J66" s="2944"/>
      <c r="K66" s="2944"/>
      <c r="L66" s="2944"/>
      <c r="M66" s="2945"/>
      <c r="N66" s="2937"/>
      <c r="O66" s="2937"/>
      <c r="P66" s="2915"/>
      <c r="Q66" s="2920"/>
    </row>
    <row r="67" spans="1:17" ht="15.75" thickTop="1">
      <c r="A67" s="2809"/>
      <c r="B67" s="2946" t="s">
        <v>2564</v>
      </c>
      <c r="C67" s="2947" t="str">
        <f>C68&amp;"（含）"&amp;"-"&amp;D68</f>
        <v>0（含）-1</v>
      </c>
      <c r="D67" s="2947" t="str">
        <f t="shared" ref="D67:L67" si="17">D68&amp;"（含）"&amp;"-"&amp;E68</f>
        <v>1（含）-2</v>
      </c>
      <c r="E67" s="2947" t="str">
        <f t="shared" si="17"/>
        <v>2（含）-3</v>
      </c>
      <c r="F67" s="2947" t="str">
        <f t="shared" si="17"/>
        <v>3（含）-4</v>
      </c>
      <c r="G67" s="2947" t="str">
        <f t="shared" si="17"/>
        <v>4（含）-</v>
      </c>
      <c r="H67" s="2947" t="str">
        <f t="shared" si="17"/>
        <v>（含）-</v>
      </c>
      <c r="I67" s="2947" t="str">
        <f t="shared" si="17"/>
        <v>（含）-</v>
      </c>
      <c r="J67" s="2947" t="str">
        <f t="shared" si="17"/>
        <v>（含）-</v>
      </c>
      <c r="K67" s="2947" t="str">
        <f t="shared" si="17"/>
        <v>（含）-</v>
      </c>
      <c r="L67" s="2947" t="str">
        <f t="shared" si="17"/>
        <v>（含）-</v>
      </c>
      <c r="M67" s="2838" t="str">
        <f>M68&amp;"（含）"&amp;"-"&amp;P68</f>
        <v>（含）-</v>
      </c>
      <c r="N67" s="2937"/>
      <c r="O67" s="2937"/>
      <c r="P67" s="2915"/>
      <c r="Q67" s="2920"/>
    </row>
    <row r="68" spans="1:17" ht="15">
      <c r="A68" s="2809"/>
      <c r="B68" s="2948"/>
      <c r="C68" s="2949">
        <v>0</v>
      </c>
      <c r="D68" s="2949">
        <v>1</v>
      </c>
      <c r="E68" s="2949">
        <v>2</v>
      </c>
      <c r="F68" s="2949">
        <v>3</v>
      </c>
      <c r="G68" s="2949">
        <v>4</v>
      </c>
      <c r="H68" s="2949"/>
      <c r="I68" s="2949"/>
      <c r="J68" s="2949"/>
      <c r="K68" s="2950"/>
      <c r="L68" s="2951"/>
      <c r="M68" s="2952"/>
      <c r="N68" s="2820"/>
      <c r="O68" s="2820"/>
      <c r="P68" s="2915"/>
      <c r="Q68" s="2920"/>
    </row>
    <row r="69" spans="1:17" ht="15.75" thickBot="1">
      <c r="A69" s="2809"/>
      <c r="B69" s="2934"/>
      <c r="C69" s="2944">
        <v>100</v>
      </c>
      <c r="D69" s="2944">
        <f t="shared" ref="D69:M69" si="18">C69-$K11</f>
        <v>99</v>
      </c>
      <c r="E69" s="2944">
        <f t="shared" si="18"/>
        <v>98</v>
      </c>
      <c r="F69" s="2944">
        <f t="shared" si="18"/>
        <v>97</v>
      </c>
      <c r="G69" s="2944">
        <f t="shared" si="18"/>
        <v>96</v>
      </c>
      <c r="H69" s="2944">
        <f t="shared" si="18"/>
        <v>95</v>
      </c>
      <c r="I69" s="2944">
        <f t="shared" si="18"/>
        <v>94</v>
      </c>
      <c r="J69" s="2944">
        <f t="shared" si="18"/>
        <v>93</v>
      </c>
      <c r="K69" s="2944">
        <f t="shared" si="18"/>
        <v>92</v>
      </c>
      <c r="L69" s="2944">
        <f t="shared" si="18"/>
        <v>91</v>
      </c>
      <c r="M69" s="2945">
        <f t="shared" si="18"/>
        <v>90</v>
      </c>
      <c r="N69" s="2937"/>
      <c r="O69" s="2937"/>
      <c r="P69" s="2915"/>
      <c r="Q69" s="2920"/>
    </row>
    <row r="70" spans="1:17" s="2870" customFormat="1" ht="15.75" thickTop="1">
      <c r="A70" s="2953"/>
      <c r="B70" s="2938">
        <f>B12</f>
        <v>0</v>
      </c>
      <c r="C70" s="2954"/>
      <c r="D70" s="2954"/>
      <c r="E70" s="2954"/>
      <c r="F70" s="2954"/>
      <c r="G70" s="2954"/>
      <c r="H70" s="2955"/>
      <c r="I70" s="2955"/>
      <c r="J70" s="2955"/>
      <c r="K70" s="2955"/>
      <c r="L70" s="2956"/>
      <c r="M70" s="2957"/>
      <c r="N70" s="2812"/>
      <c r="O70" s="2812"/>
      <c r="P70" s="2958"/>
      <c r="Q70" s="2959"/>
    </row>
    <row r="71" spans="1:17" s="2870" customFormat="1" ht="15.75" thickBot="1">
      <c r="A71" s="2953"/>
      <c r="B71" s="2943"/>
      <c r="C71" s="2960"/>
      <c r="D71" s="2935"/>
      <c r="E71" s="2935"/>
      <c r="F71" s="2935"/>
      <c r="G71" s="2935"/>
      <c r="H71" s="2935"/>
      <c r="I71" s="2935"/>
      <c r="J71" s="2935"/>
      <c r="K71" s="2935"/>
      <c r="L71" s="2935"/>
      <c r="M71" s="2936"/>
      <c r="N71" s="2937"/>
      <c r="O71" s="2937"/>
      <c r="P71" s="2958"/>
      <c r="Q71" s="2959"/>
    </row>
    <row r="72" spans="1:17" s="2870" customFormat="1" ht="15.75" thickTop="1">
      <c r="A72" s="2953"/>
      <c r="B72" s="2938">
        <f>B13</f>
        <v>0</v>
      </c>
      <c r="C72" s="2954"/>
      <c r="D72" s="2954"/>
      <c r="E72" s="2954"/>
      <c r="F72" s="2954"/>
      <c r="G72" s="2954"/>
      <c r="H72" s="2955"/>
      <c r="I72" s="2955"/>
      <c r="J72" s="2955"/>
      <c r="K72" s="2955"/>
      <c r="L72" s="2956"/>
      <c r="M72" s="2957"/>
      <c r="N72" s="2812"/>
      <c r="O72" s="2812"/>
      <c r="P72" s="2961"/>
      <c r="Q72" s="2962"/>
    </row>
    <row r="73" spans="1:17" s="2870" customFormat="1" ht="15.75" thickBot="1">
      <c r="A73" s="2953"/>
      <c r="B73" s="2943"/>
      <c r="C73" s="2960"/>
      <c r="D73" s="2935"/>
      <c r="E73" s="2935"/>
      <c r="F73" s="2935"/>
      <c r="G73" s="2960"/>
      <c r="H73" s="2963"/>
      <c r="I73" s="2963"/>
      <c r="J73" s="2963"/>
      <c r="K73" s="2963"/>
      <c r="L73" s="2963"/>
      <c r="M73" s="2964"/>
      <c r="N73" s="2812"/>
      <c r="O73" s="2812"/>
      <c r="P73" s="2958"/>
      <c r="Q73" s="2959"/>
    </row>
    <row r="74" spans="1:17" s="2870" customFormat="1" ht="15.75" thickTop="1">
      <c r="A74" s="2953"/>
      <c r="B74" s="2946">
        <f>B14</f>
        <v>0</v>
      </c>
      <c r="C74" s="2954"/>
      <c r="D74" s="2954"/>
      <c r="E74" s="2954"/>
      <c r="F74" s="2954"/>
      <c r="G74" s="29"/>
      <c r="H74" s="2965"/>
      <c r="I74" s="2965"/>
      <c r="J74" s="2965"/>
      <c r="K74" s="2965"/>
      <c r="L74" s="2966"/>
      <c r="M74" s="2967"/>
      <c r="N74" s="2812"/>
      <c r="O74" s="2812"/>
      <c r="P74" s="2968"/>
      <c r="Q74" s="2959"/>
    </row>
    <row r="75" spans="1:17" s="2870" customFormat="1" ht="15.75" thickBot="1">
      <c r="A75" s="2969"/>
      <c r="B75" s="2970"/>
      <c r="C75" s="2971"/>
      <c r="D75" s="2971"/>
      <c r="E75" s="2971"/>
      <c r="F75" s="2971"/>
      <c r="G75" s="2971"/>
      <c r="H75" s="2972"/>
      <c r="I75" s="2972"/>
      <c r="J75" s="2972"/>
      <c r="K75" s="2972"/>
      <c r="L75" s="2972"/>
      <c r="M75" s="2973"/>
      <c r="N75" s="2812"/>
      <c r="O75" s="2812"/>
      <c r="P75" s="2958"/>
      <c r="Q75" s="2959"/>
    </row>
    <row r="76" spans="1:17">
      <c r="A76" s="2826" t="s">
        <v>2565</v>
      </c>
      <c r="B76" s="2928" t="s">
        <v>2602</v>
      </c>
      <c r="C76" s="2388" t="s">
        <v>2603</v>
      </c>
      <c r="D76" s="2388" t="s">
        <v>2604</v>
      </c>
      <c r="E76" s="2388" t="s">
        <v>2605</v>
      </c>
      <c r="F76" s="2388" t="s">
        <v>2606</v>
      </c>
      <c r="G76" s="2388" t="s">
        <v>2607</v>
      </c>
      <c r="H76" s="2929"/>
      <c r="I76" s="2929"/>
      <c r="J76" s="2929"/>
      <c r="K76" s="2974"/>
      <c r="L76" s="2975"/>
      <c r="M76" s="2976"/>
      <c r="N76" s="2820"/>
      <c r="O76" s="2820"/>
      <c r="P76" s="2977"/>
      <c r="Q76" s="2920"/>
    </row>
    <row r="77" spans="1:17" ht="15.75" thickBot="1">
      <c r="A77" s="2809"/>
      <c r="B77" s="2943"/>
      <c r="C77" s="2944">
        <v>100</v>
      </c>
      <c r="D77" s="2944">
        <f>C77-$K15</f>
        <v>95</v>
      </c>
      <c r="E77" s="2944">
        <f>D77-$K15</f>
        <v>90</v>
      </c>
      <c r="F77" s="2944">
        <f>E77-$K15</f>
        <v>85</v>
      </c>
      <c r="G77" s="2944">
        <f>F77-$K15</f>
        <v>80</v>
      </c>
      <c r="H77" s="2944"/>
      <c r="I77" s="2944"/>
      <c r="J77" s="2944"/>
      <c r="K77" s="2944"/>
      <c r="L77" s="2944"/>
      <c r="M77" s="2945"/>
      <c r="N77" s="2937"/>
      <c r="O77" s="2937"/>
      <c r="P77" s="2915"/>
      <c r="Q77" s="2920"/>
    </row>
    <row r="78" spans="1:17" ht="15.75" thickTop="1">
      <c r="A78" s="2809"/>
      <c r="B78" s="2938" t="s">
        <v>2608</v>
      </c>
      <c r="C78" s="2978" t="s">
        <v>2603</v>
      </c>
      <c r="D78" s="2978" t="s">
        <v>2604</v>
      </c>
      <c r="E78" s="2978" t="s">
        <v>2605</v>
      </c>
      <c r="F78" s="2978" t="s">
        <v>2606</v>
      </c>
      <c r="G78" s="2978" t="s">
        <v>2607</v>
      </c>
      <c r="H78" s="2939"/>
      <c r="I78" s="2939"/>
      <c r="J78" s="2939"/>
      <c r="K78" s="2940"/>
      <c r="L78" s="2941"/>
      <c r="M78" s="2942"/>
      <c r="N78" s="2820"/>
      <c r="O78" s="2820"/>
      <c r="P78" s="2915"/>
      <c r="Q78" s="2920"/>
    </row>
    <row r="79" spans="1:17" ht="15.75" thickBot="1">
      <c r="A79" s="2809"/>
      <c r="B79" s="2943"/>
      <c r="C79" s="2944">
        <v>100</v>
      </c>
      <c r="D79" s="2944">
        <f>C79-$K17</f>
        <v>97</v>
      </c>
      <c r="E79" s="2944">
        <f>D79-$K17</f>
        <v>94</v>
      </c>
      <c r="F79" s="2944">
        <f>E79-$K17</f>
        <v>91</v>
      </c>
      <c r="G79" s="2944">
        <f>F79-$K17</f>
        <v>88</v>
      </c>
      <c r="H79" s="2944"/>
      <c r="I79" s="2944"/>
      <c r="J79" s="2944"/>
      <c r="K79" s="2944"/>
      <c r="L79" s="2944"/>
      <c r="M79" s="2945"/>
      <c r="N79" s="2937"/>
      <c r="O79" s="2937"/>
      <c r="P79" s="2915"/>
      <c r="Q79" s="2920"/>
    </row>
    <row r="80" spans="1:17" ht="15.75" thickTop="1">
      <c r="A80" s="2809"/>
      <c r="B80" s="2938" t="s">
        <v>2609</v>
      </c>
      <c r="C80" s="2978" t="s">
        <v>2603</v>
      </c>
      <c r="D80" s="2978" t="s">
        <v>2604</v>
      </c>
      <c r="E80" s="2978" t="s">
        <v>2605</v>
      </c>
      <c r="F80" s="2978" t="s">
        <v>2606</v>
      </c>
      <c r="G80" s="2978" t="s">
        <v>2607</v>
      </c>
      <c r="H80" s="2939"/>
      <c r="I80" s="2939"/>
      <c r="J80" s="2939"/>
      <c r="K80" s="2940"/>
      <c r="L80" s="2941"/>
      <c r="M80" s="2942"/>
      <c r="N80" s="2820"/>
      <c r="O80" s="2820"/>
      <c r="P80" s="2915"/>
      <c r="Q80" s="2920"/>
    </row>
    <row r="81" spans="1:17" ht="15.75" thickBot="1">
      <c r="A81" s="2809"/>
      <c r="B81" s="2943"/>
      <c r="C81" s="2944">
        <v>100</v>
      </c>
      <c r="D81" s="2944">
        <f>C81-$K19</f>
        <v>95</v>
      </c>
      <c r="E81" s="2944">
        <f>D81-$K19</f>
        <v>90</v>
      </c>
      <c r="F81" s="2944">
        <f>E81-$K19</f>
        <v>85</v>
      </c>
      <c r="G81" s="2944">
        <f>F81-$K19</f>
        <v>80</v>
      </c>
      <c r="H81" s="2944"/>
      <c r="I81" s="2944"/>
      <c r="J81" s="2944"/>
      <c r="K81" s="2944"/>
      <c r="L81" s="2944"/>
      <c r="M81" s="2945"/>
      <c r="N81" s="2937"/>
      <c r="O81" s="2937"/>
      <c r="P81" s="2915"/>
      <c r="Q81" s="2920"/>
    </row>
    <row r="82" spans="1:17" ht="15.75" thickTop="1">
      <c r="A82" s="2809"/>
      <c r="B82" s="2946" t="s">
        <v>2661</v>
      </c>
      <c r="C82" s="2979" t="s">
        <v>2681</v>
      </c>
      <c r="D82" s="2979" t="s">
        <v>2682</v>
      </c>
      <c r="E82" s="2979" t="s">
        <v>2683</v>
      </c>
      <c r="F82" s="2979" t="s">
        <v>2684</v>
      </c>
      <c r="G82" s="2979" t="s">
        <v>2685</v>
      </c>
      <c r="H82" s="2939"/>
      <c r="I82" s="2939"/>
      <c r="J82" s="2939"/>
      <c r="K82" s="2939"/>
      <c r="L82" s="2939"/>
      <c r="M82" s="2980"/>
      <c r="N82" s="2937"/>
      <c r="O82" s="2937"/>
      <c r="P82" s="2915"/>
      <c r="Q82" s="2920"/>
    </row>
    <row r="83" spans="1:17" ht="15.75" thickBot="1">
      <c r="A83" s="2809"/>
      <c r="B83" s="2946"/>
      <c r="C83" s="2944">
        <v>100</v>
      </c>
      <c r="D83" s="2944">
        <f>C83-$K21</f>
        <v>97</v>
      </c>
      <c r="E83" s="2944">
        <f t="shared" ref="E83:G83" si="19">D83-$K21</f>
        <v>94</v>
      </c>
      <c r="F83" s="2944">
        <f t="shared" si="19"/>
        <v>91</v>
      </c>
      <c r="G83" s="2944">
        <f t="shared" si="19"/>
        <v>88</v>
      </c>
      <c r="H83" s="2979"/>
      <c r="I83" s="2979"/>
      <c r="J83" s="2979"/>
      <c r="K83" s="2979"/>
      <c r="L83" s="2979"/>
      <c r="M83" s="2840"/>
      <c r="N83" s="2937"/>
      <c r="O83" s="2937"/>
      <c r="P83" s="2915"/>
      <c r="Q83" s="2920"/>
    </row>
    <row r="84" spans="1:17" ht="15.75" thickTop="1">
      <c r="A84" s="2809"/>
      <c r="B84" s="2938" t="s">
        <v>2615</v>
      </c>
      <c r="C84" s="2978" t="s">
        <v>2603</v>
      </c>
      <c r="D84" s="2978" t="s">
        <v>2604</v>
      </c>
      <c r="E84" s="2978" t="s">
        <v>2605</v>
      </c>
      <c r="F84" s="2978" t="s">
        <v>2606</v>
      </c>
      <c r="G84" s="2978" t="s">
        <v>2607</v>
      </c>
      <c r="H84" s="2939"/>
      <c r="I84" s="2939"/>
      <c r="J84" s="2939"/>
      <c r="K84" s="2940"/>
      <c r="L84" s="2941"/>
      <c r="M84" s="2942"/>
      <c r="N84" s="2820"/>
      <c r="O84" s="2820"/>
      <c r="P84" s="2915"/>
      <c r="Q84" s="2920"/>
    </row>
    <row r="85" spans="1:17" ht="15.75" thickBot="1">
      <c r="A85" s="2809"/>
      <c r="B85" s="2943"/>
      <c r="C85" s="2944">
        <v>100</v>
      </c>
      <c r="D85" s="2944">
        <f>C85-$K23</f>
        <v>97</v>
      </c>
      <c r="E85" s="2944">
        <f>D85-$K23</f>
        <v>94</v>
      </c>
      <c r="F85" s="2944">
        <f>E85-$K23</f>
        <v>91</v>
      </c>
      <c r="G85" s="2944">
        <f>F85-$K23</f>
        <v>88</v>
      </c>
      <c r="H85" s="2944"/>
      <c r="I85" s="2944"/>
      <c r="J85" s="2944"/>
      <c r="K85" s="2944"/>
      <c r="L85" s="2944"/>
      <c r="M85" s="2945"/>
      <c r="N85" s="2937"/>
      <c r="O85" s="2937"/>
      <c r="P85" s="2915"/>
      <c r="Q85" s="2920"/>
    </row>
    <row r="86" spans="1:17" s="2797" customFormat="1" ht="15.75" thickTop="1">
      <c r="A86" s="2813"/>
      <c r="B86" s="2938" t="s">
        <v>2686</v>
      </c>
      <c r="C86" s="2981" t="s">
        <v>3116</v>
      </c>
      <c r="D86" s="2981" t="s">
        <v>3117</v>
      </c>
      <c r="E86" s="2981" t="s">
        <v>3118</v>
      </c>
      <c r="F86" s="2981" t="s">
        <v>3119</v>
      </c>
      <c r="G86" s="2954"/>
      <c r="H86" s="2954"/>
      <c r="I86" s="2954"/>
      <c r="J86" s="2954"/>
      <c r="K86" s="2954"/>
      <c r="L86" s="2982"/>
      <c r="M86" s="2983"/>
      <c r="N86" s="2794"/>
      <c r="O86" s="2794"/>
      <c r="P86" s="2915"/>
      <c r="Q86" s="2920"/>
    </row>
    <row r="87" spans="1:17" s="2797" customFormat="1" ht="15.75" thickBot="1">
      <c r="A87" s="2813"/>
      <c r="B87" s="2943"/>
      <c r="C87" s="2984">
        <v>100</v>
      </c>
      <c r="D87" s="2944">
        <f t="shared" ref="D87:M87" si="20">C87-$K25</f>
        <v>100</v>
      </c>
      <c r="E87" s="2944">
        <f t="shared" si="20"/>
        <v>100</v>
      </c>
      <c r="F87" s="2944">
        <f t="shared" si="20"/>
        <v>100</v>
      </c>
      <c r="G87" s="2944">
        <f t="shared" si="20"/>
        <v>100</v>
      </c>
      <c r="H87" s="2944">
        <f t="shared" si="20"/>
        <v>100</v>
      </c>
      <c r="I87" s="2944">
        <f t="shared" si="20"/>
        <v>100</v>
      </c>
      <c r="J87" s="2944">
        <f t="shared" si="20"/>
        <v>100</v>
      </c>
      <c r="K87" s="2944">
        <f t="shared" si="20"/>
        <v>100</v>
      </c>
      <c r="L87" s="2944">
        <f t="shared" si="20"/>
        <v>100</v>
      </c>
      <c r="M87" s="2944">
        <f t="shared" si="20"/>
        <v>100</v>
      </c>
      <c r="N87" s="2937"/>
      <c r="O87" s="2937"/>
      <c r="P87" s="2915"/>
      <c r="Q87" s="2920"/>
    </row>
    <row r="88" spans="1:17" s="2797" customFormat="1" ht="15.75" thickTop="1">
      <c r="A88" s="2813"/>
      <c r="B88" s="2938" t="str">
        <f>B26</f>
        <v>平面位置/可视性</v>
      </c>
      <c r="C88" s="2985" t="s">
        <v>3089</v>
      </c>
      <c r="D88" s="2985" t="s">
        <v>3090</v>
      </c>
      <c r="E88" s="2985" t="s">
        <v>3086</v>
      </c>
      <c r="F88" s="2954" t="s">
        <v>3088</v>
      </c>
      <c r="G88" s="2954" t="s">
        <v>3091</v>
      </c>
      <c r="H88" s="2954"/>
      <c r="I88" s="2954"/>
      <c r="J88" s="2954"/>
      <c r="K88" s="2954"/>
      <c r="L88" s="2954"/>
      <c r="M88" s="2983"/>
      <c r="N88" s="2794"/>
      <c r="O88" s="2794"/>
      <c r="P88" s="2915"/>
      <c r="Q88" s="2920"/>
    </row>
    <row r="89" spans="1:17" s="2797" customFormat="1" ht="15.75" thickBot="1">
      <c r="A89" s="2813"/>
      <c r="B89" s="2943"/>
      <c r="C89" s="2960">
        <v>100</v>
      </c>
      <c r="D89" s="2935">
        <v>95</v>
      </c>
      <c r="E89" s="2935">
        <v>90</v>
      </c>
      <c r="F89" s="2935">
        <v>85</v>
      </c>
      <c r="G89" s="2935"/>
      <c r="H89" s="2935"/>
      <c r="I89" s="2935"/>
      <c r="J89" s="2935"/>
      <c r="K89" s="2935"/>
      <c r="L89" s="2935"/>
      <c r="M89" s="2935"/>
      <c r="N89" s="2937"/>
      <c r="O89" s="2937"/>
      <c r="P89" s="2915"/>
      <c r="Q89" s="2920"/>
    </row>
    <row r="90" spans="1:17" s="2870" customFormat="1" ht="15.75" thickTop="1">
      <c r="A90" s="2953"/>
      <c r="B90" s="2938" t="str">
        <f>B27</f>
        <v>人流量</v>
      </c>
      <c r="C90" s="2981" t="s">
        <v>3124</v>
      </c>
      <c r="D90" s="2981" t="s">
        <v>3125</v>
      </c>
      <c r="E90" s="2981" t="s">
        <v>3126</v>
      </c>
      <c r="F90" s="2981" t="s">
        <v>3127</v>
      </c>
      <c r="G90" s="2981" t="s">
        <v>3128</v>
      </c>
      <c r="H90" s="2955"/>
      <c r="I90" s="2955"/>
      <c r="J90" s="2955"/>
      <c r="K90" s="2955"/>
      <c r="L90" s="2956"/>
      <c r="M90" s="2957"/>
      <c r="N90" s="2812"/>
      <c r="O90" s="2812"/>
      <c r="P90" s="2958"/>
      <c r="Q90" s="2959"/>
    </row>
    <row r="91" spans="1:17" s="2870" customFormat="1" ht="15.75" thickBot="1">
      <c r="A91" s="2953"/>
      <c r="B91" s="2943"/>
      <c r="C91" s="2984">
        <v>100</v>
      </c>
      <c r="D91" s="2944">
        <f>C91-$K27</f>
        <v>95.5</v>
      </c>
      <c r="E91" s="2944">
        <f t="shared" ref="E91:M91" si="21">D91-$K27</f>
        <v>91</v>
      </c>
      <c r="F91" s="2944">
        <f t="shared" si="21"/>
        <v>86.5</v>
      </c>
      <c r="G91" s="2944">
        <f t="shared" si="21"/>
        <v>82</v>
      </c>
      <c r="H91" s="2944">
        <f t="shared" si="21"/>
        <v>77.5</v>
      </c>
      <c r="I91" s="2944">
        <f t="shared" si="21"/>
        <v>73</v>
      </c>
      <c r="J91" s="2944">
        <f t="shared" si="21"/>
        <v>68.5</v>
      </c>
      <c r="K91" s="2944">
        <f t="shared" si="21"/>
        <v>64</v>
      </c>
      <c r="L91" s="2944">
        <f t="shared" si="21"/>
        <v>59.5</v>
      </c>
      <c r="M91" s="2944">
        <f t="shared" si="21"/>
        <v>55</v>
      </c>
      <c r="N91" s="2812"/>
      <c r="O91" s="2812"/>
      <c r="P91" s="2958"/>
      <c r="Q91" s="2959"/>
    </row>
    <row r="92" spans="1:17" ht="15.75" thickTop="1">
      <c r="A92" s="2809"/>
      <c r="B92" s="2938" t="str">
        <f>B28</f>
        <v>楼层</v>
      </c>
      <c r="C92" s="2954" t="s">
        <v>3092</v>
      </c>
      <c r="D92" s="2954" t="s">
        <v>3120</v>
      </c>
      <c r="E92" s="2954" t="s">
        <v>3121</v>
      </c>
      <c r="F92" s="2954" t="s">
        <v>3122</v>
      </c>
      <c r="G92" s="2954" t="s">
        <v>3123</v>
      </c>
      <c r="H92" s="2954"/>
      <c r="I92" s="2954"/>
      <c r="J92" s="2954"/>
      <c r="K92" s="2954"/>
      <c r="L92" s="2982"/>
      <c r="M92" s="2983"/>
      <c r="N92" s="2820"/>
      <c r="O92" s="2820"/>
      <c r="P92" s="2915"/>
      <c r="Q92" s="2920"/>
    </row>
    <row r="93" spans="1:17" ht="15.75" thickBot="1">
      <c r="A93" s="2809"/>
      <c r="B93" s="2943"/>
      <c r="C93" s="2935"/>
      <c r="D93" s="2935"/>
      <c r="E93" s="2935"/>
      <c r="F93" s="2935"/>
      <c r="G93" s="2935"/>
      <c r="H93" s="2935"/>
      <c r="I93" s="2935"/>
      <c r="J93" s="2935"/>
      <c r="K93" s="2935"/>
      <c r="L93" s="2935"/>
      <c r="M93" s="2936"/>
      <c r="N93" s="2937"/>
      <c r="O93" s="2937"/>
      <c r="P93" s="2915"/>
      <c r="Q93" s="2920"/>
    </row>
    <row r="94" spans="1:17" ht="15.75" thickTop="1">
      <c r="A94" s="2809"/>
      <c r="B94" s="2938">
        <f>B29</f>
        <v>0</v>
      </c>
      <c r="C94" s="2954"/>
      <c r="D94" s="2954"/>
      <c r="E94" s="2954"/>
      <c r="F94" s="2954"/>
      <c r="G94" s="2986"/>
      <c r="H94" s="2986"/>
      <c r="I94" s="2986"/>
      <c r="J94" s="2986"/>
      <c r="K94" s="2987"/>
      <c r="L94" s="2988"/>
      <c r="M94" s="2989"/>
      <c r="N94" s="2820"/>
      <c r="O94" s="2820"/>
      <c r="P94" s="2915"/>
      <c r="Q94" s="2920"/>
    </row>
    <row r="95" spans="1:17" ht="15.75" thickBot="1">
      <c r="A95" s="2809"/>
      <c r="B95" s="2943"/>
      <c r="C95" s="2960"/>
      <c r="D95" s="2935"/>
      <c r="E95" s="2935"/>
      <c r="F95" s="2935"/>
      <c r="G95" s="2935"/>
      <c r="H95" s="2935"/>
      <c r="I95" s="2935"/>
      <c r="J95" s="2935"/>
      <c r="K95" s="2935"/>
      <c r="L95" s="2935"/>
      <c r="M95" s="2936"/>
      <c r="N95" s="2937"/>
      <c r="O95" s="2937"/>
      <c r="P95" s="2915"/>
      <c r="Q95" s="2920"/>
    </row>
    <row r="96" spans="1:17" ht="15.75" thickTop="1">
      <c r="A96" s="2809"/>
      <c r="B96" s="2938">
        <f>B30</f>
        <v>0</v>
      </c>
      <c r="C96" s="2954"/>
      <c r="D96" s="2954"/>
      <c r="E96" s="2954"/>
      <c r="F96" s="2954"/>
      <c r="G96" s="2986"/>
      <c r="H96" s="2986"/>
      <c r="I96" s="2986"/>
      <c r="J96" s="2986"/>
      <c r="K96" s="2987"/>
      <c r="L96" s="2988"/>
      <c r="M96" s="2989"/>
      <c r="N96" s="2820"/>
      <c r="O96" s="2820"/>
      <c r="P96" s="2915"/>
      <c r="Q96" s="2920"/>
    </row>
    <row r="97" spans="1:17" ht="15.75" thickBot="1">
      <c r="A97" s="2809"/>
      <c r="B97" s="2943"/>
      <c r="C97" s="2960"/>
      <c r="D97" s="2935"/>
      <c r="E97" s="2935"/>
      <c r="F97" s="2935"/>
      <c r="G97" s="2935"/>
      <c r="H97" s="2935"/>
      <c r="I97" s="2935"/>
      <c r="J97" s="2935"/>
      <c r="K97" s="2935"/>
      <c r="L97" s="2935"/>
      <c r="M97" s="2936"/>
      <c r="N97" s="2937"/>
      <c r="O97" s="2937"/>
      <c r="P97" s="2915"/>
      <c r="Q97" s="2920"/>
    </row>
    <row r="98" spans="1:17" ht="15.75" thickTop="1">
      <c r="A98" s="2809"/>
      <c r="B98" s="2946">
        <f>B31</f>
        <v>0</v>
      </c>
      <c r="C98" s="2954"/>
      <c r="D98" s="2954"/>
      <c r="E98" s="2954"/>
      <c r="F98" s="2954"/>
      <c r="G98" s="2990"/>
      <c r="H98" s="2990"/>
      <c r="I98" s="2990"/>
      <c r="J98" s="2990"/>
      <c r="K98" s="2991"/>
      <c r="L98" s="2992"/>
      <c r="M98" s="2993"/>
      <c r="N98" s="2820"/>
      <c r="O98" s="2820"/>
      <c r="P98" s="2915"/>
      <c r="Q98" s="2920"/>
    </row>
    <row r="99" spans="1:17" ht="15.75" thickBot="1">
      <c r="A99" s="2821"/>
      <c r="B99" s="2970"/>
      <c r="C99" s="2971"/>
      <c r="D99" s="2971"/>
      <c r="E99" s="2971"/>
      <c r="F99" s="2971"/>
      <c r="G99" s="2994"/>
      <c r="H99" s="2994"/>
      <c r="I99" s="2994"/>
      <c r="J99" s="2994"/>
      <c r="K99" s="2994"/>
      <c r="L99" s="2994"/>
      <c r="M99" s="2995"/>
      <c r="N99" s="2937"/>
      <c r="O99" s="2937"/>
      <c r="P99" s="2915"/>
      <c r="Q99" s="2920"/>
    </row>
    <row r="100" spans="1:17">
      <c r="A100" s="2826" t="s">
        <v>2569</v>
      </c>
      <c r="B100" s="2928" t="s">
        <v>2687</v>
      </c>
      <c r="C100" s="2996" t="s">
        <v>3113</v>
      </c>
      <c r="D100" s="2996" t="s">
        <v>3114</v>
      </c>
      <c r="E100" s="2996" t="s">
        <v>3115</v>
      </c>
      <c r="F100" s="2930"/>
      <c r="G100" s="2930"/>
      <c r="H100" s="2930"/>
      <c r="I100" s="2930"/>
      <c r="J100" s="2930"/>
      <c r="K100" s="2931"/>
      <c r="L100" s="2932"/>
      <c r="M100" s="2933"/>
      <c r="N100" s="2820"/>
      <c r="O100" s="2820"/>
      <c r="P100" s="2915"/>
      <c r="Q100" s="2920"/>
    </row>
    <row r="101" spans="1:17" ht="15.75" thickBot="1">
      <c r="A101" s="2809"/>
      <c r="B101" s="2943"/>
      <c r="C101" s="2944">
        <v>100</v>
      </c>
      <c r="D101" s="2944">
        <f t="shared" ref="D101:M101" si="22">C101-$K32</f>
        <v>90</v>
      </c>
      <c r="E101" s="2944">
        <f t="shared" si="22"/>
        <v>80</v>
      </c>
      <c r="F101" s="2944">
        <f t="shared" si="22"/>
        <v>70</v>
      </c>
      <c r="G101" s="2944">
        <f t="shared" si="22"/>
        <v>60</v>
      </c>
      <c r="H101" s="2944">
        <f t="shared" si="22"/>
        <v>50</v>
      </c>
      <c r="I101" s="2944">
        <f t="shared" si="22"/>
        <v>40</v>
      </c>
      <c r="J101" s="2944">
        <f t="shared" si="22"/>
        <v>30</v>
      </c>
      <c r="K101" s="2944">
        <f t="shared" si="22"/>
        <v>20</v>
      </c>
      <c r="L101" s="2944">
        <f t="shared" si="22"/>
        <v>10</v>
      </c>
      <c r="M101" s="2945">
        <f t="shared" si="22"/>
        <v>0</v>
      </c>
      <c r="N101" s="2937"/>
      <c r="O101" s="2937"/>
      <c r="P101" s="2915"/>
      <c r="Q101" s="2920"/>
    </row>
    <row r="102" spans="1:17" ht="15.75" thickTop="1">
      <c r="A102" s="2809"/>
      <c r="B102" s="2938" t="s">
        <v>2619</v>
      </c>
      <c r="C102" s="2978" t="str">
        <f>C103&amp;"(含)"&amp;"-"&amp;D103</f>
        <v>0(含)-100000</v>
      </c>
      <c r="D102" s="2978" t="str">
        <f t="shared" ref="D102:L102" si="23">D103&amp;"(含)"&amp;"-"&amp;E103</f>
        <v>100000(含)-</v>
      </c>
      <c r="E102" s="2978" t="str">
        <f t="shared" si="23"/>
        <v>(含)-</v>
      </c>
      <c r="F102" s="2978" t="str">
        <f t="shared" si="23"/>
        <v>(含)-</v>
      </c>
      <c r="G102" s="2978" t="str">
        <f t="shared" si="23"/>
        <v>(含)-</v>
      </c>
      <c r="H102" s="2978" t="str">
        <f t="shared" si="23"/>
        <v>(含)-</v>
      </c>
      <c r="I102" s="2978" t="str">
        <f t="shared" si="23"/>
        <v>(含)-</v>
      </c>
      <c r="J102" s="2978" t="str">
        <f t="shared" si="23"/>
        <v>(含)-</v>
      </c>
      <c r="K102" s="2978" t="str">
        <f t="shared" si="23"/>
        <v>(含)-</v>
      </c>
      <c r="L102" s="2978" t="str">
        <f t="shared" si="23"/>
        <v>(含)-</v>
      </c>
      <c r="M102" s="2997" t="str">
        <f>M103&amp;"(含)"&amp;"-"&amp;P103</f>
        <v>(含)-</v>
      </c>
      <c r="N102" s="2794"/>
      <c r="O102" s="2794"/>
      <c r="P102" s="2915"/>
      <c r="Q102" s="2920"/>
    </row>
    <row r="103" spans="1:17" s="2870" customFormat="1">
      <c r="A103" s="2862"/>
      <c r="B103" s="2998"/>
      <c r="C103" s="37">
        <v>0</v>
      </c>
      <c r="D103" s="37">
        <v>100000</v>
      </c>
      <c r="E103" s="37"/>
      <c r="F103" s="37"/>
      <c r="G103" s="37"/>
      <c r="H103" s="37"/>
      <c r="I103" s="37"/>
      <c r="J103" s="2999"/>
      <c r="K103" s="2999"/>
      <c r="L103" s="3000"/>
      <c r="M103" s="3001"/>
      <c r="N103" s="2812"/>
      <c r="O103" s="2812"/>
      <c r="P103" s="2958"/>
      <c r="Q103" s="2959"/>
    </row>
    <row r="104" spans="1:17" s="2870" customFormat="1" ht="15.75" thickBot="1">
      <c r="A104" s="2953"/>
      <c r="B104" s="2943"/>
      <c r="C104" s="2960"/>
      <c r="D104" s="2935"/>
      <c r="E104" s="2935"/>
      <c r="F104" s="2935"/>
      <c r="G104" s="2935"/>
      <c r="H104" s="2935"/>
      <c r="I104" s="2935"/>
      <c r="J104" s="2935"/>
      <c r="K104" s="2935"/>
      <c r="L104" s="2935"/>
      <c r="M104" s="2936"/>
      <c r="N104" s="2937"/>
      <c r="O104" s="2937"/>
      <c r="P104" s="2958"/>
      <c r="Q104" s="2959"/>
    </row>
    <row r="105" spans="1:17" ht="15" thickTop="1">
      <c r="A105" s="2871"/>
      <c r="B105" s="2938" t="s">
        <v>2620</v>
      </c>
      <c r="C105" s="2981" t="s">
        <v>3103</v>
      </c>
      <c r="D105" s="2981" t="s">
        <v>3104</v>
      </c>
      <c r="E105" s="3002" t="s">
        <v>3105</v>
      </c>
      <c r="F105" s="2986"/>
      <c r="G105" s="2986"/>
      <c r="H105" s="2986"/>
      <c r="I105" s="2986"/>
      <c r="J105" s="2986"/>
      <c r="K105" s="2987"/>
      <c r="L105" s="2988"/>
      <c r="M105" s="2989"/>
      <c r="N105" s="2820"/>
      <c r="O105" s="2820"/>
      <c r="P105" s="2915"/>
      <c r="Q105" s="2920"/>
    </row>
    <row r="106" spans="1:17" ht="15.75" thickBot="1">
      <c r="A106" s="2809"/>
      <c r="B106" s="2943"/>
      <c r="C106" s="2944">
        <v>100</v>
      </c>
      <c r="D106" s="2944">
        <f t="shared" ref="D106:M106" si="24">C106-$K34</f>
        <v>95</v>
      </c>
      <c r="E106" s="2944">
        <f t="shared" si="24"/>
        <v>90</v>
      </c>
      <c r="F106" s="2944">
        <f t="shared" si="24"/>
        <v>85</v>
      </c>
      <c r="G106" s="2944">
        <f t="shared" si="24"/>
        <v>80</v>
      </c>
      <c r="H106" s="2944">
        <f t="shared" si="24"/>
        <v>75</v>
      </c>
      <c r="I106" s="2944">
        <f t="shared" si="24"/>
        <v>70</v>
      </c>
      <c r="J106" s="2944">
        <f t="shared" si="24"/>
        <v>65</v>
      </c>
      <c r="K106" s="2944">
        <f t="shared" si="24"/>
        <v>60</v>
      </c>
      <c r="L106" s="2944">
        <f t="shared" si="24"/>
        <v>55</v>
      </c>
      <c r="M106" s="2945">
        <f t="shared" si="24"/>
        <v>50</v>
      </c>
      <c r="N106" s="2937"/>
      <c r="O106" s="2937"/>
      <c r="P106" s="2915"/>
      <c r="Q106" s="2920"/>
    </row>
    <row r="107" spans="1:17" ht="15" thickTop="1">
      <c r="A107" s="2871"/>
      <c r="B107" s="2938" t="s">
        <v>2622</v>
      </c>
      <c r="C107" s="2981" t="s">
        <v>3099</v>
      </c>
      <c r="D107" s="2981" t="s">
        <v>3100</v>
      </c>
      <c r="E107" s="2981" t="s">
        <v>3101</v>
      </c>
      <c r="F107" s="3002" t="s">
        <v>3102</v>
      </c>
      <c r="G107" s="2986"/>
      <c r="H107" s="2986"/>
      <c r="I107" s="2986"/>
      <c r="J107" s="2986"/>
      <c r="K107" s="2987"/>
      <c r="L107" s="2988"/>
      <c r="M107" s="2989"/>
      <c r="N107" s="2820"/>
      <c r="O107" s="2820"/>
      <c r="P107" s="2915"/>
      <c r="Q107" s="2920"/>
    </row>
    <row r="108" spans="1:17" ht="15.75" thickBot="1">
      <c r="A108" s="2809"/>
      <c r="B108" s="2943"/>
      <c r="C108" s="2944">
        <v>100</v>
      </c>
      <c r="D108" s="2944">
        <f t="shared" ref="D108:M108" si="25">C108-$K35</f>
        <v>98</v>
      </c>
      <c r="E108" s="2944">
        <f t="shared" si="25"/>
        <v>96</v>
      </c>
      <c r="F108" s="2944">
        <f t="shared" si="25"/>
        <v>94</v>
      </c>
      <c r="G108" s="2944">
        <f t="shared" si="25"/>
        <v>92</v>
      </c>
      <c r="H108" s="2944">
        <f t="shared" si="25"/>
        <v>90</v>
      </c>
      <c r="I108" s="2944">
        <f t="shared" si="25"/>
        <v>88</v>
      </c>
      <c r="J108" s="2944">
        <f t="shared" si="25"/>
        <v>86</v>
      </c>
      <c r="K108" s="2944">
        <f t="shared" si="25"/>
        <v>84</v>
      </c>
      <c r="L108" s="2944">
        <f t="shared" si="25"/>
        <v>82</v>
      </c>
      <c r="M108" s="2945">
        <f t="shared" si="25"/>
        <v>80</v>
      </c>
      <c r="N108" s="2937"/>
      <c r="O108" s="2937"/>
      <c r="P108" s="2915"/>
      <c r="Q108" s="2920"/>
    </row>
    <row r="109" spans="1:17" ht="15" thickTop="1">
      <c r="A109" s="2871"/>
      <c r="B109" s="2938" t="s">
        <v>2000</v>
      </c>
      <c r="C109" s="2978" t="str">
        <f>C110&amp;"(含)"&amp;"-"&amp;D110</f>
        <v>0.5(含)-0.6</v>
      </c>
      <c r="D109" s="2978" t="str">
        <f>D110&amp;"(含)"&amp;"-"&amp;E110</f>
        <v>0.6(含)-0.7</v>
      </c>
      <c r="E109" s="2978" t="str">
        <f>E110&amp;"(含)"&amp;"-"&amp;F110</f>
        <v>0.7(含)-0.8</v>
      </c>
      <c r="F109" s="2978" t="str">
        <f>F110&amp;"(含)"&amp;"-"&amp;G110</f>
        <v>0.8(含)-0.9</v>
      </c>
      <c r="G109" s="2978" t="str">
        <f>G110&amp;"(含)"&amp;"-"&amp;ROUND(H110,0)&amp;"(含)"</f>
        <v>0.9(含)-1(含)</v>
      </c>
      <c r="H109" s="2978"/>
      <c r="I109" s="2986"/>
      <c r="J109" s="2986"/>
      <c r="K109" s="2987"/>
      <c r="L109" s="2988"/>
      <c r="M109" s="2989"/>
      <c r="N109" s="2820"/>
      <c r="O109" s="2820"/>
      <c r="P109" s="2915"/>
      <c r="Q109" s="2920"/>
    </row>
    <row r="110" spans="1:17">
      <c r="A110" s="2871"/>
      <c r="B110" s="2946"/>
      <c r="C110" s="28">
        <v>0.5</v>
      </c>
      <c r="D110" s="28">
        <v>0.6</v>
      </c>
      <c r="E110" s="28">
        <v>0.7</v>
      </c>
      <c r="F110" s="28">
        <v>0.8</v>
      </c>
      <c r="G110" s="28">
        <v>0.9</v>
      </c>
      <c r="H110" s="28">
        <v>1.0001</v>
      </c>
      <c r="I110" s="3003"/>
      <c r="J110" s="3003"/>
      <c r="K110" s="3004"/>
      <c r="L110" s="3005"/>
      <c r="M110" s="3006"/>
      <c r="N110" s="2820"/>
      <c r="O110" s="2820"/>
      <c r="P110" s="2915"/>
      <c r="Q110" s="2920"/>
    </row>
    <row r="111" spans="1:17" ht="15.75" thickBot="1">
      <c r="A111" s="2809"/>
      <c r="B111" s="2943"/>
      <c r="C111" s="2984">
        <v>100</v>
      </c>
      <c r="D111" s="2944">
        <f>C111+$K36</f>
        <v>101</v>
      </c>
      <c r="E111" s="2944">
        <f t="shared" ref="E111:M111" si="26">D111+$K36</f>
        <v>102</v>
      </c>
      <c r="F111" s="2944">
        <f t="shared" si="26"/>
        <v>103</v>
      </c>
      <c r="G111" s="2944">
        <f t="shared" si="26"/>
        <v>104</v>
      </c>
      <c r="H111" s="2944">
        <f t="shared" si="26"/>
        <v>105</v>
      </c>
      <c r="I111" s="2944">
        <f t="shared" si="26"/>
        <v>106</v>
      </c>
      <c r="J111" s="2944">
        <f t="shared" si="26"/>
        <v>107</v>
      </c>
      <c r="K111" s="2944">
        <f t="shared" si="26"/>
        <v>108</v>
      </c>
      <c r="L111" s="2944">
        <f t="shared" si="26"/>
        <v>109</v>
      </c>
      <c r="M111" s="2944">
        <f t="shared" si="26"/>
        <v>110</v>
      </c>
      <c r="N111" s="2937"/>
      <c r="O111" s="2937"/>
      <c r="P111" s="2915"/>
      <c r="Q111" s="2920"/>
    </row>
    <row r="112" spans="1:17" s="2870" customFormat="1" ht="15" thickTop="1">
      <c r="A112" s="2862"/>
      <c r="B112" s="2938" t="s">
        <v>2624</v>
      </c>
      <c r="C112" s="2985" t="s">
        <v>3095</v>
      </c>
      <c r="D112" s="2985" t="s">
        <v>3096</v>
      </c>
      <c r="E112" s="2985" t="s">
        <v>3098</v>
      </c>
      <c r="F112" s="2954"/>
      <c r="G112" s="2954"/>
      <c r="H112" s="2986"/>
      <c r="I112" s="2986"/>
      <c r="J112" s="2986"/>
      <c r="K112" s="2987"/>
      <c r="L112" s="2988"/>
      <c r="M112" s="2989"/>
      <c r="N112" s="2812"/>
      <c r="O112" s="2812"/>
      <c r="P112" s="2958"/>
      <c r="Q112" s="2959"/>
    </row>
    <row r="113" spans="1:17" s="2870" customFormat="1" ht="15.75" thickBot="1">
      <c r="A113" s="2953"/>
      <c r="B113" s="2943"/>
      <c r="C113" s="2944">
        <v>100</v>
      </c>
      <c r="D113" s="2944">
        <f>C113-$K37</f>
        <v>99</v>
      </c>
      <c r="E113" s="2944">
        <f t="shared" ref="E113:M113" si="27">D113-$K37</f>
        <v>98</v>
      </c>
      <c r="F113" s="2944">
        <f t="shared" si="27"/>
        <v>97</v>
      </c>
      <c r="G113" s="2944">
        <f t="shared" si="27"/>
        <v>96</v>
      </c>
      <c r="H113" s="2944">
        <f t="shared" si="27"/>
        <v>95</v>
      </c>
      <c r="I113" s="2944">
        <f t="shared" si="27"/>
        <v>94</v>
      </c>
      <c r="J113" s="2944">
        <f t="shared" si="27"/>
        <v>93</v>
      </c>
      <c r="K113" s="2944">
        <f t="shared" si="27"/>
        <v>92</v>
      </c>
      <c r="L113" s="2944">
        <f t="shared" si="27"/>
        <v>91</v>
      </c>
      <c r="M113" s="2944">
        <f t="shared" si="27"/>
        <v>90</v>
      </c>
      <c r="N113" s="2812"/>
      <c r="O113" s="2812"/>
      <c r="P113" s="2958"/>
      <c r="Q113" s="2959"/>
    </row>
    <row r="114" spans="1:17" ht="15" thickTop="1">
      <c r="A114" s="2871"/>
      <c r="B114" s="2938" t="s">
        <v>2688</v>
      </c>
      <c r="C114" s="2981" t="s">
        <v>3106</v>
      </c>
      <c r="D114" s="2981" t="s">
        <v>3107</v>
      </c>
      <c r="E114" s="2986"/>
      <c r="F114" s="2986"/>
      <c r="G114" s="2986"/>
      <c r="H114" s="2986"/>
      <c r="I114" s="2986"/>
      <c r="J114" s="2986"/>
      <c r="K114" s="2987"/>
      <c r="L114" s="2988"/>
      <c r="M114" s="2989"/>
      <c r="N114" s="2820"/>
      <c r="O114" s="2820"/>
      <c r="P114" s="2915"/>
      <c r="Q114" s="2920"/>
    </row>
    <row r="115" spans="1:17" ht="15.75" thickBot="1">
      <c r="A115" s="2809"/>
      <c r="B115" s="2943"/>
      <c r="C115" s="2944">
        <v>100</v>
      </c>
      <c r="D115" s="2944">
        <f t="shared" ref="D115:M115" si="28">C115-$K38</f>
        <v>95</v>
      </c>
      <c r="E115" s="2944">
        <f t="shared" si="28"/>
        <v>90</v>
      </c>
      <c r="F115" s="2944">
        <f t="shared" si="28"/>
        <v>85</v>
      </c>
      <c r="G115" s="2944">
        <f t="shared" si="28"/>
        <v>80</v>
      </c>
      <c r="H115" s="2944">
        <f t="shared" si="28"/>
        <v>75</v>
      </c>
      <c r="I115" s="2944">
        <f t="shared" si="28"/>
        <v>70</v>
      </c>
      <c r="J115" s="2944">
        <f t="shared" si="28"/>
        <v>65</v>
      </c>
      <c r="K115" s="2944">
        <f t="shared" si="28"/>
        <v>60</v>
      </c>
      <c r="L115" s="2944">
        <f t="shared" si="28"/>
        <v>55</v>
      </c>
      <c r="M115" s="2945">
        <f t="shared" si="28"/>
        <v>50</v>
      </c>
      <c r="N115" s="2937"/>
      <c r="O115" s="2937"/>
      <c r="P115" s="2915"/>
      <c r="Q115" s="2920"/>
    </row>
    <row r="116" spans="1:17" ht="15" thickTop="1">
      <c r="A116" s="2871"/>
      <c r="B116" s="2938" t="s">
        <v>2689</v>
      </c>
      <c r="C116" s="2981" t="s">
        <v>3108</v>
      </c>
      <c r="D116" s="2981" t="s">
        <v>3109</v>
      </c>
      <c r="E116" s="2954"/>
      <c r="F116" s="2954"/>
      <c r="G116" s="2954"/>
      <c r="H116" s="2986"/>
      <c r="I116" s="2986"/>
      <c r="J116" s="2986"/>
      <c r="K116" s="2987"/>
      <c r="L116" s="2988"/>
      <c r="M116" s="2989"/>
      <c r="N116" s="2820"/>
      <c r="O116" s="2820"/>
      <c r="P116" s="2915"/>
      <c r="Q116" s="2920"/>
    </row>
    <row r="117" spans="1:17" ht="15.75" thickBot="1">
      <c r="A117" s="2809"/>
      <c r="B117" s="2943"/>
      <c r="C117" s="2944">
        <v>100</v>
      </c>
      <c r="D117" s="2944">
        <f>C117-$K39</f>
        <v>95</v>
      </c>
      <c r="E117" s="2944">
        <f>D117-$K39</f>
        <v>90</v>
      </c>
      <c r="F117" s="2944">
        <f>E117-$K39</f>
        <v>85</v>
      </c>
      <c r="G117" s="2944">
        <f>F117-$K39</f>
        <v>80</v>
      </c>
      <c r="H117" s="2944"/>
      <c r="I117" s="2944"/>
      <c r="J117" s="2944"/>
      <c r="K117" s="2944"/>
      <c r="L117" s="2944"/>
      <c r="M117" s="2945"/>
      <c r="N117" s="2937"/>
      <c r="O117" s="2937"/>
      <c r="P117" s="2915"/>
      <c r="Q117" s="2920"/>
    </row>
    <row r="118" spans="1:17" ht="15" thickTop="1">
      <c r="A118" s="2871"/>
      <c r="B118" s="2938" t="s">
        <v>2690</v>
      </c>
      <c r="C118" s="3007"/>
      <c r="D118" s="3007"/>
      <c r="E118" s="3007"/>
      <c r="F118" s="3007"/>
      <c r="G118" s="3007"/>
      <c r="H118" s="2955"/>
      <c r="I118" s="2955"/>
      <c r="J118" s="2955"/>
      <c r="K118" s="2955"/>
      <c r="L118" s="2956"/>
      <c r="M118" s="2957"/>
      <c r="N118" s="2820"/>
      <c r="O118" s="2820"/>
      <c r="P118" s="2915"/>
      <c r="Q118" s="2920"/>
    </row>
    <row r="119" spans="1:17" ht="15.75" thickBot="1">
      <c r="A119" s="2809"/>
      <c r="B119" s="2943"/>
      <c r="C119" s="2960"/>
      <c r="D119" s="2935"/>
      <c r="E119" s="2935"/>
      <c r="F119" s="2935"/>
      <c r="G119" s="2935"/>
      <c r="H119" s="2935"/>
      <c r="I119" s="2935"/>
      <c r="J119" s="2935"/>
      <c r="K119" s="2935"/>
      <c r="L119" s="2935"/>
      <c r="M119" s="2936"/>
      <c r="N119" s="2937"/>
      <c r="O119" s="2937"/>
      <c r="P119" s="2915"/>
      <c r="Q119" s="2920"/>
    </row>
    <row r="120" spans="1:17" s="2870" customFormat="1" ht="15" thickTop="1">
      <c r="A120" s="2862"/>
      <c r="B120" s="2938" t="s">
        <v>2691</v>
      </c>
      <c r="C120" s="3002" t="s">
        <v>3110</v>
      </c>
      <c r="D120" s="3002" t="s">
        <v>3111</v>
      </c>
      <c r="E120" s="3002" t="s">
        <v>3112</v>
      </c>
      <c r="F120" s="3002"/>
      <c r="G120" s="2955"/>
      <c r="H120" s="2955"/>
      <c r="I120" s="2955"/>
      <c r="J120" s="2955"/>
      <c r="K120" s="2955"/>
      <c r="L120" s="2956"/>
      <c r="M120" s="2957"/>
      <c r="N120" s="2812"/>
      <c r="O120" s="2812"/>
      <c r="P120" s="2958"/>
      <c r="Q120" s="2959"/>
    </row>
    <row r="121" spans="1:17" s="2870" customFormat="1" ht="15.75" thickBot="1">
      <c r="A121" s="2953"/>
      <c r="B121" s="2934"/>
      <c r="C121" s="2984">
        <v>100</v>
      </c>
      <c r="D121" s="2944">
        <f>C121-$K41</f>
        <v>98</v>
      </c>
      <c r="E121" s="2944">
        <f t="shared" ref="E121:M121" si="29">D121-$K41</f>
        <v>96</v>
      </c>
      <c r="F121" s="2944">
        <f t="shared" si="29"/>
        <v>94</v>
      </c>
      <c r="G121" s="2944">
        <f t="shared" si="29"/>
        <v>92</v>
      </c>
      <c r="H121" s="2944">
        <f t="shared" si="29"/>
        <v>90</v>
      </c>
      <c r="I121" s="2944">
        <f t="shared" si="29"/>
        <v>88</v>
      </c>
      <c r="J121" s="2944">
        <f t="shared" si="29"/>
        <v>86</v>
      </c>
      <c r="K121" s="2944">
        <f t="shared" si="29"/>
        <v>84</v>
      </c>
      <c r="L121" s="2944">
        <f t="shared" si="29"/>
        <v>82</v>
      </c>
      <c r="M121" s="2945">
        <f t="shared" si="29"/>
        <v>80</v>
      </c>
      <c r="N121" s="2812"/>
      <c r="O121" s="2812"/>
      <c r="P121" s="2958"/>
      <c r="Q121" s="2959"/>
    </row>
    <row r="122" spans="1:17" ht="15" thickTop="1">
      <c r="A122" s="2871"/>
      <c r="B122" s="2938" t="s">
        <v>2626</v>
      </c>
      <c r="C122" s="2981" t="s">
        <v>3099</v>
      </c>
      <c r="D122" s="2981" t="s">
        <v>3100</v>
      </c>
      <c r="E122" s="2981" t="s">
        <v>3101</v>
      </c>
      <c r="F122" s="3002" t="s">
        <v>3102</v>
      </c>
      <c r="G122" s="2986"/>
      <c r="H122" s="2986"/>
      <c r="I122" s="2986"/>
      <c r="J122" s="2986"/>
      <c r="K122" s="2987"/>
      <c r="L122" s="2988"/>
      <c r="M122" s="2989"/>
      <c r="N122" s="2820"/>
      <c r="O122" s="2820"/>
      <c r="P122" s="2915"/>
      <c r="Q122" s="2920"/>
    </row>
    <row r="123" spans="1:17" ht="15.75" thickBot="1">
      <c r="A123" s="2809"/>
      <c r="B123" s="2943"/>
      <c r="C123" s="2944">
        <v>100</v>
      </c>
      <c r="D123" s="2944">
        <f t="shared" ref="D123:M123" si="30">C123-$K42</f>
        <v>98</v>
      </c>
      <c r="E123" s="2944">
        <f t="shared" si="30"/>
        <v>96</v>
      </c>
      <c r="F123" s="2944">
        <f t="shared" si="30"/>
        <v>94</v>
      </c>
      <c r="G123" s="2944">
        <f t="shared" si="30"/>
        <v>92</v>
      </c>
      <c r="H123" s="2944">
        <f t="shared" si="30"/>
        <v>90</v>
      </c>
      <c r="I123" s="2944">
        <f t="shared" si="30"/>
        <v>88</v>
      </c>
      <c r="J123" s="2944">
        <f t="shared" si="30"/>
        <v>86</v>
      </c>
      <c r="K123" s="2944">
        <f t="shared" si="30"/>
        <v>84</v>
      </c>
      <c r="L123" s="2944">
        <f t="shared" si="30"/>
        <v>82</v>
      </c>
      <c r="M123" s="2945">
        <f t="shared" si="30"/>
        <v>80</v>
      </c>
      <c r="N123" s="2937"/>
      <c r="O123" s="2937"/>
      <c r="P123" s="2915"/>
      <c r="Q123" s="2920"/>
    </row>
    <row r="124" spans="1:17" ht="15" thickTop="1">
      <c r="A124" s="2871"/>
      <c r="B124" s="2938" t="s">
        <v>2627</v>
      </c>
      <c r="C124" s="2978" t="s">
        <v>2603</v>
      </c>
      <c r="D124" s="2978" t="s">
        <v>2604</v>
      </c>
      <c r="E124" s="2978" t="s">
        <v>2605</v>
      </c>
      <c r="F124" s="2978" t="s">
        <v>2606</v>
      </c>
      <c r="G124" s="2978" t="s">
        <v>2607</v>
      </c>
      <c r="H124" s="2939"/>
      <c r="I124" s="2939"/>
      <c r="J124" s="2939"/>
      <c r="K124" s="2940"/>
      <c r="L124" s="2941"/>
      <c r="M124" s="2942"/>
      <c r="N124" s="2820"/>
      <c r="O124" s="2820"/>
      <c r="P124" s="2958"/>
      <c r="Q124" s="2920"/>
    </row>
    <row r="125" spans="1:17" ht="15.75" thickBot="1">
      <c r="A125" s="2809"/>
      <c r="B125" s="2943"/>
      <c r="C125" s="2944">
        <v>100</v>
      </c>
      <c r="D125" s="2944">
        <f>C125-$K43</f>
        <v>98</v>
      </c>
      <c r="E125" s="2944">
        <f>D125-$K43</f>
        <v>96</v>
      </c>
      <c r="F125" s="2944">
        <f>E125-$K43</f>
        <v>94</v>
      </c>
      <c r="G125" s="2944">
        <f>F125-$K43</f>
        <v>92</v>
      </c>
      <c r="H125" s="2944"/>
      <c r="I125" s="2944"/>
      <c r="J125" s="2944"/>
      <c r="K125" s="2944"/>
      <c r="L125" s="2944"/>
      <c r="M125" s="2945"/>
      <c r="N125" s="2937"/>
      <c r="O125" s="2937"/>
      <c r="P125" s="2915"/>
      <c r="Q125" s="2920"/>
    </row>
    <row r="126" spans="1:17" s="2870" customFormat="1" ht="15" thickTop="1">
      <c r="A126" s="2862"/>
      <c r="B126" s="2938">
        <f>B44</f>
        <v>0</v>
      </c>
      <c r="C126" s="2954"/>
      <c r="D126" s="2954"/>
      <c r="E126" s="2954"/>
      <c r="F126" s="2954"/>
      <c r="G126" s="2954"/>
      <c r="H126" s="2955"/>
      <c r="I126" s="2955"/>
      <c r="J126" s="2955"/>
      <c r="K126" s="2955"/>
      <c r="L126" s="2956"/>
      <c r="M126" s="2957"/>
      <c r="N126" s="2812"/>
      <c r="O126" s="2812"/>
      <c r="P126" s="2958"/>
      <c r="Q126" s="2959"/>
    </row>
    <row r="127" spans="1:17" s="2870" customFormat="1" ht="15.75" thickBot="1">
      <c r="A127" s="2953"/>
      <c r="B127" s="2943"/>
      <c r="C127" s="2960"/>
      <c r="D127" s="2935"/>
      <c r="E127" s="2935"/>
      <c r="F127" s="2935"/>
      <c r="G127" s="2960"/>
      <c r="H127" s="2963"/>
      <c r="I127" s="2963"/>
      <c r="J127" s="2963"/>
      <c r="K127" s="2963"/>
      <c r="L127" s="2963"/>
      <c r="M127" s="2964"/>
      <c r="N127" s="2812"/>
      <c r="O127" s="2812"/>
      <c r="P127" s="2958"/>
      <c r="Q127" s="2959"/>
    </row>
    <row r="128" spans="1:17" ht="15" thickTop="1">
      <c r="A128" s="2871"/>
      <c r="B128" s="2938">
        <f>B45</f>
        <v>0</v>
      </c>
      <c r="C128" s="2954"/>
      <c r="D128" s="2954"/>
      <c r="E128" s="2954"/>
      <c r="F128" s="2954"/>
      <c r="G128" s="2986"/>
      <c r="H128" s="2986"/>
      <c r="I128" s="2986"/>
      <c r="J128" s="2986"/>
      <c r="K128" s="2987"/>
      <c r="L128" s="2988"/>
      <c r="M128" s="2989"/>
      <c r="N128" s="2820"/>
      <c r="O128" s="2820"/>
      <c r="P128" s="2915"/>
      <c r="Q128" s="2920"/>
    </row>
    <row r="129" spans="1:17" ht="15.75" thickBot="1">
      <c r="A129" s="2809"/>
      <c r="B129" s="2943"/>
      <c r="C129" s="2960"/>
      <c r="D129" s="2935"/>
      <c r="E129" s="2935"/>
      <c r="F129" s="2935"/>
      <c r="G129" s="2935"/>
      <c r="H129" s="2935"/>
      <c r="I129" s="2935"/>
      <c r="J129" s="2935"/>
      <c r="K129" s="2935"/>
      <c r="L129" s="2935"/>
      <c r="M129" s="2936"/>
      <c r="N129" s="2937"/>
      <c r="O129" s="2937"/>
      <c r="P129" s="2915"/>
      <c r="Q129" s="2920"/>
    </row>
    <row r="130" spans="1:17" ht="15" thickTop="1">
      <c r="A130" s="2871"/>
      <c r="B130" s="2946">
        <f>B46</f>
        <v>0</v>
      </c>
      <c r="C130" s="2954"/>
      <c r="D130" s="2954"/>
      <c r="E130" s="2954"/>
      <c r="F130" s="2954"/>
      <c r="G130" s="2990"/>
      <c r="H130" s="2990"/>
      <c r="I130" s="2990"/>
      <c r="J130" s="2990"/>
      <c r="K130" s="29"/>
      <c r="L130" s="2923"/>
      <c r="M130" s="2993"/>
      <c r="N130" s="2820"/>
      <c r="O130" s="2820"/>
      <c r="P130" s="2915"/>
      <c r="Q130" s="2920"/>
    </row>
    <row r="131" spans="1:17" ht="15.75" thickBot="1">
      <c r="A131" s="2821"/>
      <c r="B131" s="2970"/>
      <c r="C131" s="2971"/>
      <c r="D131" s="2971"/>
      <c r="E131" s="2971"/>
      <c r="F131" s="2971"/>
      <c r="G131" s="2994"/>
      <c r="H131" s="2994"/>
      <c r="I131" s="2994"/>
      <c r="J131" s="2994"/>
      <c r="K131" s="2994"/>
      <c r="L131" s="2994"/>
      <c r="M131" s="2995"/>
      <c r="N131" s="2937"/>
      <c r="O131" s="2937"/>
      <c r="P131" s="2915"/>
      <c r="Q131" s="2920"/>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52" priority="17" stopIfTrue="1" operator="containsText" text="超过">
      <formula>NOT(ISERROR(SEARCH("超过",F52)))</formula>
    </cfRule>
  </conditionalFormatting>
  <conditionalFormatting sqref="H54">
    <cfRule type="containsText" dxfId="151" priority="15" stopIfTrue="1" operator="containsText" text="超过">
      <formula>NOT(ISERROR(SEARCH("超过",H54)))</formula>
    </cfRule>
  </conditionalFormatting>
  <conditionalFormatting sqref="F54">
    <cfRule type="containsText" dxfId="150" priority="14" stopIfTrue="1" operator="containsText" text="超过">
      <formula>NOT(ISERROR(SEARCH("超过",F54)))</formula>
    </cfRule>
  </conditionalFormatting>
  <conditionalFormatting sqref="F53 H53">
    <cfRule type="containsText" dxfId="149" priority="13" stopIfTrue="1" operator="containsText" text="超过">
      <formula>NOT(ISERROR(SEARCH("超过",F53)))</formula>
    </cfRule>
  </conditionalFormatting>
  <conditionalFormatting sqref="E52">
    <cfRule type="expression" dxfId="148" priority="12" stopIfTrue="1">
      <formula>$F$52="超过30%"</formula>
    </cfRule>
  </conditionalFormatting>
  <conditionalFormatting sqref="E53">
    <cfRule type="expression" dxfId="147" priority="11" stopIfTrue="1">
      <formula>$F$53="超过20%"</formula>
    </cfRule>
  </conditionalFormatting>
  <conditionalFormatting sqref="E54">
    <cfRule type="expression" dxfId="146" priority="10" stopIfTrue="1">
      <formula>$F$54="超过30%"</formula>
    </cfRule>
  </conditionalFormatting>
  <conditionalFormatting sqref="G54">
    <cfRule type="expression" dxfId="145" priority="9" stopIfTrue="1">
      <formula>$H$54="超过30%"</formula>
    </cfRule>
  </conditionalFormatting>
  <conditionalFormatting sqref="G52">
    <cfRule type="expression" dxfId="144" priority="8" stopIfTrue="1">
      <formula>$H$52="超过30%"</formula>
    </cfRule>
  </conditionalFormatting>
  <conditionalFormatting sqref="G53">
    <cfRule type="expression" dxfId="143" priority="7" stopIfTrue="1">
      <formula>$H$53="超过20%"</formula>
    </cfRule>
  </conditionalFormatting>
  <conditionalFormatting sqref="J52">
    <cfRule type="containsText" dxfId="142" priority="6" stopIfTrue="1" operator="containsText" text="超过">
      <formula>NOT(ISERROR(SEARCH("超过",J52)))</formula>
    </cfRule>
  </conditionalFormatting>
  <conditionalFormatting sqref="J54">
    <cfRule type="containsText" dxfId="141" priority="5" stopIfTrue="1" operator="containsText" text="超过">
      <formula>NOT(ISERROR(SEARCH("超过",J54)))</formula>
    </cfRule>
  </conditionalFormatting>
  <conditionalFormatting sqref="J53">
    <cfRule type="containsText" dxfId="140" priority="4" stopIfTrue="1" operator="containsText" text="超过">
      <formula>NOT(ISERROR(SEARCH("超过",J53)))</formula>
    </cfRule>
  </conditionalFormatting>
  <conditionalFormatting sqref="I52">
    <cfRule type="expression" dxfId="139" priority="3" stopIfTrue="1">
      <formula>$J$52="超过30%"</formula>
    </cfRule>
  </conditionalFormatting>
  <conditionalFormatting sqref="I53">
    <cfRule type="expression" dxfId="138" priority="2" stopIfTrue="1">
      <formula>$J$53="超过20%"</formula>
    </cfRule>
  </conditionalFormatting>
  <conditionalFormatting sqref="I54">
    <cfRule type="expression" dxfId="137"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6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38" sqref="C38"/>
      <selection pane="bottomLeft" activeCell="B37" sqref="B37"/>
    </sheetView>
  </sheetViews>
  <sheetFormatPr defaultRowHeight="12.75"/>
  <cols>
    <col min="1" max="1" width="11.5" style="2750" customWidth="1"/>
    <col min="2" max="2" width="14" style="2490" customWidth="1"/>
    <col min="3" max="3" width="7.5" style="2490" customWidth="1"/>
    <col min="4" max="4" width="9.25" style="2490" bestFit="1" customWidth="1"/>
    <col min="5" max="5" width="5" style="2490" customWidth="1"/>
    <col min="6" max="6" width="9.125" style="2490" bestFit="1" customWidth="1"/>
    <col min="7" max="7" width="6.25" style="2490" customWidth="1"/>
    <col min="8" max="8" width="9.125" style="2490" bestFit="1" customWidth="1"/>
    <col min="9" max="9" width="7.625" style="2490" customWidth="1"/>
    <col min="10" max="10" width="9.125" style="2490" bestFit="1" customWidth="1"/>
    <col min="11" max="11" width="5" style="2490" customWidth="1"/>
    <col min="12" max="12" width="9.125" style="2490" bestFit="1" customWidth="1"/>
    <col min="13" max="13" width="5" style="2490" customWidth="1"/>
    <col min="14" max="14" width="9.125" style="2490" bestFit="1" customWidth="1"/>
    <col min="15" max="15" width="5" style="2490" customWidth="1"/>
    <col min="16" max="16" width="9.125" style="2490" bestFit="1" customWidth="1"/>
    <col min="17" max="17" width="5" style="2490" customWidth="1"/>
    <col min="18" max="18" width="9.375" style="2490" bestFit="1" customWidth="1"/>
    <col min="19" max="19" width="10.375" style="2750" bestFit="1" customWidth="1"/>
    <col min="20" max="45" width="9" style="2497"/>
    <col min="46" max="16384" width="9" style="2750"/>
  </cols>
  <sheetData>
    <row r="1" spans="1:45" ht="14.25" customHeight="1" thickBot="1">
      <c r="A1" s="2622"/>
      <c r="B1" s="2632" t="s">
        <v>3013</v>
      </c>
      <c r="C1" s="3875" t="s">
        <v>3014</v>
      </c>
      <c r="D1" s="3876"/>
      <c r="E1" s="3876"/>
      <c r="F1" s="3876"/>
      <c r="G1" s="3876"/>
      <c r="H1" s="3876"/>
      <c r="I1" s="3876"/>
      <c r="J1" s="3876"/>
      <c r="K1" s="3876"/>
      <c r="L1" s="3876"/>
      <c r="M1" s="3876"/>
      <c r="N1" s="3876"/>
      <c r="O1" s="3876"/>
      <c r="P1" s="3876"/>
      <c r="Q1" s="3876"/>
      <c r="R1" s="3876"/>
      <c r="S1" s="3877"/>
      <c r="T1" s="2632" t="s">
        <v>3015</v>
      </c>
    </row>
    <row r="2" spans="1:45" s="3015" customFormat="1" ht="25.5">
      <c r="A2" s="3009"/>
      <c r="B2" s="3010" t="s">
        <v>3016</v>
      </c>
      <c r="C2" s="3011" t="str">
        <f t="shared" ref="C2:L2" si="0">C3&amp;"(含)"&amp;"-"&amp;D3</f>
        <v>0(含)-10000</v>
      </c>
      <c r="D2" s="16" t="str">
        <f t="shared" si="0"/>
        <v>10000(含)-</v>
      </c>
      <c r="E2" s="16" t="str">
        <f t="shared" si="0"/>
        <v>(含)-</v>
      </c>
      <c r="F2" s="16" t="str">
        <f t="shared" si="0"/>
        <v>(含)-</v>
      </c>
      <c r="G2" s="16" t="str">
        <f t="shared" si="0"/>
        <v>(含)-</v>
      </c>
      <c r="H2" s="16" t="str">
        <f t="shared" si="0"/>
        <v>(含)-</v>
      </c>
      <c r="I2" s="16" t="str">
        <f t="shared" si="0"/>
        <v>(含)-</v>
      </c>
      <c r="J2" s="16" t="str">
        <f t="shared" si="0"/>
        <v>(含)-</v>
      </c>
      <c r="K2" s="16" t="str">
        <f t="shared" si="0"/>
        <v>(含)-</v>
      </c>
      <c r="L2" s="16" t="str">
        <f t="shared" si="0"/>
        <v>(含)-</v>
      </c>
      <c r="M2" s="16" t="str">
        <f t="shared" ref="M2" si="1">M3&amp;"(含)"&amp;"-"&amp;N3</f>
        <v>(含)-</v>
      </c>
      <c r="N2" s="16" t="str">
        <f t="shared" ref="N2" si="2">N3&amp;"(含)"&amp;"-"&amp;O3</f>
        <v>(含)-</v>
      </c>
      <c r="O2" s="16" t="str">
        <f t="shared" ref="O2" si="3">O3&amp;"(含)"&amp;"-"&amp;P3</f>
        <v>(含)-</v>
      </c>
      <c r="P2" s="16" t="str">
        <f t="shared" ref="P2" si="4">P3&amp;"(含)"&amp;"-"&amp;Q3</f>
        <v>(含)-</v>
      </c>
      <c r="Q2" s="16" t="str">
        <f t="shared" ref="Q2" si="5">Q3&amp;"(含)"&amp;"-"&amp;R3</f>
        <v>(含)-</v>
      </c>
      <c r="R2" s="16" t="str">
        <f t="shared" ref="R2" si="6">R3&amp;"(含)"&amp;"-"&amp;S3</f>
        <v>(含)-</v>
      </c>
      <c r="S2" s="3012" t="str">
        <f>S3&amp;"(含)"&amp;"-"</f>
        <v>(含)-</v>
      </c>
      <c r="T2" s="3013"/>
      <c r="U2" s="3014"/>
      <c r="V2" s="3014"/>
      <c r="W2" s="3014"/>
      <c r="X2" s="3014"/>
      <c r="Y2" s="3014"/>
      <c r="Z2" s="3014"/>
      <c r="AA2" s="3014"/>
      <c r="AB2" s="3014"/>
      <c r="AC2" s="3014"/>
      <c r="AD2" s="3014"/>
      <c r="AE2" s="3014"/>
      <c r="AF2" s="3014"/>
      <c r="AG2" s="3014"/>
      <c r="AH2" s="3014"/>
      <c r="AI2" s="3014"/>
      <c r="AJ2" s="3014"/>
      <c r="AK2" s="3014"/>
      <c r="AL2" s="3014"/>
      <c r="AM2" s="3014"/>
      <c r="AN2" s="3014"/>
      <c r="AO2" s="3014"/>
      <c r="AP2" s="3014"/>
      <c r="AQ2" s="3014"/>
      <c r="AR2" s="3014"/>
      <c r="AS2" s="3014"/>
    </row>
    <row r="3" spans="1:45" s="3025" customFormat="1">
      <c r="A3" s="3016"/>
      <c r="B3" s="3017"/>
      <c r="C3" s="3018">
        <v>0</v>
      </c>
      <c r="D3" s="954">
        <v>10000</v>
      </c>
      <c r="E3" s="954"/>
      <c r="F3" s="3019"/>
      <c r="G3" s="3019"/>
      <c r="H3" s="3019"/>
      <c r="I3" s="3019"/>
      <c r="J3" s="3019"/>
      <c r="K3" s="3019"/>
      <c r="L3" s="3020"/>
      <c r="M3" s="3021"/>
      <c r="N3" s="3021"/>
      <c r="O3" s="3019"/>
      <c r="P3" s="3019"/>
      <c r="Q3" s="3019"/>
      <c r="R3" s="3019"/>
      <c r="S3" s="3022"/>
      <c r="T3" s="3023"/>
      <c r="U3" s="3024"/>
      <c r="V3" s="3024"/>
      <c r="W3" s="3024"/>
      <c r="X3" s="3024"/>
      <c r="Y3" s="3024"/>
      <c r="Z3" s="3024"/>
      <c r="AA3" s="3024"/>
      <c r="AB3" s="3024"/>
      <c r="AC3" s="3024"/>
      <c r="AD3" s="3024"/>
      <c r="AE3" s="3024"/>
      <c r="AF3" s="3024"/>
      <c r="AG3" s="3024"/>
      <c r="AH3" s="3024"/>
      <c r="AI3" s="3024"/>
      <c r="AJ3" s="3024"/>
      <c r="AK3" s="3024"/>
      <c r="AL3" s="3024"/>
      <c r="AM3" s="3024"/>
      <c r="AN3" s="3024"/>
      <c r="AO3" s="3024"/>
      <c r="AP3" s="3024"/>
      <c r="AQ3" s="3024"/>
      <c r="AR3" s="3024"/>
      <c r="AS3" s="3024"/>
    </row>
    <row r="4" spans="1:45" s="3025" customFormat="1" ht="13.5" thickBot="1">
      <c r="A4" s="3026"/>
      <c r="B4" s="3027"/>
      <c r="C4" s="3028"/>
      <c r="D4" s="3029"/>
      <c r="E4" s="3029"/>
      <c r="F4" s="3030"/>
      <c r="G4" s="3030"/>
      <c r="H4" s="3030"/>
      <c r="I4" s="3030"/>
      <c r="J4" s="3030"/>
      <c r="K4" s="3030"/>
      <c r="L4" s="3030"/>
      <c r="M4" s="3031"/>
      <c r="N4" s="3031"/>
      <c r="O4" s="3030"/>
      <c r="P4" s="3030"/>
      <c r="Q4" s="3030"/>
      <c r="R4" s="3030"/>
      <c r="S4" s="3032"/>
      <c r="T4" s="3033"/>
      <c r="U4" s="3024"/>
      <c r="V4" s="3024"/>
      <c r="W4" s="3024"/>
      <c r="X4" s="3024"/>
      <c r="Y4" s="3024"/>
      <c r="Z4" s="3024"/>
      <c r="AA4" s="3024"/>
      <c r="AB4" s="3024"/>
      <c r="AC4" s="3024"/>
      <c r="AD4" s="3024"/>
      <c r="AE4" s="3024"/>
      <c r="AF4" s="3024"/>
      <c r="AG4" s="3024"/>
      <c r="AH4" s="3024"/>
      <c r="AI4" s="3024"/>
      <c r="AJ4" s="3024"/>
      <c r="AK4" s="3024"/>
      <c r="AL4" s="3024"/>
      <c r="AM4" s="3024"/>
      <c r="AN4" s="3024"/>
      <c r="AO4" s="3024"/>
      <c r="AP4" s="3024"/>
      <c r="AQ4" s="3024"/>
      <c r="AR4" s="3024"/>
      <c r="AS4" s="3024"/>
    </row>
    <row r="5" spans="1:45" s="3043" customFormat="1">
      <c r="A5" s="3034"/>
      <c r="B5" s="3035" t="s">
        <v>7082</v>
      </c>
      <c r="C5" s="3036"/>
      <c r="D5" s="3037"/>
      <c r="E5" s="3037"/>
      <c r="F5" s="3038"/>
      <c r="G5" s="3038"/>
      <c r="H5" s="3038"/>
      <c r="I5" s="3038"/>
      <c r="J5" s="3038"/>
      <c r="K5" s="3038"/>
      <c r="L5" s="3039"/>
      <c r="M5" s="3040"/>
      <c r="N5" s="3040"/>
      <c r="O5" s="3038"/>
      <c r="P5" s="3038"/>
      <c r="Q5" s="3038"/>
      <c r="R5" s="3038"/>
      <c r="S5" s="3041"/>
      <c r="T5" s="3042"/>
      <c r="U5" s="2488"/>
      <c r="V5" s="2488"/>
      <c r="W5" s="2488"/>
      <c r="X5" s="2488"/>
      <c r="Y5" s="2488"/>
      <c r="Z5" s="2488"/>
      <c r="AA5" s="2488"/>
      <c r="AB5" s="2488"/>
      <c r="AC5" s="2488"/>
      <c r="AD5" s="2488"/>
      <c r="AE5" s="2488"/>
      <c r="AF5" s="2488"/>
      <c r="AG5" s="2488"/>
      <c r="AH5" s="2488"/>
      <c r="AI5" s="2488"/>
      <c r="AJ5" s="2488"/>
      <c r="AK5" s="2488"/>
      <c r="AL5" s="2488"/>
      <c r="AM5" s="2488"/>
      <c r="AN5" s="2488"/>
      <c r="AO5" s="2488"/>
      <c r="AP5" s="2488"/>
      <c r="AQ5" s="2488"/>
      <c r="AR5" s="2488"/>
      <c r="AS5" s="2488"/>
    </row>
    <row r="6" spans="1:45" s="3043" customFormat="1" ht="13.5" thickBot="1">
      <c r="A6" s="3034"/>
      <c r="B6" s="3044"/>
      <c r="C6" s="3045">
        <v>100</v>
      </c>
      <c r="D6" s="3046">
        <f>C6-$T5</f>
        <v>100</v>
      </c>
      <c r="E6" s="3046">
        <f t="shared" ref="E6:S6" si="7">D6-$T5</f>
        <v>100</v>
      </c>
      <c r="F6" s="3047">
        <f t="shared" si="7"/>
        <v>100</v>
      </c>
      <c r="G6" s="3047">
        <f t="shared" si="7"/>
        <v>100</v>
      </c>
      <c r="H6" s="3047">
        <f t="shared" si="7"/>
        <v>100</v>
      </c>
      <c r="I6" s="3047">
        <f t="shared" si="7"/>
        <v>100</v>
      </c>
      <c r="J6" s="3047">
        <f t="shared" si="7"/>
        <v>100</v>
      </c>
      <c r="K6" s="3047">
        <f t="shared" si="7"/>
        <v>100</v>
      </c>
      <c r="L6" s="3047">
        <f t="shared" si="7"/>
        <v>100</v>
      </c>
      <c r="M6" s="3047">
        <f t="shared" si="7"/>
        <v>100</v>
      </c>
      <c r="N6" s="3047">
        <f t="shared" si="7"/>
        <v>100</v>
      </c>
      <c r="O6" s="3047">
        <f t="shared" si="7"/>
        <v>100</v>
      </c>
      <c r="P6" s="3047">
        <f t="shared" si="7"/>
        <v>100</v>
      </c>
      <c r="Q6" s="3047">
        <f t="shared" si="7"/>
        <v>100</v>
      </c>
      <c r="R6" s="3047">
        <f t="shared" si="7"/>
        <v>100</v>
      </c>
      <c r="S6" s="3047">
        <f t="shared" si="7"/>
        <v>100</v>
      </c>
      <c r="T6" s="3048"/>
      <c r="U6" s="2488"/>
      <c r="V6" s="2488"/>
      <c r="W6" s="2488"/>
      <c r="X6" s="2488"/>
      <c r="Y6" s="2488"/>
      <c r="Z6" s="2488"/>
      <c r="AA6" s="2488"/>
      <c r="AB6" s="2488"/>
      <c r="AC6" s="2488"/>
      <c r="AD6" s="2488"/>
      <c r="AE6" s="2488"/>
      <c r="AF6" s="2488"/>
      <c r="AG6" s="2488"/>
      <c r="AH6" s="2488"/>
      <c r="AI6" s="2488"/>
      <c r="AJ6" s="2488"/>
      <c r="AK6" s="2488"/>
      <c r="AL6" s="2488"/>
      <c r="AM6" s="2488"/>
      <c r="AN6" s="2488"/>
      <c r="AO6" s="2488"/>
      <c r="AP6" s="2488"/>
      <c r="AQ6" s="2488"/>
      <c r="AR6" s="2488"/>
      <c r="AS6" s="2488"/>
    </row>
    <row r="7" spans="1:45" s="3043" customFormat="1">
      <c r="A7" s="3034"/>
      <c r="B7" s="3049" t="s">
        <v>3017</v>
      </c>
      <c r="C7" s="3050"/>
      <c r="D7" s="25"/>
      <c r="E7" s="25"/>
      <c r="F7" s="3051"/>
      <c r="G7" s="3051"/>
      <c r="H7" s="3051"/>
      <c r="I7" s="3051"/>
      <c r="J7" s="3051"/>
      <c r="K7" s="3051"/>
      <c r="L7" s="3051"/>
      <c r="M7" s="3052"/>
      <c r="N7" s="3053"/>
      <c r="O7" s="3054"/>
      <c r="P7" s="3054"/>
      <c r="Q7" s="3054"/>
      <c r="R7" s="3055"/>
      <c r="S7" s="3056"/>
      <c r="T7" s="3057"/>
      <c r="U7" s="2488"/>
      <c r="V7" s="2488"/>
      <c r="W7" s="2488"/>
      <c r="X7" s="2488"/>
      <c r="Y7" s="2488"/>
      <c r="Z7" s="2488"/>
      <c r="AA7" s="2488"/>
      <c r="AB7" s="2488"/>
      <c r="AC7" s="2488"/>
      <c r="AD7" s="2488"/>
      <c r="AE7" s="2488"/>
      <c r="AF7" s="2488"/>
      <c r="AG7" s="2488"/>
      <c r="AH7" s="2488"/>
      <c r="AI7" s="2488"/>
      <c r="AJ7" s="2488"/>
      <c r="AK7" s="2488"/>
      <c r="AL7" s="2488"/>
      <c r="AM7" s="2488"/>
      <c r="AN7" s="2488"/>
      <c r="AO7" s="2488"/>
      <c r="AP7" s="2488"/>
      <c r="AQ7" s="2488"/>
      <c r="AR7" s="2488"/>
      <c r="AS7" s="2488"/>
    </row>
    <row r="8" spans="1:45" s="3043" customFormat="1" ht="13.5" thickBot="1">
      <c r="A8" s="3034"/>
      <c r="B8" s="3044"/>
      <c r="C8" s="3045">
        <v>100</v>
      </c>
      <c r="D8" s="3046">
        <f>C8-$T7</f>
        <v>100</v>
      </c>
      <c r="E8" s="3046">
        <f t="shared" ref="E8:S8" si="8">D8-$T7</f>
        <v>100</v>
      </c>
      <c r="F8" s="3047">
        <f t="shared" si="8"/>
        <v>100</v>
      </c>
      <c r="G8" s="3047">
        <f t="shared" si="8"/>
        <v>100</v>
      </c>
      <c r="H8" s="3047">
        <f t="shared" si="8"/>
        <v>100</v>
      </c>
      <c r="I8" s="3047">
        <f t="shared" si="8"/>
        <v>100</v>
      </c>
      <c r="J8" s="3047">
        <f t="shared" si="8"/>
        <v>100</v>
      </c>
      <c r="K8" s="3047">
        <f t="shared" si="8"/>
        <v>100</v>
      </c>
      <c r="L8" s="3047">
        <f t="shared" si="8"/>
        <v>100</v>
      </c>
      <c r="M8" s="3047">
        <f t="shared" si="8"/>
        <v>100</v>
      </c>
      <c r="N8" s="3047">
        <f t="shared" si="8"/>
        <v>100</v>
      </c>
      <c r="O8" s="3047">
        <f t="shared" si="8"/>
        <v>100</v>
      </c>
      <c r="P8" s="3047">
        <f t="shared" si="8"/>
        <v>100</v>
      </c>
      <c r="Q8" s="3047">
        <f t="shared" si="8"/>
        <v>100</v>
      </c>
      <c r="R8" s="3047">
        <f t="shared" si="8"/>
        <v>100</v>
      </c>
      <c r="S8" s="3047">
        <f t="shared" si="8"/>
        <v>100</v>
      </c>
      <c r="T8" s="3048"/>
      <c r="U8" s="2488"/>
      <c r="V8" s="2488"/>
      <c r="W8" s="2488"/>
      <c r="X8" s="2488"/>
      <c r="Y8" s="2488"/>
      <c r="Z8" s="2488"/>
      <c r="AA8" s="2488"/>
      <c r="AB8" s="2488"/>
      <c r="AC8" s="2488"/>
      <c r="AD8" s="2488"/>
      <c r="AE8" s="2488"/>
      <c r="AF8" s="2488"/>
      <c r="AG8" s="2488"/>
      <c r="AH8" s="2488"/>
      <c r="AI8" s="2488"/>
      <c r="AJ8" s="2488"/>
      <c r="AK8" s="2488"/>
      <c r="AL8" s="2488"/>
      <c r="AM8" s="2488"/>
      <c r="AN8" s="2488"/>
      <c r="AO8" s="2488"/>
      <c r="AP8" s="2488"/>
      <c r="AQ8" s="2488"/>
      <c r="AR8" s="2488"/>
      <c r="AS8" s="2488"/>
    </row>
    <row r="9" spans="1:45" s="3043" customFormat="1">
      <c r="A9" s="3034"/>
      <c r="B9" s="3049" t="s">
        <v>3018</v>
      </c>
      <c r="C9" s="3050"/>
      <c r="D9" s="25"/>
      <c r="E9" s="25"/>
      <c r="F9" s="3051"/>
      <c r="G9" s="3051"/>
      <c r="H9" s="3051"/>
      <c r="I9" s="3051"/>
      <c r="J9" s="3051"/>
      <c r="K9" s="3051"/>
      <c r="L9" s="3058"/>
      <c r="M9" s="3052"/>
      <c r="N9" s="3053"/>
      <c r="O9" s="3054"/>
      <c r="P9" s="3054"/>
      <c r="Q9" s="3054"/>
      <c r="R9" s="3055"/>
      <c r="S9" s="3056"/>
      <c r="T9" s="3057"/>
      <c r="U9" s="2488"/>
      <c r="V9" s="2488"/>
      <c r="W9" s="2488"/>
      <c r="X9" s="2488"/>
      <c r="Y9" s="2488"/>
      <c r="Z9" s="2488"/>
      <c r="AA9" s="2488"/>
      <c r="AB9" s="2488"/>
      <c r="AC9" s="2488"/>
      <c r="AD9" s="2488"/>
      <c r="AE9" s="2488"/>
      <c r="AF9" s="2488"/>
      <c r="AG9" s="2488"/>
      <c r="AH9" s="2488"/>
      <c r="AI9" s="2488"/>
      <c r="AJ9" s="2488"/>
      <c r="AK9" s="2488"/>
      <c r="AL9" s="2488"/>
      <c r="AM9" s="2488"/>
      <c r="AN9" s="2488"/>
      <c r="AO9" s="2488"/>
      <c r="AP9" s="2488"/>
      <c r="AQ9" s="2488"/>
      <c r="AR9" s="2488"/>
      <c r="AS9" s="2488"/>
    </row>
    <row r="10" spans="1:45" s="3043" customFormat="1" ht="13.5" thickBot="1">
      <c r="A10" s="3034"/>
      <c r="B10" s="3027"/>
      <c r="C10" s="3059">
        <v>100</v>
      </c>
      <c r="D10" s="3060">
        <f>C10-$T9</f>
        <v>100</v>
      </c>
      <c r="E10" s="3060">
        <f t="shared" ref="E10:S10" si="9">D10-$T9</f>
        <v>100</v>
      </c>
      <c r="F10" s="2616">
        <f t="shared" si="9"/>
        <v>100</v>
      </c>
      <c r="G10" s="2616">
        <f t="shared" si="9"/>
        <v>100</v>
      </c>
      <c r="H10" s="2616">
        <f t="shared" si="9"/>
        <v>100</v>
      </c>
      <c r="I10" s="2616">
        <f t="shared" si="9"/>
        <v>100</v>
      </c>
      <c r="J10" s="2616">
        <f t="shared" si="9"/>
        <v>100</v>
      </c>
      <c r="K10" s="2616">
        <f t="shared" si="9"/>
        <v>100</v>
      </c>
      <c r="L10" s="2616">
        <f t="shared" si="9"/>
        <v>100</v>
      </c>
      <c r="M10" s="2616">
        <f t="shared" si="9"/>
        <v>100</v>
      </c>
      <c r="N10" s="2616">
        <f t="shared" si="9"/>
        <v>100</v>
      </c>
      <c r="O10" s="2616">
        <f t="shared" si="9"/>
        <v>100</v>
      </c>
      <c r="P10" s="2616">
        <f t="shared" si="9"/>
        <v>100</v>
      </c>
      <c r="Q10" s="2616">
        <f t="shared" si="9"/>
        <v>100</v>
      </c>
      <c r="R10" s="2616">
        <f t="shared" si="9"/>
        <v>100</v>
      </c>
      <c r="S10" s="2616">
        <f t="shared" si="9"/>
        <v>100</v>
      </c>
      <c r="T10" s="3033"/>
      <c r="U10" s="2488"/>
      <c r="V10" s="2488"/>
      <c r="W10" s="2488"/>
      <c r="X10" s="2488"/>
      <c r="Y10" s="2488"/>
      <c r="Z10" s="2488"/>
      <c r="AA10" s="2488"/>
      <c r="AB10" s="2488"/>
      <c r="AC10" s="2488"/>
      <c r="AD10" s="2488"/>
      <c r="AE10" s="2488"/>
      <c r="AF10" s="2488"/>
      <c r="AG10" s="2488"/>
      <c r="AH10" s="2488"/>
      <c r="AI10" s="2488"/>
      <c r="AJ10" s="2488"/>
      <c r="AK10" s="2488"/>
      <c r="AL10" s="2488"/>
      <c r="AM10" s="2488"/>
      <c r="AN10" s="2488"/>
      <c r="AO10" s="2488"/>
      <c r="AP10" s="2488"/>
      <c r="AQ10" s="2488"/>
      <c r="AR10" s="2488"/>
      <c r="AS10" s="2488"/>
    </row>
    <row r="11" spans="1:45" s="3043" customFormat="1">
      <c r="A11" s="3034"/>
      <c r="B11" s="3061" t="s">
        <v>3019</v>
      </c>
      <c r="C11" s="3036"/>
      <c r="D11" s="3037"/>
      <c r="E11" s="3037"/>
      <c r="F11" s="3037"/>
      <c r="G11" s="3037"/>
      <c r="H11" s="3037"/>
      <c r="I11" s="3037"/>
      <c r="J11" s="3037"/>
      <c r="K11" s="3037"/>
      <c r="L11" s="3037"/>
      <c r="M11" s="3062"/>
      <c r="N11" s="3063"/>
      <c r="O11" s="3064"/>
      <c r="P11" s="3064"/>
      <c r="Q11" s="3064"/>
      <c r="R11" s="3065"/>
      <c r="S11" s="3066"/>
      <c r="T11" s="3042"/>
      <c r="U11" s="2488"/>
      <c r="V11" s="2488"/>
      <c r="W11" s="2488"/>
      <c r="X11" s="2488"/>
      <c r="Y11" s="2488"/>
      <c r="Z11" s="2488"/>
      <c r="AA11" s="2488"/>
      <c r="AB11" s="2488"/>
      <c r="AC11" s="2488"/>
      <c r="AD11" s="2488"/>
      <c r="AE11" s="2488"/>
      <c r="AF11" s="2488"/>
      <c r="AG11" s="2488"/>
      <c r="AH11" s="2488"/>
      <c r="AI11" s="2488"/>
      <c r="AJ11" s="2488"/>
      <c r="AK11" s="2488"/>
      <c r="AL11" s="2488"/>
      <c r="AM11" s="2488"/>
      <c r="AN11" s="2488"/>
      <c r="AO11" s="2488"/>
      <c r="AP11" s="2488"/>
      <c r="AQ11" s="2488"/>
      <c r="AR11" s="2488"/>
      <c r="AS11" s="2488"/>
    </row>
    <row r="12" spans="1:45" s="3043" customFormat="1" ht="13.5" thickBot="1">
      <c r="A12" s="3034"/>
      <c r="B12" s="3044"/>
      <c r="C12" s="3045">
        <v>100</v>
      </c>
      <c r="D12" s="3046">
        <f>C12-$T11</f>
        <v>100</v>
      </c>
      <c r="E12" s="3046">
        <f t="shared" ref="E12:S12" si="10">D12-$T11</f>
        <v>100</v>
      </c>
      <c r="F12" s="3046">
        <f t="shared" si="10"/>
        <v>100</v>
      </c>
      <c r="G12" s="3046">
        <f t="shared" si="10"/>
        <v>100</v>
      </c>
      <c r="H12" s="3046">
        <f t="shared" si="10"/>
        <v>100</v>
      </c>
      <c r="I12" s="3046">
        <f t="shared" si="10"/>
        <v>100</v>
      </c>
      <c r="J12" s="3046">
        <f t="shared" si="10"/>
        <v>100</v>
      </c>
      <c r="K12" s="3046">
        <f t="shared" si="10"/>
        <v>100</v>
      </c>
      <c r="L12" s="3046">
        <f t="shared" si="10"/>
        <v>100</v>
      </c>
      <c r="M12" s="3046">
        <f t="shared" si="10"/>
        <v>100</v>
      </c>
      <c r="N12" s="3046">
        <f t="shared" si="10"/>
        <v>100</v>
      </c>
      <c r="O12" s="3046">
        <f t="shared" si="10"/>
        <v>100</v>
      </c>
      <c r="P12" s="3046">
        <f t="shared" si="10"/>
        <v>100</v>
      </c>
      <c r="Q12" s="3046">
        <f t="shared" si="10"/>
        <v>100</v>
      </c>
      <c r="R12" s="3046">
        <f>Q12-$T11</f>
        <v>100</v>
      </c>
      <c r="S12" s="3046">
        <f t="shared" si="10"/>
        <v>100</v>
      </c>
      <c r="T12" s="3048"/>
      <c r="U12" s="2488"/>
      <c r="V12" s="2488"/>
      <c r="W12" s="2488"/>
      <c r="X12" s="2488"/>
      <c r="Y12" s="2488"/>
      <c r="Z12" s="2488"/>
      <c r="AA12" s="2488"/>
      <c r="AB12" s="2488"/>
      <c r="AC12" s="2488"/>
      <c r="AD12" s="2488"/>
      <c r="AE12" s="2488"/>
      <c r="AF12" s="2488"/>
      <c r="AG12" s="2488"/>
      <c r="AH12" s="2488"/>
      <c r="AI12" s="2488"/>
      <c r="AJ12" s="2488"/>
      <c r="AK12" s="2488"/>
      <c r="AL12" s="2488"/>
      <c r="AM12" s="2488"/>
      <c r="AN12" s="2488"/>
      <c r="AO12" s="2488"/>
      <c r="AP12" s="2488"/>
      <c r="AQ12" s="2488"/>
      <c r="AR12" s="2488"/>
      <c r="AS12" s="2488"/>
    </row>
    <row r="13" spans="1:45" s="3043" customFormat="1">
      <c r="A13" s="3034"/>
      <c r="B13" s="3061" t="s">
        <v>3020</v>
      </c>
      <c r="C13" s="3036"/>
      <c r="D13" s="3037"/>
      <c r="E13" s="3037"/>
      <c r="F13" s="3037"/>
      <c r="G13" s="3037"/>
      <c r="H13" s="3037"/>
      <c r="I13" s="3037"/>
      <c r="J13" s="3037"/>
      <c r="K13" s="3037"/>
      <c r="L13" s="3037"/>
      <c r="M13" s="3062"/>
      <c r="N13" s="3063"/>
      <c r="O13" s="3064"/>
      <c r="P13" s="3064"/>
      <c r="Q13" s="3064"/>
      <c r="R13" s="3065"/>
      <c r="S13" s="3066"/>
      <c r="T13" s="3067"/>
      <c r="U13" s="2488"/>
      <c r="V13" s="2488"/>
      <c r="W13" s="2488"/>
      <c r="X13" s="2488"/>
      <c r="Y13" s="2488"/>
      <c r="Z13" s="2488"/>
      <c r="AA13" s="2488"/>
      <c r="AB13" s="2488"/>
      <c r="AC13" s="2488"/>
      <c r="AD13" s="2488"/>
      <c r="AE13" s="2488"/>
      <c r="AF13" s="2488"/>
      <c r="AG13" s="2488"/>
      <c r="AH13" s="2488"/>
      <c r="AI13" s="2488"/>
      <c r="AJ13" s="2488"/>
      <c r="AK13" s="2488"/>
      <c r="AL13" s="2488"/>
      <c r="AM13" s="2488"/>
      <c r="AN13" s="2488"/>
      <c r="AO13" s="2488"/>
      <c r="AP13" s="2488"/>
      <c r="AQ13" s="2488"/>
      <c r="AR13" s="2488"/>
      <c r="AS13" s="2488"/>
    </row>
    <row r="14" spans="1:45" s="3043" customFormat="1" ht="13.5" thickBot="1">
      <c r="A14" s="3034"/>
      <c r="B14" s="3044"/>
      <c r="C14" s="3068"/>
      <c r="D14" s="3069"/>
      <c r="E14" s="3069"/>
      <c r="F14" s="3069"/>
      <c r="G14" s="3069"/>
      <c r="H14" s="3069"/>
      <c r="I14" s="3069"/>
      <c r="J14" s="3069"/>
      <c r="K14" s="3069"/>
      <c r="L14" s="3069"/>
      <c r="M14" s="3070"/>
      <c r="N14" s="3070"/>
      <c r="O14" s="3069"/>
      <c r="P14" s="3069"/>
      <c r="Q14" s="3069"/>
      <c r="R14" s="3069"/>
      <c r="S14" s="3071"/>
      <c r="T14" s="3048"/>
      <c r="U14" s="2488"/>
      <c r="V14" s="2488"/>
      <c r="W14" s="2488"/>
      <c r="X14" s="2488"/>
      <c r="Y14" s="2488"/>
      <c r="Z14" s="2488"/>
      <c r="AA14" s="2488"/>
      <c r="AB14" s="2488"/>
      <c r="AC14" s="2488"/>
      <c r="AD14" s="2488"/>
      <c r="AE14" s="2488"/>
      <c r="AF14" s="2488"/>
      <c r="AG14" s="2488"/>
      <c r="AH14" s="2488"/>
      <c r="AI14" s="2488"/>
      <c r="AJ14" s="2488"/>
      <c r="AK14" s="2488"/>
      <c r="AL14" s="2488"/>
      <c r="AM14" s="2488"/>
      <c r="AN14" s="2488"/>
      <c r="AO14" s="2488"/>
      <c r="AP14" s="2488"/>
      <c r="AQ14" s="2488"/>
      <c r="AR14" s="2488"/>
      <c r="AS14" s="2488"/>
    </row>
    <row r="15" spans="1:45" s="3043" customFormat="1">
      <c r="A15" s="3034"/>
      <c r="B15" s="3061" t="s">
        <v>3021</v>
      </c>
      <c r="C15" s="3036"/>
      <c r="D15" s="3037"/>
      <c r="E15" s="3037"/>
      <c r="F15" s="3037"/>
      <c r="G15" s="3037"/>
      <c r="H15" s="3037"/>
      <c r="I15" s="3037"/>
      <c r="J15" s="3037"/>
      <c r="K15" s="3037"/>
      <c r="L15" s="3037"/>
      <c r="M15" s="3062"/>
      <c r="N15" s="3063"/>
      <c r="O15" s="3064"/>
      <c r="P15" s="3064"/>
      <c r="Q15" s="3064"/>
      <c r="R15" s="3065"/>
      <c r="S15" s="3066"/>
      <c r="T15" s="3067"/>
      <c r="U15" s="2488"/>
      <c r="V15" s="2488"/>
      <c r="W15" s="2488"/>
      <c r="X15" s="2488"/>
      <c r="Y15" s="2488"/>
      <c r="Z15" s="2488"/>
      <c r="AA15" s="2488"/>
      <c r="AB15" s="2488"/>
      <c r="AC15" s="2488"/>
      <c r="AD15" s="2488"/>
      <c r="AE15" s="2488"/>
      <c r="AF15" s="2488"/>
      <c r="AG15" s="2488"/>
      <c r="AH15" s="2488"/>
      <c r="AI15" s="2488"/>
      <c r="AJ15" s="2488"/>
      <c r="AK15" s="2488"/>
      <c r="AL15" s="2488"/>
      <c r="AM15" s="2488"/>
      <c r="AN15" s="2488"/>
      <c r="AO15" s="2488"/>
      <c r="AP15" s="2488"/>
      <c r="AQ15" s="2488"/>
      <c r="AR15" s="2488"/>
      <c r="AS15" s="2488"/>
    </row>
    <row r="16" spans="1:45" s="3043" customFormat="1" ht="13.5" thickBot="1">
      <c r="A16" s="3034"/>
      <c r="B16" s="3027"/>
      <c r="C16" s="3028"/>
      <c r="D16" s="3029"/>
      <c r="E16" s="3029"/>
      <c r="F16" s="3029"/>
      <c r="G16" s="3029"/>
      <c r="H16" s="3029"/>
      <c r="I16" s="3029"/>
      <c r="J16" s="3029"/>
      <c r="K16" s="3029"/>
      <c r="L16" s="3029"/>
      <c r="M16" s="3072"/>
      <c r="N16" s="3072"/>
      <c r="O16" s="3029"/>
      <c r="P16" s="3029"/>
      <c r="Q16" s="3029"/>
      <c r="R16" s="3029"/>
      <c r="S16" s="3073"/>
      <c r="T16" s="3033"/>
      <c r="U16" s="2488"/>
      <c r="V16" s="2488"/>
      <c r="W16" s="2488"/>
      <c r="X16" s="2488"/>
      <c r="Y16" s="2488"/>
      <c r="Z16" s="2488"/>
      <c r="AA16" s="2488"/>
      <c r="AB16" s="2488"/>
      <c r="AC16" s="2488"/>
      <c r="AD16" s="2488"/>
      <c r="AE16" s="2488"/>
      <c r="AF16" s="2488"/>
      <c r="AG16" s="2488"/>
      <c r="AH16" s="2488"/>
      <c r="AI16" s="2488"/>
      <c r="AJ16" s="2488"/>
      <c r="AK16" s="2488"/>
      <c r="AL16" s="2488"/>
      <c r="AM16" s="2488"/>
      <c r="AN16" s="2488"/>
      <c r="AO16" s="2488"/>
      <c r="AP16" s="2488"/>
      <c r="AQ16" s="2488"/>
      <c r="AR16" s="2488"/>
      <c r="AS16" s="2488"/>
    </row>
    <row r="17" spans="1:45" s="3015" customFormat="1">
      <c r="A17" s="3074" t="s">
        <v>3022</v>
      </c>
      <c r="B17" s="3075" t="s">
        <v>3023</v>
      </c>
      <c r="C17" s="3076">
        <v>1</v>
      </c>
      <c r="D17" s="3076">
        <v>2</v>
      </c>
      <c r="E17" s="3076">
        <v>3</v>
      </c>
      <c r="F17" s="3076">
        <v>4</v>
      </c>
      <c r="G17" s="3076">
        <v>5</v>
      </c>
      <c r="H17" s="3077">
        <v>-1</v>
      </c>
      <c r="I17" s="3077">
        <v>-2</v>
      </c>
      <c r="J17" s="3077"/>
      <c r="K17" s="3077"/>
      <c r="L17" s="3078"/>
      <c r="M17" s="3079"/>
      <c r="N17" s="3080"/>
      <c r="O17" s="3081"/>
      <c r="P17" s="3081"/>
      <c r="Q17" s="3081"/>
      <c r="R17" s="3082"/>
      <c r="S17" s="3083"/>
      <c r="T17" s="3083"/>
      <c r="U17" s="3083"/>
      <c r="V17" s="3083"/>
      <c r="W17" s="3083"/>
      <c r="X17" s="3083"/>
      <c r="Y17" s="3083"/>
      <c r="Z17" s="3083"/>
      <c r="AA17" s="3083"/>
      <c r="AB17" s="3083"/>
      <c r="AC17" s="3083"/>
      <c r="AD17" s="3083"/>
      <c r="AE17" s="3083"/>
      <c r="AF17" s="3083"/>
      <c r="AG17" s="3083"/>
      <c r="AH17" s="3083"/>
      <c r="AI17" s="3083"/>
      <c r="AJ17" s="3083"/>
      <c r="AK17" s="3083"/>
      <c r="AL17" s="3083"/>
      <c r="AM17" s="3083"/>
      <c r="AN17" s="3083"/>
      <c r="AO17" s="3083"/>
      <c r="AP17" s="3083"/>
      <c r="AQ17" s="3083"/>
      <c r="AR17" s="3014"/>
      <c r="AS17" s="3014"/>
    </row>
    <row r="18" spans="1:45" s="3015" customFormat="1" ht="13.5" thickBot="1">
      <c r="A18" s="3084"/>
      <c r="B18" s="3085"/>
      <c r="C18" s="3086">
        <v>100</v>
      </c>
      <c r="D18" s="3087">
        <v>60</v>
      </c>
      <c r="E18" s="3087">
        <v>50</v>
      </c>
      <c r="F18" s="3087">
        <v>45</v>
      </c>
      <c r="G18" s="3087">
        <v>45</v>
      </c>
      <c r="H18" s="3087">
        <v>50</v>
      </c>
      <c r="I18" s="3087">
        <v>40</v>
      </c>
      <c r="J18" s="3087"/>
      <c r="K18" s="3087"/>
      <c r="L18" s="3087"/>
      <c r="M18" s="3088"/>
      <c r="N18" s="3088"/>
      <c r="O18" s="3087"/>
      <c r="P18" s="3087"/>
      <c r="Q18" s="3087"/>
      <c r="R18" s="3087"/>
      <c r="S18" s="3089"/>
      <c r="T18" s="3089"/>
      <c r="U18" s="3089"/>
      <c r="V18" s="3089"/>
      <c r="W18" s="3089"/>
      <c r="X18" s="3089"/>
      <c r="Y18" s="3089"/>
      <c r="Z18" s="3089"/>
      <c r="AA18" s="3089"/>
      <c r="AB18" s="3089"/>
      <c r="AC18" s="3089"/>
      <c r="AD18" s="3089"/>
      <c r="AE18" s="3089"/>
      <c r="AF18" s="3089"/>
      <c r="AG18" s="3089"/>
      <c r="AH18" s="3089"/>
      <c r="AI18" s="3089"/>
      <c r="AJ18" s="3089"/>
      <c r="AK18" s="3089"/>
      <c r="AL18" s="3089"/>
      <c r="AM18" s="3089"/>
      <c r="AN18" s="3089"/>
      <c r="AO18" s="3089"/>
      <c r="AP18" s="3089"/>
      <c r="AQ18" s="3089"/>
      <c r="AR18" s="3014"/>
      <c r="AS18" s="3014"/>
    </row>
    <row r="19" spans="1:45">
      <c r="A19" s="2510"/>
      <c r="B19" s="2369"/>
      <c r="C19" s="2369"/>
      <c r="D19" s="3090" t="s">
        <v>3024</v>
      </c>
      <c r="E19" s="3091"/>
      <c r="F19" s="3091"/>
      <c r="G19" s="3091"/>
      <c r="H19" s="3092"/>
      <c r="I19" s="2369"/>
      <c r="J19" s="2369"/>
      <c r="K19" s="2369"/>
      <c r="L19" s="2369"/>
      <c r="M19" s="2369"/>
      <c r="N19" s="2369"/>
      <c r="O19" s="2369"/>
      <c r="P19" s="2369"/>
      <c r="Q19" s="2369"/>
      <c r="R19" s="2369"/>
      <c r="S19" s="2510"/>
    </row>
    <row r="20" spans="1:45" ht="16.5" thickBot="1">
      <c r="A20" s="3093" t="s">
        <v>3025</v>
      </c>
      <c r="B20" s="3094">
        <f>IF(D20="——",S22,S22-F20)</f>
        <v>116219</v>
      </c>
      <c r="C20" s="2369"/>
      <c r="D20" s="3095" t="s">
        <v>70</v>
      </c>
      <c r="E20" s="3096"/>
      <c r="F20" s="2632" t="e">
        <f ca="1">SUMIF(INDIRECT("'"&amp;H20&amp;"'"&amp;"!A:A"),"承租人权益价值",INDIRECT("'"&amp;H20&amp;"'"&amp;"!c:c"))</f>
        <v>#REF!</v>
      </c>
      <c r="G20" s="2632" t="s">
        <v>3026</v>
      </c>
      <c r="H20" s="3097"/>
      <c r="I20" s="2369"/>
      <c r="J20" s="2369"/>
      <c r="K20" s="2369"/>
      <c r="L20" s="2369"/>
      <c r="M20" s="2369"/>
      <c r="N20" s="2369"/>
      <c r="O20" s="2369"/>
      <c r="P20" s="2369"/>
      <c r="Q20" s="2369"/>
      <c r="R20" s="2369"/>
      <c r="S20" s="2510"/>
    </row>
    <row r="21" spans="1:45" ht="15.75">
      <c r="A21" s="3093" t="s">
        <v>3027</v>
      </c>
      <c r="B21" s="3094">
        <f>R22</f>
        <v>26107</v>
      </c>
      <c r="C21" s="2369"/>
      <c r="D21" s="2369"/>
      <c r="E21" s="2369"/>
      <c r="F21" s="2369"/>
      <c r="G21" s="2369"/>
      <c r="H21" s="2369"/>
      <c r="I21" s="2369"/>
      <c r="J21" s="2369"/>
      <c r="K21" s="2369"/>
      <c r="L21" s="2369"/>
      <c r="M21" s="2369"/>
      <c r="N21" s="2369"/>
      <c r="O21" s="2369"/>
      <c r="P21" s="2369"/>
      <c r="Q21" s="2369"/>
      <c r="R21" s="2369"/>
      <c r="S21" s="2510"/>
    </row>
    <row r="22" spans="1:45">
      <c r="A22" s="3098" t="s">
        <v>3028</v>
      </c>
      <c r="B22" s="2407">
        <f>SUM(B24:B10000)</f>
        <v>44516.22</v>
      </c>
      <c r="C22" s="3740" t="s">
        <v>33</v>
      </c>
      <c r="D22" s="3741"/>
      <c r="E22" s="3741"/>
      <c r="F22" s="3741"/>
      <c r="G22" s="3741"/>
      <c r="H22" s="3741"/>
      <c r="I22" s="3741"/>
      <c r="J22" s="3741"/>
      <c r="K22" s="3741"/>
      <c r="L22" s="3741"/>
      <c r="M22" s="3741"/>
      <c r="N22" s="3741"/>
      <c r="O22" s="3741"/>
      <c r="P22" s="3741"/>
      <c r="Q22" s="3874"/>
      <c r="R22" s="2407">
        <f>ROUND(S22*10000/B22,0)</f>
        <v>26107</v>
      </c>
      <c r="S22" s="2407">
        <f>SUM(S24:S10000)</f>
        <v>116219</v>
      </c>
    </row>
    <row r="23" spans="1:45" s="3100" customFormat="1" ht="24">
      <c r="A23" s="15" t="s">
        <v>3029</v>
      </c>
      <c r="B23" s="15" t="s">
        <v>3030</v>
      </c>
      <c r="C23" s="15" t="s">
        <v>3031</v>
      </c>
      <c r="D23" s="15" t="str">
        <f>B5</f>
        <v>层数</v>
      </c>
      <c r="E23" s="15" t="s">
        <v>3031</v>
      </c>
      <c r="F23" s="15" t="str">
        <f>B7</f>
        <v>修正项3</v>
      </c>
      <c r="G23" s="15" t="s">
        <v>3031</v>
      </c>
      <c r="H23" s="15" t="str">
        <f>B9</f>
        <v>修正项4</v>
      </c>
      <c r="I23" s="15" t="s">
        <v>3031</v>
      </c>
      <c r="J23" s="15" t="str">
        <f>B11</f>
        <v>修正项5</v>
      </c>
      <c r="K23" s="15" t="s">
        <v>3031</v>
      </c>
      <c r="L23" s="15" t="str">
        <f>B13</f>
        <v>修正项6</v>
      </c>
      <c r="M23" s="15" t="s">
        <v>3031</v>
      </c>
      <c r="N23" s="15" t="str">
        <f>B15</f>
        <v>修正项7</v>
      </c>
      <c r="O23" s="15" t="s">
        <v>3031</v>
      </c>
      <c r="P23" s="15" t="str">
        <f>B17</f>
        <v>楼层</v>
      </c>
      <c r="Q23" s="15" t="s">
        <v>3031</v>
      </c>
      <c r="R23" s="15" t="s">
        <v>3032</v>
      </c>
      <c r="S23" s="15" t="s">
        <v>3033</v>
      </c>
      <c r="T23" s="3099"/>
      <c r="U23" s="3099"/>
      <c r="V23" s="3099"/>
      <c r="W23" s="3099"/>
      <c r="X23" s="3099"/>
      <c r="Y23" s="3099"/>
      <c r="Z23" s="3099"/>
      <c r="AA23" s="3099"/>
      <c r="AB23" s="3099"/>
      <c r="AC23" s="3099"/>
      <c r="AD23" s="3099"/>
      <c r="AE23" s="3099"/>
      <c r="AF23" s="3099"/>
      <c r="AG23" s="3099"/>
      <c r="AH23" s="3099"/>
      <c r="AI23" s="3099"/>
      <c r="AJ23" s="3099"/>
      <c r="AK23" s="3099"/>
      <c r="AL23" s="3099"/>
      <c r="AM23" s="3099"/>
      <c r="AN23" s="3099"/>
      <c r="AO23" s="3099"/>
      <c r="AP23" s="3099"/>
      <c r="AQ23" s="3099"/>
      <c r="AR23" s="3099"/>
      <c r="AS23" s="3099"/>
    </row>
    <row r="24" spans="1:45" s="3106" customFormat="1">
      <c r="A24" s="3101" t="str">
        <f>'数据-基础表'!C13</f>
        <v>1层</v>
      </c>
      <c r="B24" s="3101">
        <f>'数据-汇总表'!F19</f>
        <v>15982.84</v>
      </c>
      <c r="C24" s="3102">
        <v>1</v>
      </c>
      <c r="D24" s="3103"/>
      <c r="E24" s="3102">
        <v>1</v>
      </c>
      <c r="F24" s="3103"/>
      <c r="G24" s="3102">
        <v>1</v>
      </c>
      <c r="H24" s="3103"/>
      <c r="I24" s="3102">
        <v>1</v>
      </c>
      <c r="J24" s="3103"/>
      <c r="K24" s="3102">
        <v>1</v>
      </c>
      <c r="L24" s="3103"/>
      <c r="M24" s="3102">
        <v>1</v>
      </c>
      <c r="N24" s="3103"/>
      <c r="O24" s="3102">
        <v>1</v>
      </c>
      <c r="P24" s="3103">
        <v>1</v>
      </c>
      <c r="Q24" s="3102">
        <v>1</v>
      </c>
      <c r="R24" s="3104">
        <f>'比较法-商业'!C49</f>
        <v>39367</v>
      </c>
      <c r="S24" s="3102">
        <f t="shared" ref="S24:S54" si="11">ROUND(R24*B24/10000,0)</f>
        <v>62920</v>
      </c>
      <c r="T24" s="3105"/>
      <c r="U24" s="3105"/>
      <c r="V24" s="3105"/>
      <c r="W24" s="3105"/>
      <c r="X24" s="3105"/>
      <c r="Y24" s="3105"/>
      <c r="Z24" s="3105"/>
      <c r="AA24" s="3105"/>
      <c r="AB24" s="3105"/>
      <c r="AC24" s="3105"/>
      <c r="AD24" s="3105"/>
      <c r="AE24" s="3105"/>
      <c r="AF24" s="3105"/>
      <c r="AG24" s="3105"/>
      <c r="AH24" s="3105"/>
      <c r="AI24" s="3105"/>
      <c r="AJ24" s="3105"/>
      <c r="AK24" s="3105"/>
      <c r="AL24" s="3105"/>
      <c r="AM24" s="3105"/>
      <c r="AN24" s="3105"/>
      <c r="AO24" s="3105"/>
      <c r="AP24" s="3105"/>
      <c r="AQ24" s="3105"/>
      <c r="AR24" s="3105"/>
      <c r="AS24" s="3105"/>
    </row>
    <row r="25" spans="1:45">
      <c r="A25" s="3101" t="str">
        <f>'数据-基础表'!C14</f>
        <v>2层</v>
      </c>
      <c r="B25" s="3101">
        <f>'数据-汇总表'!F20</f>
        <v>1603.32</v>
      </c>
      <c r="C25" s="2407">
        <f>IF(B25="",1,(LOOKUP(B25,$3:$3,$4:$4)-LOOKUP($B$24,$3:$3,$4:$4)+100)/100)</f>
        <v>1</v>
      </c>
      <c r="D25" s="3103"/>
      <c r="E25" s="2407">
        <f>(SUMIF($5:$5,D25,$6:$6)-SUMIF($5:$5,$D$24,$6:$6)+100)/100</f>
        <v>1</v>
      </c>
      <c r="F25" s="3103"/>
      <c r="G25" s="2407">
        <f>(SUMIF($7:$7,F25,$8:$8)-SUMIF($7:$7,$F$24,$8:$8)+100)/100</f>
        <v>1</v>
      </c>
      <c r="H25" s="3103"/>
      <c r="I25" s="2407">
        <f>(SUMIF($9:$9,H25,$10:$10)-SUMIF($9:$9,$H$24,$10:$10)+100)/100</f>
        <v>1</v>
      </c>
      <c r="J25" s="3103"/>
      <c r="K25" s="2407">
        <f>(SUMIF($11:$11,J25,$12:$12)-SUMIF($11:$11,$J$24,$12:$12)+100)/100</f>
        <v>1</v>
      </c>
      <c r="L25" s="3103"/>
      <c r="M25" s="2407">
        <f>(SUMIF($13:$13,L25,$14:$14)-SUMIF($13:$13,$L$24,$14:$14)+100)/100</f>
        <v>1</v>
      </c>
      <c r="N25" s="3103"/>
      <c r="O25" s="2407">
        <f>(SUMIF($15:$15,N25,$16:$16)-SUMIF($15:$15,$N$24,$16:$16)+100)/100</f>
        <v>1</v>
      </c>
      <c r="P25" s="3103">
        <v>2</v>
      </c>
      <c r="Q25" s="2407">
        <f>(SUMIF($17:$17,P25,$18:$18)-SUMIF($17:$17,$P$24,$18:$18)+100)/100</f>
        <v>0.6</v>
      </c>
      <c r="R25" s="2407">
        <f>IF(B25="",0,ROUND($R$24*C25*E25*G25*I25*K25*M25*O25*Q25,0))</f>
        <v>23620</v>
      </c>
      <c r="S25" s="3098">
        <f t="shared" si="11"/>
        <v>3787</v>
      </c>
    </row>
    <row r="26" spans="1:45">
      <c r="A26" s="3101" t="str">
        <f>'数据-基础表'!C15</f>
        <v>3层</v>
      </c>
      <c r="B26" s="3101">
        <f>'数据-汇总表'!F21</f>
        <v>1041.3799999999999</v>
      </c>
      <c r="C26" s="2407">
        <f t="shared" ref="C26:C89" si="12">IF(B26="",1,(LOOKUP(B26,$3:$3,$4:$4)-LOOKUP($B$24,$3:$3,$4:$4)+100)/100)</f>
        <v>1</v>
      </c>
      <c r="D26" s="3103"/>
      <c r="E26" s="2407">
        <f t="shared" ref="E26:E89" si="13">(SUMIF($5:$5,D26,$6:$6)-SUMIF($5:$5,$D$24,$6:$6)+100)/100</f>
        <v>1</v>
      </c>
      <c r="F26" s="3103"/>
      <c r="G26" s="2407">
        <f t="shared" ref="G26:G89" si="14">(SUMIF($7:$7,F26,$8:$8)-SUMIF($7:$7,$F$24,$8:$8)+100)/100</f>
        <v>1</v>
      </c>
      <c r="H26" s="3103"/>
      <c r="I26" s="2407">
        <f t="shared" ref="I26:I89" si="15">(SUMIF($9:$9,H26,$10:$10)-SUMIF($9:$9,$H$24,$10:$10)+100)/100</f>
        <v>1</v>
      </c>
      <c r="J26" s="3103"/>
      <c r="K26" s="2407">
        <f t="shared" ref="K26:K89" si="16">(SUMIF($11:$11,J26,$12:$12)-SUMIF($11:$11,$J$24,$12:$12)+100)/100</f>
        <v>1</v>
      </c>
      <c r="L26" s="3103"/>
      <c r="M26" s="2407">
        <f t="shared" ref="M26:M89" si="17">(SUMIF($13:$13,L26,$14:$14)-SUMIF($13:$13,$L$24,$14:$14)+100)/100</f>
        <v>1</v>
      </c>
      <c r="N26" s="3103"/>
      <c r="O26" s="2407">
        <f t="shared" ref="O26:O89" si="18">(SUMIF($15:$15,N26,$16:$16)-SUMIF($15:$15,$N$24,$16:$16)+100)/100</f>
        <v>1</v>
      </c>
      <c r="P26" s="3103">
        <v>3</v>
      </c>
      <c r="Q26" s="2407">
        <f t="shared" ref="Q26:Q89" si="19">(SUMIF($17:$17,P26,$18:$18)-SUMIF($17:$17,$P$24,$18:$18)+100)/100</f>
        <v>0.5</v>
      </c>
      <c r="R26" s="2407">
        <f t="shared" ref="R26:R89" si="20">IF(B26="",0,ROUND($R$24*C26*E26*G26*I26*K26*M26*O26*Q26,0))</f>
        <v>19684</v>
      </c>
      <c r="S26" s="3098">
        <f t="shared" si="11"/>
        <v>2050</v>
      </c>
    </row>
    <row r="27" spans="1:45">
      <c r="A27" s="3101" t="s">
        <v>7098</v>
      </c>
      <c r="B27" s="3101">
        <f>'数据-基础表'!I16+'数据-基础表'!I17</f>
        <v>4137.8500000000004</v>
      </c>
      <c r="C27" s="2407">
        <f t="shared" si="12"/>
        <v>1</v>
      </c>
      <c r="D27" s="3103"/>
      <c r="E27" s="2407">
        <f t="shared" si="13"/>
        <v>1</v>
      </c>
      <c r="F27" s="3103"/>
      <c r="G27" s="2407">
        <f t="shared" si="14"/>
        <v>1</v>
      </c>
      <c r="H27" s="3103"/>
      <c r="I27" s="2407">
        <f t="shared" si="15"/>
        <v>1</v>
      </c>
      <c r="J27" s="3103"/>
      <c r="K27" s="2407">
        <f t="shared" si="16"/>
        <v>1</v>
      </c>
      <c r="L27" s="3103"/>
      <c r="M27" s="2407">
        <f t="shared" si="17"/>
        <v>1</v>
      </c>
      <c r="N27" s="3103"/>
      <c r="O27" s="2407">
        <f t="shared" si="18"/>
        <v>1</v>
      </c>
      <c r="P27" s="3103">
        <v>4</v>
      </c>
      <c r="Q27" s="2407">
        <f t="shared" si="19"/>
        <v>0.45</v>
      </c>
      <c r="R27" s="2407">
        <f t="shared" si="20"/>
        <v>17715</v>
      </c>
      <c r="S27" s="3098">
        <f t="shared" si="11"/>
        <v>7330</v>
      </c>
    </row>
    <row r="28" spans="1:45">
      <c r="A28" s="3101"/>
      <c r="B28" s="3101"/>
      <c r="C28" s="2407">
        <f t="shared" si="12"/>
        <v>1</v>
      </c>
      <c r="D28" s="3103"/>
      <c r="E28" s="2407">
        <f t="shared" si="13"/>
        <v>1</v>
      </c>
      <c r="F28" s="3103"/>
      <c r="G28" s="2407">
        <f t="shared" si="14"/>
        <v>1</v>
      </c>
      <c r="H28" s="3103"/>
      <c r="I28" s="2407">
        <f t="shared" si="15"/>
        <v>1</v>
      </c>
      <c r="J28" s="3103"/>
      <c r="K28" s="2407">
        <f t="shared" si="16"/>
        <v>1</v>
      </c>
      <c r="L28" s="3103"/>
      <c r="M28" s="2407">
        <f t="shared" si="17"/>
        <v>1</v>
      </c>
      <c r="N28" s="3103"/>
      <c r="O28" s="2407">
        <f t="shared" si="18"/>
        <v>1</v>
      </c>
      <c r="P28" s="3103"/>
      <c r="Q28" s="2407">
        <f t="shared" si="19"/>
        <v>0</v>
      </c>
      <c r="R28" s="2407">
        <f t="shared" si="20"/>
        <v>0</v>
      </c>
      <c r="S28" s="3098">
        <f t="shared" si="11"/>
        <v>0</v>
      </c>
    </row>
    <row r="29" spans="1:45">
      <c r="A29" s="3101" t="str">
        <f>'数据-基础表'!C18</f>
        <v>—1层</v>
      </c>
      <c r="B29" s="3107">
        <f>'数据-汇总表'!G24</f>
        <v>14937.26</v>
      </c>
      <c r="C29" s="2407">
        <f t="shared" si="12"/>
        <v>1</v>
      </c>
      <c r="D29" s="3103"/>
      <c r="E29" s="2407">
        <f t="shared" si="13"/>
        <v>1</v>
      </c>
      <c r="F29" s="3103"/>
      <c r="G29" s="2407">
        <f t="shared" si="14"/>
        <v>1</v>
      </c>
      <c r="H29" s="3103"/>
      <c r="I29" s="2407">
        <f t="shared" si="15"/>
        <v>1</v>
      </c>
      <c r="J29" s="3103"/>
      <c r="K29" s="2407">
        <f t="shared" si="16"/>
        <v>1</v>
      </c>
      <c r="L29" s="3103"/>
      <c r="M29" s="2407">
        <f t="shared" si="17"/>
        <v>1</v>
      </c>
      <c r="N29" s="3103"/>
      <c r="O29" s="2407">
        <f t="shared" si="18"/>
        <v>1</v>
      </c>
      <c r="P29" s="3103">
        <v>-1</v>
      </c>
      <c r="Q29" s="2407">
        <f t="shared" si="19"/>
        <v>0.5</v>
      </c>
      <c r="R29" s="2407">
        <f t="shared" si="20"/>
        <v>19684</v>
      </c>
      <c r="S29" s="3098">
        <f t="shared" si="11"/>
        <v>29403</v>
      </c>
    </row>
    <row r="30" spans="1:45">
      <c r="A30" s="3101" t="str">
        <f>'数据-基础表'!C19</f>
        <v>—2层</v>
      </c>
      <c r="B30" s="3107">
        <f>'数据-汇总表'!G25</f>
        <v>6813.5700000000006</v>
      </c>
      <c r="C30" s="2407">
        <f t="shared" si="12"/>
        <v>1</v>
      </c>
      <c r="D30" s="3103"/>
      <c r="E30" s="2407">
        <f t="shared" si="13"/>
        <v>1</v>
      </c>
      <c r="F30" s="3103"/>
      <c r="G30" s="2407">
        <f t="shared" si="14"/>
        <v>1</v>
      </c>
      <c r="H30" s="3103"/>
      <c r="I30" s="2407">
        <f t="shared" si="15"/>
        <v>1</v>
      </c>
      <c r="J30" s="3103"/>
      <c r="K30" s="2407">
        <f t="shared" si="16"/>
        <v>1</v>
      </c>
      <c r="L30" s="3103"/>
      <c r="M30" s="2407">
        <f t="shared" si="17"/>
        <v>1</v>
      </c>
      <c r="N30" s="3103"/>
      <c r="O30" s="2407">
        <f t="shared" si="18"/>
        <v>1</v>
      </c>
      <c r="P30" s="3103">
        <v>-2</v>
      </c>
      <c r="Q30" s="2407">
        <f t="shared" si="19"/>
        <v>0.4</v>
      </c>
      <c r="R30" s="2407">
        <f t="shared" si="20"/>
        <v>15747</v>
      </c>
      <c r="S30" s="3098">
        <f t="shared" si="11"/>
        <v>10729</v>
      </c>
    </row>
    <row r="31" spans="1:45">
      <c r="A31" s="3101"/>
      <c r="B31" s="3107"/>
      <c r="C31" s="2407">
        <f t="shared" si="12"/>
        <v>1</v>
      </c>
      <c r="D31" s="3103"/>
      <c r="E31" s="2407">
        <f t="shared" si="13"/>
        <v>1</v>
      </c>
      <c r="F31" s="3103"/>
      <c r="G31" s="2407">
        <f t="shared" si="14"/>
        <v>1</v>
      </c>
      <c r="H31" s="3103"/>
      <c r="I31" s="2407">
        <f t="shared" si="15"/>
        <v>1</v>
      </c>
      <c r="J31" s="3103"/>
      <c r="K31" s="2407">
        <f t="shared" si="16"/>
        <v>1</v>
      </c>
      <c r="L31" s="3103"/>
      <c r="M31" s="2407">
        <f t="shared" si="17"/>
        <v>1</v>
      </c>
      <c r="N31" s="3103"/>
      <c r="O31" s="2407">
        <f t="shared" si="18"/>
        <v>1</v>
      </c>
      <c r="P31" s="3103"/>
      <c r="Q31" s="2407">
        <f t="shared" si="19"/>
        <v>0</v>
      </c>
      <c r="R31" s="2407">
        <f t="shared" si="20"/>
        <v>0</v>
      </c>
      <c r="S31" s="3098">
        <f t="shared" si="11"/>
        <v>0</v>
      </c>
    </row>
    <row r="32" spans="1:45">
      <c r="A32" s="3101"/>
      <c r="B32" s="3107"/>
      <c r="C32" s="2407">
        <f t="shared" si="12"/>
        <v>1</v>
      </c>
      <c r="D32" s="3103"/>
      <c r="E32" s="2407">
        <f t="shared" si="13"/>
        <v>1</v>
      </c>
      <c r="F32" s="3103"/>
      <c r="G32" s="2407">
        <f t="shared" si="14"/>
        <v>1</v>
      </c>
      <c r="H32" s="3103"/>
      <c r="I32" s="2407">
        <f t="shared" si="15"/>
        <v>1</v>
      </c>
      <c r="J32" s="3103"/>
      <c r="K32" s="2407">
        <f t="shared" si="16"/>
        <v>1</v>
      </c>
      <c r="L32" s="3103"/>
      <c r="M32" s="2407">
        <f t="shared" si="17"/>
        <v>1</v>
      </c>
      <c r="N32" s="3103"/>
      <c r="O32" s="2407">
        <f t="shared" si="18"/>
        <v>1</v>
      </c>
      <c r="P32" s="3103"/>
      <c r="Q32" s="2407">
        <f t="shared" si="19"/>
        <v>0</v>
      </c>
      <c r="R32" s="2407">
        <f t="shared" si="20"/>
        <v>0</v>
      </c>
      <c r="S32" s="3098">
        <f t="shared" si="11"/>
        <v>0</v>
      </c>
    </row>
    <row r="33" spans="1:19">
      <c r="A33" s="3101"/>
      <c r="B33" s="3107"/>
      <c r="C33" s="2407">
        <f t="shared" si="12"/>
        <v>1</v>
      </c>
      <c r="D33" s="3103"/>
      <c r="E33" s="2407">
        <f t="shared" si="13"/>
        <v>1</v>
      </c>
      <c r="F33" s="3103"/>
      <c r="G33" s="2407">
        <f t="shared" si="14"/>
        <v>1</v>
      </c>
      <c r="H33" s="3103"/>
      <c r="I33" s="2407">
        <f t="shared" si="15"/>
        <v>1</v>
      </c>
      <c r="J33" s="3103"/>
      <c r="K33" s="2407">
        <f t="shared" si="16"/>
        <v>1</v>
      </c>
      <c r="L33" s="3103"/>
      <c r="M33" s="2407">
        <f t="shared" si="17"/>
        <v>1</v>
      </c>
      <c r="N33" s="3103"/>
      <c r="O33" s="2407">
        <f t="shared" si="18"/>
        <v>1</v>
      </c>
      <c r="P33" s="3103"/>
      <c r="Q33" s="2407">
        <f t="shared" si="19"/>
        <v>0</v>
      </c>
      <c r="R33" s="2407">
        <f t="shared" si="20"/>
        <v>0</v>
      </c>
      <c r="S33" s="3098">
        <f t="shared" si="11"/>
        <v>0</v>
      </c>
    </row>
    <row r="34" spans="1:19">
      <c r="A34" s="3101"/>
      <c r="B34" s="3107"/>
      <c r="C34" s="2407">
        <f t="shared" si="12"/>
        <v>1</v>
      </c>
      <c r="D34" s="3103"/>
      <c r="E34" s="2407">
        <f t="shared" si="13"/>
        <v>1</v>
      </c>
      <c r="F34" s="3103"/>
      <c r="G34" s="2407">
        <f t="shared" si="14"/>
        <v>1</v>
      </c>
      <c r="H34" s="3103"/>
      <c r="I34" s="2407">
        <f t="shared" si="15"/>
        <v>1</v>
      </c>
      <c r="J34" s="3103"/>
      <c r="K34" s="2407">
        <f t="shared" si="16"/>
        <v>1</v>
      </c>
      <c r="L34" s="3103"/>
      <c r="M34" s="2407">
        <f t="shared" si="17"/>
        <v>1</v>
      </c>
      <c r="N34" s="3103"/>
      <c r="O34" s="2407">
        <f t="shared" si="18"/>
        <v>1</v>
      </c>
      <c r="P34" s="3103"/>
      <c r="Q34" s="2407">
        <f t="shared" si="19"/>
        <v>0</v>
      </c>
      <c r="R34" s="2407">
        <f t="shared" si="20"/>
        <v>0</v>
      </c>
      <c r="S34" s="3098">
        <f t="shared" si="11"/>
        <v>0</v>
      </c>
    </row>
    <row r="35" spans="1:19">
      <c r="A35" s="2571"/>
      <c r="B35" s="3107"/>
      <c r="C35" s="2407">
        <f t="shared" si="12"/>
        <v>1</v>
      </c>
      <c r="D35" s="3103"/>
      <c r="E35" s="2407">
        <f t="shared" si="13"/>
        <v>1</v>
      </c>
      <c r="F35" s="3103"/>
      <c r="G35" s="2407">
        <f t="shared" si="14"/>
        <v>1</v>
      </c>
      <c r="H35" s="3103"/>
      <c r="I35" s="2407">
        <f t="shared" si="15"/>
        <v>1</v>
      </c>
      <c r="J35" s="3103"/>
      <c r="K35" s="2407">
        <f t="shared" si="16"/>
        <v>1</v>
      </c>
      <c r="L35" s="3103"/>
      <c r="M35" s="2407">
        <f t="shared" si="17"/>
        <v>1</v>
      </c>
      <c r="N35" s="3103"/>
      <c r="O35" s="2407">
        <f t="shared" si="18"/>
        <v>1</v>
      </c>
      <c r="P35" s="3103"/>
      <c r="Q35" s="2407">
        <f t="shared" si="19"/>
        <v>0</v>
      </c>
      <c r="R35" s="2407">
        <f t="shared" si="20"/>
        <v>0</v>
      </c>
      <c r="S35" s="3098">
        <f t="shared" si="11"/>
        <v>0</v>
      </c>
    </row>
    <row r="36" spans="1:19">
      <c r="A36" s="2571"/>
      <c r="B36" s="3107"/>
      <c r="C36" s="2407">
        <f t="shared" si="12"/>
        <v>1</v>
      </c>
      <c r="D36" s="3103"/>
      <c r="E36" s="2407">
        <f t="shared" si="13"/>
        <v>1</v>
      </c>
      <c r="F36" s="3103"/>
      <c r="G36" s="2407">
        <f t="shared" si="14"/>
        <v>1</v>
      </c>
      <c r="H36" s="3103"/>
      <c r="I36" s="2407">
        <f t="shared" si="15"/>
        <v>1</v>
      </c>
      <c r="J36" s="3103"/>
      <c r="K36" s="2407">
        <f t="shared" si="16"/>
        <v>1</v>
      </c>
      <c r="L36" s="3103"/>
      <c r="M36" s="2407">
        <f t="shared" si="17"/>
        <v>1</v>
      </c>
      <c r="N36" s="3103"/>
      <c r="O36" s="2407">
        <f t="shared" si="18"/>
        <v>1</v>
      </c>
      <c r="P36" s="3103"/>
      <c r="Q36" s="2407">
        <f t="shared" si="19"/>
        <v>0</v>
      </c>
      <c r="R36" s="2407">
        <f t="shared" si="20"/>
        <v>0</v>
      </c>
      <c r="S36" s="3098">
        <f t="shared" si="11"/>
        <v>0</v>
      </c>
    </row>
    <row r="37" spans="1:19">
      <c r="A37" s="2571"/>
      <c r="B37" s="3107"/>
      <c r="C37" s="2407">
        <f t="shared" si="12"/>
        <v>1</v>
      </c>
      <c r="D37" s="3103"/>
      <c r="E37" s="2407">
        <f t="shared" si="13"/>
        <v>1</v>
      </c>
      <c r="F37" s="3103"/>
      <c r="G37" s="2407">
        <f t="shared" si="14"/>
        <v>1</v>
      </c>
      <c r="H37" s="3103"/>
      <c r="I37" s="2407">
        <f t="shared" si="15"/>
        <v>1</v>
      </c>
      <c r="J37" s="3103"/>
      <c r="K37" s="2407">
        <f t="shared" si="16"/>
        <v>1</v>
      </c>
      <c r="L37" s="3103"/>
      <c r="M37" s="2407">
        <f t="shared" si="17"/>
        <v>1</v>
      </c>
      <c r="N37" s="3103"/>
      <c r="O37" s="2407">
        <f t="shared" si="18"/>
        <v>1</v>
      </c>
      <c r="P37" s="3103"/>
      <c r="Q37" s="2407">
        <f t="shared" si="19"/>
        <v>0</v>
      </c>
      <c r="R37" s="2407">
        <f t="shared" si="20"/>
        <v>0</v>
      </c>
      <c r="S37" s="3098">
        <f t="shared" si="11"/>
        <v>0</v>
      </c>
    </row>
    <row r="38" spans="1:19">
      <c r="A38" s="2571"/>
      <c r="B38" s="3107"/>
      <c r="C38" s="2407">
        <f t="shared" si="12"/>
        <v>1</v>
      </c>
      <c r="D38" s="3103"/>
      <c r="E38" s="2407">
        <f t="shared" si="13"/>
        <v>1</v>
      </c>
      <c r="F38" s="3103"/>
      <c r="G38" s="2407">
        <f t="shared" si="14"/>
        <v>1</v>
      </c>
      <c r="H38" s="3103"/>
      <c r="I38" s="2407">
        <f t="shared" si="15"/>
        <v>1</v>
      </c>
      <c r="J38" s="3103"/>
      <c r="K38" s="2407">
        <f t="shared" si="16"/>
        <v>1</v>
      </c>
      <c r="L38" s="3103"/>
      <c r="M38" s="2407">
        <f t="shared" si="17"/>
        <v>1</v>
      </c>
      <c r="N38" s="3103"/>
      <c r="O38" s="2407">
        <f t="shared" si="18"/>
        <v>1</v>
      </c>
      <c r="P38" s="3103"/>
      <c r="Q38" s="2407">
        <f t="shared" si="19"/>
        <v>0</v>
      </c>
      <c r="R38" s="2407">
        <f t="shared" si="20"/>
        <v>0</v>
      </c>
      <c r="S38" s="3098">
        <f t="shared" si="11"/>
        <v>0</v>
      </c>
    </row>
    <row r="39" spans="1:19">
      <c r="A39" s="2571"/>
      <c r="B39" s="3107"/>
      <c r="C39" s="2407">
        <f t="shared" si="12"/>
        <v>1</v>
      </c>
      <c r="D39" s="3103"/>
      <c r="E39" s="2407">
        <f t="shared" si="13"/>
        <v>1</v>
      </c>
      <c r="F39" s="3103"/>
      <c r="G39" s="2407">
        <f t="shared" si="14"/>
        <v>1</v>
      </c>
      <c r="H39" s="3103"/>
      <c r="I39" s="2407">
        <f t="shared" si="15"/>
        <v>1</v>
      </c>
      <c r="J39" s="3103"/>
      <c r="K39" s="2407">
        <f t="shared" si="16"/>
        <v>1</v>
      </c>
      <c r="L39" s="3103"/>
      <c r="M39" s="2407">
        <f t="shared" si="17"/>
        <v>1</v>
      </c>
      <c r="N39" s="3103"/>
      <c r="O39" s="2407">
        <f t="shared" si="18"/>
        <v>1</v>
      </c>
      <c r="P39" s="3103"/>
      <c r="Q39" s="2407">
        <f t="shared" si="19"/>
        <v>0</v>
      </c>
      <c r="R39" s="2407">
        <f t="shared" si="20"/>
        <v>0</v>
      </c>
      <c r="S39" s="3098">
        <f t="shared" si="11"/>
        <v>0</v>
      </c>
    </row>
    <row r="40" spans="1:19">
      <c r="A40" s="2571"/>
      <c r="B40" s="3107"/>
      <c r="C40" s="2407">
        <f t="shared" si="12"/>
        <v>1</v>
      </c>
      <c r="D40" s="3103"/>
      <c r="E40" s="2407">
        <f t="shared" si="13"/>
        <v>1</v>
      </c>
      <c r="F40" s="3103"/>
      <c r="G40" s="2407">
        <f t="shared" si="14"/>
        <v>1</v>
      </c>
      <c r="H40" s="3103"/>
      <c r="I40" s="2407">
        <f t="shared" si="15"/>
        <v>1</v>
      </c>
      <c r="J40" s="3103"/>
      <c r="K40" s="2407">
        <f t="shared" si="16"/>
        <v>1</v>
      </c>
      <c r="L40" s="3103"/>
      <c r="M40" s="2407">
        <f t="shared" si="17"/>
        <v>1</v>
      </c>
      <c r="N40" s="3103"/>
      <c r="O40" s="2407">
        <f t="shared" si="18"/>
        <v>1</v>
      </c>
      <c r="P40" s="3103"/>
      <c r="Q40" s="2407">
        <f t="shared" si="19"/>
        <v>0</v>
      </c>
      <c r="R40" s="2407">
        <f t="shared" si="20"/>
        <v>0</v>
      </c>
      <c r="S40" s="3098">
        <f t="shared" si="11"/>
        <v>0</v>
      </c>
    </row>
    <row r="41" spans="1:19">
      <c r="A41" s="2571"/>
      <c r="B41" s="3107"/>
      <c r="C41" s="2407">
        <f t="shared" si="12"/>
        <v>1</v>
      </c>
      <c r="D41" s="3103"/>
      <c r="E41" s="2407">
        <f t="shared" si="13"/>
        <v>1</v>
      </c>
      <c r="F41" s="3103"/>
      <c r="G41" s="2407">
        <f t="shared" si="14"/>
        <v>1</v>
      </c>
      <c r="H41" s="3103"/>
      <c r="I41" s="2407">
        <f t="shared" si="15"/>
        <v>1</v>
      </c>
      <c r="J41" s="3103"/>
      <c r="K41" s="2407">
        <f t="shared" si="16"/>
        <v>1</v>
      </c>
      <c r="L41" s="3103"/>
      <c r="M41" s="2407">
        <f t="shared" si="17"/>
        <v>1</v>
      </c>
      <c r="N41" s="3103"/>
      <c r="O41" s="2407">
        <f t="shared" si="18"/>
        <v>1</v>
      </c>
      <c r="P41" s="3103"/>
      <c r="Q41" s="2407">
        <f t="shared" si="19"/>
        <v>0</v>
      </c>
      <c r="R41" s="2407">
        <f t="shared" si="20"/>
        <v>0</v>
      </c>
      <c r="S41" s="3098">
        <f t="shared" si="11"/>
        <v>0</v>
      </c>
    </row>
    <row r="42" spans="1:19">
      <c r="A42" s="2571"/>
      <c r="B42" s="3107"/>
      <c r="C42" s="2407">
        <f t="shared" si="12"/>
        <v>1</v>
      </c>
      <c r="D42" s="3103"/>
      <c r="E42" s="2407">
        <f t="shared" si="13"/>
        <v>1</v>
      </c>
      <c r="F42" s="3103"/>
      <c r="G42" s="2407">
        <f t="shared" si="14"/>
        <v>1</v>
      </c>
      <c r="H42" s="3103"/>
      <c r="I42" s="2407">
        <f t="shared" si="15"/>
        <v>1</v>
      </c>
      <c r="J42" s="3103"/>
      <c r="K42" s="2407">
        <f t="shared" si="16"/>
        <v>1</v>
      </c>
      <c r="L42" s="3103"/>
      <c r="M42" s="2407">
        <f t="shared" si="17"/>
        <v>1</v>
      </c>
      <c r="N42" s="3103"/>
      <c r="O42" s="2407">
        <f t="shared" si="18"/>
        <v>1</v>
      </c>
      <c r="P42" s="3103"/>
      <c r="Q42" s="2407">
        <f t="shared" si="19"/>
        <v>0</v>
      </c>
      <c r="R42" s="2407">
        <f t="shared" si="20"/>
        <v>0</v>
      </c>
      <c r="S42" s="3098">
        <f t="shared" si="11"/>
        <v>0</v>
      </c>
    </row>
    <row r="43" spans="1:19">
      <c r="A43" s="2571"/>
      <c r="B43" s="3107"/>
      <c r="C43" s="2407">
        <f t="shared" si="12"/>
        <v>1</v>
      </c>
      <c r="D43" s="3103"/>
      <c r="E43" s="2407">
        <f t="shared" si="13"/>
        <v>1</v>
      </c>
      <c r="F43" s="3103"/>
      <c r="G43" s="2407">
        <f t="shared" si="14"/>
        <v>1</v>
      </c>
      <c r="H43" s="3103"/>
      <c r="I43" s="2407">
        <f t="shared" si="15"/>
        <v>1</v>
      </c>
      <c r="J43" s="3103"/>
      <c r="K43" s="2407">
        <f t="shared" si="16"/>
        <v>1</v>
      </c>
      <c r="L43" s="3103"/>
      <c r="M43" s="2407">
        <f t="shared" si="17"/>
        <v>1</v>
      </c>
      <c r="N43" s="3103"/>
      <c r="O43" s="2407">
        <f t="shared" si="18"/>
        <v>1</v>
      </c>
      <c r="P43" s="3103"/>
      <c r="Q43" s="2407">
        <f t="shared" si="19"/>
        <v>0</v>
      </c>
      <c r="R43" s="2407">
        <f t="shared" si="20"/>
        <v>0</v>
      </c>
      <c r="S43" s="3098">
        <f t="shared" si="11"/>
        <v>0</v>
      </c>
    </row>
    <row r="44" spans="1:19">
      <c r="A44" s="2571"/>
      <c r="B44" s="3107"/>
      <c r="C44" s="2407">
        <f t="shared" si="12"/>
        <v>1</v>
      </c>
      <c r="D44" s="3103"/>
      <c r="E44" s="2407">
        <f t="shared" si="13"/>
        <v>1</v>
      </c>
      <c r="F44" s="3103"/>
      <c r="G44" s="2407">
        <f t="shared" si="14"/>
        <v>1</v>
      </c>
      <c r="H44" s="3103"/>
      <c r="I44" s="2407">
        <f t="shared" si="15"/>
        <v>1</v>
      </c>
      <c r="J44" s="3103"/>
      <c r="K44" s="2407">
        <f t="shared" si="16"/>
        <v>1</v>
      </c>
      <c r="L44" s="3103"/>
      <c r="M44" s="2407">
        <f t="shared" si="17"/>
        <v>1</v>
      </c>
      <c r="N44" s="3103"/>
      <c r="O44" s="2407">
        <f t="shared" si="18"/>
        <v>1</v>
      </c>
      <c r="P44" s="3103"/>
      <c r="Q44" s="2407">
        <f t="shared" si="19"/>
        <v>0</v>
      </c>
      <c r="R44" s="2407">
        <f t="shared" si="20"/>
        <v>0</v>
      </c>
      <c r="S44" s="3098">
        <f t="shared" si="11"/>
        <v>0</v>
      </c>
    </row>
    <row r="45" spans="1:19">
      <c r="A45" s="2571"/>
      <c r="B45" s="3107"/>
      <c r="C45" s="2407">
        <f t="shared" si="12"/>
        <v>1</v>
      </c>
      <c r="D45" s="3103"/>
      <c r="E45" s="2407">
        <f t="shared" si="13"/>
        <v>1</v>
      </c>
      <c r="F45" s="3103"/>
      <c r="G45" s="2407">
        <f t="shared" si="14"/>
        <v>1</v>
      </c>
      <c r="H45" s="3103"/>
      <c r="I45" s="2407">
        <f t="shared" si="15"/>
        <v>1</v>
      </c>
      <c r="J45" s="3103"/>
      <c r="K45" s="2407">
        <f t="shared" si="16"/>
        <v>1</v>
      </c>
      <c r="L45" s="3103"/>
      <c r="M45" s="2407">
        <f t="shared" si="17"/>
        <v>1</v>
      </c>
      <c r="N45" s="3103"/>
      <c r="O45" s="2407">
        <f t="shared" si="18"/>
        <v>1</v>
      </c>
      <c r="P45" s="3103"/>
      <c r="Q45" s="2407">
        <f t="shared" si="19"/>
        <v>0</v>
      </c>
      <c r="R45" s="2407">
        <f t="shared" si="20"/>
        <v>0</v>
      </c>
      <c r="S45" s="3098">
        <f t="shared" si="11"/>
        <v>0</v>
      </c>
    </row>
    <row r="46" spans="1:19">
      <c r="A46" s="2571"/>
      <c r="B46" s="3107"/>
      <c r="C46" s="2407">
        <f t="shared" si="12"/>
        <v>1</v>
      </c>
      <c r="D46" s="3103"/>
      <c r="E46" s="2407">
        <f t="shared" si="13"/>
        <v>1</v>
      </c>
      <c r="F46" s="3103"/>
      <c r="G46" s="2407">
        <f t="shared" si="14"/>
        <v>1</v>
      </c>
      <c r="H46" s="3103"/>
      <c r="I46" s="2407">
        <f t="shared" si="15"/>
        <v>1</v>
      </c>
      <c r="J46" s="3103"/>
      <c r="K46" s="2407">
        <f t="shared" si="16"/>
        <v>1</v>
      </c>
      <c r="L46" s="3103"/>
      <c r="M46" s="2407">
        <f t="shared" si="17"/>
        <v>1</v>
      </c>
      <c r="N46" s="3103"/>
      <c r="O46" s="2407">
        <f t="shared" si="18"/>
        <v>1</v>
      </c>
      <c r="P46" s="3103"/>
      <c r="Q46" s="2407">
        <f t="shared" si="19"/>
        <v>0</v>
      </c>
      <c r="R46" s="2407">
        <f t="shared" si="20"/>
        <v>0</v>
      </c>
      <c r="S46" s="3098">
        <f t="shared" si="11"/>
        <v>0</v>
      </c>
    </row>
    <row r="47" spans="1:19">
      <c r="A47" s="2571"/>
      <c r="B47" s="3107"/>
      <c r="C47" s="2407">
        <f t="shared" si="12"/>
        <v>1</v>
      </c>
      <c r="D47" s="3103"/>
      <c r="E47" s="2407">
        <f t="shared" si="13"/>
        <v>1</v>
      </c>
      <c r="F47" s="3103"/>
      <c r="G47" s="2407">
        <f t="shared" si="14"/>
        <v>1</v>
      </c>
      <c r="H47" s="3103"/>
      <c r="I47" s="2407">
        <f t="shared" si="15"/>
        <v>1</v>
      </c>
      <c r="J47" s="3103"/>
      <c r="K47" s="2407">
        <f t="shared" si="16"/>
        <v>1</v>
      </c>
      <c r="L47" s="3103"/>
      <c r="M47" s="2407">
        <f t="shared" si="17"/>
        <v>1</v>
      </c>
      <c r="N47" s="3103"/>
      <c r="O47" s="2407">
        <f t="shared" si="18"/>
        <v>1</v>
      </c>
      <c r="P47" s="3103"/>
      <c r="Q47" s="2407">
        <f t="shared" si="19"/>
        <v>0</v>
      </c>
      <c r="R47" s="2407">
        <f t="shared" si="20"/>
        <v>0</v>
      </c>
      <c r="S47" s="3098">
        <f t="shared" si="11"/>
        <v>0</v>
      </c>
    </row>
    <row r="48" spans="1:19">
      <c r="A48" s="2571"/>
      <c r="B48" s="3107"/>
      <c r="C48" s="2407">
        <f t="shared" si="12"/>
        <v>1</v>
      </c>
      <c r="D48" s="3103"/>
      <c r="E48" s="2407">
        <f t="shared" si="13"/>
        <v>1</v>
      </c>
      <c r="F48" s="3103"/>
      <c r="G48" s="2407">
        <f t="shared" si="14"/>
        <v>1</v>
      </c>
      <c r="H48" s="3103"/>
      <c r="I48" s="2407">
        <f t="shared" si="15"/>
        <v>1</v>
      </c>
      <c r="J48" s="3103"/>
      <c r="K48" s="2407">
        <f t="shared" si="16"/>
        <v>1</v>
      </c>
      <c r="L48" s="3103"/>
      <c r="M48" s="2407">
        <f t="shared" si="17"/>
        <v>1</v>
      </c>
      <c r="N48" s="3103"/>
      <c r="O48" s="2407">
        <f t="shared" si="18"/>
        <v>1</v>
      </c>
      <c r="P48" s="3103"/>
      <c r="Q48" s="2407">
        <f t="shared" si="19"/>
        <v>0</v>
      </c>
      <c r="R48" s="2407">
        <f t="shared" si="20"/>
        <v>0</v>
      </c>
      <c r="S48" s="3098">
        <f t="shared" si="11"/>
        <v>0</v>
      </c>
    </row>
    <row r="49" spans="1:19">
      <c r="A49" s="2571"/>
      <c r="B49" s="3107"/>
      <c r="C49" s="2407">
        <f t="shared" si="12"/>
        <v>1</v>
      </c>
      <c r="D49" s="3103"/>
      <c r="E49" s="2407">
        <f t="shared" si="13"/>
        <v>1</v>
      </c>
      <c r="F49" s="3103"/>
      <c r="G49" s="2407">
        <f t="shared" si="14"/>
        <v>1</v>
      </c>
      <c r="H49" s="3103"/>
      <c r="I49" s="2407">
        <f t="shared" si="15"/>
        <v>1</v>
      </c>
      <c r="J49" s="3103"/>
      <c r="K49" s="2407">
        <f t="shared" si="16"/>
        <v>1</v>
      </c>
      <c r="L49" s="3103"/>
      <c r="M49" s="2407">
        <f t="shared" si="17"/>
        <v>1</v>
      </c>
      <c r="N49" s="3103"/>
      <c r="O49" s="2407">
        <f t="shared" si="18"/>
        <v>1</v>
      </c>
      <c r="P49" s="3103"/>
      <c r="Q49" s="2407">
        <f t="shared" si="19"/>
        <v>0</v>
      </c>
      <c r="R49" s="2407">
        <f t="shared" si="20"/>
        <v>0</v>
      </c>
      <c r="S49" s="3098">
        <f t="shared" si="11"/>
        <v>0</v>
      </c>
    </row>
    <row r="50" spans="1:19">
      <c r="A50" s="2571"/>
      <c r="B50" s="3107"/>
      <c r="C50" s="2407">
        <f t="shared" si="12"/>
        <v>1</v>
      </c>
      <c r="D50" s="3103"/>
      <c r="E50" s="2407">
        <f t="shared" si="13"/>
        <v>1</v>
      </c>
      <c r="F50" s="3103"/>
      <c r="G50" s="2407">
        <f t="shared" si="14"/>
        <v>1</v>
      </c>
      <c r="H50" s="3103"/>
      <c r="I50" s="2407">
        <f t="shared" si="15"/>
        <v>1</v>
      </c>
      <c r="J50" s="3103"/>
      <c r="K50" s="2407">
        <f t="shared" si="16"/>
        <v>1</v>
      </c>
      <c r="L50" s="3103"/>
      <c r="M50" s="2407">
        <f t="shared" si="17"/>
        <v>1</v>
      </c>
      <c r="N50" s="3103"/>
      <c r="O50" s="2407">
        <f t="shared" si="18"/>
        <v>1</v>
      </c>
      <c r="P50" s="3103"/>
      <c r="Q50" s="2407">
        <f t="shared" si="19"/>
        <v>0</v>
      </c>
      <c r="R50" s="2407">
        <f t="shared" si="20"/>
        <v>0</v>
      </c>
      <c r="S50" s="3098">
        <f t="shared" si="11"/>
        <v>0</v>
      </c>
    </row>
    <row r="51" spans="1:19">
      <c r="A51" s="2571"/>
      <c r="B51" s="3107"/>
      <c r="C51" s="2407">
        <f t="shared" si="12"/>
        <v>1</v>
      </c>
      <c r="D51" s="3103"/>
      <c r="E51" s="2407">
        <f t="shared" si="13"/>
        <v>1</v>
      </c>
      <c r="F51" s="3103"/>
      <c r="G51" s="2407">
        <f t="shared" si="14"/>
        <v>1</v>
      </c>
      <c r="H51" s="3103"/>
      <c r="I51" s="2407">
        <f t="shared" si="15"/>
        <v>1</v>
      </c>
      <c r="J51" s="3103"/>
      <c r="K51" s="2407">
        <f t="shared" si="16"/>
        <v>1</v>
      </c>
      <c r="L51" s="3103"/>
      <c r="M51" s="2407">
        <f t="shared" si="17"/>
        <v>1</v>
      </c>
      <c r="N51" s="3103"/>
      <c r="O51" s="2407">
        <f t="shared" si="18"/>
        <v>1</v>
      </c>
      <c r="P51" s="3103"/>
      <c r="Q51" s="2407">
        <f t="shared" si="19"/>
        <v>0</v>
      </c>
      <c r="R51" s="2407">
        <f t="shared" si="20"/>
        <v>0</v>
      </c>
      <c r="S51" s="3098">
        <f t="shared" si="11"/>
        <v>0</v>
      </c>
    </row>
    <row r="52" spans="1:19">
      <c r="A52" s="2571"/>
      <c r="B52" s="3107"/>
      <c r="C52" s="2407">
        <f t="shared" si="12"/>
        <v>1</v>
      </c>
      <c r="D52" s="3103"/>
      <c r="E52" s="2407">
        <f t="shared" si="13"/>
        <v>1</v>
      </c>
      <c r="F52" s="3103"/>
      <c r="G52" s="2407">
        <f t="shared" si="14"/>
        <v>1</v>
      </c>
      <c r="H52" s="3103"/>
      <c r="I52" s="2407">
        <f t="shared" si="15"/>
        <v>1</v>
      </c>
      <c r="J52" s="3103"/>
      <c r="K52" s="2407">
        <f t="shared" si="16"/>
        <v>1</v>
      </c>
      <c r="L52" s="3103"/>
      <c r="M52" s="2407">
        <f t="shared" si="17"/>
        <v>1</v>
      </c>
      <c r="N52" s="3103"/>
      <c r="O52" s="2407">
        <f t="shared" si="18"/>
        <v>1</v>
      </c>
      <c r="P52" s="3103"/>
      <c r="Q52" s="2407">
        <f t="shared" si="19"/>
        <v>0</v>
      </c>
      <c r="R52" s="2407">
        <f t="shared" si="20"/>
        <v>0</v>
      </c>
      <c r="S52" s="3098">
        <f t="shared" si="11"/>
        <v>0</v>
      </c>
    </row>
    <row r="53" spans="1:19">
      <c r="A53" s="2571"/>
      <c r="B53" s="3107"/>
      <c r="C53" s="2407">
        <f t="shared" si="12"/>
        <v>1</v>
      </c>
      <c r="D53" s="3103"/>
      <c r="E53" s="2407">
        <f t="shared" si="13"/>
        <v>1</v>
      </c>
      <c r="F53" s="3103"/>
      <c r="G53" s="2407">
        <f t="shared" si="14"/>
        <v>1</v>
      </c>
      <c r="H53" s="3103"/>
      <c r="I53" s="2407">
        <f t="shared" si="15"/>
        <v>1</v>
      </c>
      <c r="J53" s="3103"/>
      <c r="K53" s="2407">
        <f t="shared" si="16"/>
        <v>1</v>
      </c>
      <c r="L53" s="3103"/>
      <c r="M53" s="2407">
        <f t="shared" si="17"/>
        <v>1</v>
      </c>
      <c r="N53" s="3103"/>
      <c r="O53" s="2407">
        <f t="shared" si="18"/>
        <v>1</v>
      </c>
      <c r="P53" s="3103"/>
      <c r="Q53" s="2407">
        <f t="shared" si="19"/>
        <v>0</v>
      </c>
      <c r="R53" s="2407">
        <f t="shared" si="20"/>
        <v>0</v>
      </c>
      <c r="S53" s="3098">
        <f t="shared" si="11"/>
        <v>0</v>
      </c>
    </row>
    <row r="54" spans="1:19">
      <c r="A54" s="2571"/>
      <c r="B54" s="3107"/>
      <c r="C54" s="2407">
        <f t="shared" si="12"/>
        <v>1</v>
      </c>
      <c r="D54" s="3103"/>
      <c r="E54" s="2407">
        <f t="shared" si="13"/>
        <v>1</v>
      </c>
      <c r="F54" s="3103"/>
      <c r="G54" s="2407">
        <f t="shared" si="14"/>
        <v>1</v>
      </c>
      <c r="H54" s="3103"/>
      <c r="I54" s="2407">
        <f t="shared" si="15"/>
        <v>1</v>
      </c>
      <c r="J54" s="3103"/>
      <c r="K54" s="2407">
        <f t="shared" si="16"/>
        <v>1</v>
      </c>
      <c r="L54" s="3103"/>
      <c r="M54" s="2407">
        <f t="shared" si="17"/>
        <v>1</v>
      </c>
      <c r="N54" s="3103"/>
      <c r="O54" s="2407">
        <f t="shared" si="18"/>
        <v>1</v>
      </c>
      <c r="P54" s="3103"/>
      <c r="Q54" s="2407">
        <f t="shared" si="19"/>
        <v>0</v>
      </c>
      <c r="R54" s="2407">
        <f t="shared" si="20"/>
        <v>0</v>
      </c>
      <c r="S54" s="3098">
        <f t="shared" si="11"/>
        <v>0</v>
      </c>
    </row>
    <row r="55" spans="1:19">
      <c r="A55" s="2571"/>
      <c r="B55" s="3107"/>
      <c r="C55" s="2407">
        <f t="shared" si="12"/>
        <v>1</v>
      </c>
      <c r="D55" s="3103"/>
      <c r="E55" s="2407">
        <f t="shared" si="13"/>
        <v>1</v>
      </c>
      <c r="F55" s="3103"/>
      <c r="G55" s="2407">
        <f t="shared" si="14"/>
        <v>1</v>
      </c>
      <c r="H55" s="3103"/>
      <c r="I55" s="2407">
        <f t="shared" si="15"/>
        <v>1</v>
      </c>
      <c r="J55" s="3103"/>
      <c r="K55" s="2407">
        <f t="shared" si="16"/>
        <v>1</v>
      </c>
      <c r="L55" s="3103"/>
      <c r="M55" s="2407">
        <f t="shared" si="17"/>
        <v>1</v>
      </c>
      <c r="N55" s="3103"/>
      <c r="O55" s="2407">
        <f t="shared" si="18"/>
        <v>1</v>
      </c>
      <c r="P55" s="3103"/>
      <c r="Q55" s="2407">
        <f t="shared" si="19"/>
        <v>0</v>
      </c>
      <c r="R55" s="2407">
        <f t="shared" si="20"/>
        <v>0</v>
      </c>
      <c r="S55" s="3098">
        <f t="shared" ref="S55:S77" si="21">ROUND(R55*B55/10000,0)</f>
        <v>0</v>
      </c>
    </row>
    <row r="56" spans="1:19">
      <c r="A56" s="2571"/>
      <c r="B56" s="3107"/>
      <c r="C56" s="2407">
        <f t="shared" si="12"/>
        <v>1</v>
      </c>
      <c r="D56" s="3103"/>
      <c r="E56" s="2407">
        <f t="shared" si="13"/>
        <v>1</v>
      </c>
      <c r="F56" s="3103"/>
      <c r="G56" s="2407">
        <f t="shared" si="14"/>
        <v>1</v>
      </c>
      <c r="H56" s="3103"/>
      <c r="I56" s="2407">
        <f t="shared" si="15"/>
        <v>1</v>
      </c>
      <c r="J56" s="3103"/>
      <c r="K56" s="2407">
        <f t="shared" si="16"/>
        <v>1</v>
      </c>
      <c r="L56" s="3103"/>
      <c r="M56" s="2407">
        <f t="shared" si="17"/>
        <v>1</v>
      </c>
      <c r="N56" s="3103"/>
      <c r="O56" s="2407">
        <f t="shared" si="18"/>
        <v>1</v>
      </c>
      <c r="P56" s="3103"/>
      <c r="Q56" s="2407">
        <f t="shared" si="19"/>
        <v>0</v>
      </c>
      <c r="R56" s="2407">
        <f t="shared" si="20"/>
        <v>0</v>
      </c>
      <c r="S56" s="3098">
        <f t="shared" si="21"/>
        <v>0</v>
      </c>
    </row>
    <row r="57" spans="1:19">
      <c r="A57" s="2571"/>
      <c r="B57" s="3107"/>
      <c r="C57" s="2407">
        <f t="shared" si="12"/>
        <v>1</v>
      </c>
      <c r="D57" s="3103"/>
      <c r="E57" s="2407">
        <f t="shared" si="13"/>
        <v>1</v>
      </c>
      <c r="F57" s="3103"/>
      <c r="G57" s="2407">
        <f t="shared" si="14"/>
        <v>1</v>
      </c>
      <c r="H57" s="3103"/>
      <c r="I57" s="2407">
        <f t="shared" si="15"/>
        <v>1</v>
      </c>
      <c r="J57" s="3103"/>
      <c r="K57" s="2407">
        <f t="shared" si="16"/>
        <v>1</v>
      </c>
      <c r="L57" s="3103"/>
      <c r="M57" s="2407">
        <f t="shared" si="17"/>
        <v>1</v>
      </c>
      <c r="N57" s="3103"/>
      <c r="O57" s="2407">
        <f t="shared" si="18"/>
        <v>1</v>
      </c>
      <c r="P57" s="3103"/>
      <c r="Q57" s="2407">
        <f t="shared" si="19"/>
        <v>0</v>
      </c>
      <c r="R57" s="2407">
        <f t="shared" si="20"/>
        <v>0</v>
      </c>
      <c r="S57" s="3098">
        <f t="shared" si="21"/>
        <v>0</v>
      </c>
    </row>
    <row r="58" spans="1:19">
      <c r="A58" s="2571"/>
      <c r="B58" s="3107"/>
      <c r="C58" s="2407">
        <f t="shared" si="12"/>
        <v>1</v>
      </c>
      <c r="D58" s="3103"/>
      <c r="E58" s="2407">
        <f t="shared" si="13"/>
        <v>1</v>
      </c>
      <c r="F58" s="3103"/>
      <c r="G58" s="2407">
        <f t="shared" si="14"/>
        <v>1</v>
      </c>
      <c r="H58" s="3103"/>
      <c r="I58" s="2407">
        <f t="shared" si="15"/>
        <v>1</v>
      </c>
      <c r="J58" s="3103"/>
      <c r="K58" s="2407">
        <f t="shared" si="16"/>
        <v>1</v>
      </c>
      <c r="L58" s="3103"/>
      <c r="M58" s="2407">
        <f t="shared" si="17"/>
        <v>1</v>
      </c>
      <c r="N58" s="3103"/>
      <c r="O58" s="2407">
        <f t="shared" si="18"/>
        <v>1</v>
      </c>
      <c r="P58" s="3103"/>
      <c r="Q58" s="2407">
        <f t="shared" si="19"/>
        <v>0</v>
      </c>
      <c r="R58" s="2407">
        <f t="shared" si="20"/>
        <v>0</v>
      </c>
      <c r="S58" s="3098">
        <f t="shared" si="21"/>
        <v>0</v>
      </c>
    </row>
    <row r="59" spans="1:19">
      <c r="A59" s="2571"/>
      <c r="B59" s="3107"/>
      <c r="C59" s="2407">
        <f t="shared" si="12"/>
        <v>1</v>
      </c>
      <c r="D59" s="3103"/>
      <c r="E59" s="2407">
        <f t="shared" si="13"/>
        <v>1</v>
      </c>
      <c r="F59" s="3103"/>
      <c r="G59" s="2407">
        <f t="shared" si="14"/>
        <v>1</v>
      </c>
      <c r="H59" s="3103"/>
      <c r="I59" s="2407">
        <f t="shared" si="15"/>
        <v>1</v>
      </c>
      <c r="J59" s="3103"/>
      <c r="K59" s="2407">
        <f t="shared" si="16"/>
        <v>1</v>
      </c>
      <c r="L59" s="3103"/>
      <c r="M59" s="2407">
        <f t="shared" si="17"/>
        <v>1</v>
      </c>
      <c r="N59" s="3103"/>
      <c r="O59" s="2407">
        <f t="shared" si="18"/>
        <v>1</v>
      </c>
      <c r="P59" s="3103"/>
      <c r="Q59" s="2407">
        <f t="shared" si="19"/>
        <v>0</v>
      </c>
      <c r="R59" s="2407">
        <f t="shared" si="20"/>
        <v>0</v>
      </c>
      <c r="S59" s="3098">
        <f t="shared" si="21"/>
        <v>0</v>
      </c>
    </row>
    <row r="60" spans="1:19">
      <c r="A60" s="2571"/>
      <c r="B60" s="3107"/>
      <c r="C60" s="2407">
        <f t="shared" si="12"/>
        <v>1</v>
      </c>
      <c r="D60" s="3103"/>
      <c r="E60" s="2407">
        <f t="shared" si="13"/>
        <v>1</v>
      </c>
      <c r="F60" s="3103"/>
      <c r="G60" s="2407">
        <f t="shared" si="14"/>
        <v>1</v>
      </c>
      <c r="H60" s="3103"/>
      <c r="I60" s="2407">
        <f t="shared" si="15"/>
        <v>1</v>
      </c>
      <c r="J60" s="3103"/>
      <c r="K60" s="2407">
        <f t="shared" si="16"/>
        <v>1</v>
      </c>
      <c r="L60" s="3103"/>
      <c r="M60" s="2407">
        <f t="shared" si="17"/>
        <v>1</v>
      </c>
      <c r="N60" s="3103"/>
      <c r="O60" s="2407">
        <f t="shared" si="18"/>
        <v>1</v>
      </c>
      <c r="P60" s="3103"/>
      <c r="Q60" s="2407">
        <f t="shared" si="19"/>
        <v>0</v>
      </c>
      <c r="R60" s="2407">
        <f t="shared" si="20"/>
        <v>0</v>
      </c>
      <c r="S60" s="3098">
        <f t="shared" si="21"/>
        <v>0</v>
      </c>
    </row>
    <row r="61" spans="1:19">
      <c r="A61" s="2571"/>
      <c r="B61" s="3107"/>
      <c r="C61" s="2407">
        <f t="shared" si="12"/>
        <v>1</v>
      </c>
      <c r="D61" s="3103"/>
      <c r="E61" s="2407">
        <f t="shared" si="13"/>
        <v>1</v>
      </c>
      <c r="F61" s="3103"/>
      <c r="G61" s="2407">
        <f t="shared" si="14"/>
        <v>1</v>
      </c>
      <c r="H61" s="3103"/>
      <c r="I61" s="2407">
        <f t="shared" si="15"/>
        <v>1</v>
      </c>
      <c r="J61" s="3103"/>
      <c r="K61" s="2407">
        <f t="shared" si="16"/>
        <v>1</v>
      </c>
      <c r="L61" s="3103"/>
      <c r="M61" s="2407">
        <f t="shared" si="17"/>
        <v>1</v>
      </c>
      <c r="N61" s="3103"/>
      <c r="O61" s="2407">
        <f t="shared" si="18"/>
        <v>1</v>
      </c>
      <c r="P61" s="3103"/>
      <c r="Q61" s="2407">
        <f t="shared" si="19"/>
        <v>0</v>
      </c>
      <c r="R61" s="2407">
        <f t="shared" si="20"/>
        <v>0</v>
      </c>
      <c r="S61" s="3098">
        <f t="shared" si="21"/>
        <v>0</v>
      </c>
    </row>
    <row r="62" spans="1:19">
      <c r="A62" s="2571"/>
      <c r="B62" s="3107"/>
      <c r="C62" s="2407">
        <f t="shared" si="12"/>
        <v>1</v>
      </c>
      <c r="D62" s="3103"/>
      <c r="E62" s="2407">
        <f t="shared" si="13"/>
        <v>1</v>
      </c>
      <c r="F62" s="3103"/>
      <c r="G62" s="2407">
        <f t="shared" si="14"/>
        <v>1</v>
      </c>
      <c r="H62" s="3103"/>
      <c r="I62" s="2407">
        <f t="shared" si="15"/>
        <v>1</v>
      </c>
      <c r="J62" s="3103"/>
      <c r="K62" s="2407">
        <f t="shared" si="16"/>
        <v>1</v>
      </c>
      <c r="L62" s="3103"/>
      <c r="M62" s="2407">
        <f t="shared" si="17"/>
        <v>1</v>
      </c>
      <c r="N62" s="3103"/>
      <c r="O62" s="2407">
        <f t="shared" si="18"/>
        <v>1</v>
      </c>
      <c r="P62" s="3103"/>
      <c r="Q62" s="2407">
        <f t="shared" si="19"/>
        <v>0</v>
      </c>
      <c r="R62" s="2407">
        <f t="shared" si="20"/>
        <v>0</v>
      </c>
      <c r="S62" s="3098">
        <f t="shared" si="21"/>
        <v>0</v>
      </c>
    </row>
    <row r="63" spans="1:19">
      <c r="A63" s="2571"/>
      <c r="B63" s="3107"/>
      <c r="C63" s="2407">
        <f t="shared" si="12"/>
        <v>1</v>
      </c>
      <c r="D63" s="3103"/>
      <c r="E63" s="2407">
        <f t="shared" si="13"/>
        <v>1</v>
      </c>
      <c r="F63" s="3103"/>
      <c r="G63" s="2407">
        <f t="shared" si="14"/>
        <v>1</v>
      </c>
      <c r="H63" s="3103"/>
      <c r="I63" s="2407">
        <f t="shared" si="15"/>
        <v>1</v>
      </c>
      <c r="J63" s="3103"/>
      <c r="K63" s="2407">
        <f t="shared" si="16"/>
        <v>1</v>
      </c>
      <c r="L63" s="3103"/>
      <c r="M63" s="2407">
        <f t="shared" si="17"/>
        <v>1</v>
      </c>
      <c r="N63" s="3103"/>
      <c r="O63" s="2407">
        <f t="shared" si="18"/>
        <v>1</v>
      </c>
      <c r="P63" s="3103"/>
      <c r="Q63" s="2407">
        <f t="shared" si="19"/>
        <v>0</v>
      </c>
      <c r="R63" s="2407">
        <f t="shared" si="20"/>
        <v>0</v>
      </c>
      <c r="S63" s="3098">
        <f t="shared" si="21"/>
        <v>0</v>
      </c>
    </row>
    <row r="64" spans="1:19">
      <c r="A64" s="2571"/>
      <c r="B64" s="3107"/>
      <c r="C64" s="2407">
        <f t="shared" si="12"/>
        <v>1</v>
      </c>
      <c r="D64" s="3103"/>
      <c r="E64" s="2407">
        <f t="shared" si="13"/>
        <v>1</v>
      </c>
      <c r="F64" s="3103"/>
      <c r="G64" s="2407">
        <f t="shared" si="14"/>
        <v>1</v>
      </c>
      <c r="H64" s="3103"/>
      <c r="I64" s="2407">
        <f t="shared" si="15"/>
        <v>1</v>
      </c>
      <c r="J64" s="3103"/>
      <c r="K64" s="2407">
        <f t="shared" si="16"/>
        <v>1</v>
      </c>
      <c r="L64" s="3103"/>
      <c r="M64" s="2407">
        <f t="shared" si="17"/>
        <v>1</v>
      </c>
      <c r="N64" s="3103"/>
      <c r="O64" s="2407">
        <f t="shared" si="18"/>
        <v>1</v>
      </c>
      <c r="P64" s="3103"/>
      <c r="Q64" s="2407">
        <f t="shared" si="19"/>
        <v>0</v>
      </c>
      <c r="R64" s="2407">
        <f t="shared" si="20"/>
        <v>0</v>
      </c>
      <c r="S64" s="3098">
        <f t="shared" si="21"/>
        <v>0</v>
      </c>
    </row>
    <row r="65" spans="1:19">
      <c r="A65" s="2571"/>
      <c r="B65" s="3107"/>
      <c r="C65" s="2407">
        <f t="shared" si="12"/>
        <v>1</v>
      </c>
      <c r="D65" s="3103"/>
      <c r="E65" s="2407">
        <f t="shared" si="13"/>
        <v>1</v>
      </c>
      <c r="F65" s="3103"/>
      <c r="G65" s="2407">
        <f t="shared" si="14"/>
        <v>1</v>
      </c>
      <c r="H65" s="3103"/>
      <c r="I65" s="2407">
        <f t="shared" si="15"/>
        <v>1</v>
      </c>
      <c r="J65" s="3103"/>
      <c r="K65" s="2407">
        <f t="shared" si="16"/>
        <v>1</v>
      </c>
      <c r="L65" s="3103"/>
      <c r="M65" s="2407">
        <f t="shared" si="17"/>
        <v>1</v>
      </c>
      <c r="N65" s="3103"/>
      <c r="O65" s="2407">
        <f t="shared" si="18"/>
        <v>1</v>
      </c>
      <c r="P65" s="3103"/>
      <c r="Q65" s="2407">
        <f t="shared" si="19"/>
        <v>0</v>
      </c>
      <c r="R65" s="2407">
        <f t="shared" si="20"/>
        <v>0</v>
      </c>
      <c r="S65" s="3098">
        <f t="shared" si="21"/>
        <v>0</v>
      </c>
    </row>
    <row r="66" spans="1:19">
      <c r="A66" s="2571"/>
      <c r="B66" s="3107"/>
      <c r="C66" s="2407">
        <f t="shared" si="12"/>
        <v>1</v>
      </c>
      <c r="D66" s="3103"/>
      <c r="E66" s="2407">
        <f t="shared" si="13"/>
        <v>1</v>
      </c>
      <c r="F66" s="3103"/>
      <c r="G66" s="2407">
        <f t="shared" si="14"/>
        <v>1</v>
      </c>
      <c r="H66" s="3103"/>
      <c r="I66" s="2407">
        <f t="shared" si="15"/>
        <v>1</v>
      </c>
      <c r="J66" s="3103"/>
      <c r="K66" s="2407">
        <f t="shared" si="16"/>
        <v>1</v>
      </c>
      <c r="L66" s="3103"/>
      <c r="M66" s="2407">
        <f t="shared" si="17"/>
        <v>1</v>
      </c>
      <c r="N66" s="3103"/>
      <c r="O66" s="2407">
        <f t="shared" si="18"/>
        <v>1</v>
      </c>
      <c r="P66" s="3103"/>
      <c r="Q66" s="2407">
        <f t="shared" si="19"/>
        <v>0</v>
      </c>
      <c r="R66" s="2407">
        <f t="shared" si="20"/>
        <v>0</v>
      </c>
      <c r="S66" s="3098">
        <f t="shared" si="21"/>
        <v>0</v>
      </c>
    </row>
    <row r="67" spans="1:19">
      <c r="A67" s="2571"/>
      <c r="B67" s="3107"/>
      <c r="C67" s="2407">
        <f t="shared" si="12"/>
        <v>1</v>
      </c>
      <c r="D67" s="3103"/>
      <c r="E67" s="2407">
        <f t="shared" si="13"/>
        <v>1</v>
      </c>
      <c r="F67" s="3103"/>
      <c r="G67" s="2407">
        <f t="shared" si="14"/>
        <v>1</v>
      </c>
      <c r="H67" s="3103"/>
      <c r="I67" s="2407">
        <f t="shared" si="15"/>
        <v>1</v>
      </c>
      <c r="J67" s="3103"/>
      <c r="K67" s="2407">
        <f t="shared" si="16"/>
        <v>1</v>
      </c>
      <c r="L67" s="3103"/>
      <c r="M67" s="2407">
        <f t="shared" si="17"/>
        <v>1</v>
      </c>
      <c r="N67" s="3103"/>
      <c r="O67" s="2407">
        <f t="shared" si="18"/>
        <v>1</v>
      </c>
      <c r="P67" s="3103"/>
      <c r="Q67" s="2407">
        <f t="shared" si="19"/>
        <v>0</v>
      </c>
      <c r="R67" s="2407">
        <f t="shared" si="20"/>
        <v>0</v>
      </c>
      <c r="S67" s="3098">
        <f t="shared" si="21"/>
        <v>0</v>
      </c>
    </row>
    <row r="68" spans="1:19">
      <c r="A68" s="2571"/>
      <c r="B68" s="3107"/>
      <c r="C68" s="2407">
        <f t="shared" si="12"/>
        <v>1</v>
      </c>
      <c r="D68" s="3103"/>
      <c r="E68" s="2407">
        <f t="shared" si="13"/>
        <v>1</v>
      </c>
      <c r="F68" s="3103"/>
      <c r="G68" s="2407">
        <f t="shared" si="14"/>
        <v>1</v>
      </c>
      <c r="H68" s="3103"/>
      <c r="I68" s="2407">
        <f t="shared" si="15"/>
        <v>1</v>
      </c>
      <c r="J68" s="3103"/>
      <c r="K68" s="2407">
        <f t="shared" si="16"/>
        <v>1</v>
      </c>
      <c r="L68" s="3103"/>
      <c r="M68" s="2407">
        <f t="shared" si="17"/>
        <v>1</v>
      </c>
      <c r="N68" s="3103"/>
      <c r="O68" s="2407">
        <f t="shared" si="18"/>
        <v>1</v>
      </c>
      <c r="P68" s="3103"/>
      <c r="Q68" s="2407">
        <f t="shared" si="19"/>
        <v>0</v>
      </c>
      <c r="R68" s="2407">
        <f t="shared" si="20"/>
        <v>0</v>
      </c>
      <c r="S68" s="3098">
        <f t="shared" si="21"/>
        <v>0</v>
      </c>
    </row>
    <row r="69" spans="1:19">
      <c r="A69" s="2571"/>
      <c r="B69" s="3107"/>
      <c r="C69" s="2407">
        <f t="shared" si="12"/>
        <v>1</v>
      </c>
      <c r="D69" s="3103"/>
      <c r="E69" s="2407">
        <f t="shared" si="13"/>
        <v>1</v>
      </c>
      <c r="F69" s="3103"/>
      <c r="G69" s="2407">
        <f t="shared" si="14"/>
        <v>1</v>
      </c>
      <c r="H69" s="3103"/>
      <c r="I69" s="2407">
        <f t="shared" si="15"/>
        <v>1</v>
      </c>
      <c r="J69" s="3103"/>
      <c r="K69" s="2407">
        <f t="shared" si="16"/>
        <v>1</v>
      </c>
      <c r="L69" s="3103"/>
      <c r="M69" s="2407">
        <f t="shared" si="17"/>
        <v>1</v>
      </c>
      <c r="N69" s="3103"/>
      <c r="O69" s="2407">
        <f t="shared" si="18"/>
        <v>1</v>
      </c>
      <c r="P69" s="3103"/>
      <c r="Q69" s="2407">
        <f t="shared" si="19"/>
        <v>0</v>
      </c>
      <c r="R69" s="2407">
        <f t="shared" si="20"/>
        <v>0</v>
      </c>
      <c r="S69" s="3098">
        <f t="shared" si="21"/>
        <v>0</v>
      </c>
    </row>
    <row r="70" spans="1:19">
      <c r="A70" s="2571"/>
      <c r="B70" s="3107"/>
      <c r="C70" s="2407">
        <f t="shared" si="12"/>
        <v>1</v>
      </c>
      <c r="D70" s="3103"/>
      <c r="E70" s="2407">
        <f t="shared" si="13"/>
        <v>1</v>
      </c>
      <c r="F70" s="3103"/>
      <c r="G70" s="2407">
        <f t="shared" si="14"/>
        <v>1</v>
      </c>
      <c r="H70" s="3103"/>
      <c r="I70" s="2407">
        <f t="shared" si="15"/>
        <v>1</v>
      </c>
      <c r="J70" s="3103"/>
      <c r="K70" s="2407">
        <f t="shared" si="16"/>
        <v>1</v>
      </c>
      <c r="L70" s="3103"/>
      <c r="M70" s="2407">
        <f t="shared" si="17"/>
        <v>1</v>
      </c>
      <c r="N70" s="3103"/>
      <c r="O70" s="2407">
        <f t="shared" si="18"/>
        <v>1</v>
      </c>
      <c r="P70" s="3103"/>
      <c r="Q70" s="2407">
        <f t="shared" si="19"/>
        <v>0</v>
      </c>
      <c r="R70" s="2407">
        <f t="shared" si="20"/>
        <v>0</v>
      </c>
      <c r="S70" s="3098">
        <f t="shared" si="21"/>
        <v>0</v>
      </c>
    </row>
    <row r="71" spans="1:19">
      <c r="A71" s="2571"/>
      <c r="B71" s="3107"/>
      <c r="C71" s="2407">
        <f t="shared" si="12"/>
        <v>1</v>
      </c>
      <c r="D71" s="3103"/>
      <c r="E71" s="2407">
        <f t="shared" si="13"/>
        <v>1</v>
      </c>
      <c r="F71" s="3103"/>
      <c r="G71" s="2407">
        <f t="shared" si="14"/>
        <v>1</v>
      </c>
      <c r="H71" s="3103"/>
      <c r="I71" s="2407">
        <f t="shared" si="15"/>
        <v>1</v>
      </c>
      <c r="J71" s="3103"/>
      <c r="K71" s="2407">
        <f t="shared" si="16"/>
        <v>1</v>
      </c>
      <c r="L71" s="3103"/>
      <c r="M71" s="2407">
        <f t="shared" si="17"/>
        <v>1</v>
      </c>
      <c r="N71" s="3103"/>
      <c r="O71" s="2407">
        <f t="shared" si="18"/>
        <v>1</v>
      </c>
      <c r="P71" s="3103"/>
      <c r="Q71" s="2407">
        <f t="shared" si="19"/>
        <v>0</v>
      </c>
      <c r="R71" s="2407">
        <f t="shared" si="20"/>
        <v>0</v>
      </c>
      <c r="S71" s="3098">
        <f t="shared" si="21"/>
        <v>0</v>
      </c>
    </row>
    <row r="72" spans="1:19">
      <c r="A72" s="2571"/>
      <c r="B72" s="3107"/>
      <c r="C72" s="2407">
        <f t="shared" si="12"/>
        <v>1</v>
      </c>
      <c r="D72" s="3103"/>
      <c r="E72" s="2407">
        <f t="shared" si="13"/>
        <v>1</v>
      </c>
      <c r="F72" s="3103"/>
      <c r="G72" s="2407">
        <f t="shared" si="14"/>
        <v>1</v>
      </c>
      <c r="H72" s="3103"/>
      <c r="I72" s="2407">
        <f t="shared" si="15"/>
        <v>1</v>
      </c>
      <c r="J72" s="3103"/>
      <c r="K72" s="2407">
        <f t="shared" si="16"/>
        <v>1</v>
      </c>
      <c r="L72" s="3103"/>
      <c r="M72" s="2407">
        <f t="shared" si="17"/>
        <v>1</v>
      </c>
      <c r="N72" s="3103"/>
      <c r="O72" s="2407">
        <f t="shared" si="18"/>
        <v>1</v>
      </c>
      <c r="P72" s="3103"/>
      <c r="Q72" s="2407">
        <f t="shared" si="19"/>
        <v>0</v>
      </c>
      <c r="R72" s="2407">
        <f t="shared" si="20"/>
        <v>0</v>
      </c>
      <c r="S72" s="3098">
        <f t="shared" si="21"/>
        <v>0</v>
      </c>
    </row>
    <row r="73" spans="1:19">
      <c r="A73" s="2571"/>
      <c r="B73" s="3107"/>
      <c r="C73" s="2407">
        <f t="shared" si="12"/>
        <v>1</v>
      </c>
      <c r="D73" s="3103"/>
      <c r="E73" s="2407">
        <f t="shared" si="13"/>
        <v>1</v>
      </c>
      <c r="F73" s="3103"/>
      <c r="G73" s="2407">
        <f t="shared" si="14"/>
        <v>1</v>
      </c>
      <c r="H73" s="3103"/>
      <c r="I73" s="2407">
        <f t="shared" si="15"/>
        <v>1</v>
      </c>
      <c r="J73" s="3103"/>
      <c r="K73" s="2407">
        <f t="shared" si="16"/>
        <v>1</v>
      </c>
      <c r="L73" s="3103"/>
      <c r="M73" s="2407">
        <f t="shared" si="17"/>
        <v>1</v>
      </c>
      <c r="N73" s="3103"/>
      <c r="O73" s="2407">
        <f t="shared" si="18"/>
        <v>1</v>
      </c>
      <c r="P73" s="3103"/>
      <c r="Q73" s="2407">
        <f t="shared" si="19"/>
        <v>0</v>
      </c>
      <c r="R73" s="2407">
        <f t="shared" si="20"/>
        <v>0</v>
      </c>
      <c r="S73" s="3098">
        <f t="shared" si="21"/>
        <v>0</v>
      </c>
    </row>
    <row r="74" spans="1:19">
      <c r="A74" s="2571"/>
      <c r="B74" s="3107"/>
      <c r="C74" s="2407">
        <f t="shared" si="12"/>
        <v>1</v>
      </c>
      <c r="D74" s="3103"/>
      <c r="E74" s="2407">
        <f t="shared" si="13"/>
        <v>1</v>
      </c>
      <c r="F74" s="3103"/>
      <c r="G74" s="2407">
        <f t="shared" si="14"/>
        <v>1</v>
      </c>
      <c r="H74" s="3103"/>
      <c r="I74" s="2407">
        <f t="shared" si="15"/>
        <v>1</v>
      </c>
      <c r="J74" s="3103"/>
      <c r="K74" s="2407">
        <f t="shared" si="16"/>
        <v>1</v>
      </c>
      <c r="L74" s="3103"/>
      <c r="M74" s="2407">
        <f t="shared" si="17"/>
        <v>1</v>
      </c>
      <c r="N74" s="3103"/>
      <c r="O74" s="2407">
        <f t="shared" si="18"/>
        <v>1</v>
      </c>
      <c r="P74" s="3103"/>
      <c r="Q74" s="2407">
        <f t="shared" si="19"/>
        <v>0</v>
      </c>
      <c r="R74" s="2407">
        <f t="shared" si="20"/>
        <v>0</v>
      </c>
      <c r="S74" s="3098">
        <f t="shared" si="21"/>
        <v>0</v>
      </c>
    </row>
    <row r="75" spans="1:19">
      <c r="A75" s="2571"/>
      <c r="B75" s="3107"/>
      <c r="C75" s="2407">
        <f t="shared" si="12"/>
        <v>1</v>
      </c>
      <c r="D75" s="3103"/>
      <c r="E75" s="2407">
        <f t="shared" si="13"/>
        <v>1</v>
      </c>
      <c r="F75" s="3103"/>
      <c r="G75" s="2407">
        <f t="shared" si="14"/>
        <v>1</v>
      </c>
      <c r="H75" s="3103"/>
      <c r="I75" s="2407">
        <f t="shared" si="15"/>
        <v>1</v>
      </c>
      <c r="J75" s="3103"/>
      <c r="K75" s="2407">
        <f t="shared" si="16"/>
        <v>1</v>
      </c>
      <c r="L75" s="3103"/>
      <c r="M75" s="2407">
        <f t="shared" si="17"/>
        <v>1</v>
      </c>
      <c r="N75" s="3103"/>
      <c r="O75" s="2407">
        <f t="shared" si="18"/>
        <v>1</v>
      </c>
      <c r="P75" s="3103"/>
      <c r="Q75" s="2407">
        <f t="shared" si="19"/>
        <v>0</v>
      </c>
      <c r="R75" s="2407">
        <f t="shared" si="20"/>
        <v>0</v>
      </c>
      <c r="S75" s="3098">
        <f t="shared" si="21"/>
        <v>0</v>
      </c>
    </row>
    <row r="76" spans="1:19">
      <c r="A76" s="2571"/>
      <c r="B76" s="3107"/>
      <c r="C76" s="2407">
        <f t="shared" si="12"/>
        <v>1</v>
      </c>
      <c r="D76" s="3103"/>
      <c r="E76" s="2407">
        <f t="shared" si="13"/>
        <v>1</v>
      </c>
      <c r="F76" s="3103"/>
      <c r="G76" s="2407">
        <f t="shared" si="14"/>
        <v>1</v>
      </c>
      <c r="H76" s="3103"/>
      <c r="I76" s="2407">
        <f t="shared" si="15"/>
        <v>1</v>
      </c>
      <c r="J76" s="3103"/>
      <c r="K76" s="2407">
        <f t="shared" si="16"/>
        <v>1</v>
      </c>
      <c r="L76" s="3103"/>
      <c r="M76" s="2407">
        <f t="shared" si="17"/>
        <v>1</v>
      </c>
      <c r="N76" s="3103"/>
      <c r="O76" s="2407">
        <f t="shared" si="18"/>
        <v>1</v>
      </c>
      <c r="P76" s="3103"/>
      <c r="Q76" s="2407">
        <f t="shared" si="19"/>
        <v>0</v>
      </c>
      <c r="R76" s="2407">
        <f t="shared" si="20"/>
        <v>0</v>
      </c>
      <c r="S76" s="3098">
        <f t="shared" si="21"/>
        <v>0</v>
      </c>
    </row>
    <row r="77" spans="1:19">
      <c r="A77" s="2571"/>
      <c r="B77" s="3107"/>
      <c r="C77" s="2407">
        <f t="shared" si="12"/>
        <v>1</v>
      </c>
      <c r="D77" s="3103"/>
      <c r="E77" s="2407">
        <f t="shared" si="13"/>
        <v>1</v>
      </c>
      <c r="F77" s="3103"/>
      <c r="G77" s="2407">
        <f t="shared" si="14"/>
        <v>1</v>
      </c>
      <c r="H77" s="3103"/>
      <c r="I77" s="2407">
        <f t="shared" si="15"/>
        <v>1</v>
      </c>
      <c r="J77" s="3103"/>
      <c r="K77" s="2407">
        <f t="shared" si="16"/>
        <v>1</v>
      </c>
      <c r="L77" s="3103"/>
      <c r="M77" s="2407">
        <f t="shared" si="17"/>
        <v>1</v>
      </c>
      <c r="N77" s="3103"/>
      <c r="O77" s="2407">
        <f t="shared" si="18"/>
        <v>1</v>
      </c>
      <c r="P77" s="3103"/>
      <c r="Q77" s="2407">
        <f t="shared" si="19"/>
        <v>0</v>
      </c>
      <c r="R77" s="2407">
        <f t="shared" si="20"/>
        <v>0</v>
      </c>
      <c r="S77" s="3098">
        <f t="shared" si="21"/>
        <v>0</v>
      </c>
    </row>
    <row r="78" spans="1:19">
      <c r="A78" s="2571"/>
      <c r="B78" s="3107"/>
      <c r="C78" s="2407">
        <f t="shared" si="12"/>
        <v>1</v>
      </c>
      <c r="D78" s="3103"/>
      <c r="E78" s="2407">
        <f t="shared" si="13"/>
        <v>1</v>
      </c>
      <c r="F78" s="3103"/>
      <c r="G78" s="2407">
        <f t="shared" si="14"/>
        <v>1</v>
      </c>
      <c r="H78" s="3103"/>
      <c r="I78" s="2407">
        <f t="shared" si="15"/>
        <v>1</v>
      </c>
      <c r="J78" s="3103"/>
      <c r="K78" s="2407">
        <f t="shared" si="16"/>
        <v>1</v>
      </c>
      <c r="L78" s="3103"/>
      <c r="M78" s="2407">
        <f t="shared" si="17"/>
        <v>1</v>
      </c>
      <c r="N78" s="3103"/>
      <c r="O78" s="2407">
        <f t="shared" si="18"/>
        <v>1</v>
      </c>
      <c r="P78" s="3103"/>
      <c r="Q78" s="2407">
        <f t="shared" si="19"/>
        <v>0</v>
      </c>
      <c r="R78" s="2407">
        <f t="shared" si="20"/>
        <v>0</v>
      </c>
      <c r="S78" s="3098">
        <f t="shared" ref="S78:S122" si="22">ROUND(R78*B78/10000,0)</f>
        <v>0</v>
      </c>
    </row>
    <row r="79" spans="1:19">
      <c r="A79" s="2571"/>
      <c r="B79" s="3107"/>
      <c r="C79" s="2407">
        <f t="shared" si="12"/>
        <v>1</v>
      </c>
      <c r="D79" s="3103"/>
      <c r="E79" s="2407">
        <f t="shared" si="13"/>
        <v>1</v>
      </c>
      <c r="F79" s="3103"/>
      <c r="G79" s="2407">
        <f t="shared" si="14"/>
        <v>1</v>
      </c>
      <c r="H79" s="3103"/>
      <c r="I79" s="2407">
        <f t="shared" si="15"/>
        <v>1</v>
      </c>
      <c r="J79" s="3103"/>
      <c r="K79" s="2407">
        <f t="shared" si="16"/>
        <v>1</v>
      </c>
      <c r="L79" s="3103"/>
      <c r="M79" s="2407">
        <f t="shared" si="17"/>
        <v>1</v>
      </c>
      <c r="N79" s="3103"/>
      <c r="O79" s="2407">
        <f t="shared" si="18"/>
        <v>1</v>
      </c>
      <c r="P79" s="3103"/>
      <c r="Q79" s="2407">
        <f t="shared" si="19"/>
        <v>0</v>
      </c>
      <c r="R79" s="2407">
        <f t="shared" si="20"/>
        <v>0</v>
      </c>
      <c r="S79" s="3098">
        <f t="shared" si="22"/>
        <v>0</v>
      </c>
    </row>
    <row r="80" spans="1:19">
      <c r="A80" s="2571"/>
      <c r="B80" s="3107"/>
      <c r="C80" s="2407">
        <f t="shared" si="12"/>
        <v>1</v>
      </c>
      <c r="D80" s="3103"/>
      <c r="E80" s="2407">
        <f t="shared" si="13"/>
        <v>1</v>
      </c>
      <c r="F80" s="3103"/>
      <c r="G80" s="2407">
        <f t="shared" si="14"/>
        <v>1</v>
      </c>
      <c r="H80" s="3103"/>
      <c r="I80" s="2407">
        <f t="shared" si="15"/>
        <v>1</v>
      </c>
      <c r="J80" s="3103"/>
      <c r="K80" s="2407">
        <f t="shared" si="16"/>
        <v>1</v>
      </c>
      <c r="L80" s="3103"/>
      <c r="M80" s="2407">
        <f t="shared" si="17"/>
        <v>1</v>
      </c>
      <c r="N80" s="3103"/>
      <c r="O80" s="2407">
        <f t="shared" si="18"/>
        <v>1</v>
      </c>
      <c r="P80" s="3103"/>
      <c r="Q80" s="2407">
        <f t="shared" si="19"/>
        <v>0</v>
      </c>
      <c r="R80" s="2407">
        <f t="shared" si="20"/>
        <v>0</v>
      </c>
      <c r="S80" s="3098">
        <f t="shared" si="22"/>
        <v>0</v>
      </c>
    </row>
    <row r="81" spans="1:19">
      <c r="A81" s="2571"/>
      <c r="B81" s="3107"/>
      <c r="C81" s="2407">
        <f t="shared" si="12"/>
        <v>1</v>
      </c>
      <c r="D81" s="3103"/>
      <c r="E81" s="2407">
        <f t="shared" si="13"/>
        <v>1</v>
      </c>
      <c r="F81" s="3103"/>
      <c r="G81" s="2407">
        <f t="shared" si="14"/>
        <v>1</v>
      </c>
      <c r="H81" s="3103"/>
      <c r="I81" s="2407">
        <f t="shared" si="15"/>
        <v>1</v>
      </c>
      <c r="J81" s="3103"/>
      <c r="K81" s="2407">
        <f t="shared" si="16"/>
        <v>1</v>
      </c>
      <c r="L81" s="3103"/>
      <c r="M81" s="2407">
        <f t="shared" si="17"/>
        <v>1</v>
      </c>
      <c r="N81" s="3103"/>
      <c r="O81" s="2407">
        <f t="shared" si="18"/>
        <v>1</v>
      </c>
      <c r="P81" s="3103"/>
      <c r="Q81" s="2407">
        <f t="shared" si="19"/>
        <v>0</v>
      </c>
      <c r="R81" s="2407">
        <f t="shared" si="20"/>
        <v>0</v>
      </c>
      <c r="S81" s="3098">
        <f t="shared" si="22"/>
        <v>0</v>
      </c>
    </row>
    <row r="82" spans="1:19">
      <c r="A82" s="2571"/>
      <c r="B82" s="3107"/>
      <c r="C82" s="2407">
        <f t="shared" si="12"/>
        <v>1</v>
      </c>
      <c r="D82" s="3103"/>
      <c r="E82" s="2407">
        <f t="shared" si="13"/>
        <v>1</v>
      </c>
      <c r="F82" s="3103"/>
      <c r="G82" s="2407">
        <f t="shared" si="14"/>
        <v>1</v>
      </c>
      <c r="H82" s="3103"/>
      <c r="I82" s="2407">
        <f t="shared" si="15"/>
        <v>1</v>
      </c>
      <c r="J82" s="3103"/>
      <c r="K82" s="2407">
        <f t="shared" si="16"/>
        <v>1</v>
      </c>
      <c r="L82" s="3103"/>
      <c r="M82" s="2407">
        <f t="shared" si="17"/>
        <v>1</v>
      </c>
      <c r="N82" s="3103"/>
      <c r="O82" s="2407">
        <f t="shared" si="18"/>
        <v>1</v>
      </c>
      <c r="P82" s="3103"/>
      <c r="Q82" s="2407">
        <f t="shared" si="19"/>
        <v>0</v>
      </c>
      <c r="R82" s="2407">
        <f t="shared" si="20"/>
        <v>0</v>
      </c>
      <c r="S82" s="3098">
        <f t="shared" si="22"/>
        <v>0</v>
      </c>
    </row>
    <row r="83" spans="1:19">
      <c r="A83" s="2571"/>
      <c r="B83" s="3107"/>
      <c r="C83" s="2407">
        <f t="shared" si="12"/>
        <v>1</v>
      </c>
      <c r="D83" s="3103"/>
      <c r="E83" s="2407">
        <f t="shared" si="13"/>
        <v>1</v>
      </c>
      <c r="F83" s="3103"/>
      <c r="G83" s="2407">
        <f t="shared" si="14"/>
        <v>1</v>
      </c>
      <c r="H83" s="3103"/>
      <c r="I83" s="2407">
        <f t="shared" si="15"/>
        <v>1</v>
      </c>
      <c r="J83" s="3103"/>
      <c r="K83" s="2407">
        <f t="shared" si="16"/>
        <v>1</v>
      </c>
      <c r="L83" s="3103"/>
      <c r="M83" s="2407">
        <f t="shared" si="17"/>
        <v>1</v>
      </c>
      <c r="N83" s="3103"/>
      <c r="O83" s="2407">
        <f t="shared" si="18"/>
        <v>1</v>
      </c>
      <c r="P83" s="3103"/>
      <c r="Q83" s="2407">
        <f t="shared" si="19"/>
        <v>0</v>
      </c>
      <c r="R83" s="2407">
        <f t="shared" si="20"/>
        <v>0</v>
      </c>
      <c r="S83" s="3098">
        <f t="shared" si="22"/>
        <v>0</v>
      </c>
    </row>
    <row r="84" spans="1:19">
      <c r="A84" s="2571"/>
      <c r="B84" s="3107"/>
      <c r="C84" s="2407">
        <f t="shared" si="12"/>
        <v>1</v>
      </c>
      <c r="D84" s="3103"/>
      <c r="E84" s="2407">
        <f t="shared" si="13"/>
        <v>1</v>
      </c>
      <c r="F84" s="3103"/>
      <c r="G84" s="2407">
        <f t="shared" si="14"/>
        <v>1</v>
      </c>
      <c r="H84" s="3103"/>
      <c r="I84" s="2407">
        <f t="shared" si="15"/>
        <v>1</v>
      </c>
      <c r="J84" s="3103"/>
      <c r="K84" s="2407">
        <f t="shared" si="16"/>
        <v>1</v>
      </c>
      <c r="L84" s="3103"/>
      <c r="M84" s="2407">
        <f t="shared" si="17"/>
        <v>1</v>
      </c>
      <c r="N84" s="3103"/>
      <c r="O84" s="2407">
        <f t="shared" si="18"/>
        <v>1</v>
      </c>
      <c r="P84" s="3103"/>
      <c r="Q84" s="2407">
        <f t="shared" si="19"/>
        <v>0</v>
      </c>
      <c r="R84" s="2407">
        <f t="shared" si="20"/>
        <v>0</v>
      </c>
      <c r="S84" s="3098">
        <f t="shared" si="22"/>
        <v>0</v>
      </c>
    </row>
    <row r="85" spans="1:19">
      <c r="A85" s="2571"/>
      <c r="B85" s="3107"/>
      <c r="C85" s="2407">
        <f t="shared" si="12"/>
        <v>1</v>
      </c>
      <c r="D85" s="3103"/>
      <c r="E85" s="2407">
        <f t="shared" si="13"/>
        <v>1</v>
      </c>
      <c r="F85" s="3103"/>
      <c r="G85" s="2407">
        <f t="shared" si="14"/>
        <v>1</v>
      </c>
      <c r="H85" s="3103"/>
      <c r="I85" s="2407">
        <f t="shared" si="15"/>
        <v>1</v>
      </c>
      <c r="J85" s="3103"/>
      <c r="K85" s="2407">
        <f t="shared" si="16"/>
        <v>1</v>
      </c>
      <c r="L85" s="3103"/>
      <c r="M85" s="2407">
        <f t="shared" si="17"/>
        <v>1</v>
      </c>
      <c r="N85" s="3103"/>
      <c r="O85" s="2407">
        <f t="shared" si="18"/>
        <v>1</v>
      </c>
      <c r="P85" s="3103"/>
      <c r="Q85" s="2407">
        <f t="shared" si="19"/>
        <v>0</v>
      </c>
      <c r="R85" s="2407">
        <f t="shared" si="20"/>
        <v>0</v>
      </c>
      <c r="S85" s="3098">
        <f t="shared" si="22"/>
        <v>0</v>
      </c>
    </row>
    <row r="86" spans="1:19">
      <c r="A86" s="2571"/>
      <c r="B86" s="3107"/>
      <c r="C86" s="2407">
        <f t="shared" si="12"/>
        <v>1</v>
      </c>
      <c r="D86" s="3103"/>
      <c r="E86" s="2407">
        <f t="shared" si="13"/>
        <v>1</v>
      </c>
      <c r="F86" s="3103"/>
      <c r="G86" s="2407">
        <f t="shared" si="14"/>
        <v>1</v>
      </c>
      <c r="H86" s="3103"/>
      <c r="I86" s="2407">
        <f t="shared" si="15"/>
        <v>1</v>
      </c>
      <c r="J86" s="3103"/>
      <c r="K86" s="2407">
        <f t="shared" si="16"/>
        <v>1</v>
      </c>
      <c r="L86" s="3103"/>
      <c r="M86" s="2407">
        <f t="shared" si="17"/>
        <v>1</v>
      </c>
      <c r="N86" s="3103"/>
      <c r="O86" s="2407">
        <f t="shared" si="18"/>
        <v>1</v>
      </c>
      <c r="P86" s="3103"/>
      <c r="Q86" s="2407">
        <f t="shared" si="19"/>
        <v>0</v>
      </c>
      <c r="R86" s="2407">
        <f t="shared" si="20"/>
        <v>0</v>
      </c>
      <c r="S86" s="3098">
        <f t="shared" si="22"/>
        <v>0</v>
      </c>
    </row>
    <row r="87" spans="1:19">
      <c r="A87" s="2571"/>
      <c r="B87" s="3107"/>
      <c r="C87" s="2407">
        <f t="shared" si="12"/>
        <v>1</v>
      </c>
      <c r="D87" s="3103"/>
      <c r="E87" s="2407">
        <f t="shared" si="13"/>
        <v>1</v>
      </c>
      <c r="F87" s="3103"/>
      <c r="G87" s="2407">
        <f t="shared" si="14"/>
        <v>1</v>
      </c>
      <c r="H87" s="3103"/>
      <c r="I87" s="2407">
        <f t="shared" si="15"/>
        <v>1</v>
      </c>
      <c r="J87" s="3103"/>
      <c r="K87" s="2407">
        <f t="shared" si="16"/>
        <v>1</v>
      </c>
      <c r="L87" s="3103"/>
      <c r="M87" s="2407">
        <f t="shared" si="17"/>
        <v>1</v>
      </c>
      <c r="N87" s="3103"/>
      <c r="O87" s="2407">
        <f t="shared" si="18"/>
        <v>1</v>
      </c>
      <c r="P87" s="3103"/>
      <c r="Q87" s="2407">
        <f t="shared" si="19"/>
        <v>0</v>
      </c>
      <c r="R87" s="2407">
        <f t="shared" si="20"/>
        <v>0</v>
      </c>
      <c r="S87" s="3098">
        <f t="shared" si="22"/>
        <v>0</v>
      </c>
    </row>
    <row r="88" spans="1:19">
      <c r="A88" s="2571"/>
      <c r="B88" s="3107"/>
      <c r="C88" s="2407">
        <f t="shared" si="12"/>
        <v>1</v>
      </c>
      <c r="D88" s="3103"/>
      <c r="E88" s="2407">
        <f t="shared" si="13"/>
        <v>1</v>
      </c>
      <c r="F88" s="3103"/>
      <c r="G88" s="2407">
        <f t="shared" si="14"/>
        <v>1</v>
      </c>
      <c r="H88" s="3103"/>
      <c r="I88" s="2407">
        <f t="shared" si="15"/>
        <v>1</v>
      </c>
      <c r="J88" s="3103"/>
      <c r="K88" s="2407">
        <f t="shared" si="16"/>
        <v>1</v>
      </c>
      <c r="L88" s="3103"/>
      <c r="M88" s="2407">
        <f t="shared" si="17"/>
        <v>1</v>
      </c>
      <c r="N88" s="3103"/>
      <c r="O88" s="2407">
        <f t="shared" si="18"/>
        <v>1</v>
      </c>
      <c r="P88" s="3103"/>
      <c r="Q88" s="2407">
        <f t="shared" si="19"/>
        <v>0</v>
      </c>
      <c r="R88" s="2407">
        <f t="shared" si="20"/>
        <v>0</v>
      </c>
      <c r="S88" s="3098">
        <f t="shared" si="22"/>
        <v>0</v>
      </c>
    </row>
    <row r="89" spans="1:19">
      <c r="A89" s="2571"/>
      <c r="B89" s="3107"/>
      <c r="C89" s="2407">
        <f t="shared" si="12"/>
        <v>1</v>
      </c>
      <c r="D89" s="3103"/>
      <c r="E89" s="2407">
        <f t="shared" si="13"/>
        <v>1</v>
      </c>
      <c r="F89" s="3103"/>
      <c r="G89" s="2407">
        <f t="shared" si="14"/>
        <v>1</v>
      </c>
      <c r="H89" s="3103"/>
      <c r="I89" s="2407">
        <f t="shared" si="15"/>
        <v>1</v>
      </c>
      <c r="J89" s="3103"/>
      <c r="K89" s="2407">
        <f t="shared" si="16"/>
        <v>1</v>
      </c>
      <c r="L89" s="3103"/>
      <c r="M89" s="2407">
        <f t="shared" si="17"/>
        <v>1</v>
      </c>
      <c r="N89" s="3103"/>
      <c r="O89" s="2407">
        <f t="shared" si="18"/>
        <v>1</v>
      </c>
      <c r="P89" s="3103"/>
      <c r="Q89" s="2407">
        <f t="shared" si="19"/>
        <v>0</v>
      </c>
      <c r="R89" s="2407">
        <f t="shared" si="20"/>
        <v>0</v>
      </c>
      <c r="S89" s="3098">
        <f t="shared" si="22"/>
        <v>0</v>
      </c>
    </row>
    <row r="90" spans="1:19">
      <c r="A90" s="2571"/>
      <c r="B90" s="3107"/>
      <c r="C90" s="2407">
        <f t="shared" ref="C90:C153" si="23">IF(B90="",1,(LOOKUP(B90,$3:$3,$4:$4)-LOOKUP($B$24,$3:$3,$4:$4)+100)/100)</f>
        <v>1</v>
      </c>
      <c r="D90" s="3103"/>
      <c r="E90" s="2407">
        <f t="shared" ref="E90:E153" si="24">(SUMIF($5:$5,D90,$6:$6)-SUMIF($5:$5,$D$24,$6:$6)+100)/100</f>
        <v>1</v>
      </c>
      <c r="F90" s="3103"/>
      <c r="G90" s="2407">
        <f t="shared" ref="G90:G153" si="25">(SUMIF($7:$7,F90,$8:$8)-SUMIF($7:$7,$F$24,$8:$8)+100)/100</f>
        <v>1</v>
      </c>
      <c r="H90" s="3103"/>
      <c r="I90" s="2407">
        <f t="shared" ref="I90:I153" si="26">(SUMIF($9:$9,H90,$10:$10)-SUMIF($9:$9,$H$24,$10:$10)+100)/100</f>
        <v>1</v>
      </c>
      <c r="J90" s="3103"/>
      <c r="K90" s="2407">
        <f t="shared" ref="K90:K153" si="27">(SUMIF($11:$11,J90,$12:$12)-SUMIF($11:$11,$J$24,$12:$12)+100)/100</f>
        <v>1</v>
      </c>
      <c r="L90" s="3103"/>
      <c r="M90" s="2407">
        <f t="shared" ref="M90:M153" si="28">(SUMIF($13:$13,L90,$14:$14)-SUMIF($13:$13,$L$24,$14:$14)+100)/100</f>
        <v>1</v>
      </c>
      <c r="N90" s="3103"/>
      <c r="O90" s="2407">
        <f t="shared" ref="O90:O153" si="29">(SUMIF($15:$15,N90,$16:$16)-SUMIF($15:$15,$N$24,$16:$16)+100)/100</f>
        <v>1</v>
      </c>
      <c r="P90" s="3103"/>
      <c r="Q90" s="2407">
        <f t="shared" ref="Q90:Q153" si="30">(SUMIF($17:$17,P90,$18:$18)-SUMIF($17:$17,$P$24,$18:$18)+100)/100</f>
        <v>0</v>
      </c>
      <c r="R90" s="2407">
        <f t="shared" ref="R90:R153" si="31">IF(B90="",0,ROUND($R$24*C90*E90*G90*I90*K90*M90*O90*Q90,0))</f>
        <v>0</v>
      </c>
      <c r="S90" s="3098">
        <f t="shared" si="22"/>
        <v>0</v>
      </c>
    </row>
    <row r="91" spans="1:19">
      <c r="A91" s="2571"/>
      <c r="B91" s="3107"/>
      <c r="C91" s="2407">
        <f t="shared" si="23"/>
        <v>1</v>
      </c>
      <c r="D91" s="3103"/>
      <c r="E91" s="2407">
        <f t="shared" si="24"/>
        <v>1</v>
      </c>
      <c r="F91" s="3103"/>
      <c r="G91" s="2407">
        <f t="shared" si="25"/>
        <v>1</v>
      </c>
      <c r="H91" s="3103"/>
      <c r="I91" s="2407">
        <f t="shared" si="26"/>
        <v>1</v>
      </c>
      <c r="J91" s="3103"/>
      <c r="K91" s="2407">
        <f t="shared" si="27"/>
        <v>1</v>
      </c>
      <c r="L91" s="3103"/>
      <c r="M91" s="2407">
        <f t="shared" si="28"/>
        <v>1</v>
      </c>
      <c r="N91" s="3103"/>
      <c r="O91" s="2407">
        <f t="shared" si="29"/>
        <v>1</v>
      </c>
      <c r="P91" s="3103"/>
      <c r="Q91" s="2407">
        <f t="shared" si="30"/>
        <v>0</v>
      </c>
      <c r="R91" s="2407">
        <f t="shared" si="31"/>
        <v>0</v>
      </c>
      <c r="S91" s="3098">
        <f t="shared" si="22"/>
        <v>0</v>
      </c>
    </row>
    <row r="92" spans="1:19">
      <c r="A92" s="2571"/>
      <c r="B92" s="3107"/>
      <c r="C92" s="2407">
        <f t="shared" si="23"/>
        <v>1</v>
      </c>
      <c r="D92" s="3103"/>
      <c r="E92" s="2407">
        <f t="shared" si="24"/>
        <v>1</v>
      </c>
      <c r="F92" s="3103"/>
      <c r="G92" s="2407">
        <f t="shared" si="25"/>
        <v>1</v>
      </c>
      <c r="H92" s="3103"/>
      <c r="I92" s="2407">
        <f t="shared" si="26"/>
        <v>1</v>
      </c>
      <c r="J92" s="3103"/>
      <c r="K92" s="2407">
        <f t="shared" si="27"/>
        <v>1</v>
      </c>
      <c r="L92" s="3103"/>
      <c r="M92" s="2407">
        <f t="shared" si="28"/>
        <v>1</v>
      </c>
      <c r="N92" s="3103"/>
      <c r="O92" s="2407">
        <f t="shared" si="29"/>
        <v>1</v>
      </c>
      <c r="P92" s="3103"/>
      <c r="Q92" s="2407">
        <f t="shared" si="30"/>
        <v>0</v>
      </c>
      <c r="R92" s="2407">
        <f t="shared" si="31"/>
        <v>0</v>
      </c>
      <c r="S92" s="3098">
        <f t="shared" si="22"/>
        <v>0</v>
      </c>
    </row>
    <row r="93" spans="1:19">
      <c r="A93" s="2571"/>
      <c r="B93" s="3107"/>
      <c r="C93" s="2407">
        <f t="shared" si="23"/>
        <v>1</v>
      </c>
      <c r="D93" s="3103"/>
      <c r="E93" s="2407">
        <f t="shared" si="24"/>
        <v>1</v>
      </c>
      <c r="F93" s="3103"/>
      <c r="G93" s="2407">
        <f t="shared" si="25"/>
        <v>1</v>
      </c>
      <c r="H93" s="3103"/>
      <c r="I93" s="2407">
        <f t="shared" si="26"/>
        <v>1</v>
      </c>
      <c r="J93" s="3103"/>
      <c r="K93" s="2407">
        <f t="shared" si="27"/>
        <v>1</v>
      </c>
      <c r="L93" s="3103"/>
      <c r="M93" s="2407">
        <f t="shared" si="28"/>
        <v>1</v>
      </c>
      <c r="N93" s="3103"/>
      <c r="O93" s="2407">
        <f t="shared" si="29"/>
        <v>1</v>
      </c>
      <c r="P93" s="3103"/>
      <c r="Q93" s="2407">
        <f t="shared" si="30"/>
        <v>0</v>
      </c>
      <c r="R93" s="2407">
        <f t="shared" si="31"/>
        <v>0</v>
      </c>
      <c r="S93" s="3098">
        <f t="shared" si="22"/>
        <v>0</v>
      </c>
    </row>
    <row r="94" spans="1:19">
      <c r="A94" s="2571"/>
      <c r="B94" s="3107"/>
      <c r="C94" s="2407">
        <f t="shared" si="23"/>
        <v>1</v>
      </c>
      <c r="D94" s="3103"/>
      <c r="E94" s="2407">
        <f t="shared" si="24"/>
        <v>1</v>
      </c>
      <c r="F94" s="3103"/>
      <c r="G94" s="2407">
        <f t="shared" si="25"/>
        <v>1</v>
      </c>
      <c r="H94" s="3103"/>
      <c r="I94" s="2407">
        <f t="shared" si="26"/>
        <v>1</v>
      </c>
      <c r="J94" s="3103"/>
      <c r="K94" s="2407">
        <f t="shared" si="27"/>
        <v>1</v>
      </c>
      <c r="L94" s="3103"/>
      <c r="M94" s="2407">
        <f t="shared" si="28"/>
        <v>1</v>
      </c>
      <c r="N94" s="3103"/>
      <c r="O94" s="2407">
        <f t="shared" si="29"/>
        <v>1</v>
      </c>
      <c r="P94" s="3103"/>
      <c r="Q94" s="2407">
        <f t="shared" si="30"/>
        <v>0</v>
      </c>
      <c r="R94" s="2407">
        <f t="shared" si="31"/>
        <v>0</v>
      </c>
      <c r="S94" s="3098">
        <f t="shared" si="22"/>
        <v>0</v>
      </c>
    </row>
    <row r="95" spans="1:19">
      <c r="A95" s="2571"/>
      <c r="B95" s="3107"/>
      <c r="C95" s="2407">
        <f t="shared" si="23"/>
        <v>1</v>
      </c>
      <c r="D95" s="3103"/>
      <c r="E95" s="2407">
        <f t="shared" si="24"/>
        <v>1</v>
      </c>
      <c r="F95" s="3103"/>
      <c r="G95" s="2407">
        <f t="shared" si="25"/>
        <v>1</v>
      </c>
      <c r="H95" s="3103"/>
      <c r="I95" s="2407">
        <f t="shared" si="26"/>
        <v>1</v>
      </c>
      <c r="J95" s="3103"/>
      <c r="K95" s="2407">
        <f t="shared" si="27"/>
        <v>1</v>
      </c>
      <c r="L95" s="3103"/>
      <c r="M95" s="2407">
        <f t="shared" si="28"/>
        <v>1</v>
      </c>
      <c r="N95" s="3103"/>
      <c r="O95" s="2407">
        <f t="shared" si="29"/>
        <v>1</v>
      </c>
      <c r="P95" s="3103"/>
      <c r="Q95" s="2407">
        <f t="shared" si="30"/>
        <v>0</v>
      </c>
      <c r="R95" s="2407">
        <f t="shared" si="31"/>
        <v>0</v>
      </c>
      <c r="S95" s="3098">
        <f t="shared" si="22"/>
        <v>0</v>
      </c>
    </row>
    <row r="96" spans="1:19">
      <c r="A96" s="2571"/>
      <c r="B96" s="3107"/>
      <c r="C96" s="2407">
        <f t="shared" si="23"/>
        <v>1</v>
      </c>
      <c r="D96" s="3103"/>
      <c r="E96" s="2407">
        <f t="shared" si="24"/>
        <v>1</v>
      </c>
      <c r="F96" s="3103"/>
      <c r="G96" s="2407">
        <f t="shared" si="25"/>
        <v>1</v>
      </c>
      <c r="H96" s="3103"/>
      <c r="I96" s="2407">
        <f t="shared" si="26"/>
        <v>1</v>
      </c>
      <c r="J96" s="3103"/>
      <c r="K96" s="2407">
        <f t="shared" si="27"/>
        <v>1</v>
      </c>
      <c r="L96" s="3103"/>
      <c r="M96" s="2407">
        <f t="shared" si="28"/>
        <v>1</v>
      </c>
      <c r="N96" s="3103"/>
      <c r="O96" s="2407">
        <f t="shared" si="29"/>
        <v>1</v>
      </c>
      <c r="P96" s="3103"/>
      <c r="Q96" s="2407">
        <f t="shared" si="30"/>
        <v>0</v>
      </c>
      <c r="R96" s="2407">
        <f t="shared" si="31"/>
        <v>0</v>
      </c>
      <c r="S96" s="3098">
        <f t="shared" si="22"/>
        <v>0</v>
      </c>
    </row>
    <row r="97" spans="1:19">
      <c r="A97" s="2571"/>
      <c r="B97" s="3107"/>
      <c r="C97" s="2407">
        <f t="shared" si="23"/>
        <v>1</v>
      </c>
      <c r="D97" s="3103"/>
      <c r="E97" s="2407">
        <f t="shared" si="24"/>
        <v>1</v>
      </c>
      <c r="F97" s="3103"/>
      <c r="G97" s="2407">
        <f t="shared" si="25"/>
        <v>1</v>
      </c>
      <c r="H97" s="3103"/>
      <c r="I97" s="2407">
        <f t="shared" si="26"/>
        <v>1</v>
      </c>
      <c r="J97" s="3103"/>
      <c r="K97" s="2407">
        <f t="shared" si="27"/>
        <v>1</v>
      </c>
      <c r="L97" s="3103"/>
      <c r="M97" s="2407">
        <f t="shared" si="28"/>
        <v>1</v>
      </c>
      <c r="N97" s="3103"/>
      <c r="O97" s="2407">
        <f t="shared" si="29"/>
        <v>1</v>
      </c>
      <c r="P97" s="3103"/>
      <c r="Q97" s="2407">
        <f t="shared" si="30"/>
        <v>0</v>
      </c>
      <c r="R97" s="2407">
        <f t="shared" si="31"/>
        <v>0</v>
      </c>
      <c r="S97" s="3098">
        <f t="shared" si="22"/>
        <v>0</v>
      </c>
    </row>
    <row r="98" spans="1:19">
      <c r="A98" s="2571"/>
      <c r="B98" s="3107"/>
      <c r="C98" s="2407">
        <f t="shared" si="23"/>
        <v>1</v>
      </c>
      <c r="D98" s="3103"/>
      <c r="E98" s="2407">
        <f t="shared" si="24"/>
        <v>1</v>
      </c>
      <c r="F98" s="3103"/>
      <c r="G98" s="2407">
        <f t="shared" si="25"/>
        <v>1</v>
      </c>
      <c r="H98" s="3103"/>
      <c r="I98" s="2407">
        <f t="shared" si="26"/>
        <v>1</v>
      </c>
      <c r="J98" s="3103"/>
      <c r="K98" s="2407">
        <f t="shared" si="27"/>
        <v>1</v>
      </c>
      <c r="L98" s="3103"/>
      <c r="M98" s="2407">
        <f t="shared" si="28"/>
        <v>1</v>
      </c>
      <c r="N98" s="3103"/>
      <c r="O98" s="2407">
        <f t="shared" si="29"/>
        <v>1</v>
      </c>
      <c r="P98" s="3103"/>
      <c r="Q98" s="2407">
        <f t="shared" si="30"/>
        <v>0</v>
      </c>
      <c r="R98" s="2407">
        <f t="shared" si="31"/>
        <v>0</v>
      </c>
      <c r="S98" s="3098">
        <f t="shared" si="22"/>
        <v>0</v>
      </c>
    </row>
    <row r="99" spans="1:19">
      <c r="A99" s="2571"/>
      <c r="B99" s="3107"/>
      <c r="C99" s="2407">
        <f t="shared" si="23"/>
        <v>1</v>
      </c>
      <c r="D99" s="3103"/>
      <c r="E99" s="2407">
        <f t="shared" si="24"/>
        <v>1</v>
      </c>
      <c r="F99" s="3103"/>
      <c r="G99" s="2407">
        <f t="shared" si="25"/>
        <v>1</v>
      </c>
      <c r="H99" s="3103"/>
      <c r="I99" s="2407">
        <f t="shared" si="26"/>
        <v>1</v>
      </c>
      <c r="J99" s="3103"/>
      <c r="K99" s="2407">
        <f t="shared" si="27"/>
        <v>1</v>
      </c>
      <c r="L99" s="3103"/>
      <c r="M99" s="2407">
        <f t="shared" si="28"/>
        <v>1</v>
      </c>
      <c r="N99" s="3103"/>
      <c r="O99" s="2407">
        <f t="shared" si="29"/>
        <v>1</v>
      </c>
      <c r="P99" s="3103"/>
      <c r="Q99" s="2407">
        <f t="shared" si="30"/>
        <v>0</v>
      </c>
      <c r="R99" s="2407">
        <f t="shared" si="31"/>
        <v>0</v>
      </c>
      <c r="S99" s="3098">
        <f t="shared" si="22"/>
        <v>0</v>
      </c>
    </row>
    <row r="100" spans="1:19">
      <c r="A100" s="2571"/>
      <c r="B100" s="3107"/>
      <c r="C100" s="2407">
        <f t="shared" si="23"/>
        <v>1</v>
      </c>
      <c r="D100" s="3103"/>
      <c r="E100" s="2407">
        <f t="shared" si="24"/>
        <v>1</v>
      </c>
      <c r="F100" s="3103"/>
      <c r="G100" s="2407">
        <f t="shared" si="25"/>
        <v>1</v>
      </c>
      <c r="H100" s="3103"/>
      <c r="I100" s="2407">
        <f t="shared" si="26"/>
        <v>1</v>
      </c>
      <c r="J100" s="3103"/>
      <c r="K100" s="2407">
        <f t="shared" si="27"/>
        <v>1</v>
      </c>
      <c r="L100" s="3103"/>
      <c r="M100" s="2407">
        <f t="shared" si="28"/>
        <v>1</v>
      </c>
      <c r="N100" s="3103"/>
      <c r="O100" s="2407">
        <f t="shared" si="29"/>
        <v>1</v>
      </c>
      <c r="P100" s="3103"/>
      <c r="Q100" s="2407">
        <f t="shared" si="30"/>
        <v>0</v>
      </c>
      <c r="R100" s="2407">
        <f t="shared" si="31"/>
        <v>0</v>
      </c>
      <c r="S100" s="3098">
        <f t="shared" si="22"/>
        <v>0</v>
      </c>
    </row>
    <row r="101" spans="1:19">
      <c r="A101" s="2571"/>
      <c r="B101" s="3107"/>
      <c r="C101" s="2407">
        <f t="shared" si="23"/>
        <v>1</v>
      </c>
      <c r="D101" s="3103"/>
      <c r="E101" s="2407">
        <f t="shared" si="24"/>
        <v>1</v>
      </c>
      <c r="F101" s="3103"/>
      <c r="G101" s="2407">
        <f t="shared" si="25"/>
        <v>1</v>
      </c>
      <c r="H101" s="3103"/>
      <c r="I101" s="2407">
        <f t="shared" si="26"/>
        <v>1</v>
      </c>
      <c r="J101" s="3103"/>
      <c r="K101" s="2407">
        <f t="shared" si="27"/>
        <v>1</v>
      </c>
      <c r="L101" s="3103"/>
      <c r="M101" s="2407">
        <f t="shared" si="28"/>
        <v>1</v>
      </c>
      <c r="N101" s="3103"/>
      <c r="O101" s="2407">
        <f t="shared" si="29"/>
        <v>1</v>
      </c>
      <c r="P101" s="3103"/>
      <c r="Q101" s="2407">
        <f t="shared" si="30"/>
        <v>0</v>
      </c>
      <c r="R101" s="2407">
        <f t="shared" si="31"/>
        <v>0</v>
      </c>
      <c r="S101" s="3098">
        <f t="shared" si="22"/>
        <v>0</v>
      </c>
    </row>
    <row r="102" spans="1:19">
      <c r="A102" s="2571"/>
      <c r="B102" s="3107"/>
      <c r="C102" s="2407">
        <f t="shared" si="23"/>
        <v>1</v>
      </c>
      <c r="D102" s="3103"/>
      <c r="E102" s="2407">
        <f t="shared" si="24"/>
        <v>1</v>
      </c>
      <c r="F102" s="3103"/>
      <c r="G102" s="2407">
        <f t="shared" si="25"/>
        <v>1</v>
      </c>
      <c r="H102" s="3103"/>
      <c r="I102" s="2407">
        <f t="shared" si="26"/>
        <v>1</v>
      </c>
      <c r="J102" s="3103"/>
      <c r="K102" s="2407">
        <f t="shared" si="27"/>
        <v>1</v>
      </c>
      <c r="L102" s="3103"/>
      <c r="M102" s="2407">
        <f t="shared" si="28"/>
        <v>1</v>
      </c>
      <c r="N102" s="3103"/>
      <c r="O102" s="2407">
        <f t="shared" si="29"/>
        <v>1</v>
      </c>
      <c r="P102" s="3103"/>
      <c r="Q102" s="2407">
        <f t="shared" si="30"/>
        <v>0</v>
      </c>
      <c r="R102" s="2407">
        <f t="shared" si="31"/>
        <v>0</v>
      </c>
      <c r="S102" s="3098">
        <f t="shared" si="22"/>
        <v>0</v>
      </c>
    </row>
    <row r="103" spans="1:19">
      <c r="A103" s="2571"/>
      <c r="B103" s="3107"/>
      <c r="C103" s="2407">
        <f t="shared" si="23"/>
        <v>1</v>
      </c>
      <c r="D103" s="3103"/>
      <c r="E103" s="2407">
        <f t="shared" si="24"/>
        <v>1</v>
      </c>
      <c r="F103" s="3103"/>
      <c r="G103" s="2407">
        <f t="shared" si="25"/>
        <v>1</v>
      </c>
      <c r="H103" s="3103"/>
      <c r="I103" s="2407">
        <f t="shared" si="26"/>
        <v>1</v>
      </c>
      <c r="J103" s="3103"/>
      <c r="K103" s="2407">
        <f t="shared" si="27"/>
        <v>1</v>
      </c>
      <c r="L103" s="3103"/>
      <c r="M103" s="2407">
        <f t="shared" si="28"/>
        <v>1</v>
      </c>
      <c r="N103" s="3103"/>
      <c r="O103" s="2407">
        <f t="shared" si="29"/>
        <v>1</v>
      </c>
      <c r="P103" s="3103"/>
      <c r="Q103" s="2407">
        <f t="shared" si="30"/>
        <v>0</v>
      </c>
      <c r="R103" s="2407">
        <f t="shared" si="31"/>
        <v>0</v>
      </c>
      <c r="S103" s="3098">
        <f t="shared" si="22"/>
        <v>0</v>
      </c>
    </row>
    <row r="104" spans="1:19">
      <c r="A104" s="2571"/>
      <c r="B104" s="3107"/>
      <c r="C104" s="2407">
        <f t="shared" si="23"/>
        <v>1</v>
      </c>
      <c r="D104" s="3103"/>
      <c r="E104" s="2407">
        <f t="shared" si="24"/>
        <v>1</v>
      </c>
      <c r="F104" s="3103"/>
      <c r="G104" s="2407">
        <f t="shared" si="25"/>
        <v>1</v>
      </c>
      <c r="H104" s="3103"/>
      <c r="I104" s="2407">
        <f t="shared" si="26"/>
        <v>1</v>
      </c>
      <c r="J104" s="3103"/>
      <c r="K104" s="2407">
        <f t="shared" si="27"/>
        <v>1</v>
      </c>
      <c r="L104" s="3103"/>
      <c r="M104" s="2407">
        <f t="shared" si="28"/>
        <v>1</v>
      </c>
      <c r="N104" s="3103"/>
      <c r="O104" s="2407">
        <f t="shared" si="29"/>
        <v>1</v>
      </c>
      <c r="P104" s="3103"/>
      <c r="Q104" s="2407">
        <f t="shared" si="30"/>
        <v>0</v>
      </c>
      <c r="R104" s="2407">
        <f t="shared" si="31"/>
        <v>0</v>
      </c>
      <c r="S104" s="3098">
        <f t="shared" si="22"/>
        <v>0</v>
      </c>
    </row>
    <row r="105" spans="1:19">
      <c r="A105" s="2571"/>
      <c r="B105" s="3107"/>
      <c r="C105" s="2407">
        <f t="shared" si="23"/>
        <v>1</v>
      </c>
      <c r="D105" s="3103"/>
      <c r="E105" s="2407">
        <f t="shared" si="24"/>
        <v>1</v>
      </c>
      <c r="F105" s="3103"/>
      <c r="G105" s="2407">
        <f t="shared" si="25"/>
        <v>1</v>
      </c>
      <c r="H105" s="3103"/>
      <c r="I105" s="2407">
        <f t="shared" si="26"/>
        <v>1</v>
      </c>
      <c r="J105" s="3103"/>
      <c r="K105" s="2407">
        <f t="shared" si="27"/>
        <v>1</v>
      </c>
      <c r="L105" s="3103"/>
      <c r="M105" s="2407">
        <f t="shared" si="28"/>
        <v>1</v>
      </c>
      <c r="N105" s="3103"/>
      <c r="O105" s="2407">
        <f t="shared" si="29"/>
        <v>1</v>
      </c>
      <c r="P105" s="3103"/>
      <c r="Q105" s="2407">
        <f t="shared" si="30"/>
        <v>0</v>
      </c>
      <c r="R105" s="2407">
        <f t="shared" si="31"/>
        <v>0</v>
      </c>
      <c r="S105" s="3098">
        <f t="shared" si="22"/>
        <v>0</v>
      </c>
    </row>
    <row r="106" spans="1:19">
      <c r="A106" s="2571"/>
      <c r="B106" s="3107"/>
      <c r="C106" s="2407">
        <f t="shared" si="23"/>
        <v>1</v>
      </c>
      <c r="D106" s="3103"/>
      <c r="E106" s="2407">
        <f t="shared" si="24"/>
        <v>1</v>
      </c>
      <c r="F106" s="3103"/>
      <c r="G106" s="2407">
        <f t="shared" si="25"/>
        <v>1</v>
      </c>
      <c r="H106" s="3103"/>
      <c r="I106" s="2407">
        <f t="shared" si="26"/>
        <v>1</v>
      </c>
      <c r="J106" s="3103"/>
      <c r="K106" s="2407">
        <f t="shared" si="27"/>
        <v>1</v>
      </c>
      <c r="L106" s="3103"/>
      <c r="M106" s="2407">
        <f t="shared" si="28"/>
        <v>1</v>
      </c>
      <c r="N106" s="3103"/>
      <c r="O106" s="2407">
        <f t="shared" si="29"/>
        <v>1</v>
      </c>
      <c r="P106" s="3103"/>
      <c r="Q106" s="2407">
        <f t="shared" si="30"/>
        <v>0</v>
      </c>
      <c r="R106" s="2407">
        <f t="shared" si="31"/>
        <v>0</v>
      </c>
      <c r="S106" s="3098">
        <f t="shared" si="22"/>
        <v>0</v>
      </c>
    </row>
    <row r="107" spans="1:19">
      <c r="A107" s="2571"/>
      <c r="B107" s="3107"/>
      <c r="C107" s="2407">
        <f t="shared" si="23"/>
        <v>1</v>
      </c>
      <c r="D107" s="3103"/>
      <c r="E107" s="2407">
        <f t="shared" si="24"/>
        <v>1</v>
      </c>
      <c r="F107" s="3103"/>
      <c r="G107" s="2407">
        <f t="shared" si="25"/>
        <v>1</v>
      </c>
      <c r="H107" s="3103"/>
      <c r="I107" s="2407">
        <f t="shared" si="26"/>
        <v>1</v>
      </c>
      <c r="J107" s="3103"/>
      <c r="K107" s="2407">
        <f t="shared" si="27"/>
        <v>1</v>
      </c>
      <c r="L107" s="3103"/>
      <c r="M107" s="2407">
        <f t="shared" si="28"/>
        <v>1</v>
      </c>
      <c r="N107" s="3103"/>
      <c r="O107" s="2407">
        <f t="shared" si="29"/>
        <v>1</v>
      </c>
      <c r="P107" s="3103"/>
      <c r="Q107" s="2407">
        <f t="shared" si="30"/>
        <v>0</v>
      </c>
      <c r="R107" s="2407">
        <f t="shared" si="31"/>
        <v>0</v>
      </c>
      <c r="S107" s="3098">
        <f t="shared" si="22"/>
        <v>0</v>
      </c>
    </row>
    <row r="108" spans="1:19">
      <c r="A108" s="2571"/>
      <c r="B108" s="3107"/>
      <c r="C108" s="2407">
        <f t="shared" si="23"/>
        <v>1</v>
      </c>
      <c r="D108" s="3103"/>
      <c r="E108" s="2407">
        <f t="shared" si="24"/>
        <v>1</v>
      </c>
      <c r="F108" s="3103"/>
      <c r="G108" s="2407">
        <f t="shared" si="25"/>
        <v>1</v>
      </c>
      <c r="H108" s="3103"/>
      <c r="I108" s="2407">
        <f t="shared" si="26"/>
        <v>1</v>
      </c>
      <c r="J108" s="3103"/>
      <c r="K108" s="2407">
        <f t="shared" si="27"/>
        <v>1</v>
      </c>
      <c r="L108" s="3103"/>
      <c r="M108" s="2407">
        <f t="shared" si="28"/>
        <v>1</v>
      </c>
      <c r="N108" s="3103"/>
      <c r="O108" s="2407">
        <f t="shared" si="29"/>
        <v>1</v>
      </c>
      <c r="P108" s="3103"/>
      <c r="Q108" s="2407">
        <f t="shared" si="30"/>
        <v>0</v>
      </c>
      <c r="R108" s="2407">
        <f t="shared" si="31"/>
        <v>0</v>
      </c>
      <c r="S108" s="3098">
        <f t="shared" si="22"/>
        <v>0</v>
      </c>
    </row>
    <row r="109" spans="1:19">
      <c r="A109" s="2571"/>
      <c r="B109" s="3107"/>
      <c r="C109" s="2407">
        <f t="shared" si="23"/>
        <v>1</v>
      </c>
      <c r="D109" s="3103"/>
      <c r="E109" s="2407">
        <f t="shared" si="24"/>
        <v>1</v>
      </c>
      <c r="F109" s="3103"/>
      <c r="G109" s="2407">
        <f t="shared" si="25"/>
        <v>1</v>
      </c>
      <c r="H109" s="3103"/>
      <c r="I109" s="2407">
        <f t="shared" si="26"/>
        <v>1</v>
      </c>
      <c r="J109" s="3103"/>
      <c r="K109" s="2407">
        <f t="shared" si="27"/>
        <v>1</v>
      </c>
      <c r="L109" s="3103"/>
      <c r="M109" s="2407">
        <f t="shared" si="28"/>
        <v>1</v>
      </c>
      <c r="N109" s="3103"/>
      <c r="O109" s="2407">
        <f t="shared" si="29"/>
        <v>1</v>
      </c>
      <c r="P109" s="3103"/>
      <c r="Q109" s="2407">
        <f t="shared" si="30"/>
        <v>0</v>
      </c>
      <c r="R109" s="2407">
        <f t="shared" si="31"/>
        <v>0</v>
      </c>
      <c r="S109" s="3098">
        <f t="shared" si="22"/>
        <v>0</v>
      </c>
    </row>
    <row r="110" spans="1:19">
      <c r="A110" s="2571"/>
      <c r="B110" s="3107"/>
      <c r="C110" s="2407">
        <f t="shared" si="23"/>
        <v>1</v>
      </c>
      <c r="D110" s="3103"/>
      <c r="E110" s="2407">
        <f t="shared" si="24"/>
        <v>1</v>
      </c>
      <c r="F110" s="3103"/>
      <c r="G110" s="2407">
        <f t="shared" si="25"/>
        <v>1</v>
      </c>
      <c r="H110" s="3103"/>
      <c r="I110" s="2407">
        <f t="shared" si="26"/>
        <v>1</v>
      </c>
      <c r="J110" s="3103"/>
      <c r="K110" s="2407">
        <f t="shared" si="27"/>
        <v>1</v>
      </c>
      <c r="L110" s="3103"/>
      <c r="M110" s="2407">
        <f t="shared" si="28"/>
        <v>1</v>
      </c>
      <c r="N110" s="3103"/>
      <c r="O110" s="2407">
        <f t="shared" si="29"/>
        <v>1</v>
      </c>
      <c r="P110" s="3103"/>
      <c r="Q110" s="2407">
        <f t="shared" si="30"/>
        <v>0</v>
      </c>
      <c r="R110" s="2407">
        <f t="shared" si="31"/>
        <v>0</v>
      </c>
      <c r="S110" s="3098">
        <f t="shared" si="22"/>
        <v>0</v>
      </c>
    </row>
    <row r="111" spans="1:19">
      <c r="A111" s="2571"/>
      <c r="B111" s="3107"/>
      <c r="C111" s="2407">
        <f t="shared" si="23"/>
        <v>1</v>
      </c>
      <c r="D111" s="3103"/>
      <c r="E111" s="2407">
        <f t="shared" si="24"/>
        <v>1</v>
      </c>
      <c r="F111" s="3103"/>
      <c r="G111" s="2407">
        <f t="shared" si="25"/>
        <v>1</v>
      </c>
      <c r="H111" s="3103"/>
      <c r="I111" s="2407">
        <f t="shared" si="26"/>
        <v>1</v>
      </c>
      <c r="J111" s="3103"/>
      <c r="K111" s="2407">
        <f t="shared" si="27"/>
        <v>1</v>
      </c>
      <c r="L111" s="3103"/>
      <c r="M111" s="2407">
        <f t="shared" si="28"/>
        <v>1</v>
      </c>
      <c r="N111" s="3103"/>
      <c r="O111" s="2407">
        <f t="shared" si="29"/>
        <v>1</v>
      </c>
      <c r="P111" s="3103"/>
      <c r="Q111" s="2407">
        <f t="shared" si="30"/>
        <v>0</v>
      </c>
      <c r="R111" s="2407">
        <f t="shared" si="31"/>
        <v>0</v>
      </c>
      <c r="S111" s="3098">
        <f t="shared" si="22"/>
        <v>0</v>
      </c>
    </row>
    <row r="112" spans="1:19">
      <c r="A112" s="2571"/>
      <c r="B112" s="3107"/>
      <c r="C112" s="2407">
        <f t="shared" si="23"/>
        <v>1</v>
      </c>
      <c r="D112" s="3103"/>
      <c r="E112" s="2407">
        <f t="shared" si="24"/>
        <v>1</v>
      </c>
      <c r="F112" s="3103"/>
      <c r="G112" s="2407">
        <f t="shared" si="25"/>
        <v>1</v>
      </c>
      <c r="H112" s="3103"/>
      <c r="I112" s="2407">
        <f t="shared" si="26"/>
        <v>1</v>
      </c>
      <c r="J112" s="3103"/>
      <c r="K112" s="2407">
        <f t="shared" si="27"/>
        <v>1</v>
      </c>
      <c r="L112" s="3103"/>
      <c r="M112" s="2407">
        <f t="shared" si="28"/>
        <v>1</v>
      </c>
      <c r="N112" s="3103"/>
      <c r="O112" s="2407">
        <f t="shared" si="29"/>
        <v>1</v>
      </c>
      <c r="P112" s="3103"/>
      <c r="Q112" s="2407">
        <f t="shared" si="30"/>
        <v>0</v>
      </c>
      <c r="R112" s="2407">
        <f t="shared" si="31"/>
        <v>0</v>
      </c>
      <c r="S112" s="3098">
        <f t="shared" si="22"/>
        <v>0</v>
      </c>
    </row>
    <row r="113" spans="1:19">
      <c r="A113" s="2571"/>
      <c r="B113" s="3107"/>
      <c r="C113" s="2407">
        <f t="shared" si="23"/>
        <v>1</v>
      </c>
      <c r="D113" s="3103"/>
      <c r="E113" s="2407">
        <f t="shared" si="24"/>
        <v>1</v>
      </c>
      <c r="F113" s="3103"/>
      <c r="G113" s="2407">
        <f t="shared" si="25"/>
        <v>1</v>
      </c>
      <c r="H113" s="3103"/>
      <c r="I113" s="2407">
        <f t="shared" si="26"/>
        <v>1</v>
      </c>
      <c r="J113" s="3103"/>
      <c r="K113" s="2407">
        <f t="shared" si="27"/>
        <v>1</v>
      </c>
      <c r="L113" s="3103"/>
      <c r="M113" s="2407">
        <f t="shared" si="28"/>
        <v>1</v>
      </c>
      <c r="N113" s="3103"/>
      <c r="O113" s="2407">
        <f t="shared" si="29"/>
        <v>1</v>
      </c>
      <c r="P113" s="3103"/>
      <c r="Q113" s="2407">
        <f t="shared" si="30"/>
        <v>0</v>
      </c>
      <c r="R113" s="2407">
        <f t="shared" si="31"/>
        <v>0</v>
      </c>
      <c r="S113" s="3098">
        <f t="shared" si="22"/>
        <v>0</v>
      </c>
    </row>
    <row r="114" spans="1:19">
      <c r="A114" s="2571"/>
      <c r="B114" s="3107"/>
      <c r="C114" s="2407">
        <f t="shared" si="23"/>
        <v>1</v>
      </c>
      <c r="D114" s="3103"/>
      <c r="E114" s="2407">
        <f t="shared" si="24"/>
        <v>1</v>
      </c>
      <c r="F114" s="3103"/>
      <c r="G114" s="2407">
        <f t="shared" si="25"/>
        <v>1</v>
      </c>
      <c r="H114" s="3103"/>
      <c r="I114" s="2407">
        <f t="shared" si="26"/>
        <v>1</v>
      </c>
      <c r="J114" s="3103"/>
      <c r="K114" s="2407">
        <f t="shared" si="27"/>
        <v>1</v>
      </c>
      <c r="L114" s="3103"/>
      <c r="M114" s="2407">
        <f t="shared" si="28"/>
        <v>1</v>
      </c>
      <c r="N114" s="3103"/>
      <c r="O114" s="2407">
        <f t="shared" si="29"/>
        <v>1</v>
      </c>
      <c r="P114" s="3103"/>
      <c r="Q114" s="2407">
        <f t="shared" si="30"/>
        <v>0</v>
      </c>
      <c r="R114" s="2407">
        <f t="shared" si="31"/>
        <v>0</v>
      </c>
      <c r="S114" s="3098">
        <f t="shared" si="22"/>
        <v>0</v>
      </c>
    </row>
    <row r="115" spans="1:19">
      <c r="A115" s="2571"/>
      <c r="B115" s="3107"/>
      <c r="C115" s="2407">
        <f t="shared" si="23"/>
        <v>1</v>
      </c>
      <c r="D115" s="3103"/>
      <c r="E115" s="2407">
        <f t="shared" si="24"/>
        <v>1</v>
      </c>
      <c r="F115" s="3103"/>
      <c r="G115" s="2407">
        <f t="shared" si="25"/>
        <v>1</v>
      </c>
      <c r="H115" s="3103"/>
      <c r="I115" s="2407">
        <f t="shared" si="26"/>
        <v>1</v>
      </c>
      <c r="J115" s="3103"/>
      <c r="K115" s="2407">
        <f t="shared" si="27"/>
        <v>1</v>
      </c>
      <c r="L115" s="3103"/>
      <c r="M115" s="2407">
        <f t="shared" si="28"/>
        <v>1</v>
      </c>
      <c r="N115" s="3103"/>
      <c r="O115" s="2407">
        <f t="shared" si="29"/>
        <v>1</v>
      </c>
      <c r="P115" s="3103"/>
      <c r="Q115" s="2407">
        <f t="shared" si="30"/>
        <v>0</v>
      </c>
      <c r="R115" s="2407">
        <f t="shared" si="31"/>
        <v>0</v>
      </c>
      <c r="S115" s="3098">
        <f t="shared" si="22"/>
        <v>0</v>
      </c>
    </row>
    <row r="116" spans="1:19">
      <c r="A116" s="2571"/>
      <c r="B116" s="3107"/>
      <c r="C116" s="2407">
        <f t="shared" si="23"/>
        <v>1</v>
      </c>
      <c r="D116" s="3103"/>
      <c r="E116" s="2407">
        <f t="shared" si="24"/>
        <v>1</v>
      </c>
      <c r="F116" s="3103"/>
      <c r="G116" s="2407">
        <f t="shared" si="25"/>
        <v>1</v>
      </c>
      <c r="H116" s="3103"/>
      <c r="I116" s="2407">
        <f t="shared" si="26"/>
        <v>1</v>
      </c>
      <c r="J116" s="3103"/>
      <c r="K116" s="2407">
        <f t="shared" si="27"/>
        <v>1</v>
      </c>
      <c r="L116" s="3103"/>
      <c r="M116" s="2407">
        <f t="shared" si="28"/>
        <v>1</v>
      </c>
      <c r="N116" s="3103"/>
      <c r="O116" s="2407">
        <f t="shared" si="29"/>
        <v>1</v>
      </c>
      <c r="P116" s="3103"/>
      <c r="Q116" s="2407">
        <f t="shared" si="30"/>
        <v>0</v>
      </c>
      <c r="R116" s="2407">
        <f t="shared" si="31"/>
        <v>0</v>
      </c>
      <c r="S116" s="3098">
        <f t="shared" si="22"/>
        <v>0</v>
      </c>
    </row>
    <row r="117" spans="1:19">
      <c r="A117" s="2571"/>
      <c r="B117" s="3107"/>
      <c r="C117" s="2407">
        <f t="shared" si="23"/>
        <v>1</v>
      </c>
      <c r="D117" s="3103"/>
      <c r="E117" s="2407">
        <f t="shared" si="24"/>
        <v>1</v>
      </c>
      <c r="F117" s="3103"/>
      <c r="G117" s="2407">
        <f t="shared" si="25"/>
        <v>1</v>
      </c>
      <c r="H117" s="3103"/>
      <c r="I117" s="2407">
        <f t="shared" si="26"/>
        <v>1</v>
      </c>
      <c r="J117" s="3103"/>
      <c r="K117" s="2407">
        <f t="shared" si="27"/>
        <v>1</v>
      </c>
      <c r="L117" s="3103"/>
      <c r="M117" s="2407">
        <f t="shared" si="28"/>
        <v>1</v>
      </c>
      <c r="N117" s="3103"/>
      <c r="O117" s="2407">
        <f t="shared" si="29"/>
        <v>1</v>
      </c>
      <c r="P117" s="3103"/>
      <c r="Q117" s="2407">
        <f t="shared" si="30"/>
        <v>0</v>
      </c>
      <c r="R117" s="2407">
        <f t="shared" si="31"/>
        <v>0</v>
      </c>
      <c r="S117" s="3098">
        <f t="shared" si="22"/>
        <v>0</v>
      </c>
    </row>
    <row r="118" spans="1:19">
      <c r="A118" s="2571"/>
      <c r="B118" s="3107"/>
      <c r="C118" s="2407">
        <f t="shared" si="23"/>
        <v>1</v>
      </c>
      <c r="D118" s="3103"/>
      <c r="E118" s="2407">
        <f t="shared" si="24"/>
        <v>1</v>
      </c>
      <c r="F118" s="3103"/>
      <c r="G118" s="2407">
        <f t="shared" si="25"/>
        <v>1</v>
      </c>
      <c r="H118" s="3103"/>
      <c r="I118" s="2407">
        <f t="shared" si="26"/>
        <v>1</v>
      </c>
      <c r="J118" s="3103"/>
      <c r="K118" s="2407">
        <f t="shared" si="27"/>
        <v>1</v>
      </c>
      <c r="L118" s="3103"/>
      <c r="M118" s="2407">
        <f t="shared" si="28"/>
        <v>1</v>
      </c>
      <c r="N118" s="3103"/>
      <c r="O118" s="2407">
        <f t="shared" si="29"/>
        <v>1</v>
      </c>
      <c r="P118" s="3103"/>
      <c r="Q118" s="2407">
        <f t="shared" si="30"/>
        <v>0</v>
      </c>
      <c r="R118" s="2407">
        <f t="shared" si="31"/>
        <v>0</v>
      </c>
      <c r="S118" s="3098">
        <f t="shared" si="22"/>
        <v>0</v>
      </c>
    </row>
    <row r="119" spans="1:19">
      <c r="A119" s="2571"/>
      <c r="B119" s="3107"/>
      <c r="C119" s="2407">
        <f t="shared" si="23"/>
        <v>1</v>
      </c>
      <c r="D119" s="3103"/>
      <c r="E119" s="2407">
        <f t="shared" si="24"/>
        <v>1</v>
      </c>
      <c r="F119" s="3103"/>
      <c r="G119" s="2407">
        <f t="shared" si="25"/>
        <v>1</v>
      </c>
      <c r="H119" s="3103"/>
      <c r="I119" s="2407">
        <f t="shared" si="26"/>
        <v>1</v>
      </c>
      <c r="J119" s="3103"/>
      <c r="K119" s="2407">
        <f t="shared" si="27"/>
        <v>1</v>
      </c>
      <c r="L119" s="3103"/>
      <c r="M119" s="2407">
        <f t="shared" si="28"/>
        <v>1</v>
      </c>
      <c r="N119" s="3103"/>
      <c r="O119" s="2407">
        <f t="shared" si="29"/>
        <v>1</v>
      </c>
      <c r="P119" s="3103"/>
      <c r="Q119" s="2407">
        <f t="shared" si="30"/>
        <v>0</v>
      </c>
      <c r="R119" s="2407">
        <f t="shared" si="31"/>
        <v>0</v>
      </c>
      <c r="S119" s="3098">
        <f t="shared" si="22"/>
        <v>0</v>
      </c>
    </row>
    <row r="120" spans="1:19">
      <c r="A120" s="2571"/>
      <c r="B120" s="3107"/>
      <c r="C120" s="2407">
        <f t="shared" si="23"/>
        <v>1</v>
      </c>
      <c r="D120" s="3103"/>
      <c r="E120" s="2407">
        <f t="shared" si="24"/>
        <v>1</v>
      </c>
      <c r="F120" s="3103"/>
      <c r="G120" s="2407">
        <f t="shared" si="25"/>
        <v>1</v>
      </c>
      <c r="H120" s="3103"/>
      <c r="I120" s="2407">
        <f t="shared" si="26"/>
        <v>1</v>
      </c>
      <c r="J120" s="3103"/>
      <c r="K120" s="2407">
        <f t="shared" si="27"/>
        <v>1</v>
      </c>
      <c r="L120" s="3103"/>
      <c r="M120" s="2407">
        <f t="shared" si="28"/>
        <v>1</v>
      </c>
      <c r="N120" s="3103"/>
      <c r="O120" s="2407">
        <f t="shared" si="29"/>
        <v>1</v>
      </c>
      <c r="P120" s="3103"/>
      <c r="Q120" s="2407">
        <f t="shared" si="30"/>
        <v>0</v>
      </c>
      <c r="R120" s="2407">
        <f t="shared" si="31"/>
        <v>0</v>
      </c>
      <c r="S120" s="3098">
        <f t="shared" si="22"/>
        <v>0</v>
      </c>
    </row>
    <row r="121" spans="1:19">
      <c r="A121" s="2571"/>
      <c r="B121" s="3107"/>
      <c r="C121" s="2407">
        <f t="shared" si="23"/>
        <v>1</v>
      </c>
      <c r="D121" s="3103"/>
      <c r="E121" s="2407">
        <f t="shared" si="24"/>
        <v>1</v>
      </c>
      <c r="F121" s="3103"/>
      <c r="G121" s="2407">
        <f t="shared" si="25"/>
        <v>1</v>
      </c>
      <c r="H121" s="3103"/>
      <c r="I121" s="2407">
        <f t="shared" si="26"/>
        <v>1</v>
      </c>
      <c r="J121" s="3103"/>
      <c r="K121" s="2407">
        <f t="shared" si="27"/>
        <v>1</v>
      </c>
      <c r="L121" s="3103"/>
      <c r="M121" s="2407">
        <f t="shared" si="28"/>
        <v>1</v>
      </c>
      <c r="N121" s="3103"/>
      <c r="O121" s="2407">
        <f t="shared" si="29"/>
        <v>1</v>
      </c>
      <c r="P121" s="3103"/>
      <c r="Q121" s="2407">
        <f t="shared" si="30"/>
        <v>0</v>
      </c>
      <c r="R121" s="2407">
        <f t="shared" si="31"/>
        <v>0</v>
      </c>
      <c r="S121" s="3098">
        <f t="shared" si="22"/>
        <v>0</v>
      </c>
    </row>
    <row r="122" spans="1:19">
      <c r="A122" s="2571"/>
      <c r="B122" s="3107"/>
      <c r="C122" s="2407">
        <f t="shared" si="23"/>
        <v>1</v>
      </c>
      <c r="D122" s="3103"/>
      <c r="E122" s="2407">
        <f t="shared" si="24"/>
        <v>1</v>
      </c>
      <c r="F122" s="3103"/>
      <c r="G122" s="2407">
        <f t="shared" si="25"/>
        <v>1</v>
      </c>
      <c r="H122" s="3103"/>
      <c r="I122" s="2407">
        <f t="shared" si="26"/>
        <v>1</v>
      </c>
      <c r="J122" s="3103"/>
      <c r="K122" s="2407">
        <f t="shared" si="27"/>
        <v>1</v>
      </c>
      <c r="L122" s="3103"/>
      <c r="M122" s="2407">
        <f t="shared" si="28"/>
        <v>1</v>
      </c>
      <c r="N122" s="3103"/>
      <c r="O122" s="2407">
        <f t="shared" si="29"/>
        <v>1</v>
      </c>
      <c r="P122" s="3103"/>
      <c r="Q122" s="2407">
        <f t="shared" si="30"/>
        <v>0</v>
      </c>
      <c r="R122" s="2407">
        <f t="shared" si="31"/>
        <v>0</v>
      </c>
      <c r="S122" s="3098">
        <f t="shared" si="22"/>
        <v>0</v>
      </c>
    </row>
    <row r="123" spans="1:19">
      <c r="A123" s="2571"/>
      <c r="B123" s="3107"/>
      <c r="C123" s="2407">
        <f t="shared" si="23"/>
        <v>1</v>
      </c>
      <c r="D123" s="3103"/>
      <c r="E123" s="2407">
        <f t="shared" si="24"/>
        <v>1</v>
      </c>
      <c r="F123" s="3103"/>
      <c r="G123" s="2407">
        <f t="shared" si="25"/>
        <v>1</v>
      </c>
      <c r="H123" s="3103"/>
      <c r="I123" s="2407">
        <f t="shared" si="26"/>
        <v>1</v>
      </c>
      <c r="J123" s="3103"/>
      <c r="K123" s="2407">
        <f t="shared" si="27"/>
        <v>1</v>
      </c>
      <c r="L123" s="3103"/>
      <c r="M123" s="2407">
        <f t="shared" si="28"/>
        <v>1</v>
      </c>
      <c r="N123" s="3103"/>
      <c r="O123" s="2407">
        <f t="shared" si="29"/>
        <v>1</v>
      </c>
      <c r="P123" s="3103"/>
      <c r="Q123" s="2407">
        <f t="shared" si="30"/>
        <v>0</v>
      </c>
      <c r="R123" s="2407">
        <f t="shared" si="31"/>
        <v>0</v>
      </c>
      <c r="S123" s="3098">
        <f t="shared" ref="S123:S186" si="32">ROUND(R123*B123/10000,0)</f>
        <v>0</v>
      </c>
    </row>
    <row r="124" spans="1:19">
      <c r="A124" s="2571"/>
      <c r="B124" s="3107"/>
      <c r="C124" s="2407">
        <f t="shared" si="23"/>
        <v>1</v>
      </c>
      <c r="D124" s="3103"/>
      <c r="E124" s="2407">
        <f t="shared" si="24"/>
        <v>1</v>
      </c>
      <c r="F124" s="3103"/>
      <c r="G124" s="2407">
        <f t="shared" si="25"/>
        <v>1</v>
      </c>
      <c r="H124" s="3103"/>
      <c r="I124" s="2407">
        <f t="shared" si="26"/>
        <v>1</v>
      </c>
      <c r="J124" s="3103"/>
      <c r="K124" s="2407">
        <f t="shared" si="27"/>
        <v>1</v>
      </c>
      <c r="L124" s="3103"/>
      <c r="M124" s="2407">
        <f t="shared" si="28"/>
        <v>1</v>
      </c>
      <c r="N124" s="3103"/>
      <c r="O124" s="2407">
        <f t="shared" si="29"/>
        <v>1</v>
      </c>
      <c r="P124" s="3103"/>
      <c r="Q124" s="2407">
        <f t="shared" si="30"/>
        <v>0</v>
      </c>
      <c r="R124" s="2407">
        <f t="shared" si="31"/>
        <v>0</v>
      </c>
      <c r="S124" s="3098">
        <f t="shared" si="32"/>
        <v>0</v>
      </c>
    </row>
    <row r="125" spans="1:19">
      <c r="A125" s="2571"/>
      <c r="B125" s="3107"/>
      <c r="C125" s="2407">
        <f t="shared" si="23"/>
        <v>1</v>
      </c>
      <c r="D125" s="3103"/>
      <c r="E125" s="2407">
        <f t="shared" si="24"/>
        <v>1</v>
      </c>
      <c r="F125" s="3103"/>
      <c r="G125" s="2407">
        <f t="shared" si="25"/>
        <v>1</v>
      </c>
      <c r="H125" s="3103"/>
      <c r="I125" s="2407">
        <f t="shared" si="26"/>
        <v>1</v>
      </c>
      <c r="J125" s="3103"/>
      <c r="K125" s="2407">
        <f t="shared" si="27"/>
        <v>1</v>
      </c>
      <c r="L125" s="3103"/>
      <c r="M125" s="2407">
        <f t="shared" si="28"/>
        <v>1</v>
      </c>
      <c r="N125" s="3103"/>
      <c r="O125" s="2407">
        <f t="shared" si="29"/>
        <v>1</v>
      </c>
      <c r="P125" s="3103"/>
      <c r="Q125" s="2407">
        <f t="shared" si="30"/>
        <v>0</v>
      </c>
      <c r="R125" s="2407">
        <f t="shared" si="31"/>
        <v>0</v>
      </c>
      <c r="S125" s="3098">
        <f t="shared" si="32"/>
        <v>0</v>
      </c>
    </row>
    <row r="126" spans="1:19">
      <c r="A126" s="2571"/>
      <c r="B126" s="3107"/>
      <c r="C126" s="2407">
        <f t="shared" si="23"/>
        <v>1</v>
      </c>
      <c r="D126" s="3103"/>
      <c r="E126" s="2407">
        <f t="shared" si="24"/>
        <v>1</v>
      </c>
      <c r="F126" s="3103"/>
      <c r="G126" s="2407">
        <f t="shared" si="25"/>
        <v>1</v>
      </c>
      <c r="H126" s="3103"/>
      <c r="I126" s="2407">
        <f t="shared" si="26"/>
        <v>1</v>
      </c>
      <c r="J126" s="3103"/>
      <c r="K126" s="2407">
        <f t="shared" si="27"/>
        <v>1</v>
      </c>
      <c r="L126" s="3103"/>
      <c r="M126" s="2407">
        <f t="shared" si="28"/>
        <v>1</v>
      </c>
      <c r="N126" s="3103"/>
      <c r="O126" s="2407">
        <f t="shared" si="29"/>
        <v>1</v>
      </c>
      <c r="P126" s="3103"/>
      <c r="Q126" s="2407">
        <f t="shared" si="30"/>
        <v>0</v>
      </c>
      <c r="R126" s="2407">
        <f t="shared" si="31"/>
        <v>0</v>
      </c>
      <c r="S126" s="3098">
        <f t="shared" si="32"/>
        <v>0</v>
      </c>
    </row>
    <row r="127" spans="1:19">
      <c r="A127" s="2571"/>
      <c r="B127" s="3107"/>
      <c r="C127" s="2407">
        <f t="shared" si="23"/>
        <v>1</v>
      </c>
      <c r="D127" s="3103"/>
      <c r="E127" s="2407">
        <f t="shared" si="24"/>
        <v>1</v>
      </c>
      <c r="F127" s="3103"/>
      <c r="G127" s="2407">
        <f t="shared" si="25"/>
        <v>1</v>
      </c>
      <c r="H127" s="3103"/>
      <c r="I127" s="2407">
        <f t="shared" si="26"/>
        <v>1</v>
      </c>
      <c r="J127" s="3103"/>
      <c r="K127" s="2407">
        <f t="shared" si="27"/>
        <v>1</v>
      </c>
      <c r="L127" s="3103"/>
      <c r="M127" s="2407">
        <f t="shared" si="28"/>
        <v>1</v>
      </c>
      <c r="N127" s="3103"/>
      <c r="O127" s="2407">
        <f t="shared" si="29"/>
        <v>1</v>
      </c>
      <c r="P127" s="3103"/>
      <c r="Q127" s="2407">
        <f t="shared" si="30"/>
        <v>0</v>
      </c>
      <c r="R127" s="2407">
        <f t="shared" si="31"/>
        <v>0</v>
      </c>
      <c r="S127" s="3098">
        <f t="shared" si="32"/>
        <v>0</v>
      </c>
    </row>
    <row r="128" spans="1:19">
      <c r="A128" s="2571"/>
      <c r="B128" s="3107"/>
      <c r="C128" s="2407">
        <f t="shared" si="23"/>
        <v>1</v>
      </c>
      <c r="D128" s="3103"/>
      <c r="E128" s="2407">
        <f t="shared" si="24"/>
        <v>1</v>
      </c>
      <c r="F128" s="3103"/>
      <c r="G128" s="2407">
        <f t="shared" si="25"/>
        <v>1</v>
      </c>
      <c r="H128" s="3103"/>
      <c r="I128" s="2407">
        <f t="shared" si="26"/>
        <v>1</v>
      </c>
      <c r="J128" s="3103"/>
      <c r="K128" s="2407">
        <f t="shared" si="27"/>
        <v>1</v>
      </c>
      <c r="L128" s="3103"/>
      <c r="M128" s="2407">
        <f t="shared" si="28"/>
        <v>1</v>
      </c>
      <c r="N128" s="3103"/>
      <c r="O128" s="2407">
        <f t="shared" si="29"/>
        <v>1</v>
      </c>
      <c r="P128" s="3103"/>
      <c r="Q128" s="2407">
        <f t="shared" si="30"/>
        <v>0</v>
      </c>
      <c r="R128" s="2407">
        <f t="shared" si="31"/>
        <v>0</v>
      </c>
      <c r="S128" s="3098">
        <f t="shared" si="32"/>
        <v>0</v>
      </c>
    </row>
    <row r="129" spans="1:19">
      <c r="A129" s="2571"/>
      <c r="B129" s="3107"/>
      <c r="C129" s="2407">
        <f t="shared" si="23"/>
        <v>1</v>
      </c>
      <c r="D129" s="3103"/>
      <c r="E129" s="2407">
        <f t="shared" si="24"/>
        <v>1</v>
      </c>
      <c r="F129" s="3103"/>
      <c r="G129" s="2407">
        <f t="shared" si="25"/>
        <v>1</v>
      </c>
      <c r="H129" s="3103"/>
      <c r="I129" s="2407">
        <f t="shared" si="26"/>
        <v>1</v>
      </c>
      <c r="J129" s="3103"/>
      <c r="K129" s="2407">
        <f t="shared" si="27"/>
        <v>1</v>
      </c>
      <c r="L129" s="3103"/>
      <c r="M129" s="2407">
        <f t="shared" si="28"/>
        <v>1</v>
      </c>
      <c r="N129" s="3103"/>
      <c r="O129" s="2407">
        <f t="shared" si="29"/>
        <v>1</v>
      </c>
      <c r="P129" s="3103"/>
      <c r="Q129" s="2407">
        <f t="shared" si="30"/>
        <v>0</v>
      </c>
      <c r="R129" s="2407">
        <f t="shared" si="31"/>
        <v>0</v>
      </c>
      <c r="S129" s="3098">
        <f t="shared" si="32"/>
        <v>0</v>
      </c>
    </row>
    <row r="130" spans="1:19">
      <c r="A130" s="2571"/>
      <c r="B130" s="3107"/>
      <c r="C130" s="2407">
        <f t="shared" si="23"/>
        <v>1</v>
      </c>
      <c r="D130" s="3103"/>
      <c r="E130" s="2407">
        <f t="shared" si="24"/>
        <v>1</v>
      </c>
      <c r="F130" s="3103"/>
      <c r="G130" s="2407">
        <f t="shared" si="25"/>
        <v>1</v>
      </c>
      <c r="H130" s="3103"/>
      <c r="I130" s="2407">
        <f t="shared" si="26"/>
        <v>1</v>
      </c>
      <c r="J130" s="3103"/>
      <c r="K130" s="2407">
        <f t="shared" si="27"/>
        <v>1</v>
      </c>
      <c r="L130" s="3103"/>
      <c r="M130" s="2407">
        <f t="shared" si="28"/>
        <v>1</v>
      </c>
      <c r="N130" s="3103"/>
      <c r="O130" s="2407">
        <f t="shared" si="29"/>
        <v>1</v>
      </c>
      <c r="P130" s="3103"/>
      <c r="Q130" s="2407">
        <f t="shared" si="30"/>
        <v>0</v>
      </c>
      <c r="R130" s="2407">
        <f t="shared" si="31"/>
        <v>0</v>
      </c>
      <c r="S130" s="3098">
        <f t="shared" si="32"/>
        <v>0</v>
      </c>
    </row>
    <row r="131" spans="1:19">
      <c r="A131" s="2571"/>
      <c r="B131" s="3107"/>
      <c r="C131" s="2407">
        <f t="shared" si="23"/>
        <v>1</v>
      </c>
      <c r="D131" s="3103"/>
      <c r="E131" s="2407">
        <f t="shared" si="24"/>
        <v>1</v>
      </c>
      <c r="F131" s="3103"/>
      <c r="G131" s="2407">
        <f t="shared" si="25"/>
        <v>1</v>
      </c>
      <c r="H131" s="3103"/>
      <c r="I131" s="2407">
        <f t="shared" si="26"/>
        <v>1</v>
      </c>
      <c r="J131" s="3103"/>
      <c r="K131" s="2407">
        <f t="shared" si="27"/>
        <v>1</v>
      </c>
      <c r="L131" s="3103"/>
      <c r="M131" s="2407">
        <f t="shared" si="28"/>
        <v>1</v>
      </c>
      <c r="N131" s="3103"/>
      <c r="O131" s="2407">
        <f t="shared" si="29"/>
        <v>1</v>
      </c>
      <c r="P131" s="3103"/>
      <c r="Q131" s="2407">
        <f t="shared" si="30"/>
        <v>0</v>
      </c>
      <c r="R131" s="2407">
        <f t="shared" si="31"/>
        <v>0</v>
      </c>
      <c r="S131" s="3098">
        <f t="shared" si="32"/>
        <v>0</v>
      </c>
    </row>
    <row r="132" spans="1:19">
      <c r="A132" s="2571"/>
      <c r="B132" s="3107"/>
      <c r="C132" s="2407">
        <f t="shared" si="23"/>
        <v>1</v>
      </c>
      <c r="D132" s="3103"/>
      <c r="E132" s="2407">
        <f t="shared" si="24"/>
        <v>1</v>
      </c>
      <c r="F132" s="3103"/>
      <c r="G132" s="2407">
        <f t="shared" si="25"/>
        <v>1</v>
      </c>
      <c r="H132" s="3103"/>
      <c r="I132" s="2407">
        <f t="shared" si="26"/>
        <v>1</v>
      </c>
      <c r="J132" s="3103"/>
      <c r="K132" s="2407">
        <f t="shared" si="27"/>
        <v>1</v>
      </c>
      <c r="L132" s="3103"/>
      <c r="M132" s="2407">
        <f t="shared" si="28"/>
        <v>1</v>
      </c>
      <c r="N132" s="3103"/>
      <c r="O132" s="2407">
        <f t="shared" si="29"/>
        <v>1</v>
      </c>
      <c r="P132" s="3103"/>
      <c r="Q132" s="2407">
        <f t="shared" si="30"/>
        <v>0</v>
      </c>
      <c r="R132" s="2407">
        <f t="shared" si="31"/>
        <v>0</v>
      </c>
      <c r="S132" s="3098">
        <f t="shared" si="32"/>
        <v>0</v>
      </c>
    </row>
    <row r="133" spans="1:19">
      <c r="A133" s="2571"/>
      <c r="B133" s="3107"/>
      <c r="C133" s="2407">
        <f t="shared" si="23"/>
        <v>1</v>
      </c>
      <c r="D133" s="3103"/>
      <c r="E133" s="2407">
        <f t="shared" si="24"/>
        <v>1</v>
      </c>
      <c r="F133" s="3103"/>
      <c r="G133" s="2407">
        <f t="shared" si="25"/>
        <v>1</v>
      </c>
      <c r="H133" s="3103"/>
      <c r="I133" s="2407">
        <f t="shared" si="26"/>
        <v>1</v>
      </c>
      <c r="J133" s="3103"/>
      <c r="K133" s="2407">
        <f t="shared" si="27"/>
        <v>1</v>
      </c>
      <c r="L133" s="3103"/>
      <c r="M133" s="2407">
        <f t="shared" si="28"/>
        <v>1</v>
      </c>
      <c r="N133" s="3103"/>
      <c r="O133" s="2407">
        <f t="shared" si="29"/>
        <v>1</v>
      </c>
      <c r="P133" s="3103"/>
      <c r="Q133" s="2407">
        <f t="shared" si="30"/>
        <v>0</v>
      </c>
      <c r="R133" s="2407">
        <f t="shared" si="31"/>
        <v>0</v>
      </c>
      <c r="S133" s="3098">
        <f t="shared" si="32"/>
        <v>0</v>
      </c>
    </row>
    <row r="134" spans="1:19">
      <c r="A134" s="2571"/>
      <c r="B134" s="3107"/>
      <c r="C134" s="2407">
        <f t="shared" si="23"/>
        <v>1</v>
      </c>
      <c r="D134" s="3103"/>
      <c r="E134" s="2407">
        <f t="shared" si="24"/>
        <v>1</v>
      </c>
      <c r="F134" s="3103"/>
      <c r="G134" s="2407">
        <f t="shared" si="25"/>
        <v>1</v>
      </c>
      <c r="H134" s="3103"/>
      <c r="I134" s="2407">
        <f t="shared" si="26"/>
        <v>1</v>
      </c>
      <c r="J134" s="3103"/>
      <c r="K134" s="2407">
        <f t="shared" si="27"/>
        <v>1</v>
      </c>
      <c r="L134" s="3103"/>
      <c r="M134" s="2407">
        <f t="shared" si="28"/>
        <v>1</v>
      </c>
      <c r="N134" s="3103"/>
      <c r="O134" s="2407">
        <f t="shared" si="29"/>
        <v>1</v>
      </c>
      <c r="P134" s="3103"/>
      <c r="Q134" s="2407">
        <f t="shared" si="30"/>
        <v>0</v>
      </c>
      <c r="R134" s="2407">
        <f t="shared" si="31"/>
        <v>0</v>
      </c>
      <c r="S134" s="3098">
        <f t="shared" si="32"/>
        <v>0</v>
      </c>
    </row>
    <row r="135" spans="1:19">
      <c r="A135" s="2571"/>
      <c r="B135" s="3107"/>
      <c r="C135" s="2407">
        <f t="shared" si="23"/>
        <v>1</v>
      </c>
      <c r="D135" s="3103"/>
      <c r="E135" s="2407">
        <f t="shared" si="24"/>
        <v>1</v>
      </c>
      <c r="F135" s="3103"/>
      <c r="G135" s="2407">
        <f t="shared" si="25"/>
        <v>1</v>
      </c>
      <c r="H135" s="3103"/>
      <c r="I135" s="2407">
        <f t="shared" si="26"/>
        <v>1</v>
      </c>
      <c r="J135" s="3103"/>
      <c r="K135" s="2407">
        <f t="shared" si="27"/>
        <v>1</v>
      </c>
      <c r="L135" s="3103"/>
      <c r="M135" s="2407">
        <f t="shared" si="28"/>
        <v>1</v>
      </c>
      <c r="N135" s="3103"/>
      <c r="O135" s="2407">
        <f t="shared" si="29"/>
        <v>1</v>
      </c>
      <c r="P135" s="3103"/>
      <c r="Q135" s="2407">
        <f t="shared" si="30"/>
        <v>0</v>
      </c>
      <c r="R135" s="2407">
        <f t="shared" si="31"/>
        <v>0</v>
      </c>
      <c r="S135" s="3098">
        <f t="shared" si="32"/>
        <v>0</v>
      </c>
    </row>
    <row r="136" spans="1:19">
      <c r="A136" s="2571"/>
      <c r="B136" s="3107"/>
      <c r="C136" s="2407">
        <f t="shared" si="23"/>
        <v>1</v>
      </c>
      <c r="D136" s="3103"/>
      <c r="E136" s="2407">
        <f t="shared" si="24"/>
        <v>1</v>
      </c>
      <c r="F136" s="3103"/>
      <c r="G136" s="2407">
        <f t="shared" si="25"/>
        <v>1</v>
      </c>
      <c r="H136" s="3103"/>
      <c r="I136" s="2407">
        <f t="shared" si="26"/>
        <v>1</v>
      </c>
      <c r="J136" s="3103"/>
      <c r="K136" s="2407">
        <f t="shared" si="27"/>
        <v>1</v>
      </c>
      <c r="L136" s="3103"/>
      <c r="M136" s="2407">
        <f t="shared" si="28"/>
        <v>1</v>
      </c>
      <c r="N136" s="3103"/>
      <c r="O136" s="2407">
        <f t="shared" si="29"/>
        <v>1</v>
      </c>
      <c r="P136" s="3103"/>
      <c r="Q136" s="2407">
        <f t="shared" si="30"/>
        <v>0</v>
      </c>
      <c r="R136" s="2407">
        <f t="shared" si="31"/>
        <v>0</v>
      </c>
      <c r="S136" s="3098">
        <f t="shared" si="32"/>
        <v>0</v>
      </c>
    </row>
    <row r="137" spans="1:19">
      <c r="A137" s="2571"/>
      <c r="B137" s="3107"/>
      <c r="C137" s="2407">
        <f t="shared" si="23"/>
        <v>1</v>
      </c>
      <c r="D137" s="3103"/>
      <c r="E137" s="2407">
        <f t="shared" si="24"/>
        <v>1</v>
      </c>
      <c r="F137" s="3103"/>
      <c r="G137" s="2407">
        <f t="shared" si="25"/>
        <v>1</v>
      </c>
      <c r="H137" s="3103"/>
      <c r="I137" s="2407">
        <f t="shared" si="26"/>
        <v>1</v>
      </c>
      <c r="J137" s="3103"/>
      <c r="K137" s="2407">
        <f t="shared" si="27"/>
        <v>1</v>
      </c>
      <c r="L137" s="3103"/>
      <c r="M137" s="2407">
        <f t="shared" si="28"/>
        <v>1</v>
      </c>
      <c r="N137" s="3103"/>
      <c r="O137" s="2407">
        <f t="shared" si="29"/>
        <v>1</v>
      </c>
      <c r="P137" s="3103"/>
      <c r="Q137" s="2407">
        <f t="shared" si="30"/>
        <v>0</v>
      </c>
      <c r="R137" s="2407">
        <f t="shared" si="31"/>
        <v>0</v>
      </c>
      <c r="S137" s="3098">
        <f t="shared" si="32"/>
        <v>0</v>
      </c>
    </row>
    <row r="138" spans="1:19">
      <c r="A138" s="2571"/>
      <c r="B138" s="3107"/>
      <c r="C138" s="2407">
        <f t="shared" si="23"/>
        <v>1</v>
      </c>
      <c r="D138" s="3103"/>
      <c r="E138" s="2407">
        <f t="shared" si="24"/>
        <v>1</v>
      </c>
      <c r="F138" s="3103"/>
      <c r="G138" s="2407">
        <f t="shared" si="25"/>
        <v>1</v>
      </c>
      <c r="H138" s="3103"/>
      <c r="I138" s="2407">
        <f t="shared" si="26"/>
        <v>1</v>
      </c>
      <c r="J138" s="3103"/>
      <c r="K138" s="2407">
        <f t="shared" si="27"/>
        <v>1</v>
      </c>
      <c r="L138" s="3103"/>
      <c r="M138" s="2407">
        <f t="shared" si="28"/>
        <v>1</v>
      </c>
      <c r="N138" s="3103"/>
      <c r="O138" s="2407">
        <f t="shared" si="29"/>
        <v>1</v>
      </c>
      <c r="P138" s="3103"/>
      <c r="Q138" s="2407">
        <f t="shared" si="30"/>
        <v>0</v>
      </c>
      <c r="R138" s="2407">
        <f t="shared" si="31"/>
        <v>0</v>
      </c>
      <c r="S138" s="3098">
        <f t="shared" si="32"/>
        <v>0</v>
      </c>
    </row>
    <row r="139" spans="1:19">
      <c r="A139" s="2571"/>
      <c r="B139" s="3107"/>
      <c r="C139" s="2407">
        <f t="shared" si="23"/>
        <v>1</v>
      </c>
      <c r="D139" s="3103"/>
      <c r="E139" s="2407">
        <f t="shared" si="24"/>
        <v>1</v>
      </c>
      <c r="F139" s="3103"/>
      <c r="G139" s="2407">
        <f t="shared" si="25"/>
        <v>1</v>
      </c>
      <c r="H139" s="3103"/>
      <c r="I139" s="2407">
        <f t="shared" si="26"/>
        <v>1</v>
      </c>
      <c r="J139" s="3103"/>
      <c r="K139" s="2407">
        <f t="shared" si="27"/>
        <v>1</v>
      </c>
      <c r="L139" s="3103"/>
      <c r="M139" s="2407">
        <f t="shared" si="28"/>
        <v>1</v>
      </c>
      <c r="N139" s="3103"/>
      <c r="O139" s="2407">
        <f t="shared" si="29"/>
        <v>1</v>
      </c>
      <c r="P139" s="3103"/>
      <c r="Q139" s="2407">
        <f t="shared" si="30"/>
        <v>0</v>
      </c>
      <c r="R139" s="2407">
        <f t="shared" si="31"/>
        <v>0</v>
      </c>
      <c r="S139" s="3098">
        <f t="shared" si="32"/>
        <v>0</v>
      </c>
    </row>
    <row r="140" spans="1:19">
      <c r="A140" s="2571"/>
      <c r="B140" s="3107"/>
      <c r="C140" s="2407">
        <f t="shared" si="23"/>
        <v>1</v>
      </c>
      <c r="D140" s="3103"/>
      <c r="E140" s="2407">
        <f t="shared" si="24"/>
        <v>1</v>
      </c>
      <c r="F140" s="3103"/>
      <c r="G140" s="2407">
        <f t="shared" si="25"/>
        <v>1</v>
      </c>
      <c r="H140" s="3103"/>
      <c r="I140" s="2407">
        <f t="shared" si="26"/>
        <v>1</v>
      </c>
      <c r="J140" s="3103"/>
      <c r="K140" s="2407">
        <f t="shared" si="27"/>
        <v>1</v>
      </c>
      <c r="L140" s="3103"/>
      <c r="M140" s="2407">
        <f t="shared" si="28"/>
        <v>1</v>
      </c>
      <c r="N140" s="3103"/>
      <c r="O140" s="2407">
        <f t="shared" si="29"/>
        <v>1</v>
      </c>
      <c r="P140" s="3103"/>
      <c r="Q140" s="2407">
        <f t="shared" si="30"/>
        <v>0</v>
      </c>
      <c r="R140" s="2407">
        <f t="shared" si="31"/>
        <v>0</v>
      </c>
      <c r="S140" s="3098">
        <f t="shared" si="32"/>
        <v>0</v>
      </c>
    </row>
    <row r="141" spans="1:19">
      <c r="A141" s="2571"/>
      <c r="B141" s="3107"/>
      <c r="C141" s="2407">
        <f t="shared" si="23"/>
        <v>1</v>
      </c>
      <c r="D141" s="3103"/>
      <c r="E141" s="2407">
        <f t="shared" si="24"/>
        <v>1</v>
      </c>
      <c r="F141" s="3103"/>
      <c r="G141" s="2407">
        <f t="shared" si="25"/>
        <v>1</v>
      </c>
      <c r="H141" s="3103"/>
      <c r="I141" s="2407">
        <f t="shared" si="26"/>
        <v>1</v>
      </c>
      <c r="J141" s="3103"/>
      <c r="K141" s="2407">
        <f t="shared" si="27"/>
        <v>1</v>
      </c>
      <c r="L141" s="3103"/>
      <c r="M141" s="2407">
        <f t="shared" si="28"/>
        <v>1</v>
      </c>
      <c r="N141" s="3103"/>
      <c r="O141" s="2407">
        <f t="shared" si="29"/>
        <v>1</v>
      </c>
      <c r="P141" s="3103"/>
      <c r="Q141" s="2407">
        <f t="shared" si="30"/>
        <v>0</v>
      </c>
      <c r="R141" s="2407">
        <f t="shared" si="31"/>
        <v>0</v>
      </c>
      <c r="S141" s="3098">
        <f t="shared" si="32"/>
        <v>0</v>
      </c>
    </row>
    <row r="142" spans="1:19">
      <c r="A142" s="2571"/>
      <c r="B142" s="3107"/>
      <c r="C142" s="2407">
        <f t="shared" si="23"/>
        <v>1</v>
      </c>
      <c r="D142" s="3103"/>
      <c r="E142" s="2407">
        <f t="shared" si="24"/>
        <v>1</v>
      </c>
      <c r="F142" s="3103"/>
      <c r="G142" s="2407">
        <f t="shared" si="25"/>
        <v>1</v>
      </c>
      <c r="H142" s="3103"/>
      <c r="I142" s="2407">
        <f t="shared" si="26"/>
        <v>1</v>
      </c>
      <c r="J142" s="3103"/>
      <c r="K142" s="2407">
        <f t="shared" si="27"/>
        <v>1</v>
      </c>
      <c r="L142" s="3103"/>
      <c r="M142" s="2407">
        <f t="shared" si="28"/>
        <v>1</v>
      </c>
      <c r="N142" s="3103"/>
      <c r="O142" s="2407">
        <f t="shared" si="29"/>
        <v>1</v>
      </c>
      <c r="P142" s="3103"/>
      <c r="Q142" s="2407">
        <f t="shared" si="30"/>
        <v>0</v>
      </c>
      <c r="R142" s="2407">
        <f t="shared" si="31"/>
        <v>0</v>
      </c>
      <c r="S142" s="3098">
        <f t="shared" si="32"/>
        <v>0</v>
      </c>
    </row>
    <row r="143" spans="1:19">
      <c r="A143" s="2571"/>
      <c r="B143" s="3107"/>
      <c r="C143" s="2407">
        <f t="shared" si="23"/>
        <v>1</v>
      </c>
      <c r="D143" s="3103"/>
      <c r="E143" s="2407">
        <f t="shared" si="24"/>
        <v>1</v>
      </c>
      <c r="F143" s="3103"/>
      <c r="G143" s="2407">
        <f t="shared" si="25"/>
        <v>1</v>
      </c>
      <c r="H143" s="3103"/>
      <c r="I143" s="2407">
        <f t="shared" si="26"/>
        <v>1</v>
      </c>
      <c r="J143" s="3103"/>
      <c r="K143" s="2407">
        <f t="shared" si="27"/>
        <v>1</v>
      </c>
      <c r="L143" s="3103"/>
      <c r="M143" s="2407">
        <f t="shared" si="28"/>
        <v>1</v>
      </c>
      <c r="N143" s="3103"/>
      <c r="O143" s="2407">
        <f t="shared" si="29"/>
        <v>1</v>
      </c>
      <c r="P143" s="3103"/>
      <c r="Q143" s="2407">
        <f t="shared" si="30"/>
        <v>0</v>
      </c>
      <c r="R143" s="2407">
        <f t="shared" si="31"/>
        <v>0</v>
      </c>
      <c r="S143" s="3098">
        <f t="shared" si="32"/>
        <v>0</v>
      </c>
    </row>
    <row r="144" spans="1:19">
      <c r="A144" s="2571"/>
      <c r="B144" s="3107"/>
      <c r="C144" s="2407">
        <f t="shared" si="23"/>
        <v>1</v>
      </c>
      <c r="D144" s="3103"/>
      <c r="E144" s="2407">
        <f t="shared" si="24"/>
        <v>1</v>
      </c>
      <c r="F144" s="3103"/>
      <c r="G144" s="2407">
        <f t="shared" si="25"/>
        <v>1</v>
      </c>
      <c r="H144" s="3103"/>
      <c r="I144" s="2407">
        <f t="shared" si="26"/>
        <v>1</v>
      </c>
      <c r="J144" s="3103"/>
      <c r="K144" s="2407">
        <f t="shared" si="27"/>
        <v>1</v>
      </c>
      <c r="L144" s="3103"/>
      <c r="M144" s="2407">
        <f t="shared" si="28"/>
        <v>1</v>
      </c>
      <c r="N144" s="3103"/>
      <c r="O144" s="2407">
        <f t="shared" si="29"/>
        <v>1</v>
      </c>
      <c r="P144" s="3103"/>
      <c r="Q144" s="2407">
        <f t="shared" si="30"/>
        <v>0</v>
      </c>
      <c r="R144" s="2407">
        <f t="shared" si="31"/>
        <v>0</v>
      </c>
      <c r="S144" s="3098">
        <f t="shared" si="32"/>
        <v>0</v>
      </c>
    </row>
    <row r="145" spans="1:19">
      <c r="A145" s="2571"/>
      <c r="B145" s="3107"/>
      <c r="C145" s="2407">
        <f t="shared" si="23"/>
        <v>1</v>
      </c>
      <c r="D145" s="3103"/>
      <c r="E145" s="2407">
        <f t="shared" si="24"/>
        <v>1</v>
      </c>
      <c r="F145" s="3103"/>
      <c r="G145" s="2407">
        <f t="shared" si="25"/>
        <v>1</v>
      </c>
      <c r="H145" s="3103"/>
      <c r="I145" s="2407">
        <f t="shared" si="26"/>
        <v>1</v>
      </c>
      <c r="J145" s="3103"/>
      <c r="K145" s="2407">
        <f t="shared" si="27"/>
        <v>1</v>
      </c>
      <c r="L145" s="3103"/>
      <c r="M145" s="2407">
        <f t="shared" si="28"/>
        <v>1</v>
      </c>
      <c r="N145" s="3103"/>
      <c r="O145" s="2407">
        <f t="shared" si="29"/>
        <v>1</v>
      </c>
      <c r="P145" s="3103"/>
      <c r="Q145" s="2407">
        <f t="shared" si="30"/>
        <v>0</v>
      </c>
      <c r="R145" s="2407">
        <f t="shared" si="31"/>
        <v>0</v>
      </c>
      <c r="S145" s="3098">
        <f t="shared" si="32"/>
        <v>0</v>
      </c>
    </row>
    <row r="146" spans="1:19">
      <c r="A146" s="2571"/>
      <c r="B146" s="3107"/>
      <c r="C146" s="2407">
        <f t="shared" si="23"/>
        <v>1</v>
      </c>
      <c r="D146" s="3103"/>
      <c r="E146" s="2407">
        <f t="shared" si="24"/>
        <v>1</v>
      </c>
      <c r="F146" s="3103"/>
      <c r="G146" s="2407">
        <f t="shared" si="25"/>
        <v>1</v>
      </c>
      <c r="H146" s="3103"/>
      <c r="I146" s="2407">
        <f t="shared" si="26"/>
        <v>1</v>
      </c>
      <c r="J146" s="3103"/>
      <c r="K146" s="2407">
        <f t="shared" si="27"/>
        <v>1</v>
      </c>
      <c r="L146" s="3103"/>
      <c r="M146" s="2407">
        <f t="shared" si="28"/>
        <v>1</v>
      </c>
      <c r="N146" s="3103"/>
      <c r="O146" s="2407">
        <f t="shared" si="29"/>
        <v>1</v>
      </c>
      <c r="P146" s="3103"/>
      <c r="Q146" s="2407">
        <f t="shared" si="30"/>
        <v>0</v>
      </c>
      <c r="R146" s="2407">
        <f t="shared" si="31"/>
        <v>0</v>
      </c>
      <c r="S146" s="3098">
        <f t="shared" si="32"/>
        <v>0</v>
      </c>
    </row>
    <row r="147" spans="1:19">
      <c r="A147" s="2571"/>
      <c r="B147" s="3107"/>
      <c r="C147" s="2407">
        <f t="shared" si="23"/>
        <v>1</v>
      </c>
      <c r="D147" s="3103"/>
      <c r="E147" s="2407">
        <f t="shared" si="24"/>
        <v>1</v>
      </c>
      <c r="F147" s="3103"/>
      <c r="G147" s="2407">
        <f t="shared" si="25"/>
        <v>1</v>
      </c>
      <c r="H147" s="3103"/>
      <c r="I147" s="2407">
        <f t="shared" si="26"/>
        <v>1</v>
      </c>
      <c r="J147" s="3103"/>
      <c r="K147" s="2407">
        <f t="shared" si="27"/>
        <v>1</v>
      </c>
      <c r="L147" s="3103"/>
      <c r="M147" s="2407">
        <f t="shared" si="28"/>
        <v>1</v>
      </c>
      <c r="N147" s="3103"/>
      <c r="O147" s="2407">
        <f t="shared" si="29"/>
        <v>1</v>
      </c>
      <c r="P147" s="3103"/>
      <c r="Q147" s="2407">
        <f t="shared" si="30"/>
        <v>0</v>
      </c>
      <c r="R147" s="2407">
        <f t="shared" si="31"/>
        <v>0</v>
      </c>
      <c r="S147" s="3098">
        <f t="shared" si="32"/>
        <v>0</v>
      </c>
    </row>
    <row r="148" spans="1:19">
      <c r="A148" s="2571"/>
      <c r="B148" s="3107"/>
      <c r="C148" s="2407">
        <f t="shared" si="23"/>
        <v>1</v>
      </c>
      <c r="D148" s="3103"/>
      <c r="E148" s="2407">
        <f t="shared" si="24"/>
        <v>1</v>
      </c>
      <c r="F148" s="3103"/>
      <c r="G148" s="2407">
        <f t="shared" si="25"/>
        <v>1</v>
      </c>
      <c r="H148" s="3103"/>
      <c r="I148" s="2407">
        <f t="shared" si="26"/>
        <v>1</v>
      </c>
      <c r="J148" s="3103"/>
      <c r="K148" s="2407">
        <f t="shared" si="27"/>
        <v>1</v>
      </c>
      <c r="L148" s="3103"/>
      <c r="M148" s="2407">
        <f t="shared" si="28"/>
        <v>1</v>
      </c>
      <c r="N148" s="3103"/>
      <c r="O148" s="2407">
        <f t="shared" si="29"/>
        <v>1</v>
      </c>
      <c r="P148" s="3103"/>
      <c r="Q148" s="2407">
        <f t="shared" si="30"/>
        <v>0</v>
      </c>
      <c r="R148" s="2407">
        <f t="shared" si="31"/>
        <v>0</v>
      </c>
      <c r="S148" s="3098">
        <f t="shared" si="32"/>
        <v>0</v>
      </c>
    </row>
    <row r="149" spans="1:19">
      <c r="A149" s="2571"/>
      <c r="B149" s="3107"/>
      <c r="C149" s="2407">
        <f t="shared" si="23"/>
        <v>1</v>
      </c>
      <c r="D149" s="3103"/>
      <c r="E149" s="2407">
        <f t="shared" si="24"/>
        <v>1</v>
      </c>
      <c r="F149" s="3103"/>
      <c r="G149" s="2407">
        <f t="shared" si="25"/>
        <v>1</v>
      </c>
      <c r="H149" s="3103"/>
      <c r="I149" s="2407">
        <f t="shared" si="26"/>
        <v>1</v>
      </c>
      <c r="J149" s="3103"/>
      <c r="K149" s="2407">
        <f t="shared" si="27"/>
        <v>1</v>
      </c>
      <c r="L149" s="3103"/>
      <c r="M149" s="2407">
        <f t="shared" si="28"/>
        <v>1</v>
      </c>
      <c r="N149" s="3103"/>
      <c r="O149" s="2407">
        <f t="shared" si="29"/>
        <v>1</v>
      </c>
      <c r="P149" s="3103"/>
      <c r="Q149" s="2407">
        <f t="shared" si="30"/>
        <v>0</v>
      </c>
      <c r="R149" s="2407">
        <f t="shared" si="31"/>
        <v>0</v>
      </c>
      <c r="S149" s="3098">
        <f t="shared" si="32"/>
        <v>0</v>
      </c>
    </row>
    <row r="150" spans="1:19">
      <c r="A150" s="2571"/>
      <c r="B150" s="3107"/>
      <c r="C150" s="2407">
        <f t="shared" si="23"/>
        <v>1</v>
      </c>
      <c r="D150" s="3103"/>
      <c r="E150" s="2407">
        <f t="shared" si="24"/>
        <v>1</v>
      </c>
      <c r="F150" s="3103"/>
      <c r="G150" s="2407">
        <f t="shared" si="25"/>
        <v>1</v>
      </c>
      <c r="H150" s="3103"/>
      <c r="I150" s="2407">
        <f t="shared" si="26"/>
        <v>1</v>
      </c>
      <c r="J150" s="3103"/>
      <c r="K150" s="2407">
        <f t="shared" si="27"/>
        <v>1</v>
      </c>
      <c r="L150" s="3103"/>
      <c r="M150" s="2407">
        <f t="shared" si="28"/>
        <v>1</v>
      </c>
      <c r="N150" s="3103"/>
      <c r="O150" s="2407">
        <f t="shared" si="29"/>
        <v>1</v>
      </c>
      <c r="P150" s="3103"/>
      <c r="Q150" s="2407">
        <f t="shared" si="30"/>
        <v>0</v>
      </c>
      <c r="R150" s="2407">
        <f t="shared" si="31"/>
        <v>0</v>
      </c>
      <c r="S150" s="3098">
        <f t="shared" si="32"/>
        <v>0</v>
      </c>
    </row>
    <row r="151" spans="1:19">
      <c r="A151" s="2571"/>
      <c r="B151" s="3107"/>
      <c r="C151" s="2407">
        <f t="shared" si="23"/>
        <v>1</v>
      </c>
      <c r="D151" s="3103"/>
      <c r="E151" s="2407">
        <f t="shared" si="24"/>
        <v>1</v>
      </c>
      <c r="F151" s="3103"/>
      <c r="G151" s="2407">
        <f t="shared" si="25"/>
        <v>1</v>
      </c>
      <c r="H151" s="3103"/>
      <c r="I151" s="2407">
        <f t="shared" si="26"/>
        <v>1</v>
      </c>
      <c r="J151" s="3103"/>
      <c r="K151" s="2407">
        <f t="shared" si="27"/>
        <v>1</v>
      </c>
      <c r="L151" s="3103"/>
      <c r="M151" s="2407">
        <f t="shared" si="28"/>
        <v>1</v>
      </c>
      <c r="N151" s="3103"/>
      <c r="O151" s="2407">
        <f t="shared" si="29"/>
        <v>1</v>
      </c>
      <c r="P151" s="3103"/>
      <c r="Q151" s="2407">
        <f t="shared" si="30"/>
        <v>0</v>
      </c>
      <c r="R151" s="2407">
        <f t="shared" si="31"/>
        <v>0</v>
      </c>
      <c r="S151" s="3098">
        <f t="shared" si="32"/>
        <v>0</v>
      </c>
    </row>
    <row r="152" spans="1:19">
      <c r="A152" s="2571"/>
      <c r="B152" s="3107"/>
      <c r="C152" s="2407">
        <f t="shared" si="23"/>
        <v>1</v>
      </c>
      <c r="D152" s="3103"/>
      <c r="E152" s="2407">
        <f t="shared" si="24"/>
        <v>1</v>
      </c>
      <c r="F152" s="3103"/>
      <c r="G152" s="2407">
        <f t="shared" si="25"/>
        <v>1</v>
      </c>
      <c r="H152" s="3103"/>
      <c r="I152" s="2407">
        <f t="shared" si="26"/>
        <v>1</v>
      </c>
      <c r="J152" s="3103"/>
      <c r="K152" s="2407">
        <f t="shared" si="27"/>
        <v>1</v>
      </c>
      <c r="L152" s="3103"/>
      <c r="M152" s="2407">
        <f t="shared" si="28"/>
        <v>1</v>
      </c>
      <c r="N152" s="3103"/>
      <c r="O152" s="2407">
        <f t="shared" si="29"/>
        <v>1</v>
      </c>
      <c r="P152" s="3103"/>
      <c r="Q152" s="2407">
        <f t="shared" si="30"/>
        <v>0</v>
      </c>
      <c r="R152" s="2407">
        <f t="shared" si="31"/>
        <v>0</v>
      </c>
      <c r="S152" s="3098">
        <f t="shared" si="32"/>
        <v>0</v>
      </c>
    </row>
    <row r="153" spans="1:19">
      <c r="A153" s="2571"/>
      <c r="B153" s="3107"/>
      <c r="C153" s="2407">
        <f t="shared" si="23"/>
        <v>1</v>
      </c>
      <c r="D153" s="3103"/>
      <c r="E153" s="2407">
        <f t="shared" si="24"/>
        <v>1</v>
      </c>
      <c r="F153" s="3103"/>
      <c r="G153" s="2407">
        <f t="shared" si="25"/>
        <v>1</v>
      </c>
      <c r="H153" s="3103"/>
      <c r="I153" s="2407">
        <f t="shared" si="26"/>
        <v>1</v>
      </c>
      <c r="J153" s="3103"/>
      <c r="K153" s="2407">
        <f t="shared" si="27"/>
        <v>1</v>
      </c>
      <c r="L153" s="3103"/>
      <c r="M153" s="2407">
        <f t="shared" si="28"/>
        <v>1</v>
      </c>
      <c r="N153" s="3103"/>
      <c r="O153" s="2407">
        <f t="shared" si="29"/>
        <v>1</v>
      </c>
      <c r="P153" s="3103"/>
      <c r="Q153" s="2407">
        <f t="shared" si="30"/>
        <v>0</v>
      </c>
      <c r="R153" s="2407">
        <f t="shared" si="31"/>
        <v>0</v>
      </c>
      <c r="S153" s="3098">
        <f t="shared" si="32"/>
        <v>0</v>
      </c>
    </row>
    <row r="154" spans="1:19">
      <c r="A154" s="2571"/>
      <c r="B154" s="3107"/>
      <c r="C154" s="2407">
        <f t="shared" ref="C154:C217" si="33">IF(B154="",1,(LOOKUP(B154,$3:$3,$4:$4)-LOOKUP($B$24,$3:$3,$4:$4)+100)/100)</f>
        <v>1</v>
      </c>
      <c r="D154" s="3103"/>
      <c r="E154" s="2407">
        <f t="shared" ref="E154:E217" si="34">(SUMIF($5:$5,D154,$6:$6)-SUMIF($5:$5,$D$24,$6:$6)+100)/100</f>
        <v>1</v>
      </c>
      <c r="F154" s="3103"/>
      <c r="G154" s="2407">
        <f t="shared" ref="G154:G217" si="35">(SUMIF($7:$7,F154,$8:$8)-SUMIF($7:$7,$F$24,$8:$8)+100)/100</f>
        <v>1</v>
      </c>
      <c r="H154" s="3103"/>
      <c r="I154" s="2407">
        <f t="shared" ref="I154:I217" si="36">(SUMIF($9:$9,H154,$10:$10)-SUMIF($9:$9,$H$24,$10:$10)+100)/100</f>
        <v>1</v>
      </c>
      <c r="J154" s="3103"/>
      <c r="K154" s="2407">
        <f t="shared" ref="K154:K217" si="37">(SUMIF($11:$11,J154,$12:$12)-SUMIF($11:$11,$J$24,$12:$12)+100)/100</f>
        <v>1</v>
      </c>
      <c r="L154" s="3103"/>
      <c r="M154" s="2407">
        <f t="shared" ref="M154:M217" si="38">(SUMIF($13:$13,L154,$14:$14)-SUMIF($13:$13,$L$24,$14:$14)+100)/100</f>
        <v>1</v>
      </c>
      <c r="N154" s="3103"/>
      <c r="O154" s="2407">
        <f t="shared" ref="O154:O217" si="39">(SUMIF($15:$15,N154,$16:$16)-SUMIF($15:$15,$N$24,$16:$16)+100)/100</f>
        <v>1</v>
      </c>
      <c r="P154" s="3103"/>
      <c r="Q154" s="2407">
        <f t="shared" ref="Q154:Q217" si="40">(SUMIF($17:$17,P154,$18:$18)-SUMIF($17:$17,$P$24,$18:$18)+100)/100</f>
        <v>0</v>
      </c>
      <c r="R154" s="2407">
        <f t="shared" ref="R154:R217" si="41">IF(B154="",0,ROUND($R$24*C154*E154*G154*I154*K154*M154*O154*Q154,0))</f>
        <v>0</v>
      </c>
      <c r="S154" s="3098">
        <f t="shared" si="32"/>
        <v>0</v>
      </c>
    </row>
    <row r="155" spans="1:19">
      <c r="A155" s="2571"/>
      <c r="B155" s="3107"/>
      <c r="C155" s="2407">
        <f t="shared" si="33"/>
        <v>1</v>
      </c>
      <c r="D155" s="3103"/>
      <c r="E155" s="2407">
        <f t="shared" si="34"/>
        <v>1</v>
      </c>
      <c r="F155" s="3103"/>
      <c r="G155" s="2407">
        <f t="shared" si="35"/>
        <v>1</v>
      </c>
      <c r="H155" s="3103"/>
      <c r="I155" s="2407">
        <f t="shared" si="36"/>
        <v>1</v>
      </c>
      <c r="J155" s="3103"/>
      <c r="K155" s="2407">
        <f t="shared" si="37"/>
        <v>1</v>
      </c>
      <c r="L155" s="3103"/>
      <c r="M155" s="2407">
        <f t="shared" si="38"/>
        <v>1</v>
      </c>
      <c r="N155" s="3103"/>
      <c r="O155" s="2407">
        <f t="shared" si="39"/>
        <v>1</v>
      </c>
      <c r="P155" s="3103"/>
      <c r="Q155" s="2407">
        <f t="shared" si="40"/>
        <v>0</v>
      </c>
      <c r="R155" s="2407">
        <f t="shared" si="41"/>
        <v>0</v>
      </c>
      <c r="S155" s="3098">
        <f t="shared" si="32"/>
        <v>0</v>
      </c>
    </row>
    <row r="156" spans="1:19">
      <c r="A156" s="2571"/>
      <c r="B156" s="3107"/>
      <c r="C156" s="2407">
        <f t="shared" si="33"/>
        <v>1</v>
      </c>
      <c r="D156" s="3103"/>
      <c r="E156" s="2407">
        <f t="shared" si="34"/>
        <v>1</v>
      </c>
      <c r="F156" s="3103"/>
      <c r="G156" s="2407">
        <f t="shared" si="35"/>
        <v>1</v>
      </c>
      <c r="H156" s="3103"/>
      <c r="I156" s="2407">
        <f t="shared" si="36"/>
        <v>1</v>
      </c>
      <c r="J156" s="3103"/>
      <c r="K156" s="2407">
        <f t="shared" si="37"/>
        <v>1</v>
      </c>
      <c r="L156" s="3103"/>
      <c r="M156" s="2407">
        <f t="shared" si="38"/>
        <v>1</v>
      </c>
      <c r="N156" s="3103"/>
      <c r="O156" s="2407">
        <f t="shared" si="39"/>
        <v>1</v>
      </c>
      <c r="P156" s="3103"/>
      <c r="Q156" s="2407">
        <f t="shared" si="40"/>
        <v>0</v>
      </c>
      <c r="R156" s="2407">
        <f t="shared" si="41"/>
        <v>0</v>
      </c>
      <c r="S156" s="3098">
        <f t="shared" si="32"/>
        <v>0</v>
      </c>
    </row>
    <row r="157" spans="1:19">
      <c r="A157" s="2571"/>
      <c r="B157" s="3107"/>
      <c r="C157" s="2407">
        <f t="shared" si="33"/>
        <v>1</v>
      </c>
      <c r="D157" s="3103"/>
      <c r="E157" s="2407">
        <f t="shared" si="34"/>
        <v>1</v>
      </c>
      <c r="F157" s="3103"/>
      <c r="G157" s="2407">
        <f t="shared" si="35"/>
        <v>1</v>
      </c>
      <c r="H157" s="3103"/>
      <c r="I157" s="2407">
        <f t="shared" si="36"/>
        <v>1</v>
      </c>
      <c r="J157" s="3103"/>
      <c r="K157" s="2407">
        <f t="shared" si="37"/>
        <v>1</v>
      </c>
      <c r="L157" s="3103"/>
      <c r="M157" s="2407">
        <f t="shared" si="38"/>
        <v>1</v>
      </c>
      <c r="N157" s="3103"/>
      <c r="O157" s="2407">
        <f t="shared" si="39"/>
        <v>1</v>
      </c>
      <c r="P157" s="3103"/>
      <c r="Q157" s="2407">
        <f t="shared" si="40"/>
        <v>0</v>
      </c>
      <c r="R157" s="2407">
        <f t="shared" si="41"/>
        <v>0</v>
      </c>
      <c r="S157" s="3098">
        <f t="shared" si="32"/>
        <v>0</v>
      </c>
    </row>
    <row r="158" spans="1:19">
      <c r="A158" s="2571"/>
      <c r="B158" s="3107"/>
      <c r="C158" s="2407">
        <f t="shared" si="33"/>
        <v>1</v>
      </c>
      <c r="D158" s="3103"/>
      <c r="E158" s="2407">
        <f t="shared" si="34"/>
        <v>1</v>
      </c>
      <c r="F158" s="3103"/>
      <c r="G158" s="2407">
        <f t="shared" si="35"/>
        <v>1</v>
      </c>
      <c r="H158" s="3103"/>
      <c r="I158" s="2407">
        <f t="shared" si="36"/>
        <v>1</v>
      </c>
      <c r="J158" s="3103"/>
      <c r="K158" s="2407">
        <f t="shared" si="37"/>
        <v>1</v>
      </c>
      <c r="L158" s="3103"/>
      <c r="M158" s="2407">
        <f t="shared" si="38"/>
        <v>1</v>
      </c>
      <c r="N158" s="3103"/>
      <c r="O158" s="2407">
        <f t="shared" si="39"/>
        <v>1</v>
      </c>
      <c r="P158" s="3103"/>
      <c r="Q158" s="2407">
        <f t="shared" si="40"/>
        <v>0</v>
      </c>
      <c r="R158" s="2407">
        <f t="shared" si="41"/>
        <v>0</v>
      </c>
      <c r="S158" s="3098">
        <f t="shared" si="32"/>
        <v>0</v>
      </c>
    </row>
    <row r="159" spans="1:19">
      <c r="A159" s="2571"/>
      <c r="B159" s="3107"/>
      <c r="C159" s="2407">
        <f t="shared" si="33"/>
        <v>1</v>
      </c>
      <c r="D159" s="3103"/>
      <c r="E159" s="2407">
        <f t="shared" si="34"/>
        <v>1</v>
      </c>
      <c r="F159" s="3103"/>
      <c r="G159" s="2407">
        <f t="shared" si="35"/>
        <v>1</v>
      </c>
      <c r="H159" s="3103"/>
      <c r="I159" s="2407">
        <f t="shared" si="36"/>
        <v>1</v>
      </c>
      <c r="J159" s="3103"/>
      <c r="K159" s="2407">
        <f t="shared" si="37"/>
        <v>1</v>
      </c>
      <c r="L159" s="3103"/>
      <c r="M159" s="2407">
        <f t="shared" si="38"/>
        <v>1</v>
      </c>
      <c r="N159" s="3103"/>
      <c r="O159" s="2407">
        <f t="shared" si="39"/>
        <v>1</v>
      </c>
      <c r="P159" s="3103"/>
      <c r="Q159" s="2407">
        <f t="shared" si="40"/>
        <v>0</v>
      </c>
      <c r="R159" s="2407">
        <f t="shared" si="41"/>
        <v>0</v>
      </c>
      <c r="S159" s="3098">
        <f t="shared" si="32"/>
        <v>0</v>
      </c>
    </row>
    <row r="160" spans="1:19">
      <c r="A160" s="2571"/>
      <c r="B160" s="3107"/>
      <c r="C160" s="2407">
        <f t="shared" si="33"/>
        <v>1</v>
      </c>
      <c r="D160" s="3103"/>
      <c r="E160" s="2407">
        <f t="shared" si="34"/>
        <v>1</v>
      </c>
      <c r="F160" s="3103"/>
      <c r="G160" s="2407">
        <f t="shared" si="35"/>
        <v>1</v>
      </c>
      <c r="H160" s="3103"/>
      <c r="I160" s="2407">
        <f t="shared" si="36"/>
        <v>1</v>
      </c>
      <c r="J160" s="3103"/>
      <c r="K160" s="2407">
        <f t="shared" si="37"/>
        <v>1</v>
      </c>
      <c r="L160" s="3103"/>
      <c r="M160" s="2407">
        <f t="shared" si="38"/>
        <v>1</v>
      </c>
      <c r="N160" s="3103"/>
      <c r="O160" s="2407">
        <f t="shared" si="39"/>
        <v>1</v>
      </c>
      <c r="P160" s="3103"/>
      <c r="Q160" s="2407">
        <f t="shared" si="40"/>
        <v>0</v>
      </c>
      <c r="R160" s="2407">
        <f t="shared" si="41"/>
        <v>0</v>
      </c>
      <c r="S160" s="3098">
        <f t="shared" si="32"/>
        <v>0</v>
      </c>
    </row>
    <row r="161" spans="1:19">
      <c r="A161" s="2571"/>
      <c r="B161" s="3107"/>
      <c r="C161" s="2407">
        <f t="shared" si="33"/>
        <v>1</v>
      </c>
      <c r="D161" s="3103"/>
      <c r="E161" s="2407">
        <f t="shared" si="34"/>
        <v>1</v>
      </c>
      <c r="F161" s="3103"/>
      <c r="G161" s="2407">
        <f t="shared" si="35"/>
        <v>1</v>
      </c>
      <c r="H161" s="3103"/>
      <c r="I161" s="2407">
        <f t="shared" si="36"/>
        <v>1</v>
      </c>
      <c r="J161" s="3103"/>
      <c r="K161" s="2407">
        <f t="shared" si="37"/>
        <v>1</v>
      </c>
      <c r="L161" s="3103"/>
      <c r="M161" s="2407">
        <f t="shared" si="38"/>
        <v>1</v>
      </c>
      <c r="N161" s="3103"/>
      <c r="O161" s="2407">
        <f t="shared" si="39"/>
        <v>1</v>
      </c>
      <c r="P161" s="3103"/>
      <c r="Q161" s="2407">
        <f t="shared" si="40"/>
        <v>0</v>
      </c>
      <c r="R161" s="2407">
        <f t="shared" si="41"/>
        <v>0</v>
      </c>
      <c r="S161" s="3098">
        <f t="shared" si="32"/>
        <v>0</v>
      </c>
    </row>
    <row r="162" spans="1:19">
      <c r="A162" s="2571"/>
      <c r="B162" s="3107"/>
      <c r="C162" s="2407">
        <f t="shared" si="33"/>
        <v>1</v>
      </c>
      <c r="D162" s="3103"/>
      <c r="E162" s="2407">
        <f t="shared" si="34"/>
        <v>1</v>
      </c>
      <c r="F162" s="3103"/>
      <c r="G162" s="2407">
        <f t="shared" si="35"/>
        <v>1</v>
      </c>
      <c r="H162" s="3103"/>
      <c r="I162" s="2407">
        <f t="shared" si="36"/>
        <v>1</v>
      </c>
      <c r="J162" s="3103"/>
      <c r="K162" s="2407">
        <f t="shared" si="37"/>
        <v>1</v>
      </c>
      <c r="L162" s="3103"/>
      <c r="M162" s="2407">
        <f t="shared" si="38"/>
        <v>1</v>
      </c>
      <c r="N162" s="3103"/>
      <c r="O162" s="2407">
        <f t="shared" si="39"/>
        <v>1</v>
      </c>
      <c r="P162" s="3103"/>
      <c r="Q162" s="2407">
        <f t="shared" si="40"/>
        <v>0</v>
      </c>
      <c r="R162" s="2407">
        <f t="shared" si="41"/>
        <v>0</v>
      </c>
      <c r="S162" s="3098">
        <f t="shared" si="32"/>
        <v>0</v>
      </c>
    </row>
    <row r="163" spans="1:19">
      <c r="A163" s="2571"/>
      <c r="B163" s="3107"/>
      <c r="C163" s="2407">
        <f t="shared" si="33"/>
        <v>1</v>
      </c>
      <c r="D163" s="3103"/>
      <c r="E163" s="2407">
        <f t="shared" si="34"/>
        <v>1</v>
      </c>
      <c r="F163" s="3103"/>
      <c r="G163" s="2407">
        <f t="shared" si="35"/>
        <v>1</v>
      </c>
      <c r="H163" s="3103"/>
      <c r="I163" s="2407">
        <f t="shared" si="36"/>
        <v>1</v>
      </c>
      <c r="J163" s="3103"/>
      <c r="K163" s="2407">
        <f t="shared" si="37"/>
        <v>1</v>
      </c>
      <c r="L163" s="3103"/>
      <c r="M163" s="2407">
        <f t="shared" si="38"/>
        <v>1</v>
      </c>
      <c r="N163" s="3103"/>
      <c r="O163" s="2407">
        <f t="shared" si="39"/>
        <v>1</v>
      </c>
      <c r="P163" s="3103"/>
      <c r="Q163" s="2407">
        <f t="shared" si="40"/>
        <v>0</v>
      </c>
      <c r="R163" s="2407">
        <f t="shared" si="41"/>
        <v>0</v>
      </c>
      <c r="S163" s="3098">
        <f t="shared" si="32"/>
        <v>0</v>
      </c>
    </row>
    <row r="164" spans="1:19">
      <c r="A164" s="2571"/>
      <c r="B164" s="3107"/>
      <c r="C164" s="2407">
        <f t="shared" si="33"/>
        <v>1</v>
      </c>
      <c r="D164" s="3103"/>
      <c r="E164" s="2407">
        <f t="shared" si="34"/>
        <v>1</v>
      </c>
      <c r="F164" s="3103"/>
      <c r="G164" s="2407">
        <f t="shared" si="35"/>
        <v>1</v>
      </c>
      <c r="H164" s="3103"/>
      <c r="I164" s="2407">
        <f t="shared" si="36"/>
        <v>1</v>
      </c>
      <c r="J164" s="3103"/>
      <c r="K164" s="2407">
        <f t="shared" si="37"/>
        <v>1</v>
      </c>
      <c r="L164" s="3103"/>
      <c r="M164" s="2407">
        <f t="shared" si="38"/>
        <v>1</v>
      </c>
      <c r="N164" s="3103"/>
      <c r="O164" s="2407">
        <f t="shared" si="39"/>
        <v>1</v>
      </c>
      <c r="P164" s="3103"/>
      <c r="Q164" s="2407">
        <f t="shared" si="40"/>
        <v>0</v>
      </c>
      <c r="R164" s="2407">
        <f t="shared" si="41"/>
        <v>0</v>
      </c>
      <c r="S164" s="3098">
        <f t="shared" si="32"/>
        <v>0</v>
      </c>
    </row>
    <row r="165" spans="1:19">
      <c r="A165" s="2571"/>
      <c r="B165" s="3107"/>
      <c r="C165" s="2407">
        <f t="shared" si="33"/>
        <v>1</v>
      </c>
      <c r="D165" s="3103"/>
      <c r="E165" s="2407">
        <f t="shared" si="34"/>
        <v>1</v>
      </c>
      <c r="F165" s="3103"/>
      <c r="G165" s="2407">
        <f t="shared" si="35"/>
        <v>1</v>
      </c>
      <c r="H165" s="3103"/>
      <c r="I165" s="2407">
        <f t="shared" si="36"/>
        <v>1</v>
      </c>
      <c r="J165" s="3103"/>
      <c r="K165" s="2407">
        <f t="shared" si="37"/>
        <v>1</v>
      </c>
      <c r="L165" s="3103"/>
      <c r="M165" s="2407">
        <f t="shared" si="38"/>
        <v>1</v>
      </c>
      <c r="N165" s="3103"/>
      <c r="O165" s="2407">
        <f t="shared" si="39"/>
        <v>1</v>
      </c>
      <c r="P165" s="3103"/>
      <c r="Q165" s="2407">
        <f t="shared" si="40"/>
        <v>0</v>
      </c>
      <c r="R165" s="2407">
        <f t="shared" si="41"/>
        <v>0</v>
      </c>
      <c r="S165" s="3098">
        <f t="shared" si="32"/>
        <v>0</v>
      </c>
    </row>
    <row r="166" spans="1:19">
      <c r="A166" s="2571"/>
      <c r="B166" s="3107"/>
      <c r="C166" s="2407">
        <f t="shared" si="33"/>
        <v>1</v>
      </c>
      <c r="D166" s="3103"/>
      <c r="E166" s="2407">
        <f t="shared" si="34"/>
        <v>1</v>
      </c>
      <c r="F166" s="3103"/>
      <c r="G166" s="2407">
        <f t="shared" si="35"/>
        <v>1</v>
      </c>
      <c r="H166" s="3103"/>
      <c r="I166" s="2407">
        <f t="shared" si="36"/>
        <v>1</v>
      </c>
      <c r="J166" s="3103"/>
      <c r="K166" s="2407">
        <f t="shared" si="37"/>
        <v>1</v>
      </c>
      <c r="L166" s="3103"/>
      <c r="M166" s="2407">
        <f t="shared" si="38"/>
        <v>1</v>
      </c>
      <c r="N166" s="3103"/>
      <c r="O166" s="2407">
        <f t="shared" si="39"/>
        <v>1</v>
      </c>
      <c r="P166" s="3103"/>
      <c r="Q166" s="2407">
        <f t="shared" si="40"/>
        <v>0</v>
      </c>
      <c r="R166" s="2407">
        <f t="shared" si="41"/>
        <v>0</v>
      </c>
      <c r="S166" s="3098">
        <f t="shared" si="32"/>
        <v>0</v>
      </c>
    </row>
    <row r="167" spans="1:19">
      <c r="A167" s="2571"/>
      <c r="B167" s="3107"/>
      <c r="C167" s="2407">
        <f t="shared" si="33"/>
        <v>1</v>
      </c>
      <c r="D167" s="3103"/>
      <c r="E167" s="2407">
        <f t="shared" si="34"/>
        <v>1</v>
      </c>
      <c r="F167" s="3103"/>
      <c r="G167" s="2407">
        <f t="shared" si="35"/>
        <v>1</v>
      </c>
      <c r="H167" s="3103"/>
      <c r="I167" s="2407">
        <f t="shared" si="36"/>
        <v>1</v>
      </c>
      <c r="J167" s="3103"/>
      <c r="K167" s="2407">
        <f t="shared" si="37"/>
        <v>1</v>
      </c>
      <c r="L167" s="3103"/>
      <c r="M167" s="2407">
        <f t="shared" si="38"/>
        <v>1</v>
      </c>
      <c r="N167" s="3103"/>
      <c r="O167" s="2407">
        <f t="shared" si="39"/>
        <v>1</v>
      </c>
      <c r="P167" s="3103"/>
      <c r="Q167" s="2407">
        <f t="shared" si="40"/>
        <v>0</v>
      </c>
      <c r="R167" s="2407">
        <f t="shared" si="41"/>
        <v>0</v>
      </c>
      <c r="S167" s="3098">
        <f t="shared" si="32"/>
        <v>0</v>
      </c>
    </row>
    <row r="168" spans="1:19">
      <c r="A168" s="2571"/>
      <c r="B168" s="3107"/>
      <c r="C168" s="2407">
        <f t="shared" si="33"/>
        <v>1</v>
      </c>
      <c r="D168" s="3103"/>
      <c r="E168" s="2407">
        <f t="shared" si="34"/>
        <v>1</v>
      </c>
      <c r="F168" s="3103"/>
      <c r="G168" s="2407">
        <f t="shared" si="35"/>
        <v>1</v>
      </c>
      <c r="H168" s="3103"/>
      <c r="I168" s="2407">
        <f t="shared" si="36"/>
        <v>1</v>
      </c>
      <c r="J168" s="3103"/>
      <c r="K168" s="2407">
        <f t="shared" si="37"/>
        <v>1</v>
      </c>
      <c r="L168" s="3103"/>
      <c r="M168" s="2407">
        <f t="shared" si="38"/>
        <v>1</v>
      </c>
      <c r="N168" s="3103"/>
      <c r="O168" s="2407">
        <f t="shared" si="39"/>
        <v>1</v>
      </c>
      <c r="P168" s="3103"/>
      <c r="Q168" s="2407">
        <f t="shared" si="40"/>
        <v>0</v>
      </c>
      <c r="R168" s="2407">
        <f t="shared" si="41"/>
        <v>0</v>
      </c>
      <c r="S168" s="3098">
        <f t="shared" si="32"/>
        <v>0</v>
      </c>
    </row>
    <row r="169" spans="1:19">
      <c r="A169" s="2571"/>
      <c r="B169" s="3107"/>
      <c r="C169" s="2407">
        <f t="shared" si="33"/>
        <v>1</v>
      </c>
      <c r="D169" s="3103"/>
      <c r="E169" s="2407">
        <f t="shared" si="34"/>
        <v>1</v>
      </c>
      <c r="F169" s="3103"/>
      <c r="G169" s="2407">
        <f t="shared" si="35"/>
        <v>1</v>
      </c>
      <c r="H169" s="3103"/>
      <c r="I169" s="2407">
        <f t="shared" si="36"/>
        <v>1</v>
      </c>
      <c r="J169" s="3103"/>
      <c r="K169" s="2407">
        <f t="shared" si="37"/>
        <v>1</v>
      </c>
      <c r="L169" s="3103"/>
      <c r="M169" s="2407">
        <f t="shared" si="38"/>
        <v>1</v>
      </c>
      <c r="N169" s="3103"/>
      <c r="O169" s="2407">
        <f t="shared" si="39"/>
        <v>1</v>
      </c>
      <c r="P169" s="3103"/>
      <c r="Q169" s="2407">
        <f t="shared" si="40"/>
        <v>0</v>
      </c>
      <c r="R169" s="2407">
        <f t="shared" si="41"/>
        <v>0</v>
      </c>
      <c r="S169" s="3098">
        <f t="shared" si="32"/>
        <v>0</v>
      </c>
    </row>
    <row r="170" spans="1:19">
      <c r="A170" s="2571"/>
      <c r="B170" s="3107"/>
      <c r="C170" s="2407">
        <f t="shared" si="33"/>
        <v>1</v>
      </c>
      <c r="D170" s="3103"/>
      <c r="E170" s="2407">
        <f t="shared" si="34"/>
        <v>1</v>
      </c>
      <c r="F170" s="3103"/>
      <c r="G170" s="2407">
        <f t="shared" si="35"/>
        <v>1</v>
      </c>
      <c r="H170" s="3103"/>
      <c r="I170" s="2407">
        <f t="shared" si="36"/>
        <v>1</v>
      </c>
      <c r="J170" s="3103"/>
      <c r="K170" s="2407">
        <f t="shared" si="37"/>
        <v>1</v>
      </c>
      <c r="L170" s="3103"/>
      <c r="M170" s="2407">
        <f t="shared" si="38"/>
        <v>1</v>
      </c>
      <c r="N170" s="3103"/>
      <c r="O170" s="2407">
        <f t="shared" si="39"/>
        <v>1</v>
      </c>
      <c r="P170" s="3103"/>
      <c r="Q170" s="2407">
        <f t="shared" si="40"/>
        <v>0</v>
      </c>
      <c r="R170" s="2407">
        <f t="shared" si="41"/>
        <v>0</v>
      </c>
      <c r="S170" s="3098">
        <f t="shared" si="32"/>
        <v>0</v>
      </c>
    </row>
    <row r="171" spans="1:19">
      <c r="A171" s="2571"/>
      <c r="B171" s="3107"/>
      <c r="C171" s="2407">
        <f t="shared" si="33"/>
        <v>1</v>
      </c>
      <c r="D171" s="3103"/>
      <c r="E171" s="2407">
        <f t="shared" si="34"/>
        <v>1</v>
      </c>
      <c r="F171" s="3103"/>
      <c r="G171" s="2407">
        <f t="shared" si="35"/>
        <v>1</v>
      </c>
      <c r="H171" s="3103"/>
      <c r="I171" s="2407">
        <f t="shared" si="36"/>
        <v>1</v>
      </c>
      <c r="J171" s="3103"/>
      <c r="K171" s="2407">
        <f t="shared" si="37"/>
        <v>1</v>
      </c>
      <c r="L171" s="3103"/>
      <c r="M171" s="2407">
        <f t="shared" si="38"/>
        <v>1</v>
      </c>
      <c r="N171" s="3103"/>
      <c r="O171" s="2407">
        <f t="shared" si="39"/>
        <v>1</v>
      </c>
      <c r="P171" s="3103"/>
      <c r="Q171" s="2407">
        <f t="shared" si="40"/>
        <v>0</v>
      </c>
      <c r="R171" s="2407">
        <f t="shared" si="41"/>
        <v>0</v>
      </c>
      <c r="S171" s="3098">
        <f t="shared" si="32"/>
        <v>0</v>
      </c>
    </row>
    <row r="172" spans="1:19">
      <c r="A172" s="2571"/>
      <c r="B172" s="3107"/>
      <c r="C172" s="2407">
        <f t="shared" si="33"/>
        <v>1</v>
      </c>
      <c r="D172" s="3103"/>
      <c r="E172" s="2407">
        <f t="shared" si="34"/>
        <v>1</v>
      </c>
      <c r="F172" s="3103"/>
      <c r="G172" s="2407">
        <f t="shared" si="35"/>
        <v>1</v>
      </c>
      <c r="H172" s="3103"/>
      <c r="I172" s="2407">
        <f t="shared" si="36"/>
        <v>1</v>
      </c>
      <c r="J172" s="3103"/>
      <c r="K172" s="2407">
        <f t="shared" si="37"/>
        <v>1</v>
      </c>
      <c r="L172" s="3103"/>
      <c r="M172" s="2407">
        <f t="shared" si="38"/>
        <v>1</v>
      </c>
      <c r="N172" s="3103"/>
      <c r="O172" s="2407">
        <f t="shared" si="39"/>
        <v>1</v>
      </c>
      <c r="P172" s="3103"/>
      <c r="Q172" s="2407">
        <f t="shared" si="40"/>
        <v>0</v>
      </c>
      <c r="R172" s="2407">
        <f t="shared" si="41"/>
        <v>0</v>
      </c>
      <c r="S172" s="3098">
        <f t="shared" si="32"/>
        <v>0</v>
      </c>
    </row>
    <row r="173" spans="1:19">
      <c r="A173" s="2571"/>
      <c r="B173" s="3107"/>
      <c r="C173" s="2407">
        <f t="shared" si="33"/>
        <v>1</v>
      </c>
      <c r="D173" s="3103"/>
      <c r="E173" s="2407">
        <f t="shared" si="34"/>
        <v>1</v>
      </c>
      <c r="F173" s="3103"/>
      <c r="G173" s="2407">
        <f t="shared" si="35"/>
        <v>1</v>
      </c>
      <c r="H173" s="3103"/>
      <c r="I173" s="2407">
        <f t="shared" si="36"/>
        <v>1</v>
      </c>
      <c r="J173" s="3103"/>
      <c r="K173" s="2407">
        <f t="shared" si="37"/>
        <v>1</v>
      </c>
      <c r="L173" s="3103"/>
      <c r="M173" s="2407">
        <f t="shared" si="38"/>
        <v>1</v>
      </c>
      <c r="N173" s="3103"/>
      <c r="O173" s="2407">
        <f t="shared" si="39"/>
        <v>1</v>
      </c>
      <c r="P173" s="3103"/>
      <c r="Q173" s="2407">
        <f t="shared" si="40"/>
        <v>0</v>
      </c>
      <c r="R173" s="2407">
        <f t="shared" si="41"/>
        <v>0</v>
      </c>
      <c r="S173" s="3098">
        <f t="shared" si="32"/>
        <v>0</v>
      </c>
    </row>
    <row r="174" spans="1:19">
      <c r="A174" s="2571"/>
      <c r="B174" s="3107"/>
      <c r="C174" s="2407">
        <f t="shared" si="33"/>
        <v>1</v>
      </c>
      <c r="D174" s="3103"/>
      <c r="E174" s="2407">
        <f t="shared" si="34"/>
        <v>1</v>
      </c>
      <c r="F174" s="3103"/>
      <c r="G174" s="2407">
        <f t="shared" si="35"/>
        <v>1</v>
      </c>
      <c r="H174" s="3103"/>
      <c r="I174" s="2407">
        <f t="shared" si="36"/>
        <v>1</v>
      </c>
      <c r="J174" s="3103"/>
      <c r="K174" s="2407">
        <f t="shared" si="37"/>
        <v>1</v>
      </c>
      <c r="L174" s="3103"/>
      <c r="M174" s="2407">
        <f t="shared" si="38"/>
        <v>1</v>
      </c>
      <c r="N174" s="3103"/>
      <c r="O174" s="2407">
        <f t="shared" si="39"/>
        <v>1</v>
      </c>
      <c r="P174" s="3103"/>
      <c r="Q174" s="2407">
        <f t="shared" si="40"/>
        <v>0</v>
      </c>
      <c r="R174" s="2407">
        <f t="shared" si="41"/>
        <v>0</v>
      </c>
      <c r="S174" s="3098">
        <f t="shared" si="32"/>
        <v>0</v>
      </c>
    </row>
    <row r="175" spans="1:19">
      <c r="A175" s="2571"/>
      <c r="B175" s="3107"/>
      <c r="C175" s="2407">
        <f t="shared" si="33"/>
        <v>1</v>
      </c>
      <c r="D175" s="3103"/>
      <c r="E175" s="2407">
        <f t="shared" si="34"/>
        <v>1</v>
      </c>
      <c r="F175" s="3103"/>
      <c r="G175" s="2407">
        <f t="shared" si="35"/>
        <v>1</v>
      </c>
      <c r="H175" s="3103"/>
      <c r="I175" s="2407">
        <f t="shared" si="36"/>
        <v>1</v>
      </c>
      <c r="J175" s="3103"/>
      <c r="K175" s="2407">
        <f t="shared" si="37"/>
        <v>1</v>
      </c>
      <c r="L175" s="3103"/>
      <c r="M175" s="2407">
        <f t="shared" si="38"/>
        <v>1</v>
      </c>
      <c r="N175" s="3103"/>
      <c r="O175" s="2407">
        <f t="shared" si="39"/>
        <v>1</v>
      </c>
      <c r="P175" s="3103"/>
      <c r="Q175" s="2407">
        <f t="shared" si="40"/>
        <v>0</v>
      </c>
      <c r="R175" s="2407">
        <f t="shared" si="41"/>
        <v>0</v>
      </c>
      <c r="S175" s="3098">
        <f t="shared" si="32"/>
        <v>0</v>
      </c>
    </row>
    <row r="176" spans="1:19">
      <c r="A176" s="2571"/>
      <c r="B176" s="3107"/>
      <c r="C176" s="2407">
        <f t="shared" si="33"/>
        <v>1</v>
      </c>
      <c r="D176" s="3103"/>
      <c r="E176" s="2407">
        <f t="shared" si="34"/>
        <v>1</v>
      </c>
      <c r="F176" s="3103"/>
      <c r="G176" s="2407">
        <f t="shared" si="35"/>
        <v>1</v>
      </c>
      <c r="H176" s="3103"/>
      <c r="I176" s="2407">
        <f t="shared" si="36"/>
        <v>1</v>
      </c>
      <c r="J176" s="3103"/>
      <c r="K176" s="2407">
        <f t="shared" si="37"/>
        <v>1</v>
      </c>
      <c r="L176" s="3103"/>
      <c r="M176" s="2407">
        <f t="shared" si="38"/>
        <v>1</v>
      </c>
      <c r="N176" s="3103"/>
      <c r="O176" s="2407">
        <f t="shared" si="39"/>
        <v>1</v>
      </c>
      <c r="P176" s="3103"/>
      <c r="Q176" s="2407">
        <f t="shared" si="40"/>
        <v>0</v>
      </c>
      <c r="R176" s="2407">
        <f t="shared" si="41"/>
        <v>0</v>
      </c>
      <c r="S176" s="3098">
        <f t="shared" si="32"/>
        <v>0</v>
      </c>
    </row>
    <row r="177" spans="1:19">
      <c r="A177" s="2571"/>
      <c r="B177" s="3107"/>
      <c r="C177" s="2407">
        <f t="shared" si="33"/>
        <v>1</v>
      </c>
      <c r="D177" s="3103"/>
      <c r="E177" s="2407">
        <f t="shared" si="34"/>
        <v>1</v>
      </c>
      <c r="F177" s="3103"/>
      <c r="G177" s="2407">
        <f t="shared" si="35"/>
        <v>1</v>
      </c>
      <c r="H177" s="3103"/>
      <c r="I177" s="2407">
        <f t="shared" si="36"/>
        <v>1</v>
      </c>
      <c r="J177" s="3103"/>
      <c r="K177" s="2407">
        <f t="shared" si="37"/>
        <v>1</v>
      </c>
      <c r="L177" s="3103"/>
      <c r="M177" s="2407">
        <f t="shared" si="38"/>
        <v>1</v>
      </c>
      <c r="N177" s="3103"/>
      <c r="O177" s="2407">
        <f t="shared" si="39"/>
        <v>1</v>
      </c>
      <c r="P177" s="3103"/>
      <c r="Q177" s="2407">
        <f t="shared" si="40"/>
        <v>0</v>
      </c>
      <c r="R177" s="2407">
        <f t="shared" si="41"/>
        <v>0</v>
      </c>
      <c r="S177" s="3098">
        <f t="shared" si="32"/>
        <v>0</v>
      </c>
    </row>
    <row r="178" spans="1:19">
      <c r="A178" s="2571"/>
      <c r="B178" s="3107"/>
      <c r="C178" s="2407">
        <f t="shared" si="33"/>
        <v>1</v>
      </c>
      <c r="D178" s="3103"/>
      <c r="E178" s="2407">
        <f t="shared" si="34"/>
        <v>1</v>
      </c>
      <c r="F178" s="3103"/>
      <c r="G178" s="2407">
        <f t="shared" si="35"/>
        <v>1</v>
      </c>
      <c r="H178" s="3103"/>
      <c r="I178" s="2407">
        <f t="shared" si="36"/>
        <v>1</v>
      </c>
      <c r="J178" s="3103"/>
      <c r="K178" s="2407">
        <f t="shared" si="37"/>
        <v>1</v>
      </c>
      <c r="L178" s="3103"/>
      <c r="M178" s="2407">
        <f t="shared" si="38"/>
        <v>1</v>
      </c>
      <c r="N178" s="3103"/>
      <c r="O178" s="2407">
        <f t="shared" si="39"/>
        <v>1</v>
      </c>
      <c r="P178" s="3103"/>
      <c r="Q178" s="2407">
        <f t="shared" si="40"/>
        <v>0</v>
      </c>
      <c r="R178" s="2407">
        <f t="shared" si="41"/>
        <v>0</v>
      </c>
      <c r="S178" s="3098">
        <f t="shared" si="32"/>
        <v>0</v>
      </c>
    </row>
    <row r="179" spans="1:19">
      <c r="A179" s="2571"/>
      <c r="B179" s="3107"/>
      <c r="C179" s="2407">
        <f t="shared" si="33"/>
        <v>1</v>
      </c>
      <c r="D179" s="3103"/>
      <c r="E179" s="2407">
        <f t="shared" si="34"/>
        <v>1</v>
      </c>
      <c r="F179" s="3103"/>
      <c r="G179" s="2407">
        <f t="shared" si="35"/>
        <v>1</v>
      </c>
      <c r="H179" s="3103"/>
      <c r="I179" s="2407">
        <f t="shared" si="36"/>
        <v>1</v>
      </c>
      <c r="J179" s="3103"/>
      <c r="K179" s="2407">
        <f t="shared" si="37"/>
        <v>1</v>
      </c>
      <c r="L179" s="3103"/>
      <c r="M179" s="2407">
        <f t="shared" si="38"/>
        <v>1</v>
      </c>
      <c r="N179" s="3103"/>
      <c r="O179" s="2407">
        <f t="shared" si="39"/>
        <v>1</v>
      </c>
      <c r="P179" s="3103"/>
      <c r="Q179" s="2407">
        <f t="shared" si="40"/>
        <v>0</v>
      </c>
      <c r="R179" s="2407">
        <f t="shared" si="41"/>
        <v>0</v>
      </c>
      <c r="S179" s="3098">
        <f t="shared" si="32"/>
        <v>0</v>
      </c>
    </row>
    <row r="180" spans="1:19">
      <c r="A180" s="2571"/>
      <c r="B180" s="3107"/>
      <c r="C180" s="2407">
        <f t="shared" si="33"/>
        <v>1</v>
      </c>
      <c r="D180" s="3103"/>
      <c r="E180" s="2407">
        <f t="shared" si="34"/>
        <v>1</v>
      </c>
      <c r="F180" s="3103"/>
      <c r="G180" s="2407">
        <f t="shared" si="35"/>
        <v>1</v>
      </c>
      <c r="H180" s="3103"/>
      <c r="I180" s="2407">
        <f t="shared" si="36"/>
        <v>1</v>
      </c>
      <c r="J180" s="3103"/>
      <c r="K180" s="2407">
        <f t="shared" si="37"/>
        <v>1</v>
      </c>
      <c r="L180" s="3103"/>
      <c r="M180" s="2407">
        <f t="shared" si="38"/>
        <v>1</v>
      </c>
      <c r="N180" s="3103"/>
      <c r="O180" s="2407">
        <f t="shared" si="39"/>
        <v>1</v>
      </c>
      <c r="P180" s="3103"/>
      <c r="Q180" s="2407">
        <f t="shared" si="40"/>
        <v>0</v>
      </c>
      <c r="R180" s="2407">
        <f t="shared" si="41"/>
        <v>0</v>
      </c>
      <c r="S180" s="3098">
        <f t="shared" si="32"/>
        <v>0</v>
      </c>
    </row>
    <row r="181" spans="1:19">
      <c r="A181" s="2571"/>
      <c r="B181" s="3107"/>
      <c r="C181" s="2407">
        <f t="shared" si="33"/>
        <v>1</v>
      </c>
      <c r="D181" s="3103"/>
      <c r="E181" s="2407">
        <f t="shared" si="34"/>
        <v>1</v>
      </c>
      <c r="F181" s="3103"/>
      <c r="G181" s="2407">
        <f t="shared" si="35"/>
        <v>1</v>
      </c>
      <c r="H181" s="3103"/>
      <c r="I181" s="2407">
        <f t="shared" si="36"/>
        <v>1</v>
      </c>
      <c r="J181" s="3103"/>
      <c r="K181" s="2407">
        <f t="shared" si="37"/>
        <v>1</v>
      </c>
      <c r="L181" s="3103"/>
      <c r="M181" s="2407">
        <f t="shared" si="38"/>
        <v>1</v>
      </c>
      <c r="N181" s="3103"/>
      <c r="O181" s="2407">
        <f t="shared" si="39"/>
        <v>1</v>
      </c>
      <c r="P181" s="3103"/>
      <c r="Q181" s="2407">
        <f t="shared" si="40"/>
        <v>0</v>
      </c>
      <c r="R181" s="2407">
        <f t="shared" si="41"/>
        <v>0</v>
      </c>
      <c r="S181" s="3098">
        <f t="shared" si="32"/>
        <v>0</v>
      </c>
    </row>
    <row r="182" spans="1:19">
      <c r="A182" s="2571"/>
      <c r="B182" s="3107"/>
      <c r="C182" s="2407">
        <f t="shared" si="33"/>
        <v>1</v>
      </c>
      <c r="D182" s="3103"/>
      <c r="E182" s="2407">
        <f t="shared" si="34"/>
        <v>1</v>
      </c>
      <c r="F182" s="3103"/>
      <c r="G182" s="2407">
        <f t="shared" si="35"/>
        <v>1</v>
      </c>
      <c r="H182" s="3103"/>
      <c r="I182" s="2407">
        <f t="shared" si="36"/>
        <v>1</v>
      </c>
      <c r="J182" s="3103"/>
      <c r="K182" s="2407">
        <f t="shared" si="37"/>
        <v>1</v>
      </c>
      <c r="L182" s="3103"/>
      <c r="M182" s="2407">
        <f t="shared" si="38"/>
        <v>1</v>
      </c>
      <c r="N182" s="3103"/>
      <c r="O182" s="2407">
        <f t="shared" si="39"/>
        <v>1</v>
      </c>
      <c r="P182" s="3103"/>
      <c r="Q182" s="2407">
        <f t="shared" si="40"/>
        <v>0</v>
      </c>
      <c r="R182" s="2407">
        <f t="shared" si="41"/>
        <v>0</v>
      </c>
      <c r="S182" s="3098">
        <f t="shared" si="32"/>
        <v>0</v>
      </c>
    </row>
    <row r="183" spans="1:19">
      <c r="A183" s="2571"/>
      <c r="B183" s="3107"/>
      <c r="C183" s="2407">
        <f t="shared" si="33"/>
        <v>1</v>
      </c>
      <c r="D183" s="3103"/>
      <c r="E183" s="2407">
        <f t="shared" si="34"/>
        <v>1</v>
      </c>
      <c r="F183" s="3103"/>
      <c r="G183" s="2407">
        <f t="shared" si="35"/>
        <v>1</v>
      </c>
      <c r="H183" s="3103"/>
      <c r="I183" s="2407">
        <f t="shared" si="36"/>
        <v>1</v>
      </c>
      <c r="J183" s="3103"/>
      <c r="K183" s="2407">
        <f t="shared" si="37"/>
        <v>1</v>
      </c>
      <c r="L183" s="3103"/>
      <c r="M183" s="2407">
        <f t="shared" si="38"/>
        <v>1</v>
      </c>
      <c r="N183" s="3103"/>
      <c r="O183" s="2407">
        <f t="shared" si="39"/>
        <v>1</v>
      </c>
      <c r="P183" s="3103"/>
      <c r="Q183" s="2407">
        <f t="shared" si="40"/>
        <v>0</v>
      </c>
      <c r="R183" s="2407">
        <f t="shared" si="41"/>
        <v>0</v>
      </c>
      <c r="S183" s="3098">
        <f t="shared" si="32"/>
        <v>0</v>
      </c>
    </row>
    <row r="184" spans="1:19">
      <c r="A184" s="2571"/>
      <c r="B184" s="3107"/>
      <c r="C184" s="2407">
        <f t="shared" si="33"/>
        <v>1</v>
      </c>
      <c r="D184" s="3103"/>
      <c r="E184" s="2407">
        <f t="shared" si="34"/>
        <v>1</v>
      </c>
      <c r="F184" s="3103"/>
      <c r="G184" s="2407">
        <f t="shared" si="35"/>
        <v>1</v>
      </c>
      <c r="H184" s="3103"/>
      <c r="I184" s="2407">
        <f t="shared" si="36"/>
        <v>1</v>
      </c>
      <c r="J184" s="3103"/>
      <c r="K184" s="2407">
        <f t="shared" si="37"/>
        <v>1</v>
      </c>
      <c r="L184" s="3103"/>
      <c r="M184" s="2407">
        <f t="shared" si="38"/>
        <v>1</v>
      </c>
      <c r="N184" s="3103"/>
      <c r="O184" s="2407">
        <f t="shared" si="39"/>
        <v>1</v>
      </c>
      <c r="P184" s="3103"/>
      <c r="Q184" s="2407">
        <f t="shared" si="40"/>
        <v>0</v>
      </c>
      <c r="R184" s="2407">
        <f t="shared" si="41"/>
        <v>0</v>
      </c>
      <c r="S184" s="3098">
        <f t="shared" si="32"/>
        <v>0</v>
      </c>
    </row>
    <row r="185" spans="1:19">
      <c r="A185" s="2571"/>
      <c r="B185" s="3107"/>
      <c r="C185" s="2407">
        <f t="shared" si="33"/>
        <v>1</v>
      </c>
      <c r="D185" s="3103"/>
      <c r="E185" s="2407">
        <f t="shared" si="34"/>
        <v>1</v>
      </c>
      <c r="F185" s="3103"/>
      <c r="G185" s="2407">
        <f t="shared" si="35"/>
        <v>1</v>
      </c>
      <c r="H185" s="3103"/>
      <c r="I185" s="2407">
        <f t="shared" si="36"/>
        <v>1</v>
      </c>
      <c r="J185" s="3103"/>
      <c r="K185" s="2407">
        <f t="shared" si="37"/>
        <v>1</v>
      </c>
      <c r="L185" s="3103"/>
      <c r="M185" s="2407">
        <f t="shared" si="38"/>
        <v>1</v>
      </c>
      <c r="N185" s="3103"/>
      <c r="O185" s="2407">
        <f t="shared" si="39"/>
        <v>1</v>
      </c>
      <c r="P185" s="3103"/>
      <c r="Q185" s="2407">
        <f t="shared" si="40"/>
        <v>0</v>
      </c>
      <c r="R185" s="2407">
        <f t="shared" si="41"/>
        <v>0</v>
      </c>
      <c r="S185" s="3098">
        <f t="shared" si="32"/>
        <v>0</v>
      </c>
    </row>
    <row r="186" spans="1:19">
      <c r="A186" s="2571"/>
      <c r="B186" s="3107"/>
      <c r="C186" s="2407">
        <f t="shared" si="33"/>
        <v>1</v>
      </c>
      <c r="D186" s="3103"/>
      <c r="E186" s="2407">
        <f t="shared" si="34"/>
        <v>1</v>
      </c>
      <c r="F186" s="3103"/>
      <c r="G186" s="2407">
        <f t="shared" si="35"/>
        <v>1</v>
      </c>
      <c r="H186" s="3103"/>
      <c r="I186" s="2407">
        <f t="shared" si="36"/>
        <v>1</v>
      </c>
      <c r="J186" s="3103"/>
      <c r="K186" s="2407">
        <f t="shared" si="37"/>
        <v>1</v>
      </c>
      <c r="L186" s="3103"/>
      <c r="M186" s="2407">
        <f t="shared" si="38"/>
        <v>1</v>
      </c>
      <c r="N186" s="3103"/>
      <c r="O186" s="2407">
        <f t="shared" si="39"/>
        <v>1</v>
      </c>
      <c r="P186" s="3103"/>
      <c r="Q186" s="2407">
        <f t="shared" si="40"/>
        <v>0</v>
      </c>
      <c r="R186" s="2407">
        <f t="shared" si="41"/>
        <v>0</v>
      </c>
      <c r="S186" s="3098">
        <f t="shared" si="32"/>
        <v>0</v>
      </c>
    </row>
    <row r="187" spans="1:19">
      <c r="A187" s="2571"/>
      <c r="B187" s="3107"/>
      <c r="C187" s="2407">
        <f t="shared" si="33"/>
        <v>1</v>
      </c>
      <c r="D187" s="3103"/>
      <c r="E187" s="2407">
        <f t="shared" si="34"/>
        <v>1</v>
      </c>
      <c r="F187" s="3103"/>
      <c r="G187" s="2407">
        <f t="shared" si="35"/>
        <v>1</v>
      </c>
      <c r="H187" s="3103"/>
      <c r="I187" s="2407">
        <f t="shared" si="36"/>
        <v>1</v>
      </c>
      <c r="J187" s="3103"/>
      <c r="K187" s="2407">
        <f t="shared" si="37"/>
        <v>1</v>
      </c>
      <c r="L187" s="3103"/>
      <c r="M187" s="2407">
        <f t="shared" si="38"/>
        <v>1</v>
      </c>
      <c r="N187" s="3103"/>
      <c r="O187" s="2407">
        <f t="shared" si="39"/>
        <v>1</v>
      </c>
      <c r="P187" s="3103"/>
      <c r="Q187" s="2407">
        <f t="shared" si="40"/>
        <v>0</v>
      </c>
      <c r="R187" s="2407">
        <f t="shared" si="41"/>
        <v>0</v>
      </c>
      <c r="S187" s="3098">
        <f t="shared" ref="S187:S222" si="42">ROUND(R187*B187/10000,0)</f>
        <v>0</v>
      </c>
    </row>
    <row r="188" spans="1:19">
      <c r="A188" s="2571"/>
      <c r="B188" s="3107"/>
      <c r="C188" s="2407">
        <f t="shared" si="33"/>
        <v>1</v>
      </c>
      <c r="D188" s="3103"/>
      <c r="E188" s="2407">
        <f t="shared" si="34"/>
        <v>1</v>
      </c>
      <c r="F188" s="3103"/>
      <c r="G188" s="2407">
        <f t="shared" si="35"/>
        <v>1</v>
      </c>
      <c r="H188" s="3103"/>
      <c r="I188" s="2407">
        <f t="shared" si="36"/>
        <v>1</v>
      </c>
      <c r="J188" s="3103"/>
      <c r="K188" s="2407">
        <f t="shared" si="37"/>
        <v>1</v>
      </c>
      <c r="L188" s="3103"/>
      <c r="M188" s="2407">
        <f t="shared" si="38"/>
        <v>1</v>
      </c>
      <c r="N188" s="3103"/>
      <c r="O188" s="2407">
        <f t="shared" si="39"/>
        <v>1</v>
      </c>
      <c r="P188" s="3103"/>
      <c r="Q188" s="2407">
        <f t="shared" si="40"/>
        <v>0</v>
      </c>
      <c r="R188" s="2407">
        <f t="shared" si="41"/>
        <v>0</v>
      </c>
      <c r="S188" s="3098">
        <f t="shared" si="42"/>
        <v>0</v>
      </c>
    </row>
    <row r="189" spans="1:19">
      <c r="A189" s="2571"/>
      <c r="B189" s="3107"/>
      <c r="C189" s="2407">
        <f t="shared" si="33"/>
        <v>1</v>
      </c>
      <c r="D189" s="3103"/>
      <c r="E189" s="2407">
        <f t="shared" si="34"/>
        <v>1</v>
      </c>
      <c r="F189" s="3103"/>
      <c r="G189" s="2407">
        <f t="shared" si="35"/>
        <v>1</v>
      </c>
      <c r="H189" s="3103"/>
      <c r="I189" s="2407">
        <f t="shared" si="36"/>
        <v>1</v>
      </c>
      <c r="J189" s="3103"/>
      <c r="K189" s="2407">
        <f t="shared" si="37"/>
        <v>1</v>
      </c>
      <c r="L189" s="3103"/>
      <c r="M189" s="2407">
        <f t="shared" si="38"/>
        <v>1</v>
      </c>
      <c r="N189" s="3103"/>
      <c r="O189" s="2407">
        <f t="shared" si="39"/>
        <v>1</v>
      </c>
      <c r="P189" s="3103"/>
      <c r="Q189" s="2407">
        <f t="shared" si="40"/>
        <v>0</v>
      </c>
      <c r="R189" s="2407">
        <f t="shared" si="41"/>
        <v>0</v>
      </c>
      <c r="S189" s="3098">
        <f t="shared" si="42"/>
        <v>0</v>
      </c>
    </row>
    <row r="190" spans="1:19">
      <c r="A190" s="2571"/>
      <c r="B190" s="3107"/>
      <c r="C190" s="2407">
        <f t="shared" si="33"/>
        <v>1</v>
      </c>
      <c r="D190" s="3103"/>
      <c r="E190" s="2407">
        <f t="shared" si="34"/>
        <v>1</v>
      </c>
      <c r="F190" s="3103"/>
      <c r="G190" s="2407">
        <f t="shared" si="35"/>
        <v>1</v>
      </c>
      <c r="H190" s="3103"/>
      <c r="I190" s="2407">
        <f t="shared" si="36"/>
        <v>1</v>
      </c>
      <c r="J190" s="3103"/>
      <c r="K190" s="2407">
        <f t="shared" si="37"/>
        <v>1</v>
      </c>
      <c r="L190" s="3103"/>
      <c r="M190" s="2407">
        <f t="shared" si="38"/>
        <v>1</v>
      </c>
      <c r="N190" s="3103"/>
      <c r="O190" s="2407">
        <f t="shared" si="39"/>
        <v>1</v>
      </c>
      <c r="P190" s="3103"/>
      <c r="Q190" s="2407">
        <f t="shared" si="40"/>
        <v>0</v>
      </c>
      <c r="R190" s="2407">
        <f t="shared" si="41"/>
        <v>0</v>
      </c>
      <c r="S190" s="3098">
        <f t="shared" si="42"/>
        <v>0</v>
      </c>
    </row>
    <row r="191" spans="1:19">
      <c r="A191" s="2571"/>
      <c r="B191" s="3107"/>
      <c r="C191" s="2407">
        <f t="shared" si="33"/>
        <v>1</v>
      </c>
      <c r="D191" s="3103"/>
      <c r="E191" s="2407">
        <f t="shared" si="34"/>
        <v>1</v>
      </c>
      <c r="F191" s="3103"/>
      <c r="G191" s="2407">
        <f t="shared" si="35"/>
        <v>1</v>
      </c>
      <c r="H191" s="3103"/>
      <c r="I191" s="2407">
        <f t="shared" si="36"/>
        <v>1</v>
      </c>
      <c r="J191" s="3103"/>
      <c r="K191" s="2407">
        <f t="shared" si="37"/>
        <v>1</v>
      </c>
      <c r="L191" s="3103"/>
      <c r="M191" s="2407">
        <f t="shared" si="38"/>
        <v>1</v>
      </c>
      <c r="N191" s="3103"/>
      <c r="O191" s="2407">
        <f t="shared" si="39"/>
        <v>1</v>
      </c>
      <c r="P191" s="3103"/>
      <c r="Q191" s="2407">
        <f t="shared" si="40"/>
        <v>0</v>
      </c>
      <c r="R191" s="2407">
        <f t="shared" si="41"/>
        <v>0</v>
      </c>
      <c r="S191" s="3098">
        <f t="shared" si="42"/>
        <v>0</v>
      </c>
    </row>
    <row r="192" spans="1:19">
      <c r="A192" s="2571"/>
      <c r="B192" s="3107"/>
      <c r="C192" s="2407">
        <f t="shared" si="33"/>
        <v>1</v>
      </c>
      <c r="D192" s="3103"/>
      <c r="E192" s="2407">
        <f t="shared" si="34"/>
        <v>1</v>
      </c>
      <c r="F192" s="3103"/>
      <c r="G192" s="2407">
        <f t="shared" si="35"/>
        <v>1</v>
      </c>
      <c r="H192" s="3103"/>
      <c r="I192" s="2407">
        <f t="shared" si="36"/>
        <v>1</v>
      </c>
      <c r="J192" s="3103"/>
      <c r="K192" s="2407">
        <f t="shared" si="37"/>
        <v>1</v>
      </c>
      <c r="L192" s="3103"/>
      <c r="M192" s="2407">
        <f t="shared" si="38"/>
        <v>1</v>
      </c>
      <c r="N192" s="3103"/>
      <c r="O192" s="2407">
        <f t="shared" si="39"/>
        <v>1</v>
      </c>
      <c r="P192" s="3103"/>
      <c r="Q192" s="2407">
        <f t="shared" si="40"/>
        <v>0</v>
      </c>
      <c r="R192" s="2407">
        <f t="shared" si="41"/>
        <v>0</v>
      </c>
      <c r="S192" s="3098">
        <f t="shared" si="42"/>
        <v>0</v>
      </c>
    </row>
    <row r="193" spans="1:19">
      <c r="A193" s="2571"/>
      <c r="B193" s="3107"/>
      <c r="C193" s="2407">
        <f t="shared" si="33"/>
        <v>1</v>
      </c>
      <c r="D193" s="3103"/>
      <c r="E193" s="2407">
        <f t="shared" si="34"/>
        <v>1</v>
      </c>
      <c r="F193" s="3103"/>
      <c r="G193" s="2407">
        <f t="shared" si="35"/>
        <v>1</v>
      </c>
      <c r="H193" s="3103"/>
      <c r="I193" s="2407">
        <f t="shared" si="36"/>
        <v>1</v>
      </c>
      <c r="J193" s="3103"/>
      <c r="K193" s="2407">
        <f t="shared" si="37"/>
        <v>1</v>
      </c>
      <c r="L193" s="3103"/>
      <c r="M193" s="2407">
        <f t="shared" si="38"/>
        <v>1</v>
      </c>
      <c r="N193" s="3103"/>
      <c r="O193" s="2407">
        <f t="shared" si="39"/>
        <v>1</v>
      </c>
      <c r="P193" s="3103"/>
      <c r="Q193" s="2407">
        <f t="shared" si="40"/>
        <v>0</v>
      </c>
      <c r="R193" s="2407">
        <f t="shared" si="41"/>
        <v>0</v>
      </c>
      <c r="S193" s="3098">
        <f t="shared" si="42"/>
        <v>0</v>
      </c>
    </row>
    <row r="194" spans="1:19">
      <c r="A194" s="2571"/>
      <c r="B194" s="3107"/>
      <c r="C194" s="2407">
        <f t="shared" si="33"/>
        <v>1</v>
      </c>
      <c r="D194" s="3103"/>
      <c r="E194" s="2407">
        <f t="shared" si="34"/>
        <v>1</v>
      </c>
      <c r="F194" s="3103"/>
      <c r="G194" s="2407">
        <f t="shared" si="35"/>
        <v>1</v>
      </c>
      <c r="H194" s="3103"/>
      <c r="I194" s="2407">
        <f t="shared" si="36"/>
        <v>1</v>
      </c>
      <c r="J194" s="3103"/>
      <c r="K194" s="2407">
        <f t="shared" si="37"/>
        <v>1</v>
      </c>
      <c r="L194" s="3103"/>
      <c r="M194" s="2407">
        <f t="shared" si="38"/>
        <v>1</v>
      </c>
      <c r="N194" s="3103"/>
      <c r="O194" s="2407">
        <f t="shared" si="39"/>
        <v>1</v>
      </c>
      <c r="P194" s="3103"/>
      <c r="Q194" s="2407">
        <f t="shared" si="40"/>
        <v>0</v>
      </c>
      <c r="R194" s="2407">
        <f t="shared" si="41"/>
        <v>0</v>
      </c>
      <c r="S194" s="3098">
        <f t="shared" si="42"/>
        <v>0</v>
      </c>
    </row>
    <row r="195" spans="1:19">
      <c r="A195" s="2571"/>
      <c r="B195" s="3107"/>
      <c r="C195" s="2407">
        <f t="shared" si="33"/>
        <v>1</v>
      </c>
      <c r="D195" s="3103"/>
      <c r="E195" s="2407">
        <f t="shared" si="34"/>
        <v>1</v>
      </c>
      <c r="F195" s="3103"/>
      <c r="G195" s="2407">
        <f t="shared" si="35"/>
        <v>1</v>
      </c>
      <c r="H195" s="3103"/>
      <c r="I195" s="2407">
        <f t="shared" si="36"/>
        <v>1</v>
      </c>
      <c r="J195" s="3103"/>
      <c r="K195" s="2407">
        <f t="shared" si="37"/>
        <v>1</v>
      </c>
      <c r="L195" s="3103"/>
      <c r="M195" s="2407">
        <f t="shared" si="38"/>
        <v>1</v>
      </c>
      <c r="N195" s="3103"/>
      <c r="O195" s="2407">
        <f t="shared" si="39"/>
        <v>1</v>
      </c>
      <c r="P195" s="3103"/>
      <c r="Q195" s="2407">
        <f t="shared" si="40"/>
        <v>0</v>
      </c>
      <c r="R195" s="2407">
        <f t="shared" si="41"/>
        <v>0</v>
      </c>
      <c r="S195" s="3098">
        <f t="shared" si="42"/>
        <v>0</v>
      </c>
    </row>
    <row r="196" spans="1:19">
      <c r="A196" s="2571"/>
      <c r="B196" s="3107"/>
      <c r="C196" s="2407">
        <f t="shared" si="33"/>
        <v>1</v>
      </c>
      <c r="D196" s="3103"/>
      <c r="E196" s="2407">
        <f t="shared" si="34"/>
        <v>1</v>
      </c>
      <c r="F196" s="3103"/>
      <c r="G196" s="2407">
        <f t="shared" si="35"/>
        <v>1</v>
      </c>
      <c r="H196" s="3103"/>
      <c r="I196" s="2407">
        <f t="shared" si="36"/>
        <v>1</v>
      </c>
      <c r="J196" s="3103"/>
      <c r="K196" s="2407">
        <f t="shared" si="37"/>
        <v>1</v>
      </c>
      <c r="L196" s="3103"/>
      <c r="M196" s="2407">
        <f t="shared" si="38"/>
        <v>1</v>
      </c>
      <c r="N196" s="3103"/>
      <c r="O196" s="2407">
        <f t="shared" si="39"/>
        <v>1</v>
      </c>
      <c r="P196" s="3103"/>
      <c r="Q196" s="2407">
        <f t="shared" si="40"/>
        <v>0</v>
      </c>
      <c r="R196" s="2407">
        <f t="shared" si="41"/>
        <v>0</v>
      </c>
      <c r="S196" s="3098">
        <f t="shared" si="42"/>
        <v>0</v>
      </c>
    </row>
    <row r="197" spans="1:19">
      <c r="A197" s="2571"/>
      <c r="B197" s="3107"/>
      <c r="C197" s="2407">
        <f t="shared" si="33"/>
        <v>1</v>
      </c>
      <c r="D197" s="3103"/>
      <c r="E197" s="2407">
        <f t="shared" si="34"/>
        <v>1</v>
      </c>
      <c r="F197" s="3103"/>
      <c r="G197" s="2407">
        <f t="shared" si="35"/>
        <v>1</v>
      </c>
      <c r="H197" s="3103"/>
      <c r="I197" s="2407">
        <f t="shared" si="36"/>
        <v>1</v>
      </c>
      <c r="J197" s="3103"/>
      <c r="K197" s="2407">
        <f t="shared" si="37"/>
        <v>1</v>
      </c>
      <c r="L197" s="3103"/>
      <c r="M197" s="2407">
        <f t="shared" si="38"/>
        <v>1</v>
      </c>
      <c r="N197" s="3103"/>
      <c r="O197" s="2407">
        <f t="shared" si="39"/>
        <v>1</v>
      </c>
      <c r="P197" s="3103"/>
      <c r="Q197" s="2407">
        <f t="shared" si="40"/>
        <v>0</v>
      </c>
      <c r="R197" s="2407">
        <f t="shared" si="41"/>
        <v>0</v>
      </c>
      <c r="S197" s="3098">
        <f t="shared" si="42"/>
        <v>0</v>
      </c>
    </row>
    <row r="198" spans="1:19">
      <c r="A198" s="2571"/>
      <c r="B198" s="3107"/>
      <c r="C198" s="2407">
        <f t="shared" si="33"/>
        <v>1</v>
      </c>
      <c r="D198" s="3103"/>
      <c r="E198" s="2407">
        <f t="shared" si="34"/>
        <v>1</v>
      </c>
      <c r="F198" s="3103"/>
      <c r="G198" s="2407">
        <f t="shared" si="35"/>
        <v>1</v>
      </c>
      <c r="H198" s="3103"/>
      <c r="I198" s="2407">
        <f t="shared" si="36"/>
        <v>1</v>
      </c>
      <c r="J198" s="3103"/>
      <c r="K198" s="2407">
        <f t="shared" si="37"/>
        <v>1</v>
      </c>
      <c r="L198" s="3103"/>
      <c r="M198" s="2407">
        <f t="shared" si="38"/>
        <v>1</v>
      </c>
      <c r="N198" s="3103"/>
      <c r="O198" s="2407">
        <f t="shared" si="39"/>
        <v>1</v>
      </c>
      <c r="P198" s="3103"/>
      <c r="Q198" s="2407">
        <f t="shared" si="40"/>
        <v>0</v>
      </c>
      <c r="R198" s="2407">
        <f t="shared" si="41"/>
        <v>0</v>
      </c>
      <c r="S198" s="3098">
        <f t="shared" si="42"/>
        <v>0</v>
      </c>
    </row>
    <row r="199" spans="1:19">
      <c r="A199" s="2571"/>
      <c r="B199" s="3107"/>
      <c r="C199" s="2407">
        <f t="shared" si="33"/>
        <v>1</v>
      </c>
      <c r="D199" s="3103"/>
      <c r="E199" s="2407">
        <f t="shared" si="34"/>
        <v>1</v>
      </c>
      <c r="F199" s="3103"/>
      <c r="G199" s="2407">
        <f t="shared" si="35"/>
        <v>1</v>
      </c>
      <c r="H199" s="3103"/>
      <c r="I199" s="2407">
        <f t="shared" si="36"/>
        <v>1</v>
      </c>
      <c r="J199" s="3103"/>
      <c r="K199" s="2407">
        <f t="shared" si="37"/>
        <v>1</v>
      </c>
      <c r="L199" s="3103"/>
      <c r="M199" s="2407">
        <f t="shared" si="38"/>
        <v>1</v>
      </c>
      <c r="N199" s="3103"/>
      <c r="O199" s="2407">
        <f t="shared" si="39"/>
        <v>1</v>
      </c>
      <c r="P199" s="3103"/>
      <c r="Q199" s="2407">
        <f t="shared" si="40"/>
        <v>0</v>
      </c>
      <c r="R199" s="2407">
        <f t="shared" si="41"/>
        <v>0</v>
      </c>
      <c r="S199" s="3098">
        <f t="shared" si="42"/>
        <v>0</v>
      </c>
    </row>
    <row r="200" spans="1:19">
      <c r="A200" s="2571"/>
      <c r="B200" s="3107"/>
      <c r="C200" s="2407">
        <f t="shared" si="33"/>
        <v>1</v>
      </c>
      <c r="D200" s="3103"/>
      <c r="E200" s="2407">
        <f t="shared" si="34"/>
        <v>1</v>
      </c>
      <c r="F200" s="3103"/>
      <c r="G200" s="2407">
        <f t="shared" si="35"/>
        <v>1</v>
      </c>
      <c r="H200" s="3103"/>
      <c r="I200" s="2407">
        <f t="shared" si="36"/>
        <v>1</v>
      </c>
      <c r="J200" s="3103"/>
      <c r="K200" s="2407">
        <f t="shared" si="37"/>
        <v>1</v>
      </c>
      <c r="L200" s="3103"/>
      <c r="M200" s="2407">
        <f t="shared" si="38"/>
        <v>1</v>
      </c>
      <c r="N200" s="3103"/>
      <c r="O200" s="2407">
        <f t="shared" si="39"/>
        <v>1</v>
      </c>
      <c r="P200" s="3103"/>
      <c r="Q200" s="2407">
        <f t="shared" si="40"/>
        <v>0</v>
      </c>
      <c r="R200" s="2407">
        <f t="shared" si="41"/>
        <v>0</v>
      </c>
      <c r="S200" s="3098">
        <f t="shared" si="42"/>
        <v>0</v>
      </c>
    </row>
    <row r="201" spans="1:19">
      <c r="A201" s="2571"/>
      <c r="B201" s="3107"/>
      <c r="C201" s="2407">
        <f t="shared" si="33"/>
        <v>1</v>
      </c>
      <c r="D201" s="3103"/>
      <c r="E201" s="2407">
        <f t="shared" si="34"/>
        <v>1</v>
      </c>
      <c r="F201" s="3103"/>
      <c r="G201" s="2407">
        <f t="shared" si="35"/>
        <v>1</v>
      </c>
      <c r="H201" s="3103"/>
      <c r="I201" s="2407">
        <f t="shared" si="36"/>
        <v>1</v>
      </c>
      <c r="J201" s="3103"/>
      <c r="K201" s="2407">
        <f t="shared" si="37"/>
        <v>1</v>
      </c>
      <c r="L201" s="3103"/>
      <c r="M201" s="2407">
        <f t="shared" si="38"/>
        <v>1</v>
      </c>
      <c r="N201" s="3103"/>
      <c r="O201" s="2407">
        <f t="shared" si="39"/>
        <v>1</v>
      </c>
      <c r="P201" s="3103"/>
      <c r="Q201" s="2407">
        <f t="shared" si="40"/>
        <v>0</v>
      </c>
      <c r="R201" s="2407">
        <f t="shared" si="41"/>
        <v>0</v>
      </c>
      <c r="S201" s="3098">
        <f t="shared" si="42"/>
        <v>0</v>
      </c>
    </row>
    <row r="202" spans="1:19">
      <c r="A202" s="2571"/>
      <c r="B202" s="3107"/>
      <c r="C202" s="2407">
        <f t="shared" si="33"/>
        <v>1</v>
      </c>
      <c r="D202" s="3103"/>
      <c r="E202" s="2407">
        <f t="shared" si="34"/>
        <v>1</v>
      </c>
      <c r="F202" s="3103"/>
      <c r="G202" s="2407">
        <f t="shared" si="35"/>
        <v>1</v>
      </c>
      <c r="H202" s="3103"/>
      <c r="I202" s="2407">
        <f t="shared" si="36"/>
        <v>1</v>
      </c>
      <c r="J202" s="3103"/>
      <c r="K202" s="2407">
        <f t="shared" si="37"/>
        <v>1</v>
      </c>
      <c r="L202" s="3103"/>
      <c r="M202" s="2407">
        <f t="shared" si="38"/>
        <v>1</v>
      </c>
      <c r="N202" s="3103"/>
      <c r="O202" s="2407">
        <f t="shared" si="39"/>
        <v>1</v>
      </c>
      <c r="P202" s="3103"/>
      <c r="Q202" s="2407">
        <f t="shared" si="40"/>
        <v>0</v>
      </c>
      <c r="R202" s="2407">
        <f t="shared" si="41"/>
        <v>0</v>
      </c>
      <c r="S202" s="3098">
        <f t="shared" si="42"/>
        <v>0</v>
      </c>
    </row>
    <row r="203" spans="1:19">
      <c r="A203" s="2571"/>
      <c r="B203" s="3107"/>
      <c r="C203" s="2407">
        <f t="shared" si="33"/>
        <v>1</v>
      </c>
      <c r="D203" s="3103"/>
      <c r="E203" s="2407">
        <f t="shared" si="34"/>
        <v>1</v>
      </c>
      <c r="F203" s="3103"/>
      <c r="G203" s="2407">
        <f t="shared" si="35"/>
        <v>1</v>
      </c>
      <c r="H203" s="3103"/>
      <c r="I203" s="2407">
        <f t="shared" si="36"/>
        <v>1</v>
      </c>
      <c r="J203" s="3103"/>
      <c r="K203" s="2407">
        <f t="shared" si="37"/>
        <v>1</v>
      </c>
      <c r="L203" s="3103"/>
      <c r="M203" s="2407">
        <f t="shared" si="38"/>
        <v>1</v>
      </c>
      <c r="N203" s="3103"/>
      <c r="O203" s="2407">
        <f t="shared" si="39"/>
        <v>1</v>
      </c>
      <c r="P203" s="3103"/>
      <c r="Q203" s="2407">
        <f t="shared" si="40"/>
        <v>0</v>
      </c>
      <c r="R203" s="2407">
        <f t="shared" si="41"/>
        <v>0</v>
      </c>
      <c r="S203" s="3098">
        <f t="shared" si="42"/>
        <v>0</v>
      </c>
    </row>
    <row r="204" spans="1:19">
      <c r="A204" s="2571"/>
      <c r="B204" s="3107"/>
      <c r="C204" s="2407">
        <f t="shared" si="33"/>
        <v>1</v>
      </c>
      <c r="D204" s="3103"/>
      <c r="E204" s="2407">
        <f t="shared" si="34"/>
        <v>1</v>
      </c>
      <c r="F204" s="3103"/>
      <c r="G204" s="2407">
        <f t="shared" si="35"/>
        <v>1</v>
      </c>
      <c r="H204" s="3103"/>
      <c r="I204" s="2407">
        <f t="shared" si="36"/>
        <v>1</v>
      </c>
      <c r="J204" s="3103"/>
      <c r="K204" s="2407">
        <f t="shared" si="37"/>
        <v>1</v>
      </c>
      <c r="L204" s="3103"/>
      <c r="M204" s="2407">
        <f t="shared" si="38"/>
        <v>1</v>
      </c>
      <c r="N204" s="3103"/>
      <c r="O204" s="2407">
        <f t="shared" si="39"/>
        <v>1</v>
      </c>
      <c r="P204" s="3103"/>
      <c r="Q204" s="2407">
        <f t="shared" si="40"/>
        <v>0</v>
      </c>
      <c r="R204" s="2407">
        <f t="shared" si="41"/>
        <v>0</v>
      </c>
      <c r="S204" s="3098">
        <f t="shared" si="42"/>
        <v>0</v>
      </c>
    </row>
    <row r="205" spans="1:19">
      <c r="A205" s="2571"/>
      <c r="B205" s="3107"/>
      <c r="C205" s="2407">
        <f t="shared" si="33"/>
        <v>1</v>
      </c>
      <c r="D205" s="3103"/>
      <c r="E205" s="2407">
        <f t="shared" si="34"/>
        <v>1</v>
      </c>
      <c r="F205" s="3103"/>
      <c r="G205" s="2407">
        <f t="shared" si="35"/>
        <v>1</v>
      </c>
      <c r="H205" s="3103"/>
      <c r="I205" s="2407">
        <f t="shared" si="36"/>
        <v>1</v>
      </c>
      <c r="J205" s="3103"/>
      <c r="K205" s="2407">
        <f t="shared" si="37"/>
        <v>1</v>
      </c>
      <c r="L205" s="3103"/>
      <c r="M205" s="2407">
        <f t="shared" si="38"/>
        <v>1</v>
      </c>
      <c r="N205" s="3103"/>
      <c r="O205" s="2407">
        <f t="shared" si="39"/>
        <v>1</v>
      </c>
      <c r="P205" s="3103"/>
      <c r="Q205" s="2407">
        <f t="shared" si="40"/>
        <v>0</v>
      </c>
      <c r="R205" s="2407">
        <f t="shared" si="41"/>
        <v>0</v>
      </c>
      <c r="S205" s="3098">
        <f t="shared" si="42"/>
        <v>0</v>
      </c>
    </row>
    <row r="206" spans="1:19">
      <c r="A206" s="2571"/>
      <c r="B206" s="3107"/>
      <c r="C206" s="2407">
        <f t="shared" si="33"/>
        <v>1</v>
      </c>
      <c r="D206" s="3103"/>
      <c r="E206" s="2407">
        <f t="shared" si="34"/>
        <v>1</v>
      </c>
      <c r="F206" s="3103"/>
      <c r="G206" s="2407">
        <f t="shared" si="35"/>
        <v>1</v>
      </c>
      <c r="H206" s="3103"/>
      <c r="I206" s="2407">
        <f t="shared" si="36"/>
        <v>1</v>
      </c>
      <c r="J206" s="3103"/>
      <c r="K206" s="2407">
        <f t="shared" si="37"/>
        <v>1</v>
      </c>
      <c r="L206" s="3103"/>
      <c r="M206" s="2407">
        <f t="shared" si="38"/>
        <v>1</v>
      </c>
      <c r="N206" s="3103"/>
      <c r="O206" s="2407">
        <f t="shared" si="39"/>
        <v>1</v>
      </c>
      <c r="P206" s="3103"/>
      <c r="Q206" s="2407">
        <f t="shared" si="40"/>
        <v>0</v>
      </c>
      <c r="R206" s="2407">
        <f t="shared" si="41"/>
        <v>0</v>
      </c>
      <c r="S206" s="3098">
        <f t="shared" si="42"/>
        <v>0</v>
      </c>
    </row>
    <row r="207" spans="1:19">
      <c r="A207" s="2571"/>
      <c r="B207" s="3107"/>
      <c r="C207" s="2407">
        <f t="shared" si="33"/>
        <v>1</v>
      </c>
      <c r="D207" s="3103"/>
      <c r="E207" s="2407">
        <f t="shared" si="34"/>
        <v>1</v>
      </c>
      <c r="F207" s="3103"/>
      <c r="G207" s="2407">
        <f t="shared" si="35"/>
        <v>1</v>
      </c>
      <c r="H207" s="3103"/>
      <c r="I207" s="2407">
        <f t="shared" si="36"/>
        <v>1</v>
      </c>
      <c r="J207" s="3103"/>
      <c r="K207" s="2407">
        <f t="shared" si="37"/>
        <v>1</v>
      </c>
      <c r="L207" s="3103"/>
      <c r="M207" s="2407">
        <f t="shared" si="38"/>
        <v>1</v>
      </c>
      <c r="N207" s="3103"/>
      <c r="O207" s="2407">
        <f t="shared" si="39"/>
        <v>1</v>
      </c>
      <c r="P207" s="3103"/>
      <c r="Q207" s="2407">
        <f t="shared" si="40"/>
        <v>0</v>
      </c>
      <c r="R207" s="2407">
        <f t="shared" si="41"/>
        <v>0</v>
      </c>
      <c r="S207" s="3098">
        <f t="shared" si="42"/>
        <v>0</v>
      </c>
    </row>
    <row r="208" spans="1:19">
      <c r="A208" s="2571"/>
      <c r="B208" s="3107"/>
      <c r="C208" s="2407">
        <f t="shared" si="33"/>
        <v>1</v>
      </c>
      <c r="D208" s="3103"/>
      <c r="E208" s="2407">
        <f t="shared" si="34"/>
        <v>1</v>
      </c>
      <c r="F208" s="3103"/>
      <c r="G208" s="2407">
        <f t="shared" si="35"/>
        <v>1</v>
      </c>
      <c r="H208" s="3103"/>
      <c r="I208" s="2407">
        <f t="shared" si="36"/>
        <v>1</v>
      </c>
      <c r="J208" s="3103"/>
      <c r="K208" s="2407">
        <f t="shared" si="37"/>
        <v>1</v>
      </c>
      <c r="L208" s="3103"/>
      <c r="M208" s="2407">
        <f t="shared" si="38"/>
        <v>1</v>
      </c>
      <c r="N208" s="3103"/>
      <c r="O208" s="2407">
        <f t="shared" si="39"/>
        <v>1</v>
      </c>
      <c r="P208" s="3103"/>
      <c r="Q208" s="2407">
        <f t="shared" si="40"/>
        <v>0</v>
      </c>
      <c r="R208" s="2407">
        <f t="shared" si="41"/>
        <v>0</v>
      </c>
      <c r="S208" s="3098">
        <f t="shared" si="42"/>
        <v>0</v>
      </c>
    </row>
    <row r="209" spans="1:19">
      <c r="A209" s="2571"/>
      <c r="B209" s="3107"/>
      <c r="C209" s="2407">
        <f t="shared" si="33"/>
        <v>1</v>
      </c>
      <c r="D209" s="3103"/>
      <c r="E209" s="2407">
        <f t="shared" si="34"/>
        <v>1</v>
      </c>
      <c r="F209" s="3103"/>
      <c r="G209" s="2407">
        <f t="shared" si="35"/>
        <v>1</v>
      </c>
      <c r="H209" s="3103"/>
      <c r="I209" s="2407">
        <f t="shared" si="36"/>
        <v>1</v>
      </c>
      <c r="J209" s="3103"/>
      <c r="K209" s="2407">
        <f t="shared" si="37"/>
        <v>1</v>
      </c>
      <c r="L209" s="3103"/>
      <c r="M209" s="2407">
        <f t="shared" si="38"/>
        <v>1</v>
      </c>
      <c r="N209" s="3103"/>
      <c r="O209" s="2407">
        <f t="shared" si="39"/>
        <v>1</v>
      </c>
      <c r="P209" s="3103"/>
      <c r="Q209" s="2407">
        <f t="shared" si="40"/>
        <v>0</v>
      </c>
      <c r="R209" s="2407">
        <f t="shared" si="41"/>
        <v>0</v>
      </c>
      <c r="S209" s="3098">
        <f t="shared" si="42"/>
        <v>0</v>
      </c>
    </row>
    <row r="210" spans="1:19">
      <c r="A210" s="2571"/>
      <c r="B210" s="3107"/>
      <c r="C210" s="2407">
        <f t="shared" si="33"/>
        <v>1</v>
      </c>
      <c r="D210" s="3103"/>
      <c r="E210" s="2407">
        <f t="shared" si="34"/>
        <v>1</v>
      </c>
      <c r="F210" s="3103"/>
      <c r="G210" s="2407">
        <f t="shared" si="35"/>
        <v>1</v>
      </c>
      <c r="H210" s="3103"/>
      <c r="I210" s="2407">
        <f t="shared" si="36"/>
        <v>1</v>
      </c>
      <c r="J210" s="3103"/>
      <c r="K210" s="2407">
        <f t="shared" si="37"/>
        <v>1</v>
      </c>
      <c r="L210" s="3103"/>
      <c r="M210" s="2407">
        <f t="shared" si="38"/>
        <v>1</v>
      </c>
      <c r="N210" s="3103"/>
      <c r="O210" s="2407">
        <f t="shared" si="39"/>
        <v>1</v>
      </c>
      <c r="P210" s="3103"/>
      <c r="Q210" s="2407">
        <f t="shared" si="40"/>
        <v>0</v>
      </c>
      <c r="R210" s="2407">
        <f t="shared" si="41"/>
        <v>0</v>
      </c>
      <c r="S210" s="3098">
        <f t="shared" si="42"/>
        <v>0</v>
      </c>
    </row>
    <row r="211" spans="1:19">
      <c r="A211" s="2571"/>
      <c r="B211" s="3107"/>
      <c r="C211" s="2407">
        <f t="shared" si="33"/>
        <v>1</v>
      </c>
      <c r="D211" s="3103"/>
      <c r="E211" s="2407">
        <f t="shared" si="34"/>
        <v>1</v>
      </c>
      <c r="F211" s="3103"/>
      <c r="G211" s="2407">
        <f t="shared" si="35"/>
        <v>1</v>
      </c>
      <c r="H211" s="3103"/>
      <c r="I211" s="2407">
        <f t="shared" si="36"/>
        <v>1</v>
      </c>
      <c r="J211" s="3103"/>
      <c r="K211" s="2407">
        <f t="shared" si="37"/>
        <v>1</v>
      </c>
      <c r="L211" s="3103"/>
      <c r="M211" s="2407">
        <f t="shared" si="38"/>
        <v>1</v>
      </c>
      <c r="N211" s="3103"/>
      <c r="O211" s="2407">
        <f t="shared" si="39"/>
        <v>1</v>
      </c>
      <c r="P211" s="3103"/>
      <c r="Q211" s="2407">
        <f t="shared" si="40"/>
        <v>0</v>
      </c>
      <c r="R211" s="2407">
        <f t="shared" si="41"/>
        <v>0</v>
      </c>
      <c r="S211" s="3098">
        <f t="shared" si="42"/>
        <v>0</v>
      </c>
    </row>
    <row r="212" spans="1:19">
      <c r="A212" s="2571"/>
      <c r="B212" s="3107"/>
      <c r="C212" s="2407">
        <f t="shared" si="33"/>
        <v>1</v>
      </c>
      <c r="D212" s="3103"/>
      <c r="E212" s="2407">
        <f t="shared" si="34"/>
        <v>1</v>
      </c>
      <c r="F212" s="3103"/>
      <c r="G212" s="2407">
        <f t="shared" si="35"/>
        <v>1</v>
      </c>
      <c r="H212" s="3103"/>
      <c r="I212" s="2407">
        <f t="shared" si="36"/>
        <v>1</v>
      </c>
      <c r="J212" s="3103"/>
      <c r="K212" s="2407">
        <f t="shared" si="37"/>
        <v>1</v>
      </c>
      <c r="L212" s="3103"/>
      <c r="M212" s="2407">
        <f t="shared" si="38"/>
        <v>1</v>
      </c>
      <c r="N212" s="3103"/>
      <c r="O212" s="2407">
        <f t="shared" si="39"/>
        <v>1</v>
      </c>
      <c r="P212" s="3103"/>
      <c r="Q212" s="2407">
        <f t="shared" si="40"/>
        <v>0</v>
      </c>
      <c r="R212" s="2407">
        <f t="shared" si="41"/>
        <v>0</v>
      </c>
      <c r="S212" s="3098">
        <f t="shared" si="42"/>
        <v>0</v>
      </c>
    </row>
    <row r="213" spans="1:19">
      <c r="A213" s="2571"/>
      <c r="B213" s="3107"/>
      <c r="C213" s="2407">
        <f t="shared" si="33"/>
        <v>1</v>
      </c>
      <c r="D213" s="3103"/>
      <c r="E213" s="2407">
        <f t="shared" si="34"/>
        <v>1</v>
      </c>
      <c r="F213" s="3103"/>
      <c r="G213" s="2407">
        <f t="shared" si="35"/>
        <v>1</v>
      </c>
      <c r="H213" s="3103"/>
      <c r="I213" s="2407">
        <f t="shared" si="36"/>
        <v>1</v>
      </c>
      <c r="J213" s="3103"/>
      <c r="K213" s="2407">
        <f t="shared" si="37"/>
        <v>1</v>
      </c>
      <c r="L213" s="3103"/>
      <c r="M213" s="2407">
        <f t="shared" si="38"/>
        <v>1</v>
      </c>
      <c r="N213" s="3103"/>
      <c r="O213" s="2407">
        <f t="shared" si="39"/>
        <v>1</v>
      </c>
      <c r="P213" s="3103"/>
      <c r="Q213" s="2407">
        <f t="shared" si="40"/>
        <v>0</v>
      </c>
      <c r="R213" s="2407">
        <f t="shared" si="41"/>
        <v>0</v>
      </c>
      <c r="S213" s="3098">
        <f t="shared" si="42"/>
        <v>0</v>
      </c>
    </row>
    <row r="214" spans="1:19">
      <c r="A214" s="2571"/>
      <c r="B214" s="3107"/>
      <c r="C214" s="2407">
        <f t="shared" si="33"/>
        <v>1</v>
      </c>
      <c r="D214" s="3103"/>
      <c r="E214" s="2407">
        <f t="shared" si="34"/>
        <v>1</v>
      </c>
      <c r="F214" s="3103"/>
      <c r="G214" s="2407">
        <f t="shared" si="35"/>
        <v>1</v>
      </c>
      <c r="H214" s="3103"/>
      <c r="I214" s="2407">
        <f t="shared" si="36"/>
        <v>1</v>
      </c>
      <c r="J214" s="3103"/>
      <c r="K214" s="2407">
        <f t="shared" si="37"/>
        <v>1</v>
      </c>
      <c r="L214" s="3103"/>
      <c r="M214" s="2407">
        <f t="shared" si="38"/>
        <v>1</v>
      </c>
      <c r="N214" s="3103"/>
      <c r="O214" s="2407">
        <f t="shared" si="39"/>
        <v>1</v>
      </c>
      <c r="P214" s="3103"/>
      <c r="Q214" s="2407">
        <f t="shared" si="40"/>
        <v>0</v>
      </c>
      <c r="R214" s="2407">
        <f t="shared" si="41"/>
        <v>0</v>
      </c>
      <c r="S214" s="3098">
        <f t="shared" si="42"/>
        <v>0</v>
      </c>
    </row>
    <row r="215" spans="1:19">
      <c r="A215" s="2571"/>
      <c r="B215" s="3107"/>
      <c r="C215" s="2407">
        <f t="shared" si="33"/>
        <v>1</v>
      </c>
      <c r="D215" s="3103"/>
      <c r="E215" s="2407">
        <f t="shared" si="34"/>
        <v>1</v>
      </c>
      <c r="F215" s="3103"/>
      <c r="G215" s="2407">
        <f t="shared" si="35"/>
        <v>1</v>
      </c>
      <c r="H215" s="3103"/>
      <c r="I215" s="2407">
        <f t="shared" si="36"/>
        <v>1</v>
      </c>
      <c r="J215" s="3103"/>
      <c r="K215" s="2407">
        <f t="shared" si="37"/>
        <v>1</v>
      </c>
      <c r="L215" s="3103"/>
      <c r="M215" s="2407">
        <f t="shared" si="38"/>
        <v>1</v>
      </c>
      <c r="N215" s="3103"/>
      <c r="O215" s="2407">
        <f t="shared" si="39"/>
        <v>1</v>
      </c>
      <c r="P215" s="3103"/>
      <c r="Q215" s="2407">
        <f t="shared" si="40"/>
        <v>0</v>
      </c>
      <c r="R215" s="2407">
        <f t="shared" si="41"/>
        <v>0</v>
      </c>
      <c r="S215" s="3098">
        <f t="shared" si="42"/>
        <v>0</v>
      </c>
    </row>
    <row r="216" spans="1:19">
      <c r="A216" s="2571"/>
      <c r="B216" s="3107"/>
      <c r="C216" s="2407">
        <f t="shared" si="33"/>
        <v>1</v>
      </c>
      <c r="D216" s="3103"/>
      <c r="E216" s="2407">
        <f t="shared" si="34"/>
        <v>1</v>
      </c>
      <c r="F216" s="3103"/>
      <c r="G216" s="2407">
        <f t="shared" si="35"/>
        <v>1</v>
      </c>
      <c r="H216" s="3103"/>
      <c r="I216" s="2407">
        <f t="shared" si="36"/>
        <v>1</v>
      </c>
      <c r="J216" s="3103"/>
      <c r="K216" s="2407">
        <f t="shared" si="37"/>
        <v>1</v>
      </c>
      <c r="L216" s="3103"/>
      <c r="M216" s="2407">
        <f t="shared" si="38"/>
        <v>1</v>
      </c>
      <c r="N216" s="3103"/>
      <c r="O216" s="2407">
        <f t="shared" si="39"/>
        <v>1</v>
      </c>
      <c r="P216" s="3103"/>
      <c r="Q216" s="2407">
        <f t="shared" si="40"/>
        <v>0</v>
      </c>
      <c r="R216" s="2407">
        <f t="shared" si="41"/>
        <v>0</v>
      </c>
      <c r="S216" s="3098">
        <f t="shared" si="42"/>
        <v>0</v>
      </c>
    </row>
    <row r="217" spans="1:19">
      <c r="A217" s="2571"/>
      <c r="B217" s="3107"/>
      <c r="C217" s="2407">
        <f t="shared" si="33"/>
        <v>1</v>
      </c>
      <c r="D217" s="3103"/>
      <c r="E217" s="2407">
        <f t="shared" si="34"/>
        <v>1</v>
      </c>
      <c r="F217" s="3103"/>
      <c r="G217" s="2407">
        <f t="shared" si="35"/>
        <v>1</v>
      </c>
      <c r="H217" s="3103"/>
      <c r="I217" s="2407">
        <f t="shared" si="36"/>
        <v>1</v>
      </c>
      <c r="J217" s="3103"/>
      <c r="K217" s="2407">
        <f t="shared" si="37"/>
        <v>1</v>
      </c>
      <c r="L217" s="3103"/>
      <c r="M217" s="2407">
        <f t="shared" si="38"/>
        <v>1</v>
      </c>
      <c r="N217" s="3103"/>
      <c r="O217" s="2407">
        <f t="shared" si="39"/>
        <v>1</v>
      </c>
      <c r="P217" s="3103"/>
      <c r="Q217" s="2407">
        <f t="shared" si="40"/>
        <v>0</v>
      </c>
      <c r="R217" s="2407">
        <f t="shared" si="41"/>
        <v>0</v>
      </c>
      <c r="S217" s="3098">
        <f t="shared" si="42"/>
        <v>0</v>
      </c>
    </row>
    <row r="218" spans="1:19">
      <c r="A218" s="2571"/>
      <c r="B218" s="3107"/>
      <c r="C218" s="2407">
        <f t="shared" ref="C218:C281" si="43">IF(B218="",1,(LOOKUP(B218,$3:$3,$4:$4)-LOOKUP($B$24,$3:$3,$4:$4)+100)/100)</f>
        <v>1</v>
      </c>
      <c r="D218" s="3103"/>
      <c r="E218" s="2407">
        <f t="shared" ref="E218:E281" si="44">(SUMIF($5:$5,D218,$6:$6)-SUMIF($5:$5,$D$24,$6:$6)+100)/100</f>
        <v>1</v>
      </c>
      <c r="F218" s="3103"/>
      <c r="G218" s="2407">
        <f t="shared" ref="G218:G281" si="45">(SUMIF($7:$7,F218,$8:$8)-SUMIF($7:$7,$F$24,$8:$8)+100)/100</f>
        <v>1</v>
      </c>
      <c r="H218" s="3103"/>
      <c r="I218" s="2407">
        <f t="shared" ref="I218:I281" si="46">(SUMIF($9:$9,H218,$10:$10)-SUMIF($9:$9,$H$24,$10:$10)+100)/100</f>
        <v>1</v>
      </c>
      <c r="J218" s="3103"/>
      <c r="K218" s="2407">
        <f t="shared" ref="K218:K281" si="47">(SUMIF($11:$11,J218,$12:$12)-SUMIF($11:$11,$J$24,$12:$12)+100)/100</f>
        <v>1</v>
      </c>
      <c r="L218" s="3103"/>
      <c r="M218" s="2407">
        <f t="shared" ref="M218:M281" si="48">(SUMIF($13:$13,L218,$14:$14)-SUMIF($13:$13,$L$24,$14:$14)+100)/100</f>
        <v>1</v>
      </c>
      <c r="N218" s="3103"/>
      <c r="O218" s="2407">
        <f t="shared" ref="O218:O281" si="49">(SUMIF($15:$15,N218,$16:$16)-SUMIF($15:$15,$N$24,$16:$16)+100)/100</f>
        <v>1</v>
      </c>
      <c r="P218" s="3103"/>
      <c r="Q218" s="2407">
        <f t="shared" ref="Q218:Q281" si="50">(SUMIF($17:$17,P218,$18:$18)-SUMIF($17:$17,$P$24,$18:$18)+100)/100</f>
        <v>0</v>
      </c>
      <c r="R218" s="2407">
        <f t="shared" ref="R218:R281" si="51">IF(B218="",0,ROUND($R$24*C218*E218*G218*I218*K218*M218*O218*Q218,0))</f>
        <v>0</v>
      </c>
      <c r="S218" s="3098">
        <f t="shared" si="42"/>
        <v>0</v>
      </c>
    </row>
    <row r="219" spans="1:19">
      <c r="A219" s="2571"/>
      <c r="B219" s="3107"/>
      <c r="C219" s="2407">
        <f t="shared" si="43"/>
        <v>1</v>
      </c>
      <c r="D219" s="3103"/>
      <c r="E219" s="2407">
        <f t="shared" si="44"/>
        <v>1</v>
      </c>
      <c r="F219" s="3103"/>
      <c r="G219" s="2407">
        <f t="shared" si="45"/>
        <v>1</v>
      </c>
      <c r="H219" s="3103"/>
      <c r="I219" s="2407">
        <f t="shared" si="46"/>
        <v>1</v>
      </c>
      <c r="J219" s="3103"/>
      <c r="K219" s="2407">
        <f t="shared" si="47"/>
        <v>1</v>
      </c>
      <c r="L219" s="3103"/>
      <c r="M219" s="2407">
        <f t="shared" si="48"/>
        <v>1</v>
      </c>
      <c r="N219" s="3103"/>
      <c r="O219" s="2407">
        <f t="shared" si="49"/>
        <v>1</v>
      </c>
      <c r="P219" s="3103"/>
      <c r="Q219" s="2407">
        <f t="shared" si="50"/>
        <v>0</v>
      </c>
      <c r="R219" s="2407">
        <f t="shared" si="51"/>
        <v>0</v>
      </c>
      <c r="S219" s="3098">
        <f t="shared" si="42"/>
        <v>0</v>
      </c>
    </row>
    <row r="220" spans="1:19">
      <c r="A220" s="2571"/>
      <c r="B220" s="3107"/>
      <c r="C220" s="2407">
        <f t="shared" si="43"/>
        <v>1</v>
      </c>
      <c r="D220" s="3103"/>
      <c r="E220" s="2407">
        <f t="shared" si="44"/>
        <v>1</v>
      </c>
      <c r="F220" s="3103"/>
      <c r="G220" s="2407">
        <f t="shared" si="45"/>
        <v>1</v>
      </c>
      <c r="H220" s="3103"/>
      <c r="I220" s="2407">
        <f t="shared" si="46"/>
        <v>1</v>
      </c>
      <c r="J220" s="3103"/>
      <c r="K220" s="2407">
        <f t="shared" si="47"/>
        <v>1</v>
      </c>
      <c r="L220" s="3103"/>
      <c r="M220" s="2407">
        <f t="shared" si="48"/>
        <v>1</v>
      </c>
      <c r="N220" s="3103"/>
      <c r="O220" s="2407">
        <f t="shared" si="49"/>
        <v>1</v>
      </c>
      <c r="P220" s="3103"/>
      <c r="Q220" s="2407">
        <f t="shared" si="50"/>
        <v>0</v>
      </c>
      <c r="R220" s="2407">
        <f t="shared" si="51"/>
        <v>0</v>
      </c>
      <c r="S220" s="3098">
        <f t="shared" si="42"/>
        <v>0</v>
      </c>
    </row>
    <row r="221" spans="1:19">
      <c r="A221" s="2571"/>
      <c r="B221" s="3107"/>
      <c r="C221" s="2407">
        <f t="shared" si="43"/>
        <v>1</v>
      </c>
      <c r="D221" s="3103"/>
      <c r="E221" s="2407">
        <f t="shared" si="44"/>
        <v>1</v>
      </c>
      <c r="F221" s="3103"/>
      <c r="G221" s="2407">
        <f t="shared" si="45"/>
        <v>1</v>
      </c>
      <c r="H221" s="3103"/>
      <c r="I221" s="2407">
        <f t="shared" si="46"/>
        <v>1</v>
      </c>
      <c r="J221" s="3103"/>
      <c r="K221" s="2407">
        <f t="shared" si="47"/>
        <v>1</v>
      </c>
      <c r="L221" s="3103"/>
      <c r="M221" s="2407">
        <f t="shared" si="48"/>
        <v>1</v>
      </c>
      <c r="N221" s="3103"/>
      <c r="O221" s="2407">
        <f t="shared" si="49"/>
        <v>1</v>
      </c>
      <c r="P221" s="3103"/>
      <c r="Q221" s="2407">
        <f t="shared" si="50"/>
        <v>0</v>
      </c>
      <c r="R221" s="2407">
        <f t="shared" si="51"/>
        <v>0</v>
      </c>
      <c r="S221" s="3098">
        <f t="shared" si="42"/>
        <v>0</v>
      </c>
    </row>
    <row r="222" spans="1:19">
      <c r="A222" s="2571"/>
      <c r="B222" s="3107"/>
      <c r="C222" s="2407">
        <f t="shared" si="43"/>
        <v>1</v>
      </c>
      <c r="D222" s="3103"/>
      <c r="E222" s="2407">
        <f t="shared" si="44"/>
        <v>1</v>
      </c>
      <c r="F222" s="3103"/>
      <c r="G222" s="2407">
        <f t="shared" si="45"/>
        <v>1</v>
      </c>
      <c r="H222" s="3103"/>
      <c r="I222" s="2407">
        <f t="shared" si="46"/>
        <v>1</v>
      </c>
      <c r="J222" s="3103"/>
      <c r="K222" s="2407">
        <f t="shared" si="47"/>
        <v>1</v>
      </c>
      <c r="L222" s="3103"/>
      <c r="M222" s="2407">
        <f t="shared" si="48"/>
        <v>1</v>
      </c>
      <c r="N222" s="3103"/>
      <c r="O222" s="2407">
        <f t="shared" si="49"/>
        <v>1</v>
      </c>
      <c r="P222" s="3103"/>
      <c r="Q222" s="2407">
        <f t="shared" si="50"/>
        <v>0</v>
      </c>
      <c r="R222" s="2407">
        <f t="shared" si="51"/>
        <v>0</v>
      </c>
      <c r="S222" s="3098">
        <f t="shared" si="42"/>
        <v>0</v>
      </c>
    </row>
    <row r="223" spans="1:19">
      <c r="A223" s="2571"/>
      <c r="B223" s="3107"/>
      <c r="C223" s="2407">
        <f t="shared" si="43"/>
        <v>1</v>
      </c>
      <c r="D223" s="3103"/>
      <c r="E223" s="2407">
        <f t="shared" si="44"/>
        <v>1</v>
      </c>
      <c r="F223" s="3103"/>
      <c r="G223" s="2407">
        <f t="shared" si="45"/>
        <v>1</v>
      </c>
      <c r="H223" s="3103"/>
      <c r="I223" s="2407">
        <f t="shared" si="46"/>
        <v>1</v>
      </c>
      <c r="J223" s="3103"/>
      <c r="K223" s="2407">
        <f t="shared" si="47"/>
        <v>1</v>
      </c>
      <c r="L223" s="3103"/>
      <c r="M223" s="2407">
        <f t="shared" si="48"/>
        <v>1</v>
      </c>
      <c r="N223" s="3103"/>
      <c r="O223" s="2407">
        <f t="shared" si="49"/>
        <v>1</v>
      </c>
      <c r="P223" s="3103"/>
      <c r="Q223" s="2407">
        <f t="shared" si="50"/>
        <v>0</v>
      </c>
      <c r="R223" s="2407">
        <f t="shared" si="51"/>
        <v>0</v>
      </c>
      <c r="S223" s="3098">
        <f t="shared" ref="S223:S286" si="52">ROUND(R223*B223/10000,0)</f>
        <v>0</v>
      </c>
    </row>
    <row r="224" spans="1:19">
      <c r="A224" s="2571"/>
      <c r="B224" s="3107"/>
      <c r="C224" s="2407">
        <f t="shared" si="43"/>
        <v>1</v>
      </c>
      <c r="D224" s="3103"/>
      <c r="E224" s="2407">
        <f t="shared" si="44"/>
        <v>1</v>
      </c>
      <c r="F224" s="3103"/>
      <c r="G224" s="2407">
        <f t="shared" si="45"/>
        <v>1</v>
      </c>
      <c r="H224" s="3103"/>
      <c r="I224" s="2407">
        <f t="shared" si="46"/>
        <v>1</v>
      </c>
      <c r="J224" s="3103"/>
      <c r="K224" s="2407">
        <f t="shared" si="47"/>
        <v>1</v>
      </c>
      <c r="L224" s="3103"/>
      <c r="M224" s="2407">
        <f t="shared" si="48"/>
        <v>1</v>
      </c>
      <c r="N224" s="3103"/>
      <c r="O224" s="2407">
        <f t="shared" si="49"/>
        <v>1</v>
      </c>
      <c r="P224" s="3103"/>
      <c r="Q224" s="2407">
        <f t="shared" si="50"/>
        <v>0</v>
      </c>
      <c r="R224" s="2407">
        <f t="shared" si="51"/>
        <v>0</v>
      </c>
      <c r="S224" s="3098">
        <f t="shared" si="52"/>
        <v>0</v>
      </c>
    </row>
    <row r="225" spans="1:19">
      <c r="A225" s="2571"/>
      <c r="B225" s="3107"/>
      <c r="C225" s="2407">
        <f t="shared" si="43"/>
        <v>1</v>
      </c>
      <c r="D225" s="3103"/>
      <c r="E225" s="2407">
        <f t="shared" si="44"/>
        <v>1</v>
      </c>
      <c r="F225" s="3103"/>
      <c r="G225" s="2407">
        <f t="shared" si="45"/>
        <v>1</v>
      </c>
      <c r="H225" s="3103"/>
      <c r="I225" s="2407">
        <f t="shared" si="46"/>
        <v>1</v>
      </c>
      <c r="J225" s="3103"/>
      <c r="K225" s="2407">
        <f t="shared" si="47"/>
        <v>1</v>
      </c>
      <c r="L225" s="3103"/>
      <c r="M225" s="2407">
        <f t="shared" si="48"/>
        <v>1</v>
      </c>
      <c r="N225" s="3103"/>
      <c r="O225" s="2407">
        <f t="shared" si="49"/>
        <v>1</v>
      </c>
      <c r="P225" s="3103"/>
      <c r="Q225" s="2407">
        <f t="shared" si="50"/>
        <v>0</v>
      </c>
      <c r="R225" s="2407">
        <f t="shared" si="51"/>
        <v>0</v>
      </c>
      <c r="S225" s="3098">
        <f t="shared" si="52"/>
        <v>0</v>
      </c>
    </row>
    <row r="226" spans="1:19">
      <c r="A226" s="2571"/>
      <c r="B226" s="3107"/>
      <c r="C226" s="2407">
        <f t="shared" si="43"/>
        <v>1</v>
      </c>
      <c r="D226" s="3103"/>
      <c r="E226" s="2407">
        <f t="shared" si="44"/>
        <v>1</v>
      </c>
      <c r="F226" s="3103"/>
      <c r="G226" s="2407">
        <f t="shared" si="45"/>
        <v>1</v>
      </c>
      <c r="H226" s="3103"/>
      <c r="I226" s="2407">
        <f t="shared" si="46"/>
        <v>1</v>
      </c>
      <c r="J226" s="3103"/>
      <c r="K226" s="2407">
        <f t="shared" si="47"/>
        <v>1</v>
      </c>
      <c r="L226" s="3103"/>
      <c r="M226" s="2407">
        <f t="shared" si="48"/>
        <v>1</v>
      </c>
      <c r="N226" s="3103"/>
      <c r="O226" s="2407">
        <f t="shared" si="49"/>
        <v>1</v>
      </c>
      <c r="P226" s="3103"/>
      <c r="Q226" s="2407">
        <f t="shared" si="50"/>
        <v>0</v>
      </c>
      <c r="R226" s="2407">
        <f t="shared" si="51"/>
        <v>0</v>
      </c>
      <c r="S226" s="3098">
        <f t="shared" si="52"/>
        <v>0</v>
      </c>
    </row>
    <row r="227" spans="1:19">
      <c r="A227" s="2571"/>
      <c r="B227" s="3107"/>
      <c r="C227" s="2407">
        <f t="shared" si="43"/>
        <v>1</v>
      </c>
      <c r="D227" s="3103"/>
      <c r="E227" s="2407">
        <f t="shared" si="44"/>
        <v>1</v>
      </c>
      <c r="F227" s="3103"/>
      <c r="G227" s="2407">
        <f t="shared" si="45"/>
        <v>1</v>
      </c>
      <c r="H227" s="3103"/>
      <c r="I227" s="2407">
        <f t="shared" si="46"/>
        <v>1</v>
      </c>
      <c r="J227" s="3103"/>
      <c r="K227" s="2407">
        <f t="shared" si="47"/>
        <v>1</v>
      </c>
      <c r="L227" s="3103"/>
      <c r="M227" s="2407">
        <f t="shared" si="48"/>
        <v>1</v>
      </c>
      <c r="N227" s="3103"/>
      <c r="O227" s="2407">
        <f t="shared" si="49"/>
        <v>1</v>
      </c>
      <c r="P227" s="3103"/>
      <c r="Q227" s="2407">
        <f t="shared" si="50"/>
        <v>0</v>
      </c>
      <c r="R227" s="2407">
        <f t="shared" si="51"/>
        <v>0</v>
      </c>
      <c r="S227" s="3098">
        <f t="shared" si="52"/>
        <v>0</v>
      </c>
    </row>
    <row r="228" spans="1:19">
      <c r="A228" s="2571"/>
      <c r="B228" s="3107"/>
      <c r="C228" s="2407">
        <f t="shared" si="43"/>
        <v>1</v>
      </c>
      <c r="D228" s="3103"/>
      <c r="E228" s="2407">
        <f t="shared" si="44"/>
        <v>1</v>
      </c>
      <c r="F228" s="3103"/>
      <c r="G228" s="2407">
        <f t="shared" si="45"/>
        <v>1</v>
      </c>
      <c r="H228" s="3103"/>
      <c r="I228" s="2407">
        <f t="shared" si="46"/>
        <v>1</v>
      </c>
      <c r="J228" s="3103"/>
      <c r="K228" s="2407">
        <f t="shared" si="47"/>
        <v>1</v>
      </c>
      <c r="L228" s="3103"/>
      <c r="M228" s="2407">
        <f t="shared" si="48"/>
        <v>1</v>
      </c>
      <c r="N228" s="3103"/>
      <c r="O228" s="2407">
        <f t="shared" si="49"/>
        <v>1</v>
      </c>
      <c r="P228" s="3103"/>
      <c r="Q228" s="2407">
        <f t="shared" si="50"/>
        <v>0</v>
      </c>
      <c r="R228" s="2407">
        <f t="shared" si="51"/>
        <v>0</v>
      </c>
      <c r="S228" s="3098">
        <f t="shared" si="52"/>
        <v>0</v>
      </c>
    </row>
    <row r="229" spans="1:19">
      <c r="A229" s="2571"/>
      <c r="B229" s="3107"/>
      <c r="C229" s="2407">
        <f t="shared" si="43"/>
        <v>1</v>
      </c>
      <c r="D229" s="3103"/>
      <c r="E229" s="2407">
        <f t="shared" si="44"/>
        <v>1</v>
      </c>
      <c r="F229" s="3103"/>
      <c r="G229" s="2407">
        <f t="shared" si="45"/>
        <v>1</v>
      </c>
      <c r="H229" s="3103"/>
      <c r="I229" s="2407">
        <f t="shared" si="46"/>
        <v>1</v>
      </c>
      <c r="J229" s="3103"/>
      <c r="K229" s="2407">
        <f t="shared" si="47"/>
        <v>1</v>
      </c>
      <c r="L229" s="3103"/>
      <c r="M229" s="2407">
        <f t="shared" si="48"/>
        <v>1</v>
      </c>
      <c r="N229" s="3103"/>
      <c r="O229" s="2407">
        <f t="shared" si="49"/>
        <v>1</v>
      </c>
      <c r="P229" s="3103"/>
      <c r="Q229" s="2407">
        <f t="shared" si="50"/>
        <v>0</v>
      </c>
      <c r="R229" s="2407">
        <f t="shared" si="51"/>
        <v>0</v>
      </c>
      <c r="S229" s="3098">
        <f t="shared" si="52"/>
        <v>0</v>
      </c>
    </row>
    <row r="230" spans="1:19">
      <c r="A230" s="2571"/>
      <c r="B230" s="3107"/>
      <c r="C230" s="2407">
        <f t="shared" si="43"/>
        <v>1</v>
      </c>
      <c r="D230" s="3103"/>
      <c r="E230" s="2407">
        <f t="shared" si="44"/>
        <v>1</v>
      </c>
      <c r="F230" s="3103"/>
      <c r="G230" s="2407">
        <f t="shared" si="45"/>
        <v>1</v>
      </c>
      <c r="H230" s="3103"/>
      <c r="I230" s="2407">
        <f t="shared" si="46"/>
        <v>1</v>
      </c>
      <c r="J230" s="3103"/>
      <c r="K230" s="2407">
        <f t="shared" si="47"/>
        <v>1</v>
      </c>
      <c r="L230" s="3103"/>
      <c r="M230" s="2407">
        <f t="shared" si="48"/>
        <v>1</v>
      </c>
      <c r="N230" s="3103"/>
      <c r="O230" s="2407">
        <f t="shared" si="49"/>
        <v>1</v>
      </c>
      <c r="P230" s="3103"/>
      <c r="Q230" s="2407">
        <f t="shared" si="50"/>
        <v>0</v>
      </c>
      <c r="R230" s="2407">
        <f t="shared" si="51"/>
        <v>0</v>
      </c>
      <c r="S230" s="3098">
        <f t="shared" si="52"/>
        <v>0</v>
      </c>
    </row>
    <row r="231" spans="1:19">
      <c r="A231" s="2571"/>
      <c r="B231" s="3107"/>
      <c r="C231" s="2407">
        <f t="shared" si="43"/>
        <v>1</v>
      </c>
      <c r="D231" s="3103"/>
      <c r="E231" s="2407">
        <f t="shared" si="44"/>
        <v>1</v>
      </c>
      <c r="F231" s="3103"/>
      <c r="G231" s="2407">
        <f t="shared" si="45"/>
        <v>1</v>
      </c>
      <c r="H231" s="3103"/>
      <c r="I231" s="2407">
        <f t="shared" si="46"/>
        <v>1</v>
      </c>
      <c r="J231" s="3103"/>
      <c r="K231" s="2407">
        <f t="shared" si="47"/>
        <v>1</v>
      </c>
      <c r="L231" s="3103"/>
      <c r="M231" s="2407">
        <f t="shared" si="48"/>
        <v>1</v>
      </c>
      <c r="N231" s="3103"/>
      <c r="O231" s="2407">
        <f t="shared" si="49"/>
        <v>1</v>
      </c>
      <c r="P231" s="3103"/>
      <c r="Q231" s="2407">
        <f t="shared" si="50"/>
        <v>0</v>
      </c>
      <c r="R231" s="2407">
        <f t="shared" si="51"/>
        <v>0</v>
      </c>
      <c r="S231" s="3098">
        <f t="shared" si="52"/>
        <v>0</v>
      </c>
    </row>
    <row r="232" spans="1:19">
      <c r="A232" s="2571"/>
      <c r="B232" s="3107"/>
      <c r="C232" s="2407">
        <f t="shared" si="43"/>
        <v>1</v>
      </c>
      <c r="D232" s="3103"/>
      <c r="E232" s="2407">
        <f t="shared" si="44"/>
        <v>1</v>
      </c>
      <c r="F232" s="3103"/>
      <c r="G232" s="2407">
        <f t="shared" si="45"/>
        <v>1</v>
      </c>
      <c r="H232" s="3103"/>
      <c r="I232" s="2407">
        <f t="shared" si="46"/>
        <v>1</v>
      </c>
      <c r="J232" s="3103"/>
      <c r="K232" s="2407">
        <f t="shared" si="47"/>
        <v>1</v>
      </c>
      <c r="L232" s="3103"/>
      <c r="M232" s="2407">
        <f t="shared" si="48"/>
        <v>1</v>
      </c>
      <c r="N232" s="3103"/>
      <c r="O232" s="2407">
        <f t="shared" si="49"/>
        <v>1</v>
      </c>
      <c r="P232" s="3103"/>
      <c r="Q232" s="2407">
        <f t="shared" si="50"/>
        <v>0</v>
      </c>
      <c r="R232" s="2407">
        <f t="shared" si="51"/>
        <v>0</v>
      </c>
      <c r="S232" s="3098">
        <f t="shared" si="52"/>
        <v>0</v>
      </c>
    </row>
    <row r="233" spans="1:19">
      <c r="A233" s="2571"/>
      <c r="B233" s="3107"/>
      <c r="C233" s="2407">
        <f t="shared" si="43"/>
        <v>1</v>
      </c>
      <c r="D233" s="3103"/>
      <c r="E233" s="2407">
        <f t="shared" si="44"/>
        <v>1</v>
      </c>
      <c r="F233" s="3103"/>
      <c r="G233" s="2407">
        <f t="shared" si="45"/>
        <v>1</v>
      </c>
      <c r="H233" s="3103"/>
      <c r="I233" s="2407">
        <f t="shared" si="46"/>
        <v>1</v>
      </c>
      <c r="J233" s="3103"/>
      <c r="K233" s="2407">
        <f t="shared" si="47"/>
        <v>1</v>
      </c>
      <c r="L233" s="3103"/>
      <c r="M233" s="2407">
        <f t="shared" si="48"/>
        <v>1</v>
      </c>
      <c r="N233" s="3103"/>
      <c r="O233" s="2407">
        <f t="shared" si="49"/>
        <v>1</v>
      </c>
      <c r="P233" s="3103"/>
      <c r="Q233" s="2407">
        <f t="shared" si="50"/>
        <v>0</v>
      </c>
      <c r="R233" s="2407">
        <f t="shared" si="51"/>
        <v>0</v>
      </c>
      <c r="S233" s="3098">
        <f t="shared" si="52"/>
        <v>0</v>
      </c>
    </row>
    <row r="234" spans="1:19">
      <c r="A234" s="2571"/>
      <c r="B234" s="3107"/>
      <c r="C234" s="2407">
        <f t="shared" si="43"/>
        <v>1</v>
      </c>
      <c r="D234" s="3103"/>
      <c r="E234" s="2407">
        <f t="shared" si="44"/>
        <v>1</v>
      </c>
      <c r="F234" s="3103"/>
      <c r="G234" s="2407">
        <f t="shared" si="45"/>
        <v>1</v>
      </c>
      <c r="H234" s="3103"/>
      <c r="I234" s="2407">
        <f t="shared" si="46"/>
        <v>1</v>
      </c>
      <c r="J234" s="3103"/>
      <c r="K234" s="2407">
        <f t="shared" si="47"/>
        <v>1</v>
      </c>
      <c r="L234" s="3103"/>
      <c r="M234" s="2407">
        <f t="shared" si="48"/>
        <v>1</v>
      </c>
      <c r="N234" s="3103"/>
      <c r="O234" s="2407">
        <f t="shared" si="49"/>
        <v>1</v>
      </c>
      <c r="P234" s="3103"/>
      <c r="Q234" s="2407">
        <f t="shared" si="50"/>
        <v>0</v>
      </c>
      <c r="R234" s="2407">
        <f t="shared" si="51"/>
        <v>0</v>
      </c>
      <c r="S234" s="3098">
        <f t="shared" si="52"/>
        <v>0</v>
      </c>
    </row>
    <row r="235" spans="1:19">
      <c r="A235" s="2571"/>
      <c r="B235" s="3107"/>
      <c r="C235" s="2407">
        <f t="shared" si="43"/>
        <v>1</v>
      </c>
      <c r="D235" s="3103"/>
      <c r="E235" s="2407">
        <f t="shared" si="44"/>
        <v>1</v>
      </c>
      <c r="F235" s="3103"/>
      <c r="G235" s="2407">
        <f t="shared" si="45"/>
        <v>1</v>
      </c>
      <c r="H235" s="3103"/>
      <c r="I235" s="2407">
        <f t="shared" si="46"/>
        <v>1</v>
      </c>
      <c r="J235" s="3103"/>
      <c r="K235" s="2407">
        <f t="shared" si="47"/>
        <v>1</v>
      </c>
      <c r="L235" s="3103"/>
      <c r="M235" s="2407">
        <f t="shared" si="48"/>
        <v>1</v>
      </c>
      <c r="N235" s="3103"/>
      <c r="O235" s="2407">
        <f t="shared" si="49"/>
        <v>1</v>
      </c>
      <c r="P235" s="3103"/>
      <c r="Q235" s="2407">
        <f t="shared" si="50"/>
        <v>0</v>
      </c>
      <c r="R235" s="2407">
        <f t="shared" si="51"/>
        <v>0</v>
      </c>
      <c r="S235" s="3098">
        <f t="shared" si="52"/>
        <v>0</v>
      </c>
    </row>
    <row r="236" spans="1:19">
      <c r="A236" s="2571"/>
      <c r="B236" s="3107"/>
      <c r="C236" s="2407">
        <f t="shared" si="43"/>
        <v>1</v>
      </c>
      <c r="D236" s="3103"/>
      <c r="E236" s="2407">
        <f t="shared" si="44"/>
        <v>1</v>
      </c>
      <c r="F236" s="3103"/>
      <c r="G236" s="2407">
        <f t="shared" si="45"/>
        <v>1</v>
      </c>
      <c r="H236" s="3103"/>
      <c r="I236" s="2407">
        <f t="shared" si="46"/>
        <v>1</v>
      </c>
      <c r="J236" s="3103"/>
      <c r="K236" s="2407">
        <f t="shared" si="47"/>
        <v>1</v>
      </c>
      <c r="L236" s="3103"/>
      <c r="M236" s="2407">
        <f t="shared" si="48"/>
        <v>1</v>
      </c>
      <c r="N236" s="3103"/>
      <c r="O236" s="2407">
        <f t="shared" si="49"/>
        <v>1</v>
      </c>
      <c r="P236" s="3103"/>
      <c r="Q236" s="2407">
        <f t="shared" si="50"/>
        <v>0</v>
      </c>
      <c r="R236" s="2407">
        <f t="shared" si="51"/>
        <v>0</v>
      </c>
      <c r="S236" s="3098">
        <f t="shared" si="52"/>
        <v>0</v>
      </c>
    </row>
    <row r="237" spans="1:19">
      <c r="A237" s="2571"/>
      <c r="B237" s="3107"/>
      <c r="C237" s="2407">
        <f t="shared" si="43"/>
        <v>1</v>
      </c>
      <c r="D237" s="3103"/>
      <c r="E237" s="2407">
        <f t="shared" si="44"/>
        <v>1</v>
      </c>
      <c r="F237" s="3103"/>
      <c r="G237" s="2407">
        <f t="shared" si="45"/>
        <v>1</v>
      </c>
      <c r="H237" s="3103"/>
      <c r="I237" s="2407">
        <f t="shared" si="46"/>
        <v>1</v>
      </c>
      <c r="J237" s="3103"/>
      <c r="K237" s="2407">
        <f t="shared" si="47"/>
        <v>1</v>
      </c>
      <c r="L237" s="3103"/>
      <c r="M237" s="2407">
        <f t="shared" si="48"/>
        <v>1</v>
      </c>
      <c r="N237" s="3103"/>
      <c r="O237" s="2407">
        <f t="shared" si="49"/>
        <v>1</v>
      </c>
      <c r="P237" s="3103"/>
      <c r="Q237" s="2407">
        <f t="shared" si="50"/>
        <v>0</v>
      </c>
      <c r="R237" s="2407">
        <f t="shared" si="51"/>
        <v>0</v>
      </c>
      <c r="S237" s="3098">
        <f t="shared" si="52"/>
        <v>0</v>
      </c>
    </row>
    <row r="238" spans="1:19">
      <c r="A238" s="2571"/>
      <c r="B238" s="3107"/>
      <c r="C238" s="2407">
        <f t="shared" si="43"/>
        <v>1</v>
      </c>
      <c r="D238" s="3103"/>
      <c r="E238" s="2407">
        <f t="shared" si="44"/>
        <v>1</v>
      </c>
      <c r="F238" s="3103"/>
      <c r="G238" s="2407">
        <f t="shared" si="45"/>
        <v>1</v>
      </c>
      <c r="H238" s="3103"/>
      <c r="I238" s="2407">
        <f t="shared" si="46"/>
        <v>1</v>
      </c>
      <c r="J238" s="3103"/>
      <c r="K238" s="2407">
        <f t="shared" si="47"/>
        <v>1</v>
      </c>
      <c r="L238" s="3103"/>
      <c r="M238" s="2407">
        <f t="shared" si="48"/>
        <v>1</v>
      </c>
      <c r="N238" s="3103"/>
      <c r="O238" s="2407">
        <f t="shared" si="49"/>
        <v>1</v>
      </c>
      <c r="P238" s="3103"/>
      <c r="Q238" s="2407">
        <f t="shared" si="50"/>
        <v>0</v>
      </c>
      <c r="R238" s="2407">
        <f t="shared" si="51"/>
        <v>0</v>
      </c>
      <c r="S238" s="3098">
        <f t="shared" si="52"/>
        <v>0</v>
      </c>
    </row>
    <row r="239" spans="1:19">
      <c r="A239" s="2571"/>
      <c r="B239" s="3107"/>
      <c r="C239" s="2407">
        <f t="shared" si="43"/>
        <v>1</v>
      </c>
      <c r="D239" s="3103"/>
      <c r="E239" s="2407">
        <f t="shared" si="44"/>
        <v>1</v>
      </c>
      <c r="F239" s="3103"/>
      <c r="G239" s="2407">
        <f t="shared" si="45"/>
        <v>1</v>
      </c>
      <c r="H239" s="3103"/>
      <c r="I239" s="2407">
        <f t="shared" si="46"/>
        <v>1</v>
      </c>
      <c r="J239" s="3103"/>
      <c r="K239" s="2407">
        <f t="shared" si="47"/>
        <v>1</v>
      </c>
      <c r="L239" s="3103"/>
      <c r="M239" s="2407">
        <f t="shared" si="48"/>
        <v>1</v>
      </c>
      <c r="N239" s="3103"/>
      <c r="O239" s="2407">
        <f t="shared" si="49"/>
        <v>1</v>
      </c>
      <c r="P239" s="3103"/>
      <c r="Q239" s="2407">
        <f t="shared" si="50"/>
        <v>0</v>
      </c>
      <c r="R239" s="2407">
        <f t="shared" si="51"/>
        <v>0</v>
      </c>
      <c r="S239" s="3098">
        <f t="shared" si="52"/>
        <v>0</v>
      </c>
    </row>
    <row r="240" spans="1:19">
      <c r="A240" s="2571"/>
      <c r="B240" s="3107"/>
      <c r="C240" s="2407">
        <f t="shared" si="43"/>
        <v>1</v>
      </c>
      <c r="D240" s="3103"/>
      <c r="E240" s="2407">
        <f t="shared" si="44"/>
        <v>1</v>
      </c>
      <c r="F240" s="3103"/>
      <c r="G240" s="2407">
        <f t="shared" si="45"/>
        <v>1</v>
      </c>
      <c r="H240" s="3103"/>
      <c r="I240" s="2407">
        <f t="shared" si="46"/>
        <v>1</v>
      </c>
      <c r="J240" s="3103"/>
      <c r="K240" s="2407">
        <f t="shared" si="47"/>
        <v>1</v>
      </c>
      <c r="L240" s="3103"/>
      <c r="M240" s="2407">
        <f t="shared" si="48"/>
        <v>1</v>
      </c>
      <c r="N240" s="3103"/>
      <c r="O240" s="2407">
        <f t="shared" si="49"/>
        <v>1</v>
      </c>
      <c r="P240" s="3103"/>
      <c r="Q240" s="2407">
        <f t="shared" si="50"/>
        <v>0</v>
      </c>
      <c r="R240" s="2407">
        <f t="shared" si="51"/>
        <v>0</v>
      </c>
      <c r="S240" s="3098">
        <f t="shared" si="52"/>
        <v>0</v>
      </c>
    </row>
    <row r="241" spans="1:19">
      <c r="A241" s="2571"/>
      <c r="B241" s="3107"/>
      <c r="C241" s="2407">
        <f t="shared" si="43"/>
        <v>1</v>
      </c>
      <c r="D241" s="3103"/>
      <c r="E241" s="2407">
        <f t="shared" si="44"/>
        <v>1</v>
      </c>
      <c r="F241" s="3103"/>
      <c r="G241" s="2407">
        <f t="shared" si="45"/>
        <v>1</v>
      </c>
      <c r="H241" s="3103"/>
      <c r="I241" s="2407">
        <f t="shared" si="46"/>
        <v>1</v>
      </c>
      <c r="J241" s="3103"/>
      <c r="K241" s="2407">
        <f t="shared" si="47"/>
        <v>1</v>
      </c>
      <c r="L241" s="3103"/>
      <c r="M241" s="2407">
        <f t="shared" si="48"/>
        <v>1</v>
      </c>
      <c r="N241" s="3103"/>
      <c r="O241" s="2407">
        <f t="shared" si="49"/>
        <v>1</v>
      </c>
      <c r="P241" s="3103"/>
      <c r="Q241" s="2407">
        <f t="shared" si="50"/>
        <v>0</v>
      </c>
      <c r="R241" s="2407">
        <f t="shared" si="51"/>
        <v>0</v>
      </c>
      <c r="S241" s="3098">
        <f t="shared" si="52"/>
        <v>0</v>
      </c>
    </row>
    <row r="242" spans="1:19">
      <c r="A242" s="2571"/>
      <c r="B242" s="3107"/>
      <c r="C242" s="2407">
        <f t="shared" si="43"/>
        <v>1</v>
      </c>
      <c r="D242" s="3103"/>
      <c r="E242" s="2407">
        <f t="shared" si="44"/>
        <v>1</v>
      </c>
      <c r="F242" s="3103"/>
      <c r="G242" s="2407">
        <f t="shared" si="45"/>
        <v>1</v>
      </c>
      <c r="H242" s="3103"/>
      <c r="I242" s="2407">
        <f t="shared" si="46"/>
        <v>1</v>
      </c>
      <c r="J242" s="3103"/>
      <c r="K242" s="2407">
        <f t="shared" si="47"/>
        <v>1</v>
      </c>
      <c r="L242" s="3103"/>
      <c r="M242" s="2407">
        <f t="shared" si="48"/>
        <v>1</v>
      </c>
      <c r="N242" s="3103"/>
      <c r="O242" s="2407">
        <f t="shared" si="49"/>
        <v>1</v>
      </c>
      <c r="P242" s="3103"/>
      <c r="Q242" s="2407">
        <f t="shared" si="50"/>
        <v>0</v>
      </c>
      <c r="R242" s="2407">
        <f t="shared" si="51"/>
        <v>0</v>
      </c>
      <c r="S242" s="3098">
        <f t="shared" si="52"/>
        <v>0</v>
      </c>
    </row>
    <row r="243" spans="1:19">
      <c r="A243" s="2571"/>
      <c r="B243" s="3107"/>
      <c r="C243" s="2407">
        <f t="shared" si="43"/>
        <v>1</v>
      </c>
      <c r="D243" s="3103"/>
      <c r="E243" s="2407">
        <f t="shared" si="44"/>
        <v>1</v>
      </c>
      <c r="F243" s="3103"/>
      <c r="G243" s="2407">
        <f t="shared" si="45"/>
        <v>1</v>
      </c>
      <c r="H243" s="3103"/>
      <c r="I243" s="2407">
        <f t="shared" si="46"/>
        <v>1</v>
      </c>
      <c r="J243" s="3103"/>
      <c r="K243" s="2407">
        <f t="shared" si="47"/>
        <v>1</v>
      </c>
      <c r="L243" s="3103"/>
      <c r="M243" s="2407">
        <f t="shared" si="48"/>
        <v>1</v>
      </c>
      <c r="N243" s="3103"/>
      <c r="O243" s="2407">
        <f t="shared" si="49"/>
        <v>1</v>
      </c>
      <c r="P243" s="3103"/>
      <c r="Q243" s="2407">
        <f t="shared" si="50"/>
        <v>0</v>
      </c>
      <c r="R243" s="2407">
        <f t="shared" si="51"/>
        <v>0</v>
      </c>
      <c r="S243" s="3098">
        <f t="shared" si="52"/>
        <v>0</v>
      </c>
    </row>
    <row r="244" spans="1:19">
      <c r="A244" s="2571"/>
      <c r="B244" s="3107"/>
      <c r="C244" s="2407">
        <f t="shared" si="43"/>
        <v>1</v>
      </c>
      <c r="D244" s="3103"/>
      <c r="E244" s="2407">
        <f t="shared" si="44"/>
        <v>1</v>
      </c>
      <c r="F244" s="3103"/>
      <c r="G244" s="2407">
        <f t="shared" si="45"/>
        <v>1</v>
      </c>
      <c r="H244" s="3103"/>
      <c r="I244" s="2407">
        <f t="shared" si="46"/>
        <v>1</v>
      </c>
      <c r="J244" s="3103"/>
      <c r="K244" s="2407">
        <f t="shared" si="47"/>
        <v>1</v>
      </c>
      <c r="L244" s="3103"/>
      <c r="M244" s="2407">
        <f t="shared" si="48"/>
        <v>1</v>
      </c>
      <c r="N244" s="3103"/>
      <c r="O244" s="2407">
        <f t="shared" si="49"/>
        <v>1</v>
      </c>
      <c r="P244" s="3103"/>
      <c r="Q244" s="2407">
        <f t="shared" si="50"/>
        <v>0</v>
      </c>
      <c r="R244" s="2407">
        <f t="shared" si="51"/>
        <v>0</v>
      </c>
      <c r="S244" s="3098">
        <f t="shared" si="52"/>
        <v>0</v>
      </c>
    </row>
    <row r="245" spans="1:19">
      <c r="A245" s="2571"/>
      <c r="B245" s="3107"/>
      <c r="C245" s="2407">
        <f t="shared" si="43"/>
        <v>1</v>
      </c>
      <c r="D245" s="3103"/>
      <c r="E245" s="2407">
        <f t="shared" si="44"/>
        <v>1</v>
      </c>
      <c r="F245" s="3103"/>
      <c r="G245" s="2407">
        <f t="shared" si="45"/>
        <v>1</v>
      </c>
      <c r="H245" s="3103"/>
      <c r="I245" s="2407">
        <f t="shared" si="46"/>
        <v>1</v>
      </c>
      <c r="J245" s="3103"/>
      <c r="K245" s="2407">
        <f t="shared" si="47"/>
        <v>1</v>
      </c>
      <c r="L245" s="3103"/>
      <c r="M245" s="2407">
        <f t="shared" si="48"/>
        <v>1</v>
      </c>
      <c r="N245" s="3103"/>
      <c r="O245" s="2407">
        <f t="shared" si="49"/>
        <v>1</v>
      </c>
      <c r="P245" s="3103"/>
      <c r="Q245" s="2407">
        <f t="shared" si="50"/>
        <v>0</v>
      </c>
      <c r="R245" s="2407">
        <f t="shared" si="51"/>
        <v>0</v>
      </c>
      <c r="S245" s="3098">
        <f t="shared" si="52"/>
        <v>0</v>
      </c>
    </row>
    <row r="246" spans="1:19">
      <c r="A246" s="2571"/>
      <c r="B246" s="3107"/>
      <c r="C246" s="2407">
        <f t="shared" si="43"/>
        <v>1</v>
      </c>
      <c r="D246" s="3103"/>
      <c r="E246" s="2407">
        <f t="shared" si="44"/>
        <v>1</v>
      </c>
      <c r="F246" s="3103"/>
      <c r="G246" s="2407">
        <f t="shared" si="45"/>
        <v>1</v>
      </c>
      <c r="H246" s="3103"/>
      <c r="I246" s="2407">
        <f t="shared" si="46"/>
        <v>1</v>
      </c>
      <c r="J246" s="3103"/>
      <c r="K246" s="2407">
        <f t="shared" si="47"/>
        <v>1</v>
      </c>
      <c r="L246" s="3103"/>
      <c r="M246" s="2407">
        <f t="shared" si="48"/>
        <v>1</v>
      </c>
      <c r="N246" s="3103"/>
      <c r="O246" s="2407">
        <f t="shared" si="49"/>
        <v>1</v>
      </c>
      <c r="P246" s="3103"/>
      <c r="Q246" s="2407">
        <f t="shared" si="50"/>
        <v>0</v>
      </c>
      <c r="R246" s="2407">
        <f t="shared" si="51"/>
        <v>0</v>
      </c>
      <c r="S246" s="3098">
        <f t="shared" si="52"/>
        <v>0</v>
      </c>
    </row>
    <row r="247" spans="1:19">
      <c r="A247" s="2571"/>
      <c r="B247" s="3107"/>
      <c r="C247" s="2407">
        <f t="shared" si="43"/>
        <v>1</v>
      </c>
      <c r="D247" s="3103"/>
      <c r="E247" s="2407">
        <f t="shared" si="44"/>
        <v>1</v>
      </c>
      <c r="F247" s="3103"/>
      <c r="G247" s="2407">
        <f t="shared" si="45"/>
        <v>1</v>
      </c>
      <c r="H247" s="3103"/>
      <c r="I247" s="2407">
        <f t="shared" si="46"/>
        <v>1</v>
      </c>
      <c r="J247" s="3103"/>
      <c r="K247" s="2407">
        <f t="shared" si="47"/>
        <v>1</v>
      </c>
      <c r="L247" s="3103"/>
      <c r="M247" s="2407">
        <f t="shared" si="48"/>
        <v>1</v>
      </c>
      <c r="N247" s="3103"/>
      <c r="O247" s="2407">
        <f t="shared" si="49"/>
        <v>1</v>
      </c>
      <c r="P247" s="3103"/>
      <c r="Q247" s="2407">
        <f t="shared" si="50"/>
        <v>0</v>
      </c>
      <c r="R247" s="2407">
        <f t="shared" si="51"/>
        <v>0</v>
      </c>
      <c r="S247" s="3098">
        <f t="shared" si="52"/>
        <v>0</v>
      </c>
    </row>
    <row r="248" spans="1:19">
      <c r="A248" s="2571"/>
      <c r="B248" s="3107"/>
      <c r="C248" s="2407">
        <f t="shared" si="43"/>
        <v>1</v>
      </c>
      <c r="D248" s="3103"/>
      <c r="E248" s="2407">
        <f t="shared" si="44"/>
        <v>1</v>
      </c>
      <c r="F248" s="3103"/>
      <c r="G248" s="2407">
        <f t="shared" si="45"/>
        <v>1</v>
      </c>
      <c r="H248" s="3103"/>
      <c r="I248" s="2407">
        <f t="shared" si="46"/>
        <v>1</v>
      </c>
      <c r="J248" s="3103"/>
      <c r="K248" s="2407">
        <f t="shared" si="47"/>
        <v>1</v>
      </c>
      <c r="L248" s="3103"/>
      <c r="M248" s="2407">
        <f t="shared" si="48"/>
        <v>1</v>
      </c>
      <c r="N248" s="3103"/>
      <c r="O248" s="2407">
        <f t="shared" si="49"/>
        <v>1</v>
      </c>
      <c r="P248" s="3103"/>
      <c r="Q248" s="2407">
        <f t="shared" si="50"/>
        <v>0</v>
      </c>
      <c r="R248" s="2407">
        <f t="shared" si="51"/>
        <v>0</v>
      </c>
      <c r="S248" s="3098">
        <f t="shared" si="52"/>
        <v>0</v>
      </c>
    </row>
    <row r="249" spans="1:19">
      <c r="A249" s="2571"/>
      <c r="B249" s="3107"/>
      <c r="C249" s="2407">
        <f t="shared" si="43"/>
        <v>1</v>
      </c>
      <c r="D249" s="3103"/>
      <c r="E249" s="2407">
        <f t="shared" si="44"/>
        <v>1</v>
      </c>
      <c r="F249" s="3103"/>
      <c r="G249" s="2407">
        <f t="shared" si="45"/>
        <v>1</v>
      </c>
      <c r="H249" s="3103"/>
      <c r="I249" s="2407">
        <f t="shared" si="46"/>
        <v>1</v>
      </c>
      <c r="J249" s="3103"/>
      <c r="K249" s="2407">
        <f t="shared" si="47"/>
        <v>1</v>
      </c>
      <c r="L249" s="3103"/>
      <c r="M249" s="2407">
        <f t="shared" si="48"/>
        <v>1</v>
      </c>
      <c r="N249" s="3103"/>
      <c r="O249" s="2407">
        <f t="shared" si="49"/>
        <v>1</v>
      </c>
      <c r="P249" s="3103"/>
      <c r="Q249" s="2407">
        <f t="shared" si="50"/>
        <v>0</v>
      </c>
      <c r="R249" s="2407">
        <f t="shared" si="51"/>
        <v>0</v>
      </c>
      <c r="S249" s="3098">
        <f t="shared" si="52"/>
        <v>0</v>
      </c>
    </row>
    <row r="250" spans="1:19">
      <c r="A250" s="2571"/>
      <c r="B250" s="3107"/>
      <c r="C250" s="2407">
        <f t="shared" si="43"/>
        <v>1</v>
      </c>
      <c r="D250" s="3103"/>
      <c r="E250" s="2407">
        <f t="shared" si="44"/>
        <v>1</v>
      </c>
      <c r="F250" s="3103"/>
      <c r="G250" s="2407">
        <f t="shared" si="45"/>
        <v>1</v>
      </c>
      <c r="H250" s="3103"/>
      <c r="I250" s="2407">
        <f t="shared" si="46"/>
        <v>1</v>
      </c>
      <c r="J250" s="3103"/>
      <c r="K250" s="2407">
        <f t="shared" si="47"/>
        <v>1</v>
      </c>
      <c r="L250" s="3103"/>
      <c r="M250" s="2407">
        <f t="shared" si="48"/>
        <v>1</v>
      </c>
      <c r="N250" s="3103"/>
      <c r="O250" s="2407">
        <f t="shared" si="49"/>
        <v>1</v>
      </c>
      <c r="P250" s="3103"/>
      <c r="Q250" s="2407">
        <f t="shared" si="50"/>
        <v>0</v>
      </c>
      <c r="R250" s="2407">
        <f t="shared" si="51"/>
        <v>0</v>
      </c>
      <c r="S250" s="3098">
        <f t="shared" si="52"/>
        <v>0</v>
      </c>
    </row>
    <row r="251" spans="1:19">
      <c r="A251" s="2571"/>
      <c r="B251" s="3107"/>
      <c r="C251" s="2407">
        <f t="shared" si="43"/>
        <v>1</v>
      </c>
      <c r="D251" s="3103"/>
      <c r="E251" s="2407">
        <f t="shared" si="44"/>
        <v>1</v>
      </c>
      <c r="F251" s="3103"/>
      <c r="G251" s="2407">
        <f t="shared" si="45"/>
        <v>1</v>
      </c>
      <c r="H251" s="3103"/>
      <c r="I251" s="2407">
        <f t="shared" si="46"/>
        <v>1</v>
      </c>
      <c r="J251" s="3103"/>
      <c r="K251" s="2407">
        <f t="shared" si="47"/>
        <v>1</v>
      </c>
      <c r="L251" s="3103"/>
      <c r="M251" s="2407">
        <f t="shared" si="48"/>
        <v>1</v>
      </c>
      <c r="N251" s="3103"/>
      <c r="O251" s="2407">
        <f t="shared" si="49"/>
        <v>1</v>
      </c>
      <c r="P251" s="3103"/>
      <c r="Q251" s="2407">
        <f t="shared" si="50"/>
        <v>0</v>
      </c>
      <c r="R251" s="2407">
        <f t="shared" si="51"/>
        <v>0</v>
      </c>
      <c r="S251" s="3098">
        <f t="shared" si="52"/>
        <v>0</v>
      </c>
    </row>
    <row r="252" spans="1:19">
      <c r="A252" s="2571"/>
      <c r="B252" s="3107"/>
      <c r="C252" s="2407">
        <f t="shared" si="43"/>
        <v>1</v>
      </c>
      <c r="D252" s="3103"/>
      <c r="E252" s="2407">
        <f t="shared" si="44"/>
        <v>1</v>
      </c>
      <c r="F252" s="3103"/>
      <c r="G252" s="2407">
        <f t="shared" si="45"/>
        <v>1</v>
      </c>
      <c r="H252" s="3103"/>
      <c r="I252" s="2407">
        <f t="shared" si="46"/>
        <v>1</v>
      </c>
      <c r="J252" s="3103"/>
      <c r="K252" s="2407">
        <f t="shared" si="47"/>
        <v>1</v>
      </c>
      <c r="L252" s="3103"/>
      <c r="M252" s="2407">
        <f t="shared" si="48"/>
        <v>1</v>
      </c>
      <c r="N252" s="3103"/>
      <c r="O252" s="2407">
        <f t="shared" si="49"/>
        <v>1</v>
      </c>
      <c r="P252" s="3103"/>
      <c r="Q252" s="2407">
        <f t="shared" si="50"/>
        <v>0</v>
      </c>
      <c r="R252" s="2407">
        <f t="shared" si="51"/>
        <v>0</v>
      </c>
      <c r="S252" s="3098">
        <f t="shared" si="52"/>
        <v>0</v>
      </c>
    </row>
    <row r="253" spans="1:19">
      <c r="A253" s="2571"/>
      <c r="B253" s="3107"/>
      <c r="C253" s="2407">
        <f t="shared" si="43"/>
        <v>1</v>
      </c>
      <c r="D253" s="3103"/>
      <c r="E253" s="2407">
        <f t="shared" si="44"/>
        <v>1</v>
      </c>
      <c r="F253" s="3103"/>
      <c r="G253" s="2407">
        <f t="shared" si="45"/>
        <v>1</v>
      </c>
      <c r="H253" s="3103"/>
      <c r="I253" s="2407">
        <f t="shared" si="46"/>
        <v>1</v>
      </c>
      <c r="J253" s="3103"/>
      <c r="K253" s="2407">
        <f t="shared" si="47"/>
        <v>1</v>
      </c>
      <c r="L253" s="3103"/>
      <c r="M253" s="2407">
        <f t="shared" si="48"/>
        <v>1</v>
      </c>
      <c r="N253" s="3103"/>
      <c r="O253" s="2407">
        <f t="shared" si="49"/>
        <v>1</v>
      </c>
      <c r="P253" s="3103"/>
      <c r="Q253" s="2407">
        <f t="shared" si="50"/>
        <v>0</v>
      </c>
      <c r="R253" s="2407">
        <f t="shared" si="51"/>
        <v>0</v>
      </c>
      <c r="S253" s="3098">
        <f t="shared" si="52"/>
        <v>0</v>
      </c>
    </row>
    <row r="254" spans="1:19">
      <c r="A254" s="2571"/>
      <c r="B254" s="3107"/>
      <c r="C254" s="2407">
        <f t="shared" si="43"/>
        <v>1</v>
      </c>
      <c r="D254" s="3103"/>
      <c r="E254" s="2407">
        <f t="shared" si="44"/>
        <v>1</v>
      </c>
      <c r="F254" s="3103"/>
      <c r="G254" s="2407">
        <f t="shared" si="45"/>
        <v>1</v>
      </c>
      <c r="H254" s="3103"/>
      <c r="I254" s="2407">
        <f t="shared" si="46"/>
        <v>1</v>
      </c>
      <c r="J254" s="3103"/>
      <c r="K254" s="2407">
        <f t="shared" si="47"/>
        <v>1</v>
      </c>
      <c r="L254" s="3103"/>
      <c r="M254" s="2407">
        <f t="shared" si="48"/>
        <v>1</v>
      </c>
      <c r="N254" s="3103"/>
      <c r="O254" s="2407">
        <f t="shared" si="49"/>
        <v>1</v>
      </c>
      <c r="P254" s="3103"/>
      <c r="Q254" s="2407">
        <f t="shared" si="50"/>
        <v>0</v>
      </c>
      <c r="R254" s="2407">
        <f t="shared" si="51"/>
        <v>0</v>
      </c>
      <c r="S254" s="3098">
        <f t="shared" si="52"/>
        <v>0</v>
      </c>
    </row>
    <row r="255" spans="1:19">
      <c r="A255" s="2571"/>
      <c r="B255" s="3107"/>
      <c r="C255" s="2407">
        <f t="shared" si="43"/>
        <v>1</v>
      </c>
      <c r="D255" s="3103"/>
      <c r="E255" s="2407">
        <f t="shared" si="44"/>
        <v>1</v>
      </c>
      <c r="F255" s="3103"/>
      <c r="G255" s="2407">
        <f t="shared" si="45"/>
        <v>1</v>
      </c>
      <c r="H255" s="3103"/>
      <c r="I255" s="2407">
        <f t="shared" si="46"/>
        <v>1</v>
      </c>
      <c r="J255" s="3103"/>
      <c r="K255" s="2407">
        <f t="shared" si="47"/>
        <v>1</v>
      </c>
      <c r="L255" s="3103"/>
      <c r="M255" s="2407">
        <f t="shared" si="48"/>
        <v>1</v>
      </c>
      <c r="N255" s="3103"/>
      <c r="O255" s="2407">
        <f t="shared" si="49"/>
        <v>1</v>
      </c>
      <c r="P255" s="3103"/>
      <c r="Q255" s="2407">
        <f t="shared" si="50"/>
        <v>0</v>
      </c>
      <c r="R255" s="2407">
        <f t="shared" si="51"/>
        <v>0</v>
      </c>
      <c r="S255" s="3098">
        <f t="shared" si="52"/>
        <v>0</v>
      </c>
    </row>
    <row r="256" spans="1:19">
      <c r="A256" s="2571"/>
      <c r="B256" s="3107"/>
      <c r="C256" s="2407">
        <f t="shared" si="43"/>
        <v>1</v>
      </c>
      <c r="D256" s="3103"/>
      <c r="E256" s="2407">
        <f t="shared" si="44"/>
        <v>1</v>
      </c>
      <c r="F256" s="3103"/>
      <c r="G256" s="2407">
        <f t="shared" si="45"/>
        <v>1</v>
      </c>
      <c r="H256" s="3103"/>
      <c r="I256" s="2407">
        <f t="shared" si="46"/>
        <v>1</v>
      </c>
      <c r="J256" s="3103"/>
      <c r="K256" s="2407">
        <f t="shared" si="47"/>
        <v>1</v>
      </c>
      <c r="L256" s="3103"/>
      <c r="M256" s="2407">
        <f t="shared" si="48"/>
        <v>1</v>
      </c>
      <c r="N256" s="3103"/>
      <c r="O256" s="2407">
        <f t="shared" si="49"/>
        <v>1</v>
      </c>
      <c r="P256" s="3103"/>
      <c r="Q256" s="2407">
        <f t="shared" si="50"/>
        <v>0</v>
      </c>
      <c r="R256" s="2407">
        <f t="shared" si="51"/>
        <v>0</v>
      </c>
      <c r="S256" s="3098">
        <f t="shared" si="52"/>
        <v>0</v>
      </c>
    </row>
    <row r="257" spans="1:19">
      <c r="A257" s="2571"/>
      <c r="B257" s="3107"/>
      <c r="C257" s="2407">
        <f t="shared" si="43"/>
        <v>1</v>
      </c>
      <c r="D257" s="3103"/>
      <c r="E257" s="2407">
        <f t="shared" si="44"/>
        <v>1</v>
      </c>
      <c r="F257" s="3103"/>
      <c r="G257" s="2407">
        <f t="shared" si="45"/>
        <v>1</v>
      </c>
      <c r="H257" s="3103"/>
      <c r="I257" s="2407">
        <f t="shared" si="46"/>
        <v>1</v>
      </c>
      <c r="J257" s="3103"/>
      <c r="K257" s="2407">
        <f t="shared" si="47"/>
        <v>1</v>
      </c>
      <c r="L257" s="3103"/>
      <c r="M257" s="2407">
        <f t="shared" si="48"/>
        <v>1</v>
      </c>
      <c r="N257" s="3103"/>
      <c r="O257" s="2407">
        <f t="shared" si="49"/>
        <v>1</v>
      </c>
      <c r="P257" s="3103"/>
      <c r="Q257" s="2407">
        <f t="shared" si="50"/>
        <v>0</v>
      </c>
      <c r="R257" s="2407">
        <f t="shared" si="51"/>
        <v>0</v>
      </c>
      <c r="S257" s="3098">
        <f t="shared" si="52"/>
        <v>0</v>
      </c>
    </row>
    <row r="258" spans="1:19">
      <c r="A258" s="2571"/>
      <c r="B258" s="3107"/>
      <c r="C258" s="2407">
        <f t="shared" si="43"/>
        <v>1</v>
      </c>
      <c r="D258" s="3103"/>
      <c r="E258" s="2407">
        <f t="shared" si="44"/>
        <v>1</v>
      </c>
      <c r="F258" s="3103"/>
      <c r="G258" s="2407">
        <f t="shared" si="45"/>
        <v>1</v>
      </c>
      <c r="H258" s="3103"/>
      <c r="I258" s="2407">
        <f t="shared" si="46"/>
        <v>1</v>
      </c>
      <c r="J258" s="3103"/>
      <c r="K258" s="2407">
        <f t="shared" si="47"/>
        <v>1</v>
      </c>
      <c r="L258" s="3103"/>
      <c r="M258" s="2407">
        <f t="shared" si="48"/>
        <v>1</v>
      </c>
      <c r="N258" s="3103"/>
      <c r="O258" s="2407">
        <f t="shared" si="49"/>
        <v>1</v>
      </c>
      <c r="P258" s="3103"/>
      <c r="Q258" s="2407">
        <f t="shared" si="50"/>
        <v>0</v>
      </c>
      <c r="R258" s="2407">
        <f t="shared" si="51"/>
        <v>0</v>
      </c>
      <c r="S258" s="3098">
        <f t="shared" si="52"/>
        <v>0</v>
      </c>
    </row>
    <row r="259" spans="1:19">
      <c r="A259" s="2571"/>
      <c r="B259" s="3107"/>
      <c r="C259" s="2407">
        <f t="shared" si="43"/>
        <v>1</v>
      </c>
      <c r="D259" s="3103"/>
      <c r="E259" s="2407">
        <f t="shared" si="44"/>
        <v>1</v>
      </c>
      <c r="F259" s="3103"/>
      <c r="G259" s="2407">
        <f t="shared" si="45"/>
        <v>1</v>
      </c>
      <c r="H259" s="3103"/>
      <c r="I259" s="2407">
        <f t="shared" si="46"/>
        <v>1</v>
      </c>
      <c r="J259" s="3103"/>
      <c r="K259" s="2407">
        <f t="shared" si="47"/>
        <v>1</v>
      </c>
      <c r="L259" s="3103"/>
      <c r="M259" s="2407">
        <f t="shared" si="48"/>
        <v>1</v>
      </c>
      <c r="N259" s="3103"/>
      <c r="O259" s="2407">
        <f t="shared" si="49"/>
        <v>1</v>
      </c>
      <c r="P259" s="3103"/>
      <c r="Q259" s="2407">
        <f t="shared" si="50"/>
        <v>0</v>
      </c>
      <c r="R259" s="2407">
        <f t="shared" si="51"/>
        <v>0</v>
      </c>
      <c r="S259" s="3098">
        <f t="shared" si="52"/>
        <v>0</v>
      </c>
    </row>
    <row r="260" spans="1:19">
      <c r="A260" s="2571"/>
      <c r="B260" s="3107"/>
      <c r="C260" s="2407">
        <f t="shared" si="43"/>
        <v>1</v>
      </c>
      <c r="D260" s="3103"/>
      <c r="E260" s="2407">
        <f t="shared" si="44"/>
        <v>1</v>
      </c>
      <c r="F260" s="3103"/>
      <c r="G260" s="2407">
        <f t="shared" si="45"/>
        <v>1</v>
      </c>
      <c r="H260" s="3103"/>
      <c r="I260" s="2407">
        <f t="shared" si="46"/>
        <v>1</v>
      </c>
      <c r="J260" s="3103"/>
      <c r="K260" s="2407">
        <f t="shared" si="47"/>
        <v>1</v>
      </c>
      <c r="L260" s="3103"/>
      <c r="M260" s="2407">
        <f t="shared" si="48"/>
        <v>1</v>
      </c>
      <c r="N260" s="3103"/>
      <c r="O260" s="2407">
        <f t="shared" si="49"/>
        <v>1</v>
      </c>
      <c r="P260" s="3103"/>
      <c r="Q260" s="2407">
        <f t="shared" si="50"/>
        <v>0</v>
      </c>
      <c r="R260" s="2407">
        <f t="shared" si="51"/>
        <v>0</v>
      </c>
      <c r="S260" s="3098">
        <f t="shared" si="52"/>
        <v>0</v>
      </c>
    </row>
    <row r="261" spans="1:19">
      <c r="A261" s="2571"/>
      <c r="B261" s="3107"/>
      <c r="C261" s="2407">
        <f t="shared" si="43"/>
        <v>1</v>
      </c>
      <c r="D261" s="3103"/>
      <c r="E261" s="2407">
        <f t="shared" si="44"/>
        <v>1</v>
      </c>
      <c r="F261" s="3103"/>
      <c r="G261" s="2407">
        <f t="shared" si="45"/>
        <v>1</v>
      </c>
      <c r="H261" s="3103"/>
      <c r="I261" s="2407">
        <f t="shared" si="46"/>
        <v>1</v>
      </c>
      <c r="J261" s="3103"/>
      <c r="K261" s="2407">
        <f t="shared" si="47"/>
        <v>1</v>
      </c>
      <c r="L261" s="3103"/>
      <c r="M261" s="2407">
        <f t="shared" si="48"/>
        <v>1</v>
      </c>
      <c r="N261" s="3103"/>
      <c r="O261" s="2407">
        <f t="shared" si="49"/>
        <v>1</v>
      </c>
      <c r="P261" s="3103"/>
      <c r="Q261" s="2407">
        <f t="shared" si="50"/>
        <v>0</v>
      </c>
      <c r="R261" s="2407">
        <f t="shared" si="51"/>
        <v>0</v>
      </c>
      <c r="S261" s="3098">
        <f t="shared" si="52"/>
        <v>0</v>
      </c>
    </row>
    <row r="262" spans="1:19">
      <c r="A262" s="2571"/>
      <c r="B262" s="3107"/>
      <c r="C262" s="2407">
        <f t="shared" si="43"/>
        <v>1</v>
      </c>
      <c r="D262" s="3103"/>
      <c r="E262" s="2407">
        <f t="shared" si="44"/>
        <v>1</v>
      </c>
      <c r="F262" s="3103"/>
      <c r="G262" s="2407">
        <f t="shared" si="45"/>
        <v>1</v>
      </c>
      <c r="H262" s="3103"/>
      <c r="I262" s="2407">
        <f t="shared" si="46"/>
        <v>1</v>
      </c>
      <c r="J262" s="3103"/>
      <c r="K262" s="2407">
        <f t="shared" si="47"/>
        <v>1</v>
      </c>
      <c r="L262" s="3103"/>
      <c r="M262" s="2407">
        <f t="shared" si="48"/>
        <v>1</v>
      </c>
      <c r="N262" s="3103"/>
      <c r="O262" s="2407">
        <f t="shared" si="49"/>
        <v>1</v>
      </c>
      <c r="P262" s="3103"/>
      <c r="Q262" s="2407">
        <f t="shared" si="50"/>
        <v>0</v>
      </c>
      <c r="R262" s="2407">
        <f t="shared" si="51"/>
        <v>0</v>
      </c>
      <c r="S262" s="3098">
        <f t="shared" si="52"/>
        <v>0</v>
      </c>
    </row>
    <row r="263" spans="1:19">
      <c r="A263" s="2571"/>
      <c r="B263" s="3107"/>
      <c r="C263" s="2407">
        <f t="shared" si="43"/>
        <v>1</v>
      </c>
      <c r="D263" s="3103"/>
      <c r="E263" s="2407">
        <f t="shared" si="44"/>
        <v>1</v>
      </c>
      <c r="F263" s="3103"/>
      <c r="G263" s="2407">
        <f t="shared" si="45"/>
        <v>1</v>
      </c>
      <c r="H263" s="3103"/>
      <c r="I263" s="2407">
        <f t="shared" si="46"/>
        <v>1</v>
      </c>
      <c r="J263" s="3103"/>
      <c r="K263" s="2407">
        <f t="shared" si="47"/>
        <v>1</v>
      </c>
      <c r="L263" s="3103"/>
      <c r="M263" s="2407">
        <f t="shared" si="48"/>
        <v>1</v>
      </c>
      <c r="N263" s="3103"/>
      <c r="O263" s="2407">
        <f t="shared" si="49"/>
        <v>1</v>
      </c>
      <c r="P263" s="3103"/>
      <c r="Q263" s="2407">
        <f t="shared" si="50"/>
        <v>0</v>
      </c>
      <c r="R263" s="2407">
        <f t="shared" si="51"/>
        <v>0</v>
      </c>
      <c r="S263" s="3098">
        <f t="shared" si="52"/>
        <v>0</v>
      </c>
    </row>
    <row r="264" spans="1:19">
      <c r="A264" s="2571"/>
      <c r="B264" s="3107"/>
      <c r="C264" s="2407">
        <f t="shared" si="43"/>
        <v>1</v>
      </c>
      <c r="D264" s="3103"/>
      <c r="E264" s="2407">
        <f t="shared" si="44"/>
        <v>1</v>
      </c>
      <c r="F264" s="3103"/>
      <c r="G264" s="2407">
        <f t="shared" si="45"/>
        <v>1</v>
      </c>
      <c r="H264" s="3103"/>
      <c r="I264" s="2407">
        <f t="shared" si="46"/>
        <v>1</v>
      </c>
      <c r="J264" s="3103"/>
      <c r="K264" s="2407">
        <f t="shared" si="47"/>
        <v>1</v>
      </c>
      <c r="L264" s="3103"/>
      <c r="M264" s="2407">
        <f t="shared" si="48"/>
        <v>1</v>
      </c>
      <c r="N264" s="3103"/>
      <c r="O264" s="2407">
        <f t="shared" si="49"/>
        <v>1</v>
      </c>
      <c r="P264" s="3103"/>
      <c r="Q264" s="2407">
        <f t="shared" si="50"/>
        <v>0</v>
      </c>
      <c r="R264" s="2407">
        <f t="shared" si="51"/>
        <v>0</v>
      </c>
      <c r="S264" s="3098">
        <f t="shared" si="52"/>
        <v>0</v>
      </c>
    </row>
    <row r="265" spans="1:19">
      <c r="A265" s="2571"/>
      <c r="B265" s="3107"/>
      <c r="C265" s="2407">
        <f t="shared" si="43"/>
        <v>1</v>
      </c>
      <c r="D265" s="3103"/>
      <c r="E265" s="2407">
        <f t="shared" si="44"/>
        <v>1</v>
      </c>
      <c r="F265" s="3103"/>
      <c r="G265" s="2407">
        <f t="shared" si="45"/>
        <v>1</v>
      </c>
      <c r="H265" s="3103"/>
      <c r="I265" s="2407">
        <f t="shared" si="46"/>
        <v>1</v>
      </c>
      <c r="J265" s="3103"/>
      <c r="K265" s="2407">
        <f t="shared" si="47"/>
        <v>1</v>
      </c>
      <c r="L265" s="3103"/>
      <c r="M265" s="2407">
        <f t="shared" si="48"/>
        <v>1</v>
      </c>
      <c r="N265" s="3103"/>
      <c r="O265" s="2407">
        <f t="shared" si="49"/>
        <v>1</v>
      </c>
      <c r="P265" s="3103"/>
      <c r="Q265" s="2407">
        <f t="shared" si="50"/>
        <v>0</v>
      </c>
      <c r="R265" s="2407">
        <f t="shared" si="51"/>
        <v>0</v>
      </c>
      <c r="S265" s="3098">
        <f t="shared" si="52"/>
        <v>0</v>
      </c>
    </row>
    <row r="266" spans="1:19">
      <c r="A266" s="2571"/>
      <c r="B266" s="3107"/>
      <c r="C266" s="2407">
        <f t="shared" si="43"/>
        <v>1</v>
      </c>
      <c r="D266" s="3103"/>
      <c r="E266" s="2407">
        <f t="shared" si="44"/>
        <v>1</v>
      </c>
      <c r="F266" s="3103"/>
      <c r="G266" s="2407">
        <f t="shared" si="45"/>
        <v>1</v>
      </c>
      <c r="H266" s="3103"/>
      <c r="I266" s="2407">
        <f t="shared" si="46"/>
        <v>1</v>
      </c>
      <c r="J266" s="3103"/>
      <c r="K266" s="2407">
        <f t="shared" si="47"/>
        <v>1</v>
      </c>
      <c r="L266" s="3103"/>
      <c r="M266" s="2407">
        <f t="shared" si="48"/>
        <v>1</v>
      </c>
      <c r="N266" s="3103"/>
      <c r="O266" s="2407">
        <f t="shared" si="49"/>
        <v>1</v>
      </c>
      <c r="P266" s="3103"/>
      <c r="Q266" s="2407">
        <f t="shared" si="50"/>
        <v>0</v>
      </c>
      <c r="R266" s="2407">
        <f t="shared" si="51"/>
        <v>0</v>
      </c>
      <c r="S266" s="3098">
        <f t="shared" si="52"/>
        <v>0</v>
      </c>
    </row>
    <row r="267" spans="1:19">
      <c r="A267" s="2571"/>
      <c r="B267" s="3107"/>
      <c r="C267" s="2407">
        <f t="shared" si="43"/>
        <v>1</v>
      </c>
      <c r="D267" s="3103"/>
      <c r="E267" s="2407">
        <f t="shared" si="44"/>
        <v>1</v>
      </c>
      <c r="F267" s="3103"/>
      <c r="G267" s="2407">
        <f t="shared" si="45"/>
        <v>1</v>
      </c>
      <c r="H267" s="3103"/>
      <c r="I267" s="2407">
        <f t="shared" si="46"/>
        <v>1</v>
      </c>
      <c r="J267" s="3103"/>
      <c r="K267" s="2407">
        <f t="shared" si="47"/>
        <v>1</v>
      </c>
      <c r="L267" s="3103"/>
      <c r="M267" s="2407">
        <f t="shared" si="48"/>
        <v>1</v>
      </c>
      <c r="N267" s="3103"/>
      <c r="O267" s="2407">
        <f t="shared" si="49"/>
        <v>1</v>
      </c>
      <c r="P267" s="3103"/>
      <c r="Q267" s="2407">
        <f t="shared" si="50"/>
        <v>0</v>
      </c>
      <c r="R267" s="2407">
        <f t="shared" si="51"/>
        <v>0</v>
      </c>
      <c r="S267" s="3098">
        <f t="shared" si="52"/>
        <v>0</v>
      </c>
    </row>
    <row r="268" spans="1:19">
      <c r="A268" s="2571"/>
      <c r="B268" s="3107"/>
      <c r="C268" s="2407">
        <f t="shared" si="43"/>
        <v>1</v>
      </c>
      <c r="D268" s="3103"/>
      <c r="E268" s="2407">
        <f t="shared" si="44"/>
        <v>1</v>
      </c>
      <c r="F268" s="3103"/>
      <c r="G268" s="2407">
        <f t="shared" si="45"/>
        <v>1</v>
      </c>
      <c r="H268" s="3103"/>
      <c r="I268" s="2407">
        <f t="shared" si="46"/>
        <v>1</v>
      </c>
      <c r="J268" s="3103"/>
      <c r="K268" s="2407">
        <f t="shared" si="47"/>
        <v>1</v>
      </c>
      <c r="L268" s="3103"/>
      <c r="M268" s="2407">
        <f t="shared" si="48"/>
        <v>1</v>
      </c>
      <c r="N268" s="3103"/>
      <c r="O268" s="2407">
        <f t="shared" si="49"/>
        <v>1</v>
      </c>
      <c r="P268" s="3103"/>
      <c r="Q268" s="2407">
        <f t="shared" si="50"/>
        <v>0</v>
      </c>
      <c r="R268" s="2407">
        <f t="shared" si="51"/>
        <v>0</v>
      </c>
      <c r="S268" s="3098">
        <f t="shared" si="52"/>
        <v>0</v>
      </c>
    </row>
    <row r="269" spans="1:19">
      <c r="A269" s="2571"/>
      <c r="B269" s="3107"/>
      <c r="C269" s="2407">
        <f t="shared" si="43"/>
        <v>1</v>
      </c>
      <c r="D269" s="3103"/>
      <c r="E269" s="2407">
        <f t="shared" si="44"/>
        <v>1</v>
      </c>
      <c r="F269" s="3103"/>
      <c r="G269" s="2407">
        <f t="shared" si="45"/>
        <v>1</v>
      </c>
      <c r="H269" s="3103"/>
      <c r="I269" s="2407">
        <f t="shared" si="46"/>
        <v>1</v>
      </c>
      <c r="J269" s="3103"/>
      <c r="K269" s="2407">
        <f t="shared" si="47"/>
        <v>1</v>
      </c>
      <c r="L269" s="3103"/>
      <c r="M269" s="2407">
        <f t="shared" si="48"/>
        <v>1</v>
      </c>
      <c r="N269" s="3103"/>
      <c r="O269" s="2407">
        <f t="shared" si="49"/>
        <v>1</v>
      </c>
      <c r="P269" s="3103"/>
      <c r="Q269" s="2407">
        <f t="shared" si="50"/>
        <v>0</v>
      </c>
      <c r="R269" s="2407">
        <f t="shared" si="51"/>
        <v>0</v>
      </c>
      <c r="S269" s="3098">
        <f t="shared" si="52"/>
        <v>0</v>
      </c>
    </row>
    <row r="270" spans="1:19">
      <c r="A270" s="2571"/>
      <c r="B270" s="3107"/>
      <c r="C270" s="2407">
        <f t="shared" si="43"/>
        <v>1</v>
      </c>
      <c r="D270" s="3103"/>
      <c r="E270" s="2407">
        <f t="shared" si="44"/>
        <v>1</v>
      </c>
      <c r="F270" s="3103"/>
      <c r="G270" s="2407">
        <f t="shared" si="45"/>
        <v>1</v>
      </c>
      <c r="H270" s="3103"/>
      <c r="I270" s="2407">
        <f t="shared" si="46"/>
        <v>1</v>
      </c>
      <c r="J270" s="3103"/>
      <c r="K270" s="2407">
        <f t="shared" si="47"/>
        <v>1</v>
      </c>
      <c r="L270" s="3103"/>
      <c r="M270" s="2407">
        <f t="shared" si="48"/>
        <v>1</v>
      </c>
      <c r="N270" s="3103"/>
      <c r="O270" s="2407">
        <f t="shared" si="49"/>
        <v>1</v>
      </c>
      <c r="P270" s="3103"/>
      <c r="Q270" s="2407">
        <f t="shared" si="50"/>
        <v>0</v>
      </c>
      <c r="R270" s="2407">
        <f t="shared" si="51"/>
        <v>0</v>
      </c>
      <c r="S270" s="3098">
        <f t="shared" si="52"/>
        <v>0</v>
      </c>
    </row>
    <row r="271" spans="1:19">
      <c r="A271" s="2571"/>
      <c r="B271" s="3107"/>
      <c r="C271" s="2407">
        <f t="shared" si="43"/>
        <v>1</v>
      </c>
      <c r="D271" s="3103"/>
      <c r="E271" s="2407">
        <f t="shared" si="44"/>
        <v>1</v>
      </c>
      <c r="F271" s="3103"/>
      <c r="G271" s="2407">
        <f t="shared" si="45"/>
        <v>1</v>
      </c>
      <c r="H271" s="3103"/>
      <c r="I271" s="2407">
        <f t="shared" si="46"/>
        <v>1</v>
      </c>
      <c r="J271" s="3103"/>
      <c r="K271" s="2407">
        <f t="shared" si="47"/>
        <v>1</v>
      </c>
      <c r="L271" s="3103"/>
      <c r="M271" s="2407">
        <f t="shared" si="48"/>
        <v>1</v>
      </c>
      <c r="N271" s="3103"/>
      <c r="O271" s="2407">
        <f t="shared" si="49"/>
        <v>1</v>
      </c>
      <c r="P271" s="3103"/>
      <c r="Q271" s="2407">
        <f t="shared" si="50"/>
        <v>0</v>
      </c>
      <c r="R271" s="2407">
        <f t="shared" si="51"/>
        <v>0</v>
      </c>
      <c r="S271" s="3098">
        <f t="shared" si="52"/>
        <v>0</v>
      </c>
    </row>
    <row r="272" spans="1:19">
      <c r="A272" s="2571"/>
      <c r="B272" s="3107"/>
      <c r="C272" s="2407">
        <f t="shared" si="43"/>
        <v>1</v>
      </c>
      <c r="D272" s="3103"/>
      <c r="E272" s="2407">
        <f t="shared" si="44"/>
        <v>1</v>
      </c>
      <c r="F272" s="3103"/>
      <c r="G272" s="2407">
        <f t="shared" si="45"/>
        <v>1</v>
      </c>
      <c r="H272" s="3103"/>
      <c r="I272" s="2407">
        <f t="shared" si="46"/>
        <v>1</v>
      </c>
      <c r="J272" s="3103"/>
      <c r="K272" s="2407">
        <f t="shared" si="47"/>
        <v>1</v>
      </c>
      <c r="L272" s="3103"/>
      <c r="M272" s="2407">
        <f t="shared" si="48"/>
        <v>1</v>
      </c>
      <c r="N272" s="3103"/>
      <c r="O272" s="2407">
        <f t="shared" si="49"/>
        <v>1</v>
      </c>
      <c r="P272" s="3103"/>
      <c r="Q272" s="2407">
        <f t="shared" si="50"/>
        <v>0</v>
      </c>
      <c r="R272" s="2407">
        <f t="shared" si="51"/>
        <v>0</v>
      </c>
      <c r="S272" s="3098">
        <f t="shared" si="52"/>
        <v>0</v>
      </c>
    </row>
    <row r="273" spans="1:19">
      <c r="A273" s="2571"/>
      <c r="B273" s="3107"/>
      <c r="C273" s="2407">
        <f t="shared" si="43"/>
        <v>1</v>
      </c>
      <c r="D273" s="3103"/>
      <c r="E273" s="2407">
        <f t="shared" si="44"/>
        <v>1</v>
      </c>
      <c r="F273" s="3103"/>
      <c r="G273" s="2407">
        <f t="shared" si="45"/>
        <v>1</v>
      </c>
      <c r="H273" s="3103"/>
      <c r="I273" s="2407">
        <f t="shared" si="46"/>
        <v>1</v>
      </c>
      <c r="J273" s="3103"/>
      <c r="K273" s="2407">
        <f t="shared" si="47"/>
        <v>1</v>
      </c>
      <c r="L273" s="3103"/>
      <c r="M273" s="2407">
        <f t="shared" si="48"/>
        <v>1</v>
      </c>
      <c r="N273" s="3103"/>
      <c r="O273" s="2407">
        <f t="shared" si="49"/>
        <v>1</v>
      </c>
      <c r="P273" s="3103"/>
      <c r="Q273" s="2407">
        <f t="shared" si="50"/>
        <v>0</v>
      </c>
      <c r="R273" s="2407">
        <f t="shared" si="51"/>
        <v>0</v>
      </c>
      <c r="S273" s="3098">
        <f t="shared" si="52"/>
        <v>0</v>
      </c>
    </row>
    <row r="274" spans="1:19">
      <c r="A274" s="2571"/>
      <c r="B274" s="3107"/>
      <c r="C274" s="2407">
        <f t="shared" si="43"/>
        <v>1</v>
      </c>
      <c r="D274" s="3103"/>
      <c r="E274" s="2407">
        <f t="shared" si="44"/>
        <v>1</v>
      </c>
      <c r="F274" s="3103"/>
      <c r="G274" s="2407">
        <f t="shared" si="45"/>
        <v>1</v>
      </c>
      <c r="H274" s="3103"/>
      <c r="I274" s="2407">
        <f t="shared" si="46"/>
        <v>1</v>
      </c>
      <c r="J274" s="3103"/>
      <c r="K274" s="2407">
        <f t="shared" si="47"/>
        <v>1</v>
      </c>
      <c r="L274" s="3103"/>
      <c r="M274" s="2407">
        <f t="shared" si="48"/>
        <v>1</v>
      </c>
      <c r="N274" s="3103"/>
      <c r="O274" s="2407">
        <f t="shared" si="49"/>
        <v>1</v>
      </c>
      <c r="P274" s="3103"/>
      <c r="Q274" s="2407">
        <f t="shared" si="50"/>
        <v>0</v>
      </c>
      <c r="R274" s="2407">
        <f t="shared" si="51"/>
        <v>0</v>
      </c>
      <c r="S274" s="3098">
        <f t="shared" si="52"/>
        <v>0</v>
      </c>
    </row>
    <row r="275" spans="1:19">
      <c r="A275" s="2571"/>
      <c r="B275" s="3107"/>
      <c r="C275" s="2407">
        <f t="shared" si="43"/>
        <v>1</v>
      </c>
      <c r="D275" s="3103"/>
      <c r="E275" s="2407">
        <f t="shared" si="44"/>
        <v>1</v>
      </c>
      <c r="F275" s="3103"/>
      <c r="G275" s="2407">
        <f t="shared" si="45"/>
        <v>1</v>
      </c>
      <c r="H275" s="3103"/>
      <c r="I275" s="2407">
        <f t="shared" si="46"/>
        <v>1</v>
      </c>
      <c r="J275" s="3103"/>
      <c r="K275" s="2407">
        <f t="shared" si="47"/>
        <v>1</v>
      </c>
      <c r="L275" s="3103"/>
      <c r="M275" s="2407">
        <f t="shared" si="48"/>
        <v>1</v>
      </c>
      <c r="N275" s="3103"/>
      <c r="O275" s="2407">
        <f t="shared" si="49"/>
        <v>1</v>
      </c>
      <c r="P275" s="3103"/>
      <c r="Q275" s="2407">
        <f t="shared" si="50"/>
        <v>0</v>
      </c>
      <c r="R275" s="2407">
        <f t="shared" si="51"/>
        <v>0</v>
      </c>
      <c r="S275" s="3098">
        <f t="shared" si="52"/>
        <v>0</v>
      </c>
    </row>
    <row r="276" spans="1:19">
      <c r="A276" s="2571"/>
      <c r="B276" s="3107"/>
      <c r="C276" s="2407">
        <f t="shared" si="43"/>
        <v>1</v>
      </c>
      <c r="D276" s="3103"/>
      <c r="E276" s="2407">
        <f t="shared" si="44"/>
        <v>1</v>
      </c>
      <c r="F276" s="3103"/>
      <c r="G276" s="2407">
        <f t="shared" si="45"/>
        <v>1</v>
      </c>
      <c r="H276" s="3103"/>
      <c r="I276" s="2407">
        <f t="shared" si="46"/>
        <v>1</v>
      </c>
      <c r="J276" s="3103"/>
      <c r="K276" s="2407">
        <f t="shared" si="47"/>
        <v>1</v>
      </c>
      <c r="L276" s="3103"/>
      <c r="M276" s="2407">
        <f t="shared" si="48"/>
        <v>1</v>
      </c>
      <c r="N276" s="3103"/>
      <c r="O276" s="2407">
        <f t="shared" si="49"/>
        <v>1</v>
      </c>
      <c r="P276" s="3103"/>
      <c r="Q276" s="2407">
        <f t="shared" si="50"/>
        <v>0</v>
      </c>
      <c r="R276" s="2407">
        <f t="shared" si="51"/>
        <v>0</v>
      </c>
      <c r="S276" s="3098">
        <f t="shared" si="52"/>
        <v>0</v>
      </c>
    </row>
    <row r="277" spans="1:19">
      <c r="A277" s="2571"/>
      <c r="B277" s="3107"/>
      <c r="C277" s="2407">
        <f t="shared" si="43"/>
        <v>1</v>
      </c>
      <c r="D277" s="3103"/>
      <c r="E277" s="2407">
        <f t="shared" si="44"/>
        <v>1</v>
      </c>
      <c r="F277" s="3103"/>
      <c r="G277" s="2407">
        <f t="shared" si="45"/>
        <v>1</v>
      </c>
      <c r="H277" s="3103"/>
      <c r="I277" s="2407">
        <f t="shared" si="46"/>
        <v>1</v>
      </c>
      <c r="J277" s="3103"/>
      <c r="K277" s="2407">
        <f t="shared" si="47"/>
        <v>1</v>
      </c>
      <c r="L277" s="3103"/>
      <c r="M277" s="2407">
        <f t="shared" si="48"/>
        <v>1</v>
      </c>
      <c r="N277" s="3103"/>
      <c r="O277" s="2407">
        <f t="shared" si="49"/>
        <v>1</v>
      </c>
      <c r="P277" s="3103"/>
      <c r="Q277" s="2407">
        <f t="shared" si="50"/>
        <v>0</v>
      </c>
      <c r="R277" s="2407">
        <f t="shared" si="51"/>
        <v>0</v>
      </c>
      <c r="S277" s="3098">
        <f t="shared" si="52"/>
        <v>0</v>
      </c>
    </row>
    <row r="278" spans="1:19">
      <c r="A278" s="2571"/>
      <c r="B278" s="3107"/>
      <c r="C278" s="2407">
        <f t="shared" si="43"/>
        <v>1</v>
      </c>
      <c r="D278" s="3103"/>
      <c r="E278" s="2407">
        <f t="shared" si="44"/>
        <v>1</v>
      </c>
      <c r="F278" s="3103"/>
      <c r="G278" s="2407">
        <f t="shared" si="45"/>
        <v>1</v>
      </c>
      <c r="H278" s="3103"/>
      <c r="I278" s="2407">
        <f t="shared" si="46"/>
        <v>1</v>
      </c>
      <c r="J278" s="3103"/>
      <c r="K278" s="2407">
        <f t="shared" si="47"/>
        <v>1</v>
      </c>
      <c r="L278" s="3103"/>
      <c r="M278" s="2407">
        <f t="shared" si="48"/>
        <v>1</v>
      </c>
      <c r="N278" s="3103"/>
      <c r="O278" s="2407">
        <f t="shared" si="49"/>
        <v>1</v>
      </c>
      <c r="P278" s="3103"/>
      <c r="Q278" s="2407">
        <f t="shared" si="50"/>
        <v>0</v>
      </c>
      <c r="R278" s="2407">
        <f t="shared" si="51"/>
        <v>0</v>
      </c>
      <c r="S278" s="3098">
        <f t="shared" si="52"/>
        <v>0</v>
      </c>
    </row>
    <row r="279" spans="1:19">
      <c r="A279" s="2571"/>
      <c r="B279" s="3107"/>
      <c r="C279" s="2407">
        <f t="shared" si="43"/>
        <v>1</v>
      </c>
      <c r="D279" s="3103"/>
      <c r="E279" s="2407">
        <f t="shared" si="44"/>
        <v>1</v>
      </c>
      <c r="F279" s="3103"/>
      <c r="G279" s="2407">
        <f t="shared" si="45"/>
        <v>1</v>
      </c>
      <c r="H279" s="3103"/>
      <c r="I279" s="2407">
        <f t="shared" si="46"/>
        <v>1</v>
      </c>
      <c r="J279" s="3103"/>
      <c r="K279" s="2407">
        <f t="shared" si="47"/>
        <v>1</v>
      </c>
      <c r="L279" s="3103"/>
      <c r="M279" s="2407">
        <f t="shared" si="48"/>
        <v>1</v>
      </c>
      <c r="N279" s="3103"/>
      <c r="O279" s="2407">
        <f t="shared" si="49"/>
        <v>1</v>
      </c>
      <c r="P279" s="3103"/>
      <c r="Q279" s="2407">
        <f t="shared" si="50"/>
        <v>0</v>
      </c>
      <c r="R279" s="2407">
        <f t="shared" si="51"/>
        <v>0</v>
      </c>
      <c r="S279" s="3098">
        <f t="shared" si="52"/>
        <v>0</v>
      </c>
    </row>
    <row r="280" spans="1:19">
      <c r="A280" s="2571"/>
      <c r="B280" s="3107"/>
      <c r="C280" s="2407">
        <f t="shared" si="43"/>
        <v>1</v>
      </c>
      <c r="D280" s="3103"/>
      <c r="E280" s="2407">
        <f t="shared" si="44"/>
        <v>1</v>
      </c>
      <c r="F280" s="3103"/>
      <c r="G280" s="2407">
        <f t="shared" si="45"/>
        <v>1</v>
      </c>
      <c r="H280" s="3103"/>
      <c r="I280" s="2407">
        <f t="shared" si="46"/>
        <v>1</v>
      </c>
      <c r="J280" s="3103"/>
      <c r="K280" s="2407">
        <f t="shared" si="47"/>
        <v>1</v>
      </c>
      <c r="L280" s="3103"/>
      <c r="M280" s="2407">
        <f t="shared" si="48"/>
        <v>1</v>
      </c>
      <c r="N280" s="3103"/>
      <c r="O280" s="2407">
        <f t="shared" si="49"/>
        <v>1</v>
      </c>
      <c r="P280" s="3103"/>
      <c r="Q280" s="2407">
        <f t="shared" si="50"/>
        <v>0</v>
      </c>
      <c r="R280" s="2407">
        <f t="shared" si="51"/>
        <v>0</v>
      </c>
      <c r="S280" s="3098">
        <f t="shared" si="52"/>
        <v>0</v>
      </c>
    </row>
    <row r="281" spans="1:19">
      <c r="A281" s="2571"/>
      <c r="B281" s="3107"/>
      <c r="C281" s="2407">
        <f t="shared" si="43"/>
        <v>1</v>
      </c>
      <c r="D281" s="3103"/>
      <c r="E281" s="2407">
        <f t="shared" si="44"/>
        <v>1</v>
      </c>
      <c r="F281" s="3103"/>
      <c r="G281" s="2407">
        <f t="shared" si="45"/>
        <v>1</v>
      </c>
      <c r="H281" s="3103"/>
      <c r="I281" s="2407">
        <f t="shared" si="46"/>
        <v>1</v>
      </c>
      <c r="J281" s="3103"/>
      <c r="K281" s="2407">
        <f t="shared" si="47"/>
        <v>1</v>
      </c>
      <c r="L281" s="3103"/>
      <c r="M281" s="2407">
        <f t="shared" si="48"/>
        <v>1</v>
      </c>
      <c r="N281" s="3103"/>
      <c r="O281" s="2407">
        <f t="shared" si="49"/>
        <v>1</v>
      </c>
      <c r="P281" s="3103"/>
      <c r="Q281" s="2407">
        <f t="shared" si="50"/>
        <v>0</v>
      </c>
      <c r="R281" s="2407">
        <f t="shared" si="51"/>
        <v>0</v>
      </c>
      <c r="S281" s="3098">
        <f t="shared" si="52"/>
        <v>0</v>
      </c>
    </row>
    <row r="282" spans="1:19">
      <c r="A282" s="2571"/>
      <c r="B282" s="3107"/>
      <c r="C282" s="2407">
        <f t="shared" ref="C282:C345" si="53">IF(B282="",1,(LOOKUP(B282,$3:$3,$4:$4)-LOOKUP($B$24,$3:$3,$4:$4)+100)/100)</f>
        <v>1</v>
      </c>
      <c r="D282" s="3103"/>
      <c r="E282" s="2407">
        <f t="shared" ref="E282:E345" si="54">(SUMIF($5:$5,D282,$6:$6)-SUMIF($5:$5,$D$24,$6:$6)+100)/100</f>
        <v>1</v>
      </c>
      <c r="F282" s="3103"/>
      <c r="G282" s="2407">
        <f t="shared" ref="G282:G345" si="55">(SUMIF($7:$7,F282,$8:$8)-SUMIF($7:$7,$F$24,$8:$8)+100)/100</f>
        <v>1</v>
      </c>
      <c r="H282" s="3103"/>
      <c r="I282" s="2407">
        <f t="shared" ref="I282:I345" si="56">(SUMIF($9:$9,H282,$10:$10)-SUMIF($9:$9,$H$24,$10:$10)+100)/100</f>
        <v>1</v>
      </c>
      <c r="J282" s="3103"/>
      <c r="K282" s="2407">
        <f t="shared" ref="K282:K345" si="57">(SUMIF($11:$11,J282,$12:$12)-SUMIF($11:$11,$J$24,$12:$12)+100)/100</f>
        <v>1</v>
      </c>
      <c r="L282" s="3103"/>
      <c r="M282" s="2407">
        <f t="shared" ref="M282:M345" si="58">(SUMIF($13:$13,L282,$14:$14)-SUMIF($13:$13,$L$24,$14:$14)+100)/100</f>
        <v>1</v>
      </c>
      <c r="N282" s="3103"/>
      <c r="O282" s="2407">
        <f t="shared" ref="O282:O345" si="59">(SUMIF($15:$15,N282,$16:$16)-SUMIF($15:$15,$N$24,$16:$16)+100)/100</f>
        <v>1</v>
      </c>
      <c r="P282" s="3103"/>
      <c r="Q282" s="2407">
        <f t="shared" ref="Q282:Q345" si="60">(SUMIF($17:$17,P282,$18:$18)-SUMIF($17:$17,$P$24,$18:$18)+100)/100</f>
        <v>0</v>
      </c>
      <c r="R282" s="2407">
        <f t="shared" ref="R282:R345" si="61">IF(B282="",0,ROUND($R$24*C282*E282*G282*I282*K282*M282*O282*Q282,0))</f>
        <v>0</v>
      </c>
      <c r="S282" s="3098">
        <f t="shared" si="52"/>
        <v>0</v>
      </c>
    </row>
    <row r="283" spans="1:19">
      <c r="A283" s="2571"/>
      <c r="B283" s="3107"/>
      <c r="C283" s="2407">
        <f t="shared" si="53"/>
        <v>1</v>
      </c>
      <c r="D283" s="3103"/>
      <c r="E283" s="2407">
        <f t="shared" si="54"/>
        <v>1</v>
      </c>
      <c r="F283" s="3103"/>
      <c r="G283" s="2407">
        <f t="shared" si="55"/>
        <v>1</v>
      </c>
      <c r="H283" s="3103"/>
      <c r="I283" s="2407">
        <f t="shared" si="56"/>
        <v>1</v>
      </c>
      <c r="J283" s="3103"/>
      <c r="K283" s="2407">
        <f t="shared" si="57"/>
        <v>1</v>
      </c>
      <c r="L283" s="3103"/>
      <c r="M283" s="2407">
        <f t="shared" si="58"/>
        <v>1</v>
      </c>
      <c r="N283" s="3103"/>
      <c r="O283" s="2407">
        <f t="shared" si="59"/>
        <v>1</v>
      </c>
      <c r="P283" s="3103"/>
      <c r="Q283" s="2407">
        <f t="shared" si="60"/>
        <v>0</v>
      </c>
      <c r="R283" s="2407">
        <f t="shared" si="61"/>
        <v>0</v>
      </c>
      <c r="S283" s="3098">
        <f t="shared" si="52"/>
        <v>0</v>
      </c>
    </row>
    <row r="284" spans="1:19">
      <c r="A284" s="2571"/>
      <c r="B284" s="3107"/>
      <c r="C284" s="2407">
        <f t="shared" si="53"/>
        <v>1</v>
      </c>
      <c r="D284" s="3103"/>
      <c r="E284" s="2407">
        <f t="shared" si="54"/>
        <v>1</v>
      </c>
      <c r="F284" s="3103"/>
      <c r="G284" s="2407">
        <f t="shared" si="55"/>
        <v>1</v>
      </c>
      <c r="H284" s="3103"/>
      <c r="I284" s="2407">
        <f t="shared" si="56"/>
        <v>1</v>
      </c>
      <c r="J284" s="3103"/>
      <c r="K284" s="2407">
        <f t="shared" si="57"/>
        <v>1</v>
      </c>
      <c r="L284" s="3103"/>
      <c r="M284" s="2407">
        <f t="shared" si="58"/>
        <v>1</v>
      </c>
      <c r="N284" s="3103"/>
      <c r="O284" s="2407">
        <f t="shared" si="59"/>
        <v>1</v>
      </c>
      <c r="P284" s="3103"/>
      <c r="Q284" s="2407">
        <f t="shared" si="60"/>
        <v>0</v>
      </c>
      <c r="R284" s="2407">
        <f t="shared" si="61"/>
        <v>0</v>
      </c>
      <c r="S284" s="3098">
        <f t="shared" si="52"/>
        <v>0</v>
      </c>
    </row>
    <row r="285" spans="1:19">
      <c r="A285" s="2571"/>
      <c r="B285" s="3107"/>
      <c r="C285" s="2407">
        <f t="shared" si="53"/>
        <v>1</v>
      </c>
      <c r="D285" s="3103"/>
      <c r="E285" s="2407">
        <f t="shared" si="54"/>
        <v>1</v>
      </c>
      <c r="F285" s="3103"/>
      <c r="G285" s="2407">
        <f t="shared" si="55"/>
        <v>1</v>
      </c>
      <c r="H285" s="3103"/>
      <c r="I285" s="2407">
        <f t="shared" si="56"/>
        <v>1</v>
      </c>
      <c r="J285" s="3103"/>
      <c r="K285" s="2407">
        <f t="shared" si="57"/>
        <v>1</v>
      </c>
      <c r="L285" s="3103"/>
      <c r="M285" s="2407">
        <f t="shared" si="58"/>
        <v>1</v>
      </c>
      <c r="N285" s="3103"/>
      <c r="O285" s="2407">
        <f t="shared" si="59"/>
        <v>1</v>
      </c>
      <c r="P285" s="3103"/>
      <c r="Q285" s="2407">
        <f t="shared" si="60"/>
        <v>0</v>
      </c>
      <c r="R285" s="2407">
        <f t="shared" si="61"/>
        <v>0</v>
      </c>
      <c r="S285" s="3098">
        <f t="shared" si="52"/>
        <v>0</v>
      </c>
    </row>
    <row r="286" spans="1:19">
      <c r="A286" s="2571"/>
      <c r="B286" s="3107"/>
      <c r="C286" s="2407">
        <f t="shared" si="53"/>
        <v>1</v>
      </c>
      <c r="D286" s="3103"/>
      <c r="E286" s="2407">
        <f t="shared" si="54"/>
        <v>1</v>
      </c>
      <c r="F286" s="3103"/>
      <c r="G286" s="2407">
        <f t="shared" si="55"/>
        <v>1</v>
      </c>
      <c r="H286" s="3103"/>
      <c r="I286" s="2407">
        <f t="shared" si="56"/>
        <v>1</v>
      </c>
      <c r="J286" s="3103"/>
      <c r="K286" s="2407">
        <f t="shared" si="57"/>
        <v>1</v>
      </c>
      <c r="L286" s="3103"/>
      <c r="M286" s="2407">
        <f t="shared" si="58"/>
        <v>1</v>
      </c>
      <c r="N286" s="3103"/>
      <c r="O286" s="2407">
        <f t="shared" si="59"/>
        <v>1</v>
      </c>
      <c r="P286" s="3103"/>
      <c r="Q286" s="2407">
        <f t="shared" si="60"/>
        <v>0</v>
      </c>
      <c r="R286" s="2407">
        <f t="shared" si="61"/>
        <v>0</v>
      </c>
      <c r="S286" s="3098">
        <f t="shared" si="52"/>
        <v>0</v>
      </c>
    </row>
    <row r="287" spans="1:19">
      <c r="A287" s="2571"/>
      <c r="B287" s="3107"/>
      <c r="C287" s="2407">
        <f t="shared" si="53"/>
        <v>1</v>
      </c>
      <c r="D287" s="3103"/>
      <c r="E287" s="2407">
        <f t="shared" si="54"/>
        <v>1</v>
      </c>
      <c r="F287" s="3103"/>
      <c r="G287" s="2407">
        <f t="shared" si="55"/>
        <v>1</v>
      </c>
      <c r="H287" s="3103"/>
      <c r="I287" s="2407">
        <f t="shared" si="56"/>
        <v>1</v>
      </c>
      <c r="J287" s="3103"/>
      <c r="K287" s="2407">
        <f t="shared" si="57"/>
        <v>1</v>
      </c>
      <c r="L287" s="3103"/>
      <c r="M287" s="2407">
        <f t="shared" si="58"/>
        <v>1</v>
      </c>
      <c r="N287" s="3103"/>
      <c r="O287" s="2407">
        <f t="shared" si="59"/>
        <v>1</v>
      </c>
      <c r="P287" s="3103"/>
      <c r="Q287" s="2407">
        <f t="shared" si="60"/>
        <v>0</v>
      </c>
      <c r="R287" s="2407">
        <f t="shared" si="61"/>
        <v>0</v>
      </c>
      <c r="S287" s="3098">
        <f t="shared" ref="S287:S320" si="62">ROUND(R287*B287/10000,0)</f>
        <v>0</v>
      </c>
    </row>
    <row r="288" spans="1:19">
      <c r="A288" s="2571"/>
      <c r="B288" s="3107"/>
      <c r="C288" s="2407">
        <f t="shared" si="53"/>
        <v>1</v>
      </c>
      <c r="D288" s="3103"/>
      <c r="E288" s="2407">
        <f t="shared" si="54"/>
        <v>1</v>
      </c>
      <c r="F288" s="3103"/>
      <c r="G288" s="2407">
        <f t="shared" si="55"/>
        <v>1</v>
      </c>
      <c r="H288" s="3103"/>
      <c r="I288" s="2407">
        <f t="shared" si="56"/>
        <v>1</v>
      </c>
      <c r="J288" s="3103"/>
      <c r="K288" s="2407">
        <f t="shared" si="57"/>
        <v>1</v>
      </c>
      <c r="L288" s="3103"/>
      <c r="M288" s="2407">
        <f t="shared" si="58"/>
        <v>1</v>
      </c>
      <c r="N288" s="3103"/>
      <c r="O288" s="2407">
        <f t="shared" si="59"/>
        <v>1</v>
      </c>
      <c r="P288" s="3103"/>
      <c r="Q288" s="2407">
        <f t="shared" si="60"/>
        <v>0</v>
      </c>
      <c r="R288" s="2407">
        <f t="shared" si="61"/>
        <v>0</v>
      </c>
      <c r="S288" s="3098">
        <f t="shared" si="62"/>
        <v>0</v>
      </c>
    </row>
    <row r="289" spans="1:19">
      <c r="A289" s="2571"/>
      <c r="B289" s="3107"/>
      <c r="C289" s="2407">
        <f t="shared" si="53"/>
        <v>1</v>
      </c>
      <c r="D289" s="3103"/>
      <c r="E289" s="2407">
        <f t="shared" si="54"/>
        <v>1</v>
      </c>
      <c r="F289" s="3103"/>
      <c r="G289" s="2407">
        <f t="shared" si="55"/>
        <v>1</v>
      </c>
      <c r="H289" s="3103"/>
      <c r="I289" s="2407">
        <f t="shared" si="56"/>
        <v>1</v>
      </c>
      <c r="J289" s="3103"/>
      <c r="K289" s="2407">
        <f t="shared" si="57"/>
        <v>1</v>
      </c>
      <c r="L289" s="3103"/>
      <c r="M289" s="2407">
        <f t="shared" si="58"/>
        <v>1</v>
      </c>
      <c r="N289" s="3103"/>
      <c r="O289" s="2407">
        <f t="shared" si="59"/>
        <v>1</v>
      </c>
      <c r="P289" s="3103"/>
      <c r="Q289" s="2407">
        <f t="shared" si="60"/>
        <v>0</v>
      </c>
      <c r="R289" s="2407">
        <f t="shared" si="61"/>
        <v>0</v>
      </c>
      <c r="S289" s="3098">
        <f t="shared" si="62"/>
        <v>0</v>
      </c>
    </row>
    <row r="290" spans="1:19">
      <c r="A290" s="2571"/>
      <c r="B290" s="3107"/>
      <c r="C290" s="2407">
        <f t="shared" si="53"/>
        <v>1</v>
      </c>
      <c r="D290" s="3103"/>
      <c r="E290" s="2407">
        <f t="shared" si="54"/>
        <v>1</v>
      </c>
      <c r="F290" s="3103"/>
      <c r="G290" s="2407">
        <f t="shared" si="55"/>
        <v>1</v>
      </c>
      <c r="H290" s="3103"/>
      <c r="I290" s="2407">
        <f t="shared" si="56"/>
        <v>1</v>
      </c>
      <c r="J290" s="3103"/>
      <c r="K290" s="2407">
        <f t="shared" si="57"/>
        <v>1</v>
      </c>
      <c r="L290" s="3103"/>
      <c r="M290" s="2407">
        <f t="shared" si="58"/>
        <v>1</v>
      </c>
      <c r="N290" s="3103"/>
      <c r="O290" s="2407">
        <f t="shared" si="59"/>
        <v>1</v>
      </c>
      <c r="P290" s="3103"/>
      <c r="Q290" s="2407">
        <f t="shared" si="60"/>
        <v>0</v>
      </c>
      <c r="R290" s="2407">
        <f t="shared" si="61"/>
        <v>0</v>
      </c>
      <c r="S290" s="3098">
        <f t="shared" si="62"/>
        <v>0</v>
      </c>
    </row>
    <row r="291" spans="1:19">
      <c r="A291" s="2571"/>
      <c r="B291" s="3107"/>
      <c r="C291" s="2407">
        <f t="shared" si="53"/>
        <v>1</v>
      </c>
      <c r="D291" s="3103"/>
      <c r="E291" s="2407">
        <f t="shared" si="54"/>
        <v>1</v>
      </c>
      <c r="F291" s="3103"/>
      <c r="G291" s="2407">
        <f t="shared" si="55"/>
        <v>1</v>
      </c>
      <c r="H291" s="3103"/>
      <c r="I291" s="2407">
        <f t="shared" si="56"/>
        <v>1</v>
      </c>
      <c r="J291" s="3103"/>
      <c r="K291" s="2407">
        <f t="shared" si="57"/>
        <v>1</v>
      </c>
      <c r="L291" s="3103"/>
      <c r="M291" s="2407">
        <f t="shared" si="58"/>
        <v>1</v>
      </c>
      <c r="N291" s="3103"/>
      <c r="O291" s="2407">
        <f t="shared" si="59"/>
        <v>1</v>
      </c>
      <c r="P291" s="3103"/>
      <c r="Q291" s="2407">
        <f t="shared" si="60"/>
        <v>0</v>
      </c>
      <c r="R291" s="2407">
        <f t="shared" si="61"/>
        <v>0</v>
      </c>
      <c r="S291" s="3098">
        <f t="shared" si="62"/>
        <v>0</v>
      </c>
    </row>
    <row r="292" spans="1:19">
      <c r="A292" s="2571"/>
      <c r="B292" s="3107"/>
      <c r="C292" s="2407">
        <f t="shared" si="53"/>
        <v>1</v>
      </c>
      <c r="D292" s="3103"/>
      <c r="E292" s="2407">
        <f t="shared" si="54"/>
        <v>1</v>
      </c>
      <c r="F292" s="3103"/>
      <c r="G292" s="2407">
        <f t="shared" si="55"/>
        <v>1</v>
      </c>
      <c r="H292" s="3103"/>
      <c r="I292" s="2407">
        <f t="shared" si="56"/>
        <v>1</v>
      </c>
      <c r="J292" s="3103"/>
      <c r="K292" s="2407">
        <f t="shared" si="57"/>
        <v>1</v>
      </c>
      <c r="L292" s="3103"/>
      <c r="M292" s="2407">
        <f t="shared" si="58"/>
        <v>1</v>
      </c>
      <c r="N292" s="3103"/>
      <c r="O292" s="2407">
        <f t="shared" si="59"/>
        <v>1</v>
      </c>
      <c r="P292" s="3103"/>
      <c r="Q292" s="2407">
        <f t="shared" si="60"/>
        <v>0</v>
      </c>
      <c r="R292" s="2407">
        <f t="shared" si="61"/>
        <v>0</v>
      </c>
      <c r="S292" s="3098">
        <f t="shared" si="62"/>
        <v>0</v>
      </c>
    </row>
    <row r="293" spans="1:19">
      <c r="A293" s="2571"/>
      <c r="B293" s="3107"/>
      <c r="C293" s="2407">
        <f t="shared" si="53"/>
        <v>1</v>
      </c>
      <c r="D293" s="3103"/>
      <c r="E293" s="2407">
        <f t="shared" si="54"/>
        <v>1</v>
      </c>
      <c r="F293" s="3103"/>
      <c r="G293" s="2407">
        <f t="shared" si="55"/>
        <v>1</v>
      </c>
      <c r="H293" s="3103"/>
      <c r="I293" s="2407">
        <f t="shared" si="56"/>
        <v>1</v>
      </c>
      <c r="J293" s="3103"/>
      <c r="K293" s="2407">
        <f t="shared" si="57"/>
        <v>1</v>
      </c>
      <c r="L293" s="3103"/>
      <c r="M293" s="2407">
        <f t="shared" si="58"/>
        <v>1</v>
      </c>
      <c r="N293" s="3103"/>
      <c r="O293" s="2407">
        <f t="shared" si="59"/>
        <v>1</v>
      </c>
      <c r="P293" s="3103"/>
      <c r="Q293" s="2407">
        <f t="shared" si="60"/>
        <v>0</v>
      </c>
      <c r="R293" s="2407">
        <f t="shared" si="61"/>
        <v>0</v>
      </c>
      <c r="S293" s="3098">
        <f t="shared" si="62"/>
        <v>0</v>
      </c>
    </row>
    <row r="294" spans="1:19">
      <c r="A294" s="2571"/>
      <c r="B294" s="3107"/>
      <c r="C294" s="2407">
        <f t="shared" si="53"/>
        <v>1</v>
      </c>
      <c r="D294" s="3103"/>
      <c r="E294" s="2407">
        <f t="shared" si="54"/>
        <v>1</v>
      </c>
      <c r="F294" s="3103"/>
      <c r="G294" s="2407">
        <f t="shared" si="55"/>
        <v>1</v>
      </c>
      <c r="H294" s="3103"/>
      <c r="I294" s="2407">
        <f t="shared" si="56"/>
        <v>1</v>
      </c>
      <c r="J294" s="3103"/>
      <c r="K294" s="2407">
        <f t="shared" si="57"/>
        <v>1</v>
      </c>
      <c r="L294" s="3103"/>
      <c r="M294" s="2407">
        <f t="shared" si="58"/>
        <v>1</v>
      </c>
      <c r="N294" s="3103"/>
      <c r="O294" s="2407">
        <f t="shared" si="59"/>
        <v>1</v>
      </c>
      <c r="P294" s="3103"/>
      <c r="Q294" s="2407">
        <f t="shared" si="60"/>
        <v>0</v>
      </c>
      <c r="R294" s="2407">
        <f t="shared" si="61"/>
        <v>0</v>
      </c>
      <c r="S294" s="3098">
        <f t="shared" si="62"/>
        <v>0</v>
      </c>
    </row>
    <row r="295" spans="1:19">
      <c r="A295" s="2571"/>
      <c r="B295" s="3107"/>
      <c r="C295" s="2407">
        <f t="shared" si="53"/>
        <v>1</v>
      </c>
      <c r="D295" s="3103"/>
      <c r="E295" s="2407">
        <f t="shared" si="54"/>
        <v>1</v>
      </c>
      <c r="F295" s="3103"/>
      <c r="G295" s="2407">
        <f t="shared" si="55"/>
        <v>1</v>
      </c>
      <c r="H295" s="3103"/>
      <c r="I295" s="2407">
        <f t="shared" si="56"/>
        <v>1</v>
      </c>
      <c r="J295" s="3103"/>
      <c r="K295" s="2407">
        <f t="shared" si="57"/>
        <v>1</v>
      </c>
      <c r="L295" s="3103"/>
      <c r="M295" s="2407">
        <f t="shared" si="58"/>
        <v>1</v>
      </c>
      <c r="N295" s="3103"/>
      <c r="O295" s="2407">
        <f t="shared" si="59"/>
        <v>1</v>
      </c>
      <c r="P295" s="3103"/>
      <c r="Q295" s="2407">
        <f t="shared" si="60"/>
        <v>0</v>
      </c>
      <c r="R295" s="2407">
        <f t="shared" si="61"/>
        <v>0</v>
      </c>
      <c r="S295" s="3098">
        <f t="shared" si="62"/>
        <v>0</v>
      </c>
    </row>
    <row r="296" spans="1:19">
      <c r="A296" s="2571"/>
      <c r="B296" s="3107"/>
      <c r="C296" s="2407">
        <f t="shared" si="53"/>
        <v>1</v>
      </c>
      <c r="D296" s="3103"/>
      <c r="E296" s="2407">
        <f t="shared" si="54"/>
        <v>1</v>
      </c>
      <c r="F296" s="3103"/>
      <c r="G296" s="2407">
        <f t="shared" si="55"/>
        <v>1</v>
      </c>
      <c r="H296" s="3103"/>
      <c r="I296" s="2407">
        <f t="shared" si="56"/>
        <v>1</v>
      </c>
      <c r="J296" s="3103"/>
      <c r="K296" s="2407">
        <f t="shared" si="57"/>
        <v>1</v>
      </c>
      <c r="L296" s="3103"/>
      <c r="M296" s="2407">
        <f t="shared" si="58"/>
        <v>1</v>
      </c>
      <c r="N296" s="3103"/>
      <c r="O296" s="2407">
        <f t="shared" si="59"/>
        <v>1</v>
      </c>
      <c r="P296" s="3103"/>
      <c r="Q296" s="2407">
        <f t="shared" si="60"/>
        <v>0</v>
      </c>
      <c r="R296" s="2407">
        <f t="shared" si="61"/>
        <v>0</v>
      </c>
      <c r="S296" s="3098">
        <f t="shared" si="62"/>
        <v>0</v>
      </c>
    </row>
    <row r="297" spans="1:19">
      <c r="A297" s="2571"/>
      <c r="B297" s="3107"/>
      <c r="C297" s="2407">
        <f t="shared" si="53"/>
        <v>1</v>
      </c>
      <c r="D297" s="3103"/>
      <c r="E297" s="2407">
        <f t="shared" si="54"/>
        <v>1</v>
      </c>
      <c r="F297" s="3103"/>
      <c r="G297" s="2407">
        <f t="shared" si="55"/>
        <v>1</v>
      </c>
      <c r="H297" s="3103"/>
      <c r="I297" s="2407">
        <f t="shared" si="56"/>
        <v>1</v>
      </c>
      <c r="J297" s="3103"/>
      <c r="K297" s="2407">
        <f t="shared" si="57"/>
        <v>1</v>
      </c>
      <c r="L297" s="3103"/>
      <c r="M297" s="2407">
        <f t="shared" si="58"/>
        <v>1</v>
      </c>
      <c r="N297" s="3103"/>
      <c r="O297" s="2407">
        <f t="shared" si="59"/>
        <v>1</v>
      </c>
      <c r="P297" s="3103"/>
      <c r="Q297" s="2407">
        <f t="shared" si="60"/>
        <v>0</v>
      </c>
      <c r="R297" s="2407">
        <f t="shared" si="61"/>
        <v>0</v>
      </c>
      <c r="S297" s="3098">
        <f t="shared" si="62"/>
        <v>0</v>
      </c>
    </row>
    <row r="298" spans="1:19">
      <c r="A298" s="2571"/>
      <c r="B298" s="3107"/>
      <c r="C298" s="2407">
        <f t="shared" si="53"/>
        <v>1</v>
      </c>
      <c r="D298" s="3103"/>
      <c r="E298" s="2407">
        <f t="shared" si="54"/>
        <v>1</v>
      </c>
      <c r="F298" s="3103"/>
      <c r="G298" s="2407">
        <f t="shared" si="55"/>
        <v>1</v>
      </c>
      <c r="H298" s="3103"/>
      <c r="I298" s="2407">
        <f t="shared" si="56"/>
        <v>1</v>
      </c>
      <c r="J298" s="3103"/>
      <c r="K298" s="2407">
        <f t="shared" si="57"/>
        <v>1</v>
      </c>
      <c r="L298" s="3103"/>
      <c r="M298" s="2407">
        <f t="shared" si="58"/>
        <v>1</v>
      </c>
      <c r="N298" s="3103"/>
      <c r="O298" s="2407">
        <f t="shared" si="59"/>
        <v>1</v>
      </c>
      <c r="P298" s="3103"/>
      <c r="Q298" s="2407">
        <f t="shared" si="60"/>
        <v>0</v>
      </c>
      <c r="R298" s="2407">
        <f t="shared" si="61"/>
        <v>0</v>
      </c>
      <c r="S298" s="3098">
        <f t="shared" si="62"/>
        <v>0</v>
      </c>
    </row>
    <row r="299" spans="1:19">
      <c r="A299" s="2571"/>
      <c r="B299" s="3107"/>
      <c r="C299" s="2407">
        <f t="shared" si="53"/>
        <v>1</v>
      </c>
      <c r="D299" s="3103"/>
      <c r="E299" s="2407">
        <f t="shared" si="54"/>
        <v>1</v>
      </c>
      <c r="F299" s="3103"/>
      <c r="G299" s="2407">
        <f t="shared" si="55"/>
        <v>1</v>
      </c>
      <c r="H299" s="3103"/>
      <c r="I299" s="2407">
        <f t="shared" si="56"/>
        <v>1</v>
      </c>
      <c r="J299" s="3103"/>
      <c r="K299" s="2407">
        <f t="shared" si="57"/>
        <v>1</v>
      </c>
      <c r="L299" s="3103"/>
      <c r="M299" s="2407">
        <f t="shared" si="58"/>
        <v>1</v>
      </c>
      <c r="N299" s="3103"/>
      <c r="O299" s="2407">
        <f t="shared" si="59"/>
        <v>1</v>
      </c>
      <c r="P299" s="3103"/>
      <c r="Q299" s="2407">
        <f t="shared" si="60"/>
        <v>0</v>
      </c>
      <c r="R299" s="2407">
        <f t="shared" si="61"/>
        <v>0</v>
      </c>
      <c r="S299" s="3098">
        <f t="shared" si="62"/>
        <v>0</v>
      </c>
    </row>
    <row r="300" spans="1:19">
      <c r="A300" s="2571"/>
      <c r="B300" s="3107"/>
      <c r="C300" s="2407">
        <f t="shared" si="53"/>
        <v>1</v>
      </c>
      <c r="D300" s="3103"/>
      <c r="E300" s="2407">
        <f t="shared" si="54"/>
        <v>1</v>
      </c>
      <c r="F300" s="3103"/>
      <c r="G300" s="2407">
        <f t="shared" si="55"/>
        <v>1</v>
      </c>
      <c r="H300" s="3103"/>
      <c r="I300" s="2407">
        <f t="shared" si="56"/>
        <v>1</v>
      </c>
      <c r="J300" s="3103"/>
      <c r="K300" s="2407">
        <f t="shared" si="57"/>
        <v>1</v>
      </c>
      <c r="L300" s="3103"/>
      <c r="M300" s="2407">
        <f t="shared" si="58"/>
        <v>1</v>
      </c>
      <c r="N300" s="3103"/>
      <c r="O300" s="2407">
        <f t="shared" si="59"/>
        <v>1</v>
      </c>
      <c r="P300" s="3103"/>
      <c r="Q300" s="2407">
        <f t="shared" si="60"/>
        <v>0</v>
      </c>
      <c r="R300" s="2407">
        <f t="shared" si="61"/>
        <v>0</v>
      </c>
      <c r="S300" s="3098">
        <f t="shared" si="62"/>
        <v>0</v>
      </c>
    </row>
    <row r="301" spans="1:19">
      <c r="A301" s="2571"/>
      <c r="B301" s="3107"/>
      <c r="C301" s="2407">
        <f t="shared" si="53"/>
        <v>1</v>
      </c>
      <c r="D301" s="3103"/>
      <c r="E301" s="2407">
        <f t="shared" si="54"/>
        <v>1</v>
      </c>
      <c r="F301" s="3103"/>
      <c r="G301" s="2407">
        <f t="shared" si="55"/>
        <v>1</v>
      </c>
      <c r="H301" s="3103"/>
      <c r="I301" s="2407">
        <f t="shared" si="56"/>
        <v>1</v>
      </c>
      <c r="J301" s="3103"/>
      <c r="K301" s="2407">
        <f t="shared" si="57"/>
        <v>1</v>
      </c>
      <c r="L301" s="3103"/>
      <c r="M301" s="2407">
        <f t="shared" si="58"/>
        <v>1</v>
      </c>
      <c r="N301" s="3103"/>
      <c r="O301" s="2407">
        <f t="shared" si="59"/>
        <v>1</v>
      </c>
      <c r="P301" s="3103"/>
      <c r="Q301" s="2407">
        <f t="shared" si="60"/>
        <v>0</v>
      </c>
      <c r="R301" s="2407">
        <f t="shared" si="61"/>
        <v>0</v>
      </c>
      <c r="S301" s="3098">
        <f t="shared" si="62"/>
        <v>0</v>
      </c>
    </row>
    <row r="302" spans="1:19">
      <c r="A302" s="2571"/>
      <c r="B302" s="3107"/>
      <c r="C302" s="2407">
        <f t="shared" si="53"/>
        <v>1</v>
      </c>
      <c r="D302" s="3103"/>
      <c r="E302" s="2407">
        <f t="shared" si="54"/>
        <v>1</v>
      </c>
      <c r="F302" s="3103"/>
      <c r="G302" s="2407">
        <f t="shared" si="55"/>
        <v>1</v>
      </c>
      <c r="H302" s="3103"/>
      <c r="I302" s="2407">
        <f t="shared" si="56"/>
        <v>1</v>
      </c>
      <c r="J302" s="3103"/>
      <c r="K302" s="2407">
        <f t="shared" si="57"/>
        <v>1</v>
      </c>
      <c r="L302" s="3103"/>
      <c r="M302" s="2407">
        <f t="shared" si="58"/>
        <v>1</v>
      </c>
      <c r="N302" s="3103"/>
      <c r="O302" s="2407">
        <f t="shared" si="59"/>
        <v>1</v>
      </c>
      <c r="P302" s="3103"/>
      <c r="Q302" s="2407">
        <f t="shared" si="60"/>
        <v>0</v>
      </c>
      <c r="R302" s="2407">
        <f t="shared" si="61"/>
        <v>0</v>
      </c>
      <c r="S302" s="3098">
        <f t="shared" si="62"/>
        <v>0</v>
      </c>
    </row>
    <row r="303" spans="1:19">
      <c r="A303" s="2571"/>
      <c r="B303" s="3107"/>
      <c r="C303" s="2407">
        <f t="shared" si="53"/>
        <v>1</v>
      </c>
      <c r="D303" s="3103"/>
      <c r="E303" s="2407">
        <f t="shared" si="54"/>
        <v>1</v>
      </c>
      <c r="F303" s="3103"/>
      <c r="G303" s="2407">
        <f t="shared" si="55"/>
        <v>1</v>
      </c>
      <c r="H303" s="3103"/>
      <c r="I303" s="2407">
        <f t="shared" si="56"/>
        <v>1</v>
      </c>
      <c r="J303" s="3103"/>
      <c r="K303" s="2407">
        <f t="shared" si="57"/>
        <v>1</v>
      </c>
      <c r="L303" s="3103"/>
      <c r="M303" s="2407">
        <f t="shared" si="58"/>
        <v>1</v>
      </c>
      <c r="N303" s="3103"/>
      <c r="O303" s="2407">
        <f t="shared" si="59"/>
        <v>1</v>
      </c>
      <c r="P303" s="3103"/>
      <c r="Q303" s="2407">
        <f t="shared" si="60"/>
        <v>0</v>
      </c>
      <c r="R303" s="2407">
        <f t="shared" si="61"/>
        <v>0</v>
      </c>
      <c r="S303" s="3098">
        <f t="shared" si="62"/>
        <v>0</v>
      </c>
    </row>
    <row r="304" spans="1:19">
      <c r="A304" s="2571"/>
      <c r="B304" s="3107"/>
      <c r="C304" s="2407">
        <f t="shared" si="53"/>
        <v>1</v>
      </c>
      <c r="D304" s="3103"/>
      <c r="E304" s="2407">
        <f t="shared" si="54"/>
        <v>1</v>
      </c>
      <c r="F304" s="3103"/>
      <c r="G304" s="2407">
        <f t="shared" si="55"/>
        <v>1</v>
      </c>
      <c r="H304" s="3103"/>
      <c r="I304" s="2407">
        <f t="shared" si="56"/>
        <v>1</v>
      </c>
      <c r="J304" s="3103"/>
      <c r="K304" s="2407">
        <f t="shared" si="57"/>
        <v>1</v>
      </c>
      <c r="L304" s="3103"/>
      <c r="M304" s="2407">
        <f t="shared" si="58"/>
        <v>1</v>
      </c>
      <c r="N304" s="3103"/>
      <c r="O304" s="2407">
        <f t="shared" si="59"/>
        <v>1</v>
      </c>
      <c r="P304" s="3103"/>
      <c r="Q304" s="2407">
        <f t="shared" si="60"/>
        <v>0</v>
      </c>
      <c r="R304" s="2407">
        <f t="shared" si="61"/>
        <v>0</v>
      </c>
      <c r="S304" s="3098">
        <f t="shared" si="62"/>
        <v>0</v>
      </c>
    </row>
    <row r="305" spans="1:19">
      <c r="A305" s="2571"/>
      <c r="B305" s="3107"/>
      <c r="C305" s="2407">
        <f t="shared" si="53"/>
        <v>1</v>
      </c>
      <c r="D305" s="3103"/>
      <c r="E305" s="2407">
        <f t="shared" si="54"/>
        <v>1</v>
      </c>
      <c r="F305" s="3103"/>
      <c r="G305" s="2407">
        <f t="shared" si="55"/>
        <v>1</v>
      </c>
      <c r="H305" s="3103"/>
      <c r="I305" s="2407">
        <f t="shared" si="56"/>
        <v>1</v>
      </c>
      <c r="J305" s="3103"/>
      <c r="K305" s="2407">
        <f t="shared" si="57"/>
        <v>1</v>
      </c>
      <c r="L305" s="3103"/>
      <c r="M305" s="2407">
        <f t="shared" si="58"/>
        <v>1</v>
      </c>
      <c r="N305" s="3103"/>
      <c r="O305" s="2407">
        <f t="shared" si="59"/>
        <v>1</v>
      </c>
      <c r="P305" s="3103"/>
      <c r="Q305" s="2407">
        <f t="shared" si="60"/>
        <v>0</v>
      </c>
      <c r="R305" s="2407">
        <f t="shared" si="61"/>
        <v>0</v>
      </c>
      <c r="S305" s="3098">
        <f t="shared" si="62"/>
        <v>0</v>
      </c>
    </row>
    <row r="306" spans="1:19">
      <c r="A306" s="2571"/>
      <c r="B306" s="3107"/>
      <c r="C306" s="2407">
        <f t="shared" si="53"/>
        <v>1</v>
      </c>
      <c r="D306" s="3103"/>
      <c r="E306" s="2407">
        <f t="shared" si="54"/>
        <v>1</v>
      </c>
      <c r="F306" s="3103"/>
      <c r="G306" s="2407">
        <f t="shared" si="55"/>
        <v>1</v>
      </c>
      <c r="H306" s="3103"/>
      <c r="I306" s="2407">
        <f t="shared" si="56"/>
        <v>1</v>
      </c>
      <c r="J306" s="3103"/>
      <c r="K306" s="2407">
        <f t="shared" si="57"/>
        <v>1</v>
      </c>
      <c r="L306" s="3103"/>
      <c r="M306" s="2407">
        <f t="shared" si="58"/>
        <v>1</v>
      </c>
      <c r="N306" s="3103"/>
      <c r="O306" s="2407">
        <f t="shared" si="59"/>
        <v>1</v>
      </c>
      <c r="P306" s="3103"/>
      <c r="Q306" s="2407">
        <f t="shared" si="60"/>
        <v>0</v>
      </c>
      <c r="R306" s="2407">
        <f t="shared" si="61"/>
        <v>0</v>
      </c>
      <c r="S306" s="3098">
        <f t="shared" si="62"/>
        <v>0</v>
      </c>
    </row>
    <row r="307" spans="1:19">
      <c r="A307" s="2571"/>
      <c r="B307" s="3107"/>
      <c r="C307" s="2407">
        <f t="shared" si="53"/>
        <v>1</v>
      </c>
      <c r="D307" s="3103"/>
      <c r="E307" s="2407">
        <f t="shared" si="54"/>
        <v>1</v>
      </c>
      <c r="F307" s="3103"/>
      <c r="G307" s="2407">
        <f t="shared" si="55"/>
        <v>1</v>
      </c>
      <c r="H307" s="3103"/>
      <c r="I307" s="2407">
        <f t="shared" si="56"/>
        <v>1</v>
      </c>
      <c r="J307" s="3103"/>
      <c r="K307" s="2407">
        <f t="shared" si="57"/>
        <v>1</v>
      </c>
      <c r="L307" s="3103"/>
      <c r="M307" s="2407">
        <f t="shared" si="58"/>
        <v>1</v>
      </c>
      <c r="N307" s="3103"/>
      <c r="O307" s="2407">
        <f t="shared" si="59"/>
        <v>1</v>
      </c>
      <c r="P307" s="3103"/>
      <c r="Q307" s="2407">
        <f t="shared" si="60"/>
        <v>0</v>
      </c>
      <c r="R307" s="2407">
        <f t="shared" si="61"/>
        <v>0</v>
      </c>
      <c r="S307" s="3098">
        <f t="shared" si="62"/>
        <v>0</v>
      </c>
    </row>
    <row r="308" spans="1:19">
      <c r="A308" s="2571"/>
      <c r="B308" s="3107"/>
      <c r="C308" s="2407">
        <f t="shared" si="53"/>
        <v>1</v>
      </c>
      <c r="D308" s="3103"/>
      <c r="E308" s="2407">
        <f t="shared" si="54"/>
        <v>1</v>
      </c>
      <c r="F308" s="3103"/>
      <c r="G308" s="2407">
        <f t="shared" si="55"/>
        <v>1</v>
      </c>
      <c r="H308" s="3103"/>
      <c r="I308" s="2407">
        <f t="shared" si="56"/>
        <v>1</v>
      </c>
      <c r="J308" s="3103"/>
      <c r="K308" s="2407">
        <f t="shared" si="57"/>
        <v>1</v>
      </c>
      <c r="L308" s="3103"/>
      <c r="M308" s="2407">
        <f t="shared" si="58"/>
        <v>1</v>
      </c>
      <c r="N308" s="3103"/>
      <c r="O308" s="2407">
        <f t="shared" si="59"/>
        <v>1</v>
      </c>
      <c r="P308" s="3103"/>
      <c r="Q308" s="2407">
        <f t="shared" si="60"/>
        <v>0</v>
      </c>
      <c r="R308" s="2407">
        <f t="shared" si="61"/>
        <v>0</v>
      </c>
      <c r="S308" s="3098">
        <f t="shared" si="62"/>
        <v>0</v>
      </c>
    </row>
    <row r="309" spans="1:19">
      <c r="A309" s="2571"/>
      <c r="B309" s="3107"/>
      <c r="C309" s="2407">
        <f t="shared" si="53"/>
        <v>1</v>
      </c>
      <c r="D309" s="3103"/>
      <c r="E309" s="2407">
        <f t="shared" si="54"/>
        <v>1</v>
      </c>
      <c r="F309" s="3103"/>
      <c r="G309" s="2407">
        <f t="shared" si="55"/>
        <v>1</v>
      </c>
      <c r="H309" s="3103"/>
      <c r="I309" s="2407">
        <f t="shared" si="56"/>
        <v>1</v>
      </c>
      <c r="J309" s="3103"/>
      <c r="K309" s="2407">
        <f t="shared" si="57"/>
        <v>1</v>
      </c>
      <c r="L309" s="3103"/>
      <c r="M309" s="2407">
        <f t="shared" si="58"/>
        <v>1</v>
      </c>
      <c r="N309" s="3103"/>
      <c r="O309" s="2407">
        <f t="shared" si="59"/>
        <v>1</v>
      </c>
      <c r="P309" s="3103"/>
      <c r="Q309" s="2407">
        <f t="shared" si="60"/>
        <v>0</v>
      </c>
      <c r="R309" s="2407">
        <f t="shared" si="61"/>
        <v>0</v>
      </c>
      <c r="S309" s="3098">
        <f t="shared" si="62"/>
        <v>0</v>
      </c>
    </row>
    <row r="310" spans="1:19">
      <c r="A310" s="2571"/>
      <c r="B310" s="3107"/>
      <c r="C310" s="2407">
        <f t="shared" si="53"/>
        <v>1</v>
      </c>
      <c r="D310" s="3103"/>
      <c r="E310" s="2407">
        <f t="shared" si="54"/>
        <v>1</v>
      </c>
      <c r="F310" s="3103"/>
      <c r="G310" s="2407">
        <f t="shared" si="55"/>
        <v>1</v>
      </c>
      <c r="H310" s="3103"/>
      <c r="I310" s="2407">
        <f t="shared" si="56"/>
        <v>1</v>
      </c>
      <c r="J310" s="3103"/>
      <c r="K310" s="2407">
        <f t="shared" si="57"/>
        <v>1</v>
      </c>
      <c r="L310" s="3103"/>
      <c r="M310" s="2407">
        <f t="shared" si="58"/>
        <v>1</v>
      </c>
      <c r="N310" s="3103"/>
      <c r="O310" s="2407">
        <f t="shared" si="59"/>
        <v>1</v>
      </c>
      <c r="P310" s="3103"/>
      <c r="Q310" s="2407">
        <f t="shared" si="60"/>
        <v>0</v>
      </c>
      <c r="R310" s="2407">
        <f t="shared" si="61"/>
        <v>0</v>
      </c>
      <c r="S310" s="3098">
        <f t="shared" si="62"/>
        <v>0</v>
      </c>
    </row>
    <row r="311" spans="1:19">
      <c r="A311" s="2571"/>
      <c r="B311" s="3107"/>
      <c r="C311" s="2407">
        <f t="shared" si="53"/>
        <v>1</v>
      </c>
      <c r="D311" s="3103"/>
      <c r="E311" s="2407">
        <f t="shared" si="54"/>
        <v>1</v>
      </c>
      <c r="F311" s="3103"/>
      <c r="G311" s="2407">
        <f t="shared" si="55"/>
        <v>1</v>
      </c>
      <c r="H311" s="3103"/>
      <c r="I311" s="2407">
        <f t="shared" si="56"/>
        <v>1</v>
      </c>
      <c r="J311" s="3103"/>
      <c r="K311" s="2407">
        <f t="shared" si="57"/>
        <v>1</v>
      </c>
      <c r="L311" s="3103"/>
      <c r="M311" s="2407">
        <f t="shared" si="58"/>
        <v>1</v>
      </c>
      <c r="N311" s="3103"/>
      <c r="O311" s="2407">
        <f t="shared" si="59"/>
        <v>1</v>
      </c>
      <c r="P311" s="3103"/>
      <c r="Q311" s="2407">
        <f t="shared" si="60"/>
        <v>0</v>
      </c>
      <c r="R311" s="2407">
        <f t="shared" si="61"/>
        <v>0</v>
      </c>
      <c r="S311" s="3098">
        <f t="shared" si="62"/>
        <v>0</v>
      </c>
    </row>
    <row r="312" spans="1:19">
      <c r="A312" s="2571"/>
      <c r="B312" s="3107"/>
      <c r="C312" s="2407">
        <f t="shared" si="53"/>
        <v>1</v>
      </c>
      <c r="D312" s="3103"/>
      <c r="E312" s="2407">
        <f t="shared" si="54"/>
        <v>1</v>
      </c>
      <c r="F312" s="3103"/>
      <c r="G312" s="2407">
        <f t="shared" si="55"/>
        <v>1</v>
      </c>
      <c r="H312" s="3103"/>
      <c r="I312" s="2407">
        <f t="shared" si="56"/>
        <v>1</v>
      </c>
      <c r="J312" s="3103"/>
      <c r="K312" s="2407">
        <f t="shared" si="57"/>
        <v>1</v>
      </c>
      <c r="L312" s="3103"/>
      <c r="M312" s="2407">
        <f t="shared" si="58"/>
        <v>1</v>
      </c>
      <c r="N312" s="3103"/>
      <c r="O312" s="2407">
        <f t="shared" si="59"/>
        <v>1</v>
      </c>
      <c r="P312" s="3103"/>
      <c r="Q312" s="2407">
        <f t="shared" si="60"/>
        <v>0</v>
      </c>
      <c r="R312" s="2407">
        <f t="shared" si="61"/>
        <v>0</v>
      </c>
      <c r="S312" s="3098">
        <f t="shared" si="62"/>
        <v>0</v>
      </c>
    </row>
    <row r="313" spans="1:19">
      <c r="A313" s="2571"/>
      <c r="B313" s="3107"/>
      <c r="C313" s="2407">
        <f t="shared" si="53"/>
        <v>1</v>
      </c>
      <c r="D313" s="3103"/>
      <c r="E313" s="2407">
        <f t="shared" si="54"/>
        <v>1</v>
      </c>
      <c r="F313" s="3103"/>
      <c r="G313" s="2407">
        <f t="shared" si="55"/>
        <v>1</v>
      </c>
      <c r="H313" s="3103"/>
      <c r="I313" s="2407">
        <f t="shared" si="56"/>
        <v>1</v>
      </c>
      <c r="J313" s="3103"/>
      <c r="K313" s="2407">
        <f t="shared" si="57"/>
        <v>1</v>
      </c>
      <c r="L313" s="3103"/>
      <c r="M313" s="2407">
        <f t="shared" si="58"/>
        <v>1</v>
      </c>
      <c r="N313" s="3103"/>
      <c r="O313" s="2407">
        <f t="shared" si="59"/>
        <v>1</v>
      </c>
      <c r="P313" s="3103"/>
      <c r="Q313" s="2407">
        <f t="shared" si="60"/>
        <v>0</v>
      </c>
      <c r="R313" s="2407">
        <f t="shared" si="61"/>
        <v>0</v>
      </c>
      <c r="S313" s="3098">
        <f t="shared" si="62"/>
        <v>0</v>
      </c>
    </row>
    <row r="314" spans="1:19">
      <c r="A314" s="2571"/>
      <c r="B314" s="3107"/>
      <c r="C314" s="2407">
        <f t="shared" si="53"/>
        <v>1</v>
      </c>
      <c r="D314" s="3103"/>
      <c r="E314" s="2407">
        <f t="shared" si="54"/>
        <v>1</v>
      </c>
      <c r="F314" s="3103"/>
      <c r="G314" s="2407">
        <f t="shared" si="55"/>
        <v>1</v>
      </c>
      <c r="H314" s="3103"/>
      <c r="I314" s="2407">
        <f t="shared" si="56"/>
        <v>1</v>
      </c>
      <c r="J314" s="3103"/>
      <c r="K314" s="2407">
        <f t="shared" si="57"/>
        <v>1</v>
      </c>
      <c r="L314" s="3103"/>
      <c r="M314" s="2407">
        <f t="shared" si="58"/>
        <v>1</v>
      </c>
      <c r="N314" s="3103"/>
      <c r="O314" s="2407">
        <f t="shared" si="59"/>
        <v>1</v>
      </c>
      <c r="P314" s="3103"/>
      <c r="Q314" s="2407">
        <f t="shared" si="60"/>
        <v>0</v>
      </c>
      <c r="R314" s="2407">
        <f t="shared" si="61"/>
        <v>0</v>
      </c>
      <c r="S314" s="3098">
        <f t="shared" si="62"/>
        <v>0</v>
      </c>
    </row>
    <row r="315" spans="1:19">
      <c r="A315" s="2571"/>
      <c r="B315" s="3107"/>
      <c r="C315" s="2407">
        <f t="shared" si="53"/>
        <v>1</v>
      </c>
      <c r="D315" s="3103"/>
      <c r="E315" s="2407">
        <f t="shared" si="54"/>
        <v>1</v>
      </c>
      <c r="F315" s="3103"/>
      <c r="G315" s="2407">
        <f t="shared" si="55"/>
        <v>1</v>
      </c>
      <c r="H315" s="3103"/>
      <c r="I315" s="2407">
        <f t="shared" si="56"/>
        <v>1</v>
      </c>
      <c r="J315" s="3103"/>
      <c r="K315" s="2407">
        <f t="shared" si="57"/>
        <v>1</v>
      </c>
      <c r="L315" s="3103"/>
      <c r="M315" s="2407">
        <f t="shared" si="58"/>
        <v>1</v>
      </c>
      <c r="N315" s="3103"/>
      <c r="O315" s="2407">
        <f t="shared" si="59"/>
        <v>1</v>
      </c>
      <c r="P315" s="3103"/>
      <c r="Q315" s="2407">
        <f t="shared" si="60"/>
        <v>0</v>
      </c>
      <c r="R315" s="2407">
        <f t="shared" si="61"/>
        <v>0</v>
      </c>
      <c r="S315" s="3098">
        <f t="shared" si="62"/>
        <v>0</v>
      </c>
    </row>
    <row r="316" spans="1:19">
      <c r="A316" s="2571"/>
      <c r="B316" s="3107"/>
      <c r="C316" s="2407">
        <f t="shared" si="53"/>
        <v>1</v>
      </c>
      <c r="D316" s="3103"/>
      <c r="E316" s="2407">
        <f t="shared" si="54"/>
        <v>1</v>
      </c>
      <c r="F316" s="3103"/>
      <c r="G316" s="2407">
        <f t="shared" si="55"/>
        <v>1</v>
      </c>
      <c r="H316" s="3103"/>
      <c r="I316" s="2407">
        <f t="shared" si="56"/>
        <v>1</v>
      </c>
      <c r="J316" s="3103"/>
      <c r="K316" s="2407">
        <f t="shared" si="57"/>
        <v>1</v>
      </c>
      <c r="L316" s="3103"/>
      <c r="M316" s="2407">
        <f t="shared" si="58"/>
        <v>1</v>
      </c>
      <c r="N316" s="3103"/>
      <c r="O316" s="2407">
        <f t="shared" si="59"/>
        <v>1</v>
      </c>
      <c r="P316" s="3103"/>
      <c r="Q316" s="2407">
        <f t="shared" si="60"/>
        <v>0</v>
      </c>
      <c r="R316" s="2407">
        <f t="shared" si="61"/>
        <v>0</v>
      </c>
      <c r="S316" s="3098">
        <f t="shared" si="62"/>
        <v>0</v>
      </c>
    </row>
    <row r="317" spans="1:19">
      <c r="A317" s="2571"/>
      <c r="B317" s="3107"/>
      <c r="C317" s="2407">
        <f t="shared" si="53"/>
        <v>1</v>
      </c>
      <c r="D317" s="3103"/>
      <c r="E317" s="2407">
        <f t="shared" si="54"/>
        <v>1</v>
      </c>
      <c r="F317" s="3103"/>
      <c r="G317" s="2407">
        <f t="shared" si="55"/>
        <v>1</v>
      </c>
      <c r="H317" s="3103"/>
      <c r="I317" s="2407">
        <f t="shared" si="56"/>
        <v>1</v>
      </c>
      <c r="J317" s="3103"/>
      <c r="K317" s="2407">
        <f t="shared" si="57"/>
        <v>1</v>
      </c>
      <c r="L317" s="3103"/>
      <c r="M317" s="2407">
        <f t="shared" si="58"/>
        <v>1</v>
      </c>
      <c r="N317" s="3103"/>
      <c r="O317" s="2407">
        <f t="shared" si="59"/>
        <v>1</v>
      </c>
      <c r="P317" s="3103"/>
      <c r="Q317" s="2407">
        <f t="shared" si="60"/>
        <v>0</v>
      </c>
      <c r="R317" s="2407">
        <f t="shared" si="61"/>
        <v>0</v>
      </c>
      <c r="S317" s="3098">
        <f t="shared" si="62"/>
        <v>0</v>
      </c>
    </row>
    <row r="318" spans="1:19">
      <c r="A318" s="2571"/>
      <c r="B318" s="3107"/>
      <c r="C318" s="2407">
        <f t="shared" si="53"/>
        <v>1</v>
      </c>
      <c r="D318" s="3103"/>
      <c r="E318" s="2407">
        <f t="shared" si="54"/>
        <v>1</v>
      </c>
      <c r="F318" s="3103"/>
      <c r="G318" s="2407">
        <f t="shared" si="55"/>
        <v>1</v>
      </c>
      <c r="H318" s="3103"/>
      <c r="I318" s="2407">
        <f t="shared" si="56"/>
        <v>1</v>
      </c>
      <c r="J318" s="3103"/>
      <c r="K318" s="2407">
        <f t="shared" si="57"/>
        <v>1</v>
      </c>
      <c r="L318" s="3103"/>
      <c r="M318" s="2407">
        <f t="shared" si="58"/>
        <v>1</v>
      </c>
      <c r="N318" s="3103"/>
      <c r="O318" s="2407">
        <f t="shared" si="59"/>
        <v>1</v>
      </c>
      <c r="P318" s="3103"/>
      <c r="Q318" s="2407">
        <f t="shared" si="60"/>
        <v>0</v>
      </c>
      <c r="R318" s="2407">
        <f t="shared" si="61"/>
        <v>0</v>
      </c>
      <c r="S318" s="3098">
        <f t="shared" si="62"/>
        <v>0</v>
      </c>
    </row>
    <row r="319" spans="1:19">
      <c r="A319" s="2571"/>
      <c r="B319" s="3107"/>
      <c r="C319" s="2407">
        <f t="shared" si="53"/>
        <v>1</v>
      </c>
      <c r="D319" s="3103"/>
      <c r="E319" s="2407">
        <f t="shared" si="54"/>
        <v>1</v>
      </c>
      <c r="F319" s="3103"/>
      <c r="G319" s="2407">
        <f t="shared" si="55"/>
        <v>1</v>
      </c>
      <c r="H319" s="3103"/>
      <c r="I319" s="2407">
        <f t="shared" si="56"/>
        <v>1</v>
      </c>
      <c r="J319" s="3103"/>
      <c r="K319" s="2407">
        <f t="shared" si="57"/>
        <v>1</v>
      </c>
      <c r="L319" s="3103"/>
      <c r="M319" s="2407">
        <f t="shared" si="58"/>
        <v>1</v>
      </c>
      <c r="N319" s="3103"/>
      <c r="O319" s="2407">
        <f t="shared" si="59"/>
        <v>1</v>
      </c>
      <c r="P319" s="3103"/>
      <c r="Q319" s="2407">
        <f t="shared" si="60"/>
        <v>0</v>
      </c>
      <c r="R319" s="2407">
        <f t="shared" si="61"/>
        <v>0</v>
      </c>
      <c r="S319" s="3098">
        <f t="shared" si="62"/>
        <v>0</v>
      </c>
    </row>
    <row r="320" spans="1:19">
      <c r="A320" s="2571"/>
      <c r="B320" s="3107"/>
      <c r="C320" s="2407">
        <f t="shared" si="53"/>
        <v>1</v>
      </c>
      <c r="D320" s="3103"/>
      <c r="E320" s="2407">
        <f t="shared" si="54"/>
        <v>1</v>
      </c>
      <c r="F320" s="3103"/>
      <c r="G320" s="2407">
        <f t="shared" si="55"/>
        <v>1</v>
      </c>
      <c r="H320" s="3103"/>
      <c r="I320" s="2407">
        <f t="shared" si="56"/>
        <v>1</v>
      </c>
      <c r="J320" s="3103"/>
      <c r="K320" s="2407">
        <f t="shared" si="57"/>
        <v>1</v>
      </c>
      <c r="L320" s="3103"/>
      <c r="M320" s="2407">
        <f t="shared" si="58"/>
        <v>1</v>
      </c>
      <c r="N320" s="3103"/>
      <c r="O320" s="2407">
        <f t="shared" si="59"/>
        <v>1</v>
      </c>
      <c r="P320" s="3103"/>
      <c r="Q320" s="2407">
        <f t="shared" si="60"/>
        <v>0</v>
      </c>
      <c r="R320" s="2407">
        <f t="shared" si="61"/>
        <v>0</v>
      </c>
      <c r="S320" s="3098">
        <f t="shared" si="62"/>
        <v>0</v>
      </c>
    </row>
    <row r="321" spans="1:19">
      <c r="A321" s="2571"/>
      <c r="B321" s="3107"/>
      <c r="C321" s="2407">
        <f t="shared" si="53"/>
        <v>1</v>
      </c>
      <c r="D321" s="3103"/>
      <c r="E321" s="2407">
        <f t="shared" si="54"/>
        <v>1</v>
      </c>
      <c r="F321" s="3103"/>
      <c r="G321" s="2407">
        <f t="shared" si="55"/>
        <v>1</v>
      </c>
      <c r="H321" s="3103"/>
      <c r="I321" s="2407">
        <f t="shared" si="56"/>
        <v>1</v>
      </c>
      <c r="J321" s="3103"/>
      <c r="K321" s="2407">
        <f t="shared" si="57"/>
        <v>1</v>
      </c>
      <c r="L321" s="3103"/>
      <c r="M321" s="2407">
        <f t="shared" si="58"/>
        <v>1</v>
      </c>
      <c r="N321" s="3103"/>
      <c r="O321" s="2407">
        <f t="shared" si="59"/>
        <v>1</v>
      </c>
      <c r="P321" s="3103"/>
      <c r="Q321" s="2407">
        <f t="shared" si="60"/>
        <v>0</v>
      </c>
      <c r="R321" s="2407">
        <f t="shared" si="61"/>
        <v>0</v>
      </c>
      <c r="S321" s="3098">
        <f t="shared" ref="S321:S384" si="63">ROUND(R321*B321/10000,0)</f>
        <v>0</v>
      </c>
    </row>
    <row r="322" spans="1:19">
      <c r="A322" s="2571"/>
      <c r="B322" s="3107"/>
      <c r="C322" s="2407">
        <f t="shared" si="53"/>
        <v>1</v>
      </c>
      <c r="D322" s="3103"/>
      <c r="E322" s="2407">
        <f t="shared" si="54"/>
        <v>1</v>
      </c>
      <c r="F322" s="3103"/>
      <c r="G322" s="2407">
        <f t="shared" si="55"/>
        <v>1</v>
      </c>
      <c r="H322" s="3103"/>
      <c r="I322" s="2407">
        <f t="shared" si="56"/>
        <v>1</v>
      </c>
      <c r="J322" s="3103"/>
      <c r="K322" s="2407">
        <f t="shared" si="57"/>
        <v>1</v>
      </c>
      <c r="L322" s="3103"/>
      <c r="M322" s="2407">
        <f t="shared" si="58"/>
        <v>1</v>
      </c>
      <c r="N322" s="3103"/>
      <c r="O322" s="2407">
        <f t="shared" si="59"/>
        <v>1</v>
      </c>
      <c r="P322" s="3103"/>
      <c r="Q322" s="2407">
        <f t="shared" si="60"/>
        <v>0</v>
      </c>
      <c r="R322" s="2407">
        <f t="shared" si="61"/>
        <v>0</v>
      </c>
      <c r="S322" s="3098">
        <f t="shared" si="63"/>
        <v>0</v>
      </c>
    </row>
    <row r="323" spans="1:19">
      <c r="A323" s="2571"/>
      <c r="B323" s="3107"/>
      <c r="C323" s="2407">
        <f t="shared" si="53"/>
        <v>1</v>
      </c>
      <c r="D323" s="3103"/>
      <c r="E323" s="2407">
        <f t="shared" si="54"/>
        <v>1</v>
      </c>
      <c r="F323" s="3103"/>
      <c r="G323" s="2407">
        <f t="shared" si="55"/>
        <v>1</v>
      </c>
      <c r="H323" s="3103"/>
      <c r="I323" s="2407">
        <f t="shared" si="56"/>
        <v>1</v>
      </c>
      <c r="J323" s="3103"/>
      <c r="K323" s="2407">
        <f t="shared" si="57"/>
        <v>1</v>
      </c>
      <c r="L323" s="3103"/>
      <c r="M323" s="2407">
        <f t="shared" si="58"/>
        <v>1</v>
      </c>
      <c r="N323" s="3103"/>
      <c r="O323" s="2407">
        <f t="shared" si="59"/>
        <v>1</v>
      </c>
      <c r="P323" s="3103"/>
      <c r="Q323" s="2407">
        <f t="shared" si="60"/>
        <v>0</v>
      </c>
      <c r="R323" s="2407">
        <f t="shared" si="61"/>
        <v>0</v>
      </c>
      <c r="S323" s="3098">
        <f t="shared" si="63"/>
        <v>0</v>
      </c>
    </row>
    <row r="324" spans="1:19">
      <c r="A324" s="2571"/>
      <c r="B324" s="3107"/>
      <c r="C324" s="2407">
        <f t="shared" si="53"/>
        <v>1</v>
      </c>
      <c r="D324" s="3103"/>
      <c r="E324" s="2407">
        <f t="shared" si="54"/>
        <v>1</v>
      </c>
      <c r="F324" s="3103"/>
      <c r="G324" s="2407">
        <f t="shared" si="55"/>
        <v>1</v>
      </c>
      <c r="H324" s="3103"/>
      <c r="I324" s="2407">
        <f t="shared" si="56"/>
        <v>1</v>
      </c>
      <c r="J324" s="3103"/>
      <c r="K324" s="2407">
        <f t="shared" si="57"/>
        <v>1</v>
      </c>
      <c r="L324" s="3103"/>
      <c r="M324" s="2407">
        <f t="shared" si="58"/>
        <v>1</v>
      </c>
      <c r="N324" s="3103"/>
      <c r="O324" s="2407">
        <f t="shared" si="59"/>
        <v>1</v>
      </c>
      <c r="P324" s="3103"/>
      <c r="Q324" s="2407">
        <f t="shared" si="60"/>
        <v>0</v>
      </c>
      <c r="R324" s="2407">
        <f t="shared" si="61"/>
        <v>0</v>
      </c>
      <c r="S324" s="3098">
        <f t="shared" si="63"/>
        <v>0</v>
      </c>
    </row>
    <row r="325" spans="1:19">
      <c r="A325" s="2571"/>
      <c r="B325" s="3107"/>
      <c r="C325" s="2407">
        <f t="shared" si="53"/>
        <v>1</v>
      </c>
      <c r="D325" s="3103"/>
      <c r="E325" s="2407">
        <f t="shared" si="54"/>
        <v>1</v>
      </c>
      <c r="F325" s="3103"/>
      <c r="G325" s="2407">
        <f t="shared" si="55"/>
        <v>1</v>
      </c>
      <c r="H325" s="3103"/>
      <c r="I325" s="2407">
        <f t="shared" si="56"/>
        <v>1</v>
      </c>
      <c r="J325" s="3103"/>
      <c r="K325" s="2407">
        <f t="shared" si="57"/>
        <v>1</v>
      </c>
      <c r="L325" s="3103"/>
      <c r="M325" s="2407">
        <f t="shared" si="58"/>
        <v>1</v>
      </c>
      <c r="N325" s="3103"/>
      <c r="O325" s="2407">
        <f t="shared" si="59"/>
        <v>1</v>
      </c>
      <c r="P325" s="3103"/>
      <c r="Q325" s="2407">
        <f t="shared" si="60"/>
        <v>0</v>
      </c>
      <c r="R325" s="2407">
        <f t="shared" si="61"/>
        <v>0</v>
      </c>
      <c r="S325" s="3098">
        <f t="shared" si="63"/>
        <v>0</v>
      </c>
    </row>
    <row r="326" spans="1:19">
      <c r="A326" s="2571"/>
      <c r="B326" s="3107"/>
      <c r="C326" s="2407">
        <f t="shared" si="53"/>
        <v>1</v>
      </c>
      <c r="D326" s="3103"/>
      <c r="E326" s="2407">
        <f t="shared" si="54"/>
        <v>1</v>
      </c>
      <c r="F326" s="3103"/>
      <c r="G326" s="2407">
        <f t="shared" si="55"/>
        <v>1</v>
      </c>
      <c r="H326" s="3103"/>
      <c r="I326" s="2407">
        <f t="shared" si="56"/>
        <v>1</v>
      </c>
      <c r="J326" s="3103"/>
      <c r="K326" s="2407">
        <f t="shared" si="57"/>
        <v>1</v>
      </c>
      <c r="L326" s="3103"/>
      <c r="M326" s="2407">
        <f t="shared" si="58"/>
        <v>1</v>
      </c>
      <c r="N326" s="3103"/>
      <c r="O326" s="2407">
        <f t="shared" si="59"/>
        <v>1</v>
      </c>
      <c r="P326" s="3103"/>
      <c r="Q326" s="2407">
        <f t="shared" si="60"/>
        <v>0</v>
      </c>
      <c r="R326" s="2407">
        <f t="shared" si="61"/>
        <v>0</v>
      </c>
      <c r="S326" s="3098">
        <f t="shared" si="63"/>
        <v>0</v>
      </c>
    </row>
    <row r="327" spans="1:19">
      <c r="A327" s="2571"/>
      <c r="B327" s="3107"/>
      <c r="C327" s="2407">
        <f t="shared" si="53"/>
        <v>1</v>
      </c>
      <c r="D327" s="3103"/>
      <c r="E327" s="2407">
        <f t="shared" si="54"/>
        <v>1</v>
      </c>
      <c r="F327" s="3103"/>
      <c r="G327" s="2407">
        <f t="shared" si="55"/>
        <v>1</v>
      </c>
      <c r="H327" s="3103"/>
      <c r="I327" s="2407">
        <f t="shared" si="56"/>
        <v>1</v>
      </c>
      <c r="J327" s="3103"/>
      <c r="K327" s="2407">
        <f t="shared" si="57"/>
        <v>1</v>
      </c>
      <c r="L327" s="3103"/>
      <c r="M327" s="2407">
        <f t="shared" si="58"/>
        <v>1</v>
      </c>
      <c r="N327" s="3103"/>
      <c r="O327" s="2407">
        <f t="shared" si="59"/>
        <v>1</v>
      </c>
      <c r="P327" s="3103"/>
      <c r="Q327" s="2407">
        <f t="shared" si="60"/>
        <v>0</v>
      </c>
      <c r="R327" s="2407">
        <f t="shared" si="61"/>
        <v>0</v>
      </c>
      <c r="S327" s="3098">
        <f t="shared" si="63"/>
        <v>0</v>
      </c>
    </row>
    <row r="328" spans="1:19">
      <c r="A328" s="2571"/>
      <c r="B328" s="3107"/>
      <c r="C328" s="2407">
        <f t="shared" si="53"/>
        <v>1</v>
      </c>
      <c r="D328" s="3103"/>
      <c r="E328" s="2407">
        <f t="shared" si="54"/>
        <v>1</v>
      </c>
      <c r="F328" s="3103"/>
      <c r="G328" s="2407">
        <f t="shared" si="55"/>
        <v>1</v>
      </c>
      <c r="H328" s="3103"/>
      <c r="I328" s="2407">
        <f t="shared" si="56"/>
        <v>1</v>
      </c>
      <c r="J328" s="3103"/>
      <c r="K328" s="2407">
        <f t="shared" si="57"/>
        <v>1</v>
      </c>
      <c r="L328" s="3103"/>
      <c r="M328" s="2407">
        <f t="shared" si="58"/>
        <v>1</v>
      </c>
      <c r="N328" s="3103"/>
      <c r="O328" s="2407">
        <f t="shared" si="59"/>
        <v>1</v>
      </c>
      <c r="P328" s="3103"/>
      <c r="Q328" s="2407">
        <f t="shared" si="60"/>
        <v>0</v>
      </c>
      <c r="R328" s="2407">
        <f t="shared" si="61"/>
        <v>0</v>
      </c>
      <c r="S328" s="3098">
        <f t="shared" si="63"/>
        <v>0</v>
      </c>
    </row>
    <row r="329" spans="1:19">
      <c r="A329" s="2571"/>
      <c r="B329" s="3107"/>
      <c r="C329" s="2407">
        <f t="shared" si="53"/>
        <v>1</v>
      </c>
      <c r="D329" s="3103"/>
      <c r="E329" s="2407">
        <f t="shared" si="54"/>
        <v>1</v>
      </c>
      <c r="F329" s="3103"/>
      <c r="G329" s="2407">
        <f t="shared" si="55"/>
        <v>1</v>
      </c>
      <c r="H329" s="3103"/>
      <c r="I329" s="2407">
        <f t="shared" si="56"/>
        <v>1</v>
      </c>
      <c r="J329" s="3103"/>
      <c r="K329" s="2407">
        <f t="shared" si="57"/>
        <v>1</v>
      </c>
      <c r="L329" s="3103"/>
      <c r="M329" s="2407">
        <f t="shared" si="58"/>
        <v>1</v>
      </c>
      <c r="N329" s="3103"/>
      <c r="O329" s="2407">
        <f t="shared" si="59"/>
        <v>1</v>
      </c>
      <c r="P329" s="3103"/>
      <c r="Q329" s="2407">
        <f t="shared" si="60"/>
        <v>0</v>
      </c>
      <c r="R329" s="2407">
        <f t="shared" si="61"/>
        <v>0</v>
      </c>
      <c r="S329" s="3098">
        <f t="shared" si="63"/>
        <v>0</v>
      </c>
    </row>
    <row r="330" spans="1:19">
      <c r="A330" s="2571"/>
      <c r="B330" s="3107"/>
      <c r="C330" s="2407">
        <f t="shared" si="53"/>
        <v>1</v>
      </c>
      <c r="D330" s="3103"/>
      <c r="E330" s="2407">
        <f t="shared" si="54"/>
        <v>1</v>
      </c>
      <c r="F330" s="3103"/>
      <c r="G330" s="2407">
        <f t="shared" si="55"/>
        <v>1</v>
      </c>
      <c r="H330" s="3103"/>
      <c r="I330" s="2407">
        <f t="shared" si="56"/>
        <v>1</v>
      </c>
      <c r="J330" s="3103"/>
      <c r="K330" s="2407">
        <f t="shared" si="57"/>
        <v>1</v>
      </c>
      <c r="L330" s="3103"/>
      <c r="M330" s="2407">
        <f t="shared" si="58"/>
        <v>1</v>
      </c>
      <c r="N330" s="3103"/>
      <c r="O330" s="2407">
        <f t="shared" si="59"/>
        <v>1</v>
      </c>
      <c r="P330" s="3103"/>
      <c r="Q330" s="2407">
        <f t="shared" si="60"/>
        <v>0</v>
      </c>
      <c r="R330" s="2407">
        <f t="shared" si="61"/>
        <v>0</v>
      </c>
      <c r="S330" s="3098">
        <f t="shared" si="63"/>
        <v>0</v>
      </c>
    </row>
    <row r="331" spans="1:19">
      <c r="A331" s="2571"/>
      <c r="B331" s="3107"/>
      <c r="C331" s="2407">
        <f t="shared" si="53"/>
        <v>1</v>
      </c>
      <c r="D331" s="3103"/>
      <c r="E331" s="2407">
        <f t="shared" si="54"/>
        <v>1</v>
      </c>
      <c r="F331" s="3103"/>
      <c r="G331" s="2407">
        <f t="shared" si="55"/>
        <v>1</v>
      </c>
      <c r="H331" s="3103"/>
      <c r="I331" s="2407">
        <f t="shared" si="56"/>
        <v>1</v>
      </c>
      <c r="J331" s="3103"/>
      <c r="K331" s="2407">
        <f t="shared" si="57"/>
        <v>1</v>
      </c>
      <c r="L331" s="3103"/>
      <c r="M331" s="2407">
        <f t="shared" si="58"/>
        <v>1</v>
      </c>
      <c r="N331" s="3103"/>
      <c r="O331" s="2407">
        <f t="shared" si="59"/>
        <v>1</v>
      </c>
      <c r="P331" s="3103"/>
      <c r="Q331" s="2407">
        <f t="shared" si="60"/>
        <v>0</v>
      </c>
      <c r="R331" s="2407">
        <f t="shared" si="61"/>
        <v>0</v>
      </c>
      <c r="S331" s="3098">
        <f t="shared" si="63"/>
        <v>0</v>
      </c>
    </row>
    <row r="332" spans="1:19">
      <c r="A332" s="2571"/>
      <c r="B332" s="3107"/>
      <c r="C332" s="2407">
        <f t="shared" si="53"/>
        <v>1</v>
      </c>
      <c r="D332" s="3103"/>
      <c r="E332" s="2407">
        <f t="shared" si="54"/>
        <v>1</v>
      </c>
      <c r="F332" s="3103"/>
      <c r="G332" s="2407">
        <f t="shared" si="55"/>
        <v>1</v>
      </c>
      <c r="H332" s="3103"/>
      <c r="I332" s="2407">
        <f t="shared" si="56"/>
        <v>1</v>
      </c>
      <c r="J332" s="3103"/>
      <c r="K332" s="2407">
        <f t="shared" si="57"/>
        <v>1</v>
      </c>
      <c r="L332" s="3103"/>
      <c r="M332" s="2407">
        <f t="shared" si="58"/>
        <v>1</v>
      </c>
      <c r="N332" s="3103"/>
      <c r="O332" s="2407">
        <f t="shared" si="59"/>
        <v>1</v>
      </c>
      <c r="P332" s="3103"/>
      <c r="Q332" s="2407">
        <f t="shared" si="60"/>
        <v>0</v>
      </c>
      <c r="R332" s="2407">
        <f t="shared" si="61"/>
        <v>0</v>
      </c>
      <c r="S332" s="3098">
        <f t="shared" si="63"/>
        <v>0</v>
      </c>
    </row>
    <row r="333" spans="1:19">
      <c r="A333" s="2571"/>
      <c r="B333" s="3107"/>
      <c r="C333" s="2407">
        <f t="shared" si="53"/>
        <v>1</v>
      </c>
      <c r="D333" s="3103"/>
      <c r="E333" s="2407">
        <f t="shared" si="54"/>
        <v>1</v>
      </c>
      <c r="F333" s="3103"/>
      <c r="G333" s="2407">
        <f t="shared" si="55"/>
        <v>1</v>
      </c>
      <c r="H333" s="3103"/>
      <c r="I333" s="2407">
        <f t="shared" si="56"/>
        <v>1</v>
      </c>
      <c r="J333" s="3103"/>
      <c r="K333" s="2407">
        <f t="shared" si="57"/>
        <v>1</v>
      </c>
      <c r="L333" s="3103"/>
      <c r="M333" s="2407">
        <f t="shared" si="58"/>
        <v>1</v>
      </c>
      <c r="N333" s="3103"/>
      <c r="O333" s="2407">
        <f t="shared" si="59"/>
        <v>1</v>
      </c>
      <c r="P333" s="3103"/>
      <c r="Q333" s="2407">
        <f t="shared" si="60"/>
        <v>0</v>
      </c>
      <c r="R333" s="2407">
        <f t="shared" si="61"/>
        <v>0</v>
      </c>
      <c r="S333" s="3098">
        <f t="shared" si="63"/>
        <v>0</v>
      </c>
    </row>
    <row r="334" spans="1:19">
      <c r="A334" s="2571"/>
      <c r="B334" s="3107"/>
      <c r="C334" s="2407">
        <f t="shared" si="53"/>
        <v>1</v>
      </c>
      <c r="D334" s="3103"/>
      <c r="E334" s="2407">
        <f t="shared" si="54"/>
        <v>1</v>
      </c>
      <c r="F334" s="3103"/>
      <c r="G334" s="2407">
        <f t="shared" si="55"/>
        <v>1</v>
      </c>
      <c r="H334" s="3103"/>
      <c r="I334" s="2407">
        <f t="shared" si="56"/>
        <v>1</v>
      </c>
      <c r="J334" s="3103"/>
      <c r="K334" s="2407">
        <f t="shared" si="57"/>
        <v>1</v>
      </c>
      <c r="L334" s="3103"/>
      <c r="M334" s="2407">
        <f t="shared" si="58"/>
        <v>1</v>
      </c>
      <c r="N334" s="3103"/>
      <c r="O334" s="2407">
        <f t="shared" si="59"/>
        <v>1</v>
      </c>
      <c r="P334" s="3103"/>
      <c r="Q334" s="2407">
        <f t="shared" si="60"/>
        <v>0</v>
      </c>
      <c r="R334" s="2407">
        <f t="shared" si="61"/>
        <v>0</v>
      </c>
      <c r="S334" s="3098">
        <f t="shared" si="63"/>
        <v>0</v>
      </c>
    </row>
    <row r="335" spans="1:19">
      <c r="A335" s="2571"/>
      <c r="B335" s="3107"/>
      <c r="C335" s="2407">
        <f t="shared" si="53"/>
        <v>1</v>
      </c>
      <c r="D335" s="3103"/>
      <c r="E335" s="2407">
        <f t="shared" si="54"/>
        <v>1</v>
      </c>
      <c r="F335" s="3103"/>
      <c r="G335" s="2407">
        <f t="shared" si="55"/>
        <v>1</v>
      </c>
      <c r="H335" s="3103"/>
      <c r="I335" s="2407">
        <f t="shared" si="56"/>
        <v>1</v>
      </c>
      <c r="J335" s="3103"/>
      <c r="K335" s="2407">
        <f t="shared" si="57"/>
        <v>1</v>
      </c>
      <c r="L335" s="3103"/>
      <c r="M335" s="2407">
        <f t="shared" si="58"/>
        <v>1</v>
      </c>
      <c r="N335" s="3103"/>
      <c r="O335" s="2407">
        <f t="shared" si="59"/>
        <v>1</v>
      </c>
      <c r="P335" s="3103"/>
      <c r="Q335" s="2407">
        <f t="shared" si="60"/>
        <v>0</v>
      </c>
      <c r="R335" s="2407">
        <f t="shared" si="61"/>
        <v>0</v>
      </c>
      <c r="S335" s="3098">
        <f t="shared" si="63"/>
        <v>0</v>
      </c>
    </row>
    <row r="336" spans="1:19">
      <c r="A336" s="2571"/>
      <c r="B336" s="3107"/>
      <c r="C336" s="2407">
        <f t="shared" si="53"/>
        <v>1</v>
      </c>
      <c r="D336" s="3103"/>
      <c r="E336" s="2407">
        <f t="shared" si="54"/>
        <v>1</v>
      </c>
      <c r="F336" s="3103"/>
      <c r="G336" s="2407">
        <f t="shared" si="55"/>
        <v>1</v>
      </c>
      <c r="H336" s="3103"/>
      <c r="I336" s="2407">
        <f t="shared" si="56"/>
        <v>1</v>
      </c>
      <c r="J336" s="3103"/>
      <c r="K336" s="2407">
        <f t="shared" si="57"/>
        <v>1</v>
      </c>
      <c r="L336" s="3103"/>
      <c r="M336" s="2407">
        <f t="shared" si="58"/>
        <v>1</v>
      </c>
      <c r="N336" s="3103"/>
      <c r="O336" s="2407">
        <f t="shared" si="59"/>
        <v>1</v>
      </c>
      <c r="P336" s="3103"/>
      <c r="Q336" s="2407">
        <f t="shared" si="60"/>
        <v>0</v>
      </c>
      <c r="R336" s="2407">
        <f t="shared" si="61"/>
        <v>0</v>
      </c>
      <c r="S336" s="3098">
        <f t="shared" si="63"/>
        <v>0</v>
      </c>
    </row>
    <row r="337" spans="1:19">
      <c r="A337" s="2571"/>
      <c r="B337" s="3107"/>
      <c r="C337" s="2407">
        <f t="shared" si="53"/>
        <v>1</v>
      </c>
      <c r="D337" s="3103"/>
      <c r="E337" s="2407">
        <f t="shared" si="54"/>
        <v>1</v>
      </c>
      <c r="F337" s="3103"/>
      <c r="G337" s="2407">
        <f t="shared" si="55"/>
        <v>1</v>
      </c>
      <c r="H337" s="3103"/>
      <c r="I337" s="2407">
        <f t="shared" si="56"/>
        <v>1</v>
      </c>
      <c r="J337" s="3103"/>
      <c r="K337" s="2407">
        <f t="shared" si="57"/>
        <v>1</v>
      </c>
      <c r="L337" s="3103"/>
      <c r="M337" s="2407">
        <f t="shared" si="58"/>
        <v>1</v>
      </c>
      <c r="N337" s="3103"/>
      <c r="O337" s="2407">
        <f t="shared" si="59"/>
        <v>1</v>
      </c>
      <c r="P337" s="3103"/>
      <c r="Q337" s="2407">
        <f t="shared" si="60"/>
        <v>0</v>
      </c>
      <c r="R337" s="2407">
        <f t="shared" si="61"/>
        <v>0</v>
      </c>
      <c r="S337" s="3098">
        <f t="shared" si="63"/>
        <v>0</v>
      </c>
    </row>
    <row r="338" spans="1:19">
      <c r="A338" s="2571"/>
      <c r="B338" s="3107"/>
      <c r="C338" s="2407">
        <f t="shared" si="53"/>
        <v>1</v>
      </c>
      <c r="D338" s="3103"/>
      <c r="E338" s="2407">
        <f t="shared" si="54"/>
        <v>1</v>
      </c>
      <c r="F338" s="3103"/>
      <c r="G338" s="2407">
        <f t="shared" si="55"/>
        <v>1</v>
      </c>
      <c r="H338" s="3103"/>
      <c r="I338" s="2407">
        <f t="shared" si="56"/>
        <v>1</v>
      </c>
      <c r="J338" s="3103"/>
      <c r="K338" s="2407">
        <f t="shared" si="57"/>
        <v>1</v>
      </c>
      <c r="L338" s="3103"/>
      <c r="M338" s="2407">
        <f t="shared" si="58"/>
        <v>1</v>
      </c>
      <c r="N338" s="3103"/>
      <c r="O338" s="2407">
        <f t="shared" si="59"/>
        <v>1</v>
      </c>
      <c r="P338" s="3103"/>
      <c r="Q338" s="2407">
        <f t="shared" si="60"/>
        <v>0</v>
      </c>
      <c r="R338" s="2407">
        <f t="shared" si="61"/>
        <v>0</v>
      </c>
      <c r="S338" s="3098">
        <f t="shared" si="63"/>
        <v>0</v>
      </c>
    </row>
    <row r="339" spans="1:19">
      <c r="A339" s="2571"/>
      <c r="B339" s="3107"/>
      <c r="C339" s="2407">
        <f t="shared" si="53"/>
        <v>1</v>
      </c>
      <c r="D339" s="3103"/>
      <c r="E339" s="2407">
        <f t="shared" si="54"/>
        <v>1</v>
      </c>
      <c r="F339" s="3103"/>
      <c r="G339" s="2407">
        <f t="shared" si="55"/>
        <v>1</v>
      </c>
      <c r="H339" s="3103"/>
      <c r="I339" s="2407">
        <f t="shared" si="56"/>
        <v>1</v>
      </c>
      <c r="J339" s="3103"/>
      <c r="K339" s="2407">
        <f t="shared" si="57"/>
        <v>1</v>
      </c>
      <c r="L339" s="3103"/>
      <c r="M339" s="2407">
        <f t="shared" si="58"/>
        <v>1</v>
      </c>
      <c r="N339" s="3103"/>
      <c r="O339" s="2407">
        <f t="shared" si="59"/>
        <v>1</v>
      </c>
      <c r="P339" s="3103"/>
      <c r="Q339" s="2407">
        <f t="shared" si="60"/>
        <v>0</v>
      </c>
      <c r="R339" s="2407">
        <f t="shared" si="61"/>
        <v>0</v>
      </c>
      <c r="S339" s="3098">
        <f t="shared" si="63"/>
        <v>0</v>
      </c>
    </row>
    <row r="340" spans="1:19">
      <c r="A340" s="2571"/>
      <c r="B340" s="3107"/>
      <c r="C340" s="2407">
        <f t="shared" si="53"/>
        <v>1</v>
      </c>
      <c r="D340" s="3103"/>
      <c r="E340" s="2407">
        <f t="shared" si="54"/>
        <v>1</v>
      </c>
      <c r="F340" s="3103"/>
      <c r="G340" s="2407">
        <f t="shared" si="55"/>
        <v>1</v>
      </c>
      <c r="H340" s="3103"/>
      <c r="I340" s="2407">
        <f t="shared" si="56"/>
        <v>1</v>
      </c>
      <c r="J340" s="3103"/>
      <c r="K340" s="2407">
        <f t="shared" si="57"/>
        <v>1</v>
      </c>
      <c r="L340" s="3103"/>
      <c r="M340" s="2407">
        <f t="shared" si="58"/>
        <v>1</v>
      </c>
      <c r="N340" s="3103"/>
      <c r="O340" s="2407">
        <f t="shared" si="59"/>
        <v>1</v>
      </c>
      <c r="P340" s="3103"/>
      <c r="Q340" s="2407">
        <f t="shared" si="60"/>
        <v>0</v>
      </c>
      <c r="R340" s="2407">
        <f t="shared" si="61"/>
        <v>0</v>
      </c>
      <c r="S340" s="3098">
        <f t="shared" si="63"/>
        <v>0</v>
      </c>
    </row>
    <row r="341" spans="1:19">
      <c r="A341" s="2571"/>
      <c r="B341" s="3107"/>
      <c r="C341" s="2407">
        <f t="shared" si="53"/>
        <v>1</v>
      </c>
      <c r="D341" s="3103"/>
      <c r="E341" s="2407">
        <f t="shared" si="54"/>
        <v>1</v>
      </c>
      <c r="F341" s="3103"/>
      <c r="G341" s="2407">
        <f t="shared" si="55"/>
        <v>1</v>
      </c>
      <c r="H341" s="3103"/>
      <c r="I341" s="2407">
        <f t="shared" si="56"/>
        <v>1</v>
      </c>
      <c r="J341" s="3103"/>
      <c r="K341" s="2407">
        <f t="shared" si="57"/>
        <v>1</v>
      </c>
      <c r="L341" s="3103"/>
      <c r="M341" s="2407">
        <f t="shared" si="58"/>
        <v>1</v>
      </c>
      <c r="N341" s="3103"/>
      <c r="O341" s="2407">
        <f t="shared" si="59"/>
        <v>1</v>
      </c>
      <c r="P341" s="3103"/>
      <c r="Q341" s="2407">
        <f t="shared" si="60"/>
        <v>0</v>
      </c>
      <c r="R341" s="2407">
        <f t="shared" si="61"/>
        <v>0</v>
      </c>
      <c r="S341" s="3098">
        <f t="shared" si="63"/>
        <v>0</v>
      </c>
    </row>
    <row r="342" spans="1:19">
      <c r="A342" s="2571"/>
      <c r="B342" s="3107"/>
      <c r="C342" s="2407">
        <f t="shared" si="53"/>
        <v>1</v>
      </c>
      <c r="D342" s="3103"/>
      <c r="E342" s="2407">
        <f t="shared" si="54"/>
        <v>1</v>
      </c>
      <c r="F342" s="3103"/>
      <c r="G342" s="2407">
        <f t="shared" si="55"/>
        <v>1</v>
      </c>
      <c r="H342" s="3103"/>
      <c r="I342" s="2407">
        <f t="shared" si="56"/>
        <v>1</v>
      </c>
      <c r="J342" s="3103"/>
      <c r="K342" s="2407">
        <f t="shared" si="57"/>
        <v>1</v>
      </c>
      <c r="L342" s="3103"/>
      <c r="M342" s="2407">
        <f t="shared" si="58"/>
        <v>1</v>
      </c>
      <c r="N342" s="3103"/>
      <c r="O342" s="2407">
        <f t="shared" si="59"/>
        <v>1</v>
      </c>
      <c r="P342" s="3103"/>
      <c r="Q342" s="2407">
        <f t="shared" si="60"/>
        <v>0</v>
      </c>
      <c r="R342" s="2407">
        <f t="shared" si="61"/>
        <v>0</v>
      </c>
      <c r="S342" s="3098">
        <f t="shared" si="63"/>
        <v>0</v>
      </c>
    </row>
    <row r="343" spans="1:19">
      <c r="A343" s="2571"/>
      <c r="B343" s="3107"/>
      <c r="C343" s="2407">
        <f t="shared" si="53"/>
        <v>1</v>
      </c>
      <c r="D343" s="3103"/>
      <c r="E343" s="2407">
        <f t="shared" si="54"/>
        <v>1</v>
      </c>
      <c r="F343" s="3103"/>
      <c r="G343" s="2407">
        <f t="shared" si="55"/>
        <v>1</v>
      </c>
      <c r="H343" s="3103"/>
      <c r="I343" s="2407">
        <f t="shared" si="56"/>
        <v>1</v>
      </c>
      <c r="J343" s="3103"/>
      <c r="K343" s="2407">
        <f t="shared" si="57"/>
        <v>1</v>
      </c>
      <c r="L343" s="3103"/>
      <c r="M343" s="2407">
        <f t="shared" si="58"/>
        <v>1</v>
      </c>
      <c r="N343" s="3103"/>
      <c r="O343" s="2407">
        <f t="shared" si="59"/>
        <v>1</v>
      </c>
      <c r="P343" s="3103"/>
      <c r="Q343" s="2407">
        <f t="shared" si="60"/>
        <v>0</v>
      </c>
      <c r="R343" s="2407">
        <f t="shared" si="61"/>
        <v>0</v>
      </c>
      <c r="S343" s="3098">
        <f t="shared" si="63"/>
        <v>0</v>
      </c>
    </row>
    <row r="344" spans="1:19">
      <c r="A344" s="2571"/>
      <c r="B344" s="3107"/>
      <c r="C344" s="2407">
        <f t="shared" si="53"/>
        <v>1</v>
      </c>
      <c r="D344" s="3103"/>
      <c r="E344" s="2407">
        <f t="shared" si="54"/>
        <v>1</v>
      </c>
      <c r="F344" s="3103"/>
      <c r="G344" s="2407">
        <f t="shared" si="55"/>
        <v>1</v>
      </c>
      <c r="H344" s="3103"/>
      <c r="I344" s="2407">
        <f t="shared" si="56"/>
        <v>1</v>
      </c>
      <c r="J344" s="3103"/>
      <c r="K344" s="2407">
        <f t="shared" si="57"/>
        <v>1</v>
      </c>
      <c r="L344" s="3103"/>
      <c r="M344" s="2407">
        <f t="shared" si="58"/>
        <v>1</v>
      </c>
      <c r="N344" s="3103"/>
      <c r="O344" s="2407">
        <f t="shared" si="59"/>
        <v>1</v>
      </c>
      <c r="P344" s="3103"/>
      <c r="Q344" s="2407">
        <f t="shared" si="60"/>
        <v>0</v>
      </c>
      <c r="R344" s="2407">
        <f t="shared" si="61"/>
        <v>0</v>
      </c>
      <c r="S344" s="3098">
        <f t="shared" si="63"/>
        <v>0</v>
      </c>
    </row>
    <row r="345" spans="1:19">
      <c r="A345" s="2571"/>
      <c r="B345" s="3107"/>
      <c r="C345" s="2407">
        <f t="shared" si="53"/>
        <v>1</v>
      </c>
      <c r="D345" s="3103"/>
      <c r="E345" s="2407">
        <f t="shared" si="54"/>
        <v>1</v>
      </c>
      <c r="F345" s="3103"/>
      <c r="G345" s="2407">
        <f t="shared" si="55"/>
        <v>1</v>
      </c>
      <c r="H345" s="3103"/>
      <c r="I345" s="2407">
        <f t="shared" si="56"/>
        <v>1</v>
      </c>
      <c r="J345" s="3103"/>
      <c r="K345" s="2407">
        <f t="shared" si="57"/>
        <v>1</v>
      </c>
      <c r="L345" s="3103"/>
      <c r="M345" s="2407">
        <f t="shared" si="58"/>
        <v>1</v>
      </c>
      <c r="N345" s="3103"/>
      <c r="O345" s="2407">
        <f t="shared" si="59"/>
        <v>1</v>
      </c>
      <c r="P345" s="3103"/>
      <c r="Q345" s="2407">
        <f t="shared" si="60"/>
        <v>0</v>
      </c>
      <c r="R345" s="2407">
        <f t="shared" si="61"/>
        <v>0</v>
      </c>
      <c r="S345" s="3098">
        <f t="shared" si="63"/>
        <v>0</v>
      </c>
    </row>
    <row r="346" spans="1:19">
      <c r="A346" s="2571"/>
      <c r="B346" s="3107"/>
      <c r="C346" s="2407">
        <f t="shared" ref="C346:C409" si="64">IF(B346="",1,(LOOKUP(B346,$3:$3,$4:$4)-LOOKUP($B$24,$3:$3,$4:$4)+100)/100)</f>
        <v>1</v>
      </c>
      <c r="D346" s="3103"/>
      <c r="E346" s="2407">
        <f t="shared" ref="E346:E409" si="65">(SUMIF($5:$5,D346,$6:$6)-SUMIF($5:$5,$D$24,$6:$6)+100)/100</f>
        <v>1</v>
      </c>
      <c r="F346" s="3103"/>
      <c r="G346" s="2407">
        <f t="shared" ref="G346:G409" si="66">(SUMIF($7:$7,F346,$8:$8)-SUMIF($7:$7,$F$24,$8:$8)+100)/100</f>
        <v>1</v>
      </c>
      <c r="H346" s="3103"/>
      <c r="I346" s="2407">
        <f t="shared" ref="I346:I409" si="67">(SUMIF($9:$9,H346,$10:$10)-SUMIF($9:$9,$H$24,$10:$10)+100)/100</f>
        <v>1</v>
      </c>
      <c r="J346" s="3103"/>
      <c r="K346" s="2407">
        <f t="shared" ref="K346:K409" si="68">(SUMIF($11:$11,J346,$12:$12)-SUMIF($11:$11,$J$24,$12:$12)+100)/100</f>
        <v>1</v>
      </c>
      <c r="L346" s="3103"/>
      <c r="M346" s="2407">
        <f t="shared" ref="M346:M409" si="69">(SUMIF($13:$13,L346,$14:$14)-SUMIF($13:$13,$L$24,$14:$14)+100)/100</f>
        <v>1</v>
      </c>
      <c r="N346" s="3103"/>
      <c r="O346" s="2407">
        <f t="shared" ref="O346:O409" si="70">(SUMIF($15:$15,N346,$16:$16)-SUMIF($15:$15,$N$24,$16:$16)+100)/100</f>
        <v>1</v>
      </c>
      <c r="P346" s="3103"/>
      <c r="Q346" s="2407">
        <f t="shared" ref="Q346:Q409" si="71">(SUMIF($17:$17,P346,$18:$18)-SUMIF($17:$17,$P$24,$18:$18)+100)/100</f>
        <v>0</v>
      </c>
      <c r="R346" s="2407">
        <f t="shared" ref="R346:R409" si="72">IF(B346="",0,ROUND($R$24*C346*E346*G346*I346*K346*M346*O346*Q346,0))</f>
        <v>0</v>
      </c>
      <c r="S346" s="3098">
        <f t="shared" si="63"/>
        <v>0</v>
      </c>
    </row>
    <row r="347" spans="1:19">
      <c r="A347" s="2571"/>
      <c r="B347" s="3107"/>
      <c r="C347" s="2407">
        <f t="shared" si="64"/>
        <v>1</v>
      </c>
      <c r="D347" s="3103"/>
      <c r="E347" s="2407">
        <f t="shared" si="65"/>
        <v>1</v>
      </c>
      <c r="F347" s="3103"/>
      <c r="G347" s="2407">
        <f t="shared" si="66"/>
        <v>1</v>
      </c>
      <c r="H347" s="3103"/>
      <c r="I347" s="2407">
        <f t="shared" si="67"/>
        <v>1</v>
      </c>
      <c r="J347" s="3103"/>
      <c r="K347" s="2407">
        <f t="shared" si="68"/>
        <v>1</v>
      </c>
      <c r="L347" s="3103"/>
      <c r="M347" s="2407">
        <f t="shared" si="69"/>
        <v>1</v>
      </c>
      <c r="N347" s="3103"/>
      <c r="O347" s="2407">
        <f t="shared" si="70"/>
        <v>1</v>
      </c>
      <c r="P347" s="3103"/>
      <c r="Q347" s="2407">
        <f t="shared" si="71"/>
        <v>0</v>
      </c>
      <c r="R347" s="2407">
        <f t="shared" si="72"/>
        <v>0</v>
      </c>
      <c r="S347" s="3098">
        <f t="shared" si="63"/>
        <v>0</v>
      </c>
    </row>
    <row r="348" spans="1:19">
      <c r="A348" s="2571"/>
      <c r="B348" s="3107"/>
      <c r="C348" s="2407">
        <f t="shared" si="64"/>
        <v>1</v>
      </c>
      <c r="D348" s="3103"/>
      <c r="E348" s="2407">
        <f t="shared" si="65"/>
        <v>1</v>
      </c>
      <c r="F348" s="3103"/>
      <c r="G348" s="2407">
        <f t="shared" si="66"/>
        <v>1</v>
      </c>
      <c r="H348" s="3103"/>
      <c r="I348" s="2407">
        <f t="shared" si="67"/>
        <v>1</v>
      </c>
      <c r="J348" s="3103"/>
      <c r="K348" s="2407">
        <f t="shared" si="68"/>
        <v>1</v>
      </c>
      <c r="L348" s="3103"/>
      <c r="M348" s="2407">
        <f t="shared" si="69"/>
        <v>1</v>
      </c>
      <c r="N348" s="3103"/>
      <c r="O348" s="2407">
        <f t="shared" si="70"/>
        <v>1</v>
      </c>
      <c r="P348" s="3103"/>
      <c r="Q348" s="2407">
        <f t="shared" si="71"/>
        <v>0</v>
      </c>
      <c r="R348" s="2407">
        <f t="shared" si="72"/>
        <v>0</v>
      </c>
      <c r="S348" s="3098">
        <f t="shared" si="63"/>
        <v>0</v>
      </c>
    </row>
    <row r="349" spans="1:19">
      <c r="A349" s="2571"/>
      <c r="B349" s="3107"/>
      <c r="C349" s="2407">
        <f t="shared" si="64"/>
        <v>1</v>
      </c>
      <c r="D349" s="3103"/>
      <c r="E349" s="2407">
        <f t="shared" si="65"/>
        <v>1</v>
      </c>
      <c r="F349" s="3103"/>
      <c r="G349" s="2407">
        <f t="shared" si="66"/>
        <v>1</v>
      </c>
      <c r="H349" s="3103"/>
      <c r="I349" s="2407">
        <f t="shared" si="67"/>
        <v>1</v>
      </c>
      <c r="J349" s="3103"/>
      <c r="K349" s="2407">
        <f t="shared" si="68"/>
        <v>1</v>
      </c>
      <c r="L349" s="3103"/>
      <c r="M349" s="2407">
        <f t="shared" si="69"/>
        <v>1</v>
      </c>
      <c r="N349" s="3103"/>
      <c r="O349" s="2407">
        <f t="shared" si="70"/>
        <v>1</v>
      </c>
      <c r="P349" s="3103"/>
      <c r="Q349" s="2407">
        <f t="shared" si="71"/>
        <v>0</v>
      </c>
      <c r="R349" s="2407">
        <f t="shared" si="72"/>
        <v>0</v>
      </c>
      <c r="S349" s="3098">
        <f t="shared" si="63"/>
        <v>0</v>
      </c>
    </row>
    <row r="350" spans="1:19">
      <c r="A350" s="2571"/>
      <c r="B350" s="3107"/>
      <c r="C350" s="2407">
        <f t="shared" si="64"/>
        <v>1</v>
      </c>
      <c r="D350" s="3103"/>
      <c r="E350" s="2407">
        <f t="shared" si="65"/>
        <v>1</v>
      </c>
      <c r="F350" s="3103"/>
      <c r="G350" s="2407">
        <f t="shared" si="66"/>
        <v>1</v>
      </c>
      <c r="H350" s="3103"/>
      <c r="I350" s="2407">
        <f t="shared" si="67"/>
        <v>1</v>
      </c>
      <c r="J350" s="3103"/>
      <c r="K350" s="2407">
        <f t="shared" si="68"/>
        <v>1</v>
      </c>
      <c r="L350" s="3103"/>
      <c r="M350" s="2407">
        <f t="shared" si="69"/>
        <v>1</v>
      </c>
      <c r="N350" s="3103"/>
      <c r="O350" s="2407">
        <f t="shared" si="70"/>
        <v>1</v>
      </c>
      <c r="P350" s="3103"/>
      <c r="Q350" s="2407">
        <f t="shared" si="71"/>
        <v>0</v>
      </c>
      <c r="R350" s="2407">
        <f t="shared" si="72"/>
        <v>0</v>
      </c>
      <c r="S350" s="3098">
        <f t="shared" si="63"/>
        <v>0</v>
      </c>
    </row>
    <row r="351" spans="1:19">
      <c r="A351" s="2571"/>
      <c r="B351" s="3107"/>
      <c r="C351" s="2407">
        <f t="shared" si="64"/>
        <v>1</v>
      </c>
      <c r="D351" s="3103"/>
      <c r="E351" s="2407">
        <f t="shared" si="65"/>
        <v>1</v>
      </c>
      <c r="F351" s="3103"/>
      <c r="G351" s="2407">
        <f t="shared" si="66"/>
        <v>1</v>
      </c>
      <c r="H351" s="3103"/>
      <c r="I351" s="2407">
        <f t="shared" si="67"/>
        <v>1</v>
      </c>
      <c r="J351" s="3103"/>
      <c r="K351" s="2407">
        <f t="shared" si="68"/>
        <v>1</v>
      </c>
      <c r="L351" s="3103"/>
      <c r="M351" s="2407">
        <f t="shared" si="69"/>
        <v>1</v>
      </c>
      <c r="N351" s="3103"/>
      <c r="O351" s="2407">
        <f t="shared" si="70"/>
        <v>1</v>
      </c>
      <c r="P351" s="3103"/>
      <c r="Q351" s="2407">
        <f t="shared" si="71"/>
        <v>0</v>
      </c>
      <c r="R351" s="2407">
        <f t="shared" si="72"/>
        <v>0</v>
      </c>
      <c r="S351" s="3098">
        <f t="shared" si="63"/>
        <v>0</v>
      </c>
    </row>
    <row r="352" spans="1:19">
      <c r="A352" s="2571"/>
      <c r="B352" s="3107"/>
      <c r="C352" s="2407">
        <f t="shared" si="64"/>
        <v>1</v>
      </c>
      <c r="D352" s="3103"/>
      <c r="E352" s="2407">
        <f t="shared" si="65"/>
        <v>1</v>
      </c>
      <c r="F352" s="3103"/>
      <c r="G352" s="2407">
        <f t="shared" si="66"/>
        <v>1</v>
      </c>
      <c r="H352" s="3103"/>
      <c r="I352" s="2407">
        <f t="shared" si="67"/>
        <v>1</v>
      </c>
      <c r="J352" s="3103"/>
      <c r="K352" s="2407">
        <f t="shared" si="68"/>
        <v>1</v>
      </c>
      <c r="L352" s="3103"/>
      <c r="M352" s="2407">
        <f t="shared" si="69"/>
        <v>1</v>
      </c>
      <c r="N352" s="3103"/>
      <c r="O352" s="2407">
        <f t="shared" si="70"/>
        <v>1</v>
      </c>
      <c r="P352" s="3103"/>
      <c r="Q352" s="2407">
        <f t="shared" si="71"/>
        <v>0</v>
      </c>
      <c r="R352" s="2407">
        <f t="shared" si="72"/>
        <v>0</v>
      </c>
      <c r="S352" s="3098">
        <f t="shared" si="63"/>
        <v>0</v>
      </c>
    </row>
    <row r="353" spans="1:19">
      <c r="A353" s="2571"/>
      <c r="B353" s="3107"/>
      <c r="C353" s="2407">
        <f t="shared" si="64"/>
        <v>1</v>
      </c>
      <c r="D353" s="3103"/>
      <c r="E353" s="2407">
        <f t="shared" si="65"/>
        <v>1</v>
      </c>
      <c r="F353" s="3103"/>
      <c r="G353" s="2407">
        <f t="shared" si="66"/>
        <v>1</v>
      </c>
      <c r="H353" s="3103"/>
      <c r="I353" s="2407">
        <f t="shared" si="67"/>
        <v>1</v>
      </c>
      <c r="J353" s="3103"/>
      <c r="K353" s="2407">
        <f t="shared" si="68"/>
        <v>1</v>
      </c>
      <c r="L353" s="3103"/>
      <c r="M353" s="2407">
        <f t="shared" si="69"/>
        <v>1</v>
      </c>
      <c r="N353" s="3103"/>
      <c r="O353" s="2407">
        <f t="shared" si="70"/>
        <v>1</v>
      </c>
      <c r="P353" s="3103"/>
      <c r="Q353" s="2407">
        <f t="shared" si="71"/>
        <v>0</v>
      </c>
      <c r="R353" s="2407">
        <f t="shared" si="72"/>
        <v>0</v>
      </c>
      <c r="S353" s="3098">
        <f t="shared" si="63"/>
        <v>0</v>
      </c>
    </row>
    <row r="354" spans="1:19">
      <c r="A354" s="2571"/>
      <c r="B354" s="3107"/>
      <c r="C354" s="2407">
        <f t="shared" si="64"/>
        <v>1</v>
      </c>
      <c r="D354" s="3103"/>
      <c r="E354" s="2407">
        <f t="shared" si="65"/>
        <v>1</v>
      </c>
      <c r="F354" s="3103"/>
      <c r="G354" s="2407">
        <f t="shared" si="66"/>
        <v>1</v>
      </c>
      <c r="H354" s="3103"/>
      <c r="I354" s="2407">
        <f t="shared" si="67"/>
        <v>1</v>
      </c>
      <c r="J354" s="3103"/>
      <c r="K354" s="2407">
        <f t="shared" si="68"/>
        <v>1</v>
      </c>
      <c r="L354" s="3103"/>
      <c r="M354" s="2407">
        <f t="shared" si="69"/>
        <v>1</v>
      </c>
      <c r="N354" s="3103"/>
      <c r="O354" s="2407">
        <f t="shared" si="70"/>
        <v>1</v>
      </c>
      <c r="P354" s="3103"/>
      <c r="Q354" s="2407">
        <f t="shared" si="71"/>
        <v>0</v>
      </c>
      <c r="R354" s="2407">
        <f t="shared" si="72"/>
        <v>0</v>
      </c>
      <c r="S354" s="3098">
        <f t="shared" si="63"/>
        <v>0</v>
      </c>
    </row>
    <row r="355" spans="1:19">
      <c r="A355" s="2571"/>
      <c r="B355" s="3107"/>
      <c r="C355" s="2407">
        <f t="shared" si="64"/>
        <v>1</v>
      </c>
      <c r="D355" s="3103"/>
      <c r="E355" s="2407">
        <f t="shared" si="65"/>
        <v>1</v>
      </c>
      <c r="F355" s="3103"/>
      <c r="G355" s="2407">
        <f t="shared" si="66"/>
        <v>1</v>
      </c>
      <c r="H355" s="3103"/>
      <c r="I355" s="2407">
        <f t="shared" si="67"/>
        <v>1</v>
      </c>
      <c r="J355" s="3103"/>
      <c r="K355" s="2407">
        <f t="shared" si="68"/>
        <v>1</v>
      </c>
      <c r="L355" s="3103"/>
      <c r="M355" s="2407">
        <f t="shared" si="69"/>
        <v>1</v>
      </c>
      <c r="N355" s="3103"/>
      <c r="O355" s="2407">
        <f t="shared" si="70"/>
        <v>1</v>
      </c>
      <c r="P355" s="3103"/>
      <c r="Q355" s="2407">
        <f t="shared" si="71"/>
        <v>0</v>
      </c>
      <c r="R355" s="2407">
        <f t="shared" si="72"/>
        <v>0</v>
      </c>
      <c r="S355" s="3098">
        <f t="shared" si="63"/>
        <v>0</v>
      </c>
    </row>
    <row r="356" spans="1:19">
      <c r="A356" s="2571"/>
      <c r="B356" s="3107"/>
      <c r="C356" s="2407">
        <f t="shared" si="64"/>
        <v>1</v>
      </c>
      <c r="D356" s="3103"/>
      <c r="E356" s="2407">
        <f t="shared" si="65"/>
        <v>1</v>
      </c>
      <c r="F356" s="3103"/>
      <c r="G356" s="2407">
        <f t="shared" si="66"/>
        <v>1</v>
      </c>
      <c r="H356" s="3103"/>
      <c r="I356" s="2407">
        <f t="shared" si="67"/>
        <v>1</v>
      </c>
      <c r="J356" s="3103"/>
      <c r="K356" s="2407">
        <f t="shared" si="68"/>
        <v>1</v>
      </c>
      <c r="L356" s="3103"/>
      <c r="M356" s="2407">
        <f t="shared" si="69"/>
        <v>1</v>
      </c>
      <c r="N356" s="3103"/>
      <c r="O356" s="2407">
        <f t="shared" si="70"/>
        <v>1</v>
      </c>
      <c r="P356" s="3103"/>
      <c r="Q356" s="2407">
        <f t="shared" si="71"/>
        <v>0</v>
      </c>
      <c r="R356" s="2407">
        <f t="shared" si="72"/>
        <v>0</v>
      </c>
      <c r="S356" s="3098">
        <f t="shared" si="63"/>
        <v>0</v>
      </c>
    </row>
    <row r="357" spans="1:19">
      <c r="A357" s="2571"/>
      <c r="B357" s="3107"/>
      <c r="C357" s="2407">
        <f t="shared" si="64"/>
        <v>1</v>
      </c>
      <c r="D357" s="3103"/>
      <c r="E357" s="2407">
        <f t="shared" si="65"/>
        <v>1</v>
      </c>
      <c r="F357" s="3103"/>
      <c r="G357" s="2407">
        <f t="shared" si="66"/>
        <v>1</v>
      </c>
      <c r="H357" s="3103"/>
      <c r="I357" s="2407">
        <f t="shared" si="67"/>
        <v>1</v>
      </c>
      <c r="J357" s="3103"/>
      <c r="K357" s="2407">
        <f t="shared" si="68"/>
        <v>1</v>
      </c>
      <c r="L357" s="3103"/>
      <c r="M357" s="2407">
        <f t="shared" si="69"/>
        <v>1</v>
      </c>
      <c r="N357" s="3103"/>
      <c r="O357" s="2407">
        <f t="shared" si="70"/>
        <v>1</v>
      </c>
      <c r="P357" s="3103"/>
      <c r="Q357" s="2407">
        <f t="shared" si="71"/>
        <v>0</v>
      </c>
      <c r="R357" s="2407">
        <f t="shared" si="72"/>
        <v>0</v>
      </c>
      <c r="S357" s="3098">
        <f t="shared" si="63"/>
        <v>0</v>
      </c>
    </row>
    <row r="358" spans="1:19">
      <c r="A358" s="2571"/>
      <c r="B358" s="3107"/>
      <c r="C358" s="2407">
        <f t="shared" si="64"/>
        <v>1</v>
      </c>
      <c r="D358" s="3103"/>
      <c r="E358" s="2407">
        <f t="shared" si="65"/>
        <v>1</v>
      </c>
      <c r="F358" s="3103"/>
      <c r="G358" s="2407">
        <f t="shared" si="66"/>
        <v>1</v>
      </c>
      <c r="H358" s="3103"/>
      <c r="I358" s="2407">
        <f t="shared" si="67"/>
        <v>1</v>
      </c>
      <c r="J358" s="3103"/>
      <c r="K358" s="2407">
        <f t="shared" si="68"/>
        <v>1</v>
      </c>
      <c r="L358" s="3103"/>
      <c r="M358" s="2407">
        <f t="shared" si="69"/>
        <v>1</v>
      </c>
      <c r="N358" s="3103"/>
      <c r="O358" s="2407">
        <f t="shared" si="70"/>
        <v>1</v>
      </c>
      <c r="P358" s="3103"/>
      <c r="Q358" s="2407">
        <f t="shared" si="71"/>
        <v>0</v>
      </c>
      <c r="R358" s="2407">
        <f t="shared" si="72"/>
        <v>0</v>
      </c>
      <c r="S358" s="3098">
        <f t="shared" si="63"/>
        <v>0</v>
      </c>
    </row>
    <row r="359" spans="1:19">
      <c r="A359" s="2571"/>
      <c r="B359" s="3107"/>
      <c r="C359" s="2407">
        <f t="shared" si="64"/>
        <v>1</v>
      </c>
      <c r="D359" s="3103"/>
      <c r="E359" s="2407">
        <f t="shared" si="65"/>
        <v>1</v>
      </c>
      <c r="F359" s="3103"/>
      <c r="G359" s="2407">
        <f t="shared" si="66"/>
        <v>1</v>
      </c>
      <c r="H359" s="3103"/>
      <c r="I359" s="2407">
        <f t="shared" si="67"/>
        <v>1</v>
      </c>
      <c r="J359" s="3103"/>
      <c r="K359" s="2407">
        <f t="shared" si="68"/>
        <v>1</v>
      </c>
      <c r="L359" s="3103"/>
      <c r="M359" s="2407">
        <f t="shared" si="69"/>
        <v>1</v>
      </c>
      <c r="N359" s="3103"/>
      <c r="O359" s="2407">
        <f t="shared" si="70"/>
        <v>1</v>
      </c>
      <c r="P359" s="3103"/>
      <c r="Q359" s="2407">
        <f t="shared" si="71"/>
        <v>0</v>
      </c>
      <c r="R359" s="2407">
        <f t="shared" si="72"/>
        <v>0</v>
      </c>
      <c r="S359" s="3098">
        <f t="shared" si="63"/>
        <v>0</v>
      </c>
    </row>
    <row r="360" spans="1:19">
      <c r="A360" s="2571"/>
      <c r="B360" s="3107"/>
      <c r="C360" s="2407">
        <f t="shared" si="64"/>
        <v>1</v>
      </c>
      <c r="D360" s="3103"/>
      <c r="E360" s="2407">
        <f t="shared" si="65"/>
        <v>1</v>
      </c>
      <c r="F360" s="3103"/>
      <c r="G360" s="2407">
        <f t="shared" si="66"/>
        <v>1</v>
      </c>
      <c r="H360" s="3103"/>
      <c r="I360" s="2407">
        <f t="shared" si="67"/>
        <v>1</v>
      </c>
      <c r="J360" s="3103"/>
      <c r="K360" s="2407">
        <f t="shared" si="68"/>
        <v>1</v>
      </c>
      <c r="L360" s="3103"/>
      <c r="M360" s="2407">
        <f t="shared" si="69"/>
        <v>1</v>
      </c>
      <c r="N360" s="3103"/>
      <c r="O360" s="2407">
        <f t="shared" si="70"/>
        <v>1</v>
      </c>
      <c r="P360" s="3103"/>
      <c r="Q360" s="2407">
        <f t="shared" si="71"/>
        <v>0</v>
      </c>
      <c r="R360" s="2407">
        <f t="shared" si="72"/>
        <v>0</v>
      </c>
      <c r="S360" s="3098">
        <f t="shared" si="63"/>
        <v>0</v>
      </c>
    </row>
    <row r="361" spans="1:19">
      <c r="A361" s="2571"/>
      <c r="B361" s="3107"/>
      <c r="C361" s="2407">
        <f t="shared" si="64"/>
        <v>1</v>
      </c>
      <c r="D361" s="3103"/>
      <c r="E361" s="2407">
        <f t="shared" si="65"/>
        <v>1</v>
      </c>
      <c r="F361" s="3103"/>
      <c r="G361" s="2407">
        <f t="shared" si="66"/>
        <v>1</v>
      </c>
      <c r="H361" s="3103"/>
      <c r="I361" s="2407">
        <f t="shared" si="67"/>
        <v>1</v>
      </c>
      <c r="J361" s="3103"/>
      <c r="K361" s="2407">
        <f t="shared" si="68"/>
        <v>1</v>
      </c>
      <c r="L361" s="3103"/>
      <c r="M361" s="2407">
        <f t="shared" si="69"/>
        <v>1</v>
      </c>
      <c r="N361" s="3103"/>
      <c r="O361" s="2407">
        <f t="shared" si="70"/>
        <v>1</v>
      </c>
      <c r="P361" s="3103"/>
      <c r="Q361" s="2407">
        <f t="shared" si="71"/>
        <v>0</v>
      </c>
      <c r="R361" s="2407">
        <f t="shared" si="72"/>
        <v>0</v>
      </c>
      <c r="S361" s="3098">
        <f t="shared" si="63"/>
        <v>0</v>
      </c>
    </row>
    <row r="362" spans="1:19">
      <c r="A362" s="2571"/>
      <c r="B362" s="3107"/>
      <c r="C362" s="2407">
        <f t="shared" si="64"/>
        <v>1</v>
      </c>
      <c r="D362" s="3103"/>
      <c r="E362" s="2407">
        <f t="shared" si="65"/>
        <v>1</v>
      </c>
      <c r="F362" s="3103"/>
      <c r="G362" s="2407">
        <f t="shared" si="66"/>
        <v>1</v>
      </c>
      <c r="H362" s="3103"/>
      <c r="I362" s="2407">
        <f t="shared" si="67"/>
        <v>1</v>
      </c>
      <c r="J362" s="3103"/>
      <c r="K362" s="2407">
        <f t="shared" si="68"/>
        <v>1</v>
      </c>
      <c r="L362" s="3103"/>
      <c r="M362" s="2407">
        <f t="shared" si="69"/>
        <v>1</v>
      </c>
      <c r="N362" s="3103"/>
      <c r="O362" s="2407">
        <f t="shared" si="70"/>
        <v>1</v>
      </c>
      <c r="P362" s="3103"/>
      <c r="Q362" s="2407">
        <f t="shared" si="71"/>
        <v>0</v>
      </c>
      <c r="R362" s="2407">
        <f t="shared" si="72"/>
        <v>0</v>
      </c>
      <c r="S362" s="3098">
        <f t="shared" si="63"/>
        <v>0</v>
      </c>
    </row>
    <row r="363" spans="1:19">
      <c r="A363" s="2571"/>
      <c r="B363" s="3107"/>
      <c r="C363" s="2407">
        <f t="shared" si="64"/>
        <v>1</v>
      </c>
      <c r="D363" s="3103"/>
      <c r="E363" s="2407">
        <f t="shared" si="65"/>
        <v>1</v>
      </c>
      <c r="F363" s="3103"/>
      <c r="G363" s="2407">
        <f t="shared" si="66"/>
        <v>1</v>
      </c>
      <c r="H363" s="3103"/>
      <c r="I363" s="2407">
        <f t="shared" si="67"/>
        <v>1</v>
      </c>
      <c r="J363" s="3103"/>
      <c r="K363" s="2407">
        <f t="shared" si="68"/>
        <v>1</v>
      </c>
      <c r="L363" s="3103"/>
      <c r="M363" s="2407">
        <f t="shared" si="69"/>
        <v>1</v>
      </c>
      <c r="N363" s="3103"/>
      <c r="O363" s="2407">
        <f t="shared" si="70"/>
        <v>1</v>
      </c>
      <c r="P363" s="3103"/>
      <c r="Q363" s="2407">
        <f t="shared" si="71"/>
        <v>0</v>
      </c>
      <c r="R363" s="2407">
        <f t="shared" si="72"/>
        <v>0</v>
      </c>
      <c r="S363" s="3098">
        <f t="shared" si="63"/>
        <v>0</v>
      </c>
    </row>
    <row r="364" spans="1:19">
      <c r="A364" s="2571"/>
      <c r="B364" s="3107"/>
      <c r="C364" s="2407">
        <f t="shared" si="64"/>
        <v>1</v>
      </c>
      <c r="D364" s="3103"/>
      <c r="E364" s="2407">
        <f t="shared" si="65"/>
        <v>1</v>
      </c>
      <c r="F364" s="3103"/>
      <c r="G364" s="2407">
        <f t="shared" si="66"/>
        <v>1</v>
      </c>
      <c r="H364" s="3103"/>
      <c r="I364" s="2407">
        <f t="shared" si="67"/>
        <v>1</v>
      </c>
      <c r="J364" s="3103"/>
      <c r="K364" s="2407">
        <f t="shared" si="68"/>
        <v>1</v>
      </c>
      <c r="L364" s="3103"/>
      <c r="M364" s="2407">
        <f t="shared" si="69"/>
        <v>1</v>
      </c>
      <c r="N364" s="3103"/>
      <c r="O364" s="2407">
        <f t="shared" si="70"/>
        <v>1</v>
      </c>
      <c r="P364" s="3103"/>
      <c r="Q364" s="2407">
        <f t="shared" si="71"/>
        <v>0</v>
      </c>
      <c r="R364" s="2407">
        <f t="shared" si="72"/>
        <v>0</v>
      </c>
      <c r="S364" s="3098">
        <f t="shared" si="63"/>
        <v>0</v>
      </c>
    </row>
    <row r="365" spans="1:19">
      <c r="A365" s="2571"/>
      <c r="B365" s="3107"/>
      <c r="C365" s="2407">
        <f t="shared" si="64"/>
        <v>1</v>
      </c>
      <c r="D365" s="3103"/>
      <c r="E365" s="2407">
        <f t="shared" si="65"/>
        <v>1</v>
      </c>
      <c r="F365" s="3103"/>
      <c r="G365" s="2407">
        <f t="shared" si="66"/>
        <v>1</v>
      </c>
      <c r="H365" s="3103"/>
      <c r="I365" s="2407">
        <f t="shared" si="67"/>
        <v>1</v>
      </c>
      <c r="J365" s="3103"/>
      <c r="K365" s="2407">
        <f t="shared" si="68"/>
        <v>1</v>
      </c>
      <c r="L365" s="3103"/>
      <c r="M365" s="2407">
        <f t="shared" si="69"/>
        <v>1</v>
      </c>
      <c r="N365" s="3103"/>
      <c r="O365" s="2407">
        <f t="shared" si="70"/>
        <v>1</v>
      </c>
      <c r="P365" s="3103"/>
      <c r="Q365" s="2407">
        <f t="shared" si="71"/>
        <v>0</v>
      </c>
      <c r="R365" s="2407">
        <f t="shared" si="72"/>
        <v>0</v>
      </c>
      <c r="S365" s="3098">
        <f t="shared" si="63"/>
        <v>0</v>
      </c>
    </row>
    <row r="366" spans="1:19">
      <c r="A366" s="2571"/>
      <c r="B366" s="3107"/>
      <c r="C366" s="2407">
        <f t="shared" si="64"/>
        <v>1</v>
      </c>
      <c r="D366" s="3103"/>
      <c r="E366" s="2407">
        <f t="shared" si="65"/>
        <v>1</v>
      </c>
      <c r="F366" s="3103"/>
      <c r="G366" s="2407">
        <f t="shared" si="66"/>
        <v>1</v>
      </c>
      <c r="H366" s="3103"/>
      <c r="I366" s="2407">
        <f t="shared" si="67"/>
        <v>1</v>
      </c>
      <c r="J366" s="3103"/>
      <c r="K366" s="2407">
        <f t="shared" si="68"/>
        <v>1</v>
      </c>
      <c r="L366" s="3103"/>
      <c r="M366" s="2407">
        <f t="shared" si="69"/>
        <v>1</v>
      </c>
      <c r="N366" s="3103"/>
      <c r="O366" s="2407">
        <f t="shared" si="70"/>
        <v>1</v>
      </c>
      <c r="P366" s="3103"/>
      <c r="Q366" s="2407">
        <f t="shared" si="71"/>
        <v>0</v>
      </c>
      <c r="R366" s="2407">
        <f t="shared" si="72"/>
        <v>0</v>
      </c>
      <c r="S366" s="3098">
        <f t="shared" si="63"/>
        <v>0</v>
      </c>
    </row>
    <row r="367" spans="1:19">
      <c r="A367" s="2571"/>
      <c r="B367" s="3107"/>
      <c r="C367" s="2407">
        <f t="shared" si="64"/>
        <v>1</v>
      </c>
      <c r="D367" s="3103"/>
      <c r="E367" s="2407">
        <f t="shared" si="65"/>
        <v>1</v>
      </c>
      <c r="F367" s="3103"/>
      <c r="G367" s="2407">
        <f t="shared" si="66"/>
        <v>1</v>
      </c>
      <c r="H367" s="3103"/>
      <c r="I367" s="2407">
        <f t="shared" si="67"/>
        <v>1</v>
      </c>
      <c r="J367" s="3103"/>
      <c r="K367" s="2407">
        <f t="shared" si="68"/>
        <v>1</v>
      </c>
      <c r="L367" s="3103"/>
      <c r="M367" s="2407">
        <f t="shared" si="69"/>
        <v>1</v>
      </c>
      <c r="N367" s="3103"/>
      <c r="O367" s="2407">
        <f t="shared" si="70"/>
        <v>1</v>
      </c>
      <c r="P367" s="3103"/>
      <c r="Q367" s="2407">
        <f t="shared" si="71"/>
        <v>0</v>
      </c>
      <c r="R367" s="2407">
        <f t="shared" si="72"/>
        <v>0</v>
      </c>
      <c r="S367" s="3098">
        <f t="shared" si="63"/>
        <v>0</v>
      </c>
    </row>
    <row r="368" spans="1:19">
      <c r="A368" s="2571"/>
      <c r="B368" s="3107"/>
      <c r="C368" s="2407">
        <f t="shared" si="64"/>
        <v>1</v>
      </c>
      <c r="D368" s="3103"/>
      <c r="E368" s="2407">
        <f t="shared" si="65"/>
        <v>1</v>
      </c>
      <c r="F368" s="3103"/>
      <c r="G368" s="2407">
        <f t="shared" si="66"/>
        <v>1</v>
      </c>
      <c r="H368" s="3103"/>
      <c r="I368" s="2407">
        <f t="shared" si="67"/>
        <v>1</v>
      </c>
      <c r="J368" s="3103"/>
      <c r="K368" s="2407">
        <f t="shared" si="68"/>
        <v>1</v>
      </c>
      <c r="L368" s="3103"/>
      <c r="M368" s="2407">
        <f t="shared" si="69"/>
        <v>1</v>
      </c>
      <c r="N368" s="3103"/>
      <c r="O368" s="2407">
        <f t="shared" si="70"/>
        <v>1</v>
      </c>
      <c r="P368" s="3103"/>
      <c r="Q368" s="2407">
        <f t="shared" si="71"/>
        <v>0</v>
      </c>
      <c r="R368" s="2407">
        <f t="shared" si="72"/>
        <v>0</v>
      </c>
      <c r="S368" s="3098">
        <f t="shared" si="63"/>
        <v>0</v>
      </c>
    </row>
    <row r="369" spans="1:19">
      <c r="A369" s="2571"/>
      <c r="B369" s="3107"/>
      <c r="C369" s="2407">
        <f t="shared" si="64"/>
        <v>1</v>
      </c>
      <c r="D369" s="3103"/>
      <c r="E369" s="2407">
        <f t="shared" si="65"/>
        <v>1</v>
      </c>
      <c r="F369" s="3103"/>
      <c r="G369" s="2407">
        <f t="shared" si="66"/>
        <v>1</v>
      </c>
      <c r="H369" s="3103"/>
      <c r="I369" s="2407">
        <f t="shared" si="67"/>
        <v>1</v>
      </c>
      <c r="J369" s="3103"/>
      <c r="K369" s="2407">
        <f t="shared" si="68"/>
        <v>1</v>
      </c>
      <c r="L369" s="3103"/>
      <c r="M369" s="2407">
        <f t="shared" si="69"/>
        <v>1</v>
      </c>
      <c r="N369" s="3103"/>
      <c r="O369" s="2407">
        <f t="shared" si="70"/>
        <v>1</v>
      </c>
      <c r="P369" s="3103"/>
      <c r="Q369" s="2407">
        <f t="shared" si="71"/>
        <v>0</v>
      </c>
      <c r="R369" s="2407">
        <f t="shared" si="72"/>
        <v>0</v>
      </c>
      <c r="S369" s="3098">
        <f t="shared" si="63"/>
        <v>0</v>
      </c>
    </row>
    <row r="370" spans="1:19">
      <c r="A370" s="2571"/>
      <c r="B370" s="3107"/>
      <c r="C370" s="2407">
        <f t="shared" si="64"/>
        <v>1</v>
      </c>
      <c r="D370" s="3103"/>
      <c r="E370" s="2407">
        <f t="shared" si="65"/>
        <v>1</v>
      </c>
      <c r="F370" s="3103"/>
      <c r="G370" s="2407">
        <f t="shared" si="66"/>
        <v>1</v>
      </c>
      <c r="H370" s="3103"/>
      <c r="I370" s="2407">
        <f t="shared" si="67"/>
        <v>1</v>
      </c>
      <c r="J370" s="3103"/>
      <c r="K370" s="2407">
        <f t="shared" si="68"/>
        <v>1</v>
      </c>
      <c r="L370" s="3103"/>
      <c r="M370" s="2407">
        <f t="shared" si="69"/>
        <v>1</v>
      </c>
      <c r="N370" s="3103"/>
      <c r="O370" s="2407">
        <f t="shared" si="70"/>
        <v>1</v>
      </c>
      <c r="P370" s="3103"/>
      <c r="Q370" s="2407">
        <f t="shared" si="71"/>
        <v>0</v>
      </c>
      <c r="R370" s="2407">
        <f t="shared" si="72"/>
        <v>0</v>
      </c>
      <c r="S370" s="3098">
        <f t="shared" si="63"/>
        <v>0</v>
      </c>
    </row>
    <row r="371" spans="1:19">
      <c r="A371" s="2571"/>
      <c r="B371" s="3107"/>
      <c r="C371" s="2407">
        <f t="shared" si="64"/>
        <v>1</v>
      </c>
      <c r="D371" s="3103"/>
      <c r="E371" s="2407">
        <f t="shared" si="65"/>
        <v>1</v>
      </c>
      <c r="F371" s="3103"/>
      <c r="G371" s="2407">
        <f t="shared" si="66"/>
        <v>1</v>
      </c>
      <c r="H371" s="3103"/>
      <c r="I371" s="2407">
        <f t="shared" si="67"/>
        <v>1</v>
      </c>
      <c r="J371" s="3103"/>
      <c r="K371" s="2407">
        <f t="shared" si="68"/>
        <v>1</v>
      </c>
      <c r="L371" s="3103"/>
      <c r="M371" s="2407">
        <f t="shared" si="69"/>
        <v>1</v>
      </c>
      <c r="N371" s="3103"/>
      <c r="O371" s="2407">
        <f t="shared" si="70"/>
        <v>1</v>
      </c>
      <c r="P371" s="3103"/>
      <c r="Q371" s="2407">
        <f t="shared" si="71"/>
        <v>0</v>
      </c>
      <c r="R371" s="2407">
        <f t="shared" si="72"/>
        <v>0</v>
      </c>
      <c r="S371" s="3098">
        <f t="shared" si="63"/>
        <v>0</v>
      </c>
    </row>
    <row r="372" spans="1:19">
      <c r="A372" s="2571"/>
      <c r="B372" s="3107"/>
      <c r="C372" s="2407">
        <f t="shared" si="64"/>
        <v>1</v>
      </c>
      <c r="D372" s="3103"/>
      <c r="E372" s="2407">
        <f t="shared" si="65"/>
        <v>1</v>
      </c>
      <c r="F372" s="3103"/>
      <c r="G372" s="2407">
        <f t="shared" si="66"/>
        <v>1</v>
      </c>
      <c r="H372" s="3103"/>
      <c r="I372" s="2407">
        <f t="shared" si="67"/>
        <v>1</v>
      </c>
      <c r="J372" s="3103"/>
      <c r="K372" s="2407">
        <f t="shared" si="68"/>
        <v>1</v>
      </c>
      <c r="L372" s="3103"/>
      <c r="M372" s="2407">
        <f t="shared" si="69"/>
        <v>1</v>
      </c>
      <c r="N372" s="3103"/>
      <c r="O372" s="2407">
        <f t="shared" si="70"/>
        <v>1</v>
      </c>
      <c r="P372" s="3103"/>
      <c r="Q372" s="2407">
        <f t="shared" si="71"/>
        <v>0</v>
      </c>
      <c r="R372" s="2407">
        <f t="shared" si="72"/>
        <v>0</v>
      </c>
      <c r="S372" s="3098">
        <f t="shared" si="63"/>
        <v>0</v>
      </c>
    </row>
    <row r="373" spans="1:19">
      <c r="A373" s="2571"/>
      <c r="B373" s="3107"/>
      <c r="C373" s="2407">
        <f t="shared" si="64"/>
        <v>1</v>
      </c>
      <c r="D373" s="3103"/>
      <c r="E373" s="2407">
        <f t="shared" si="65"/>
        <v>1</v>
      </c>
      <c r="F373" s="3103"/>
      <c r="G373" s="2407">
        <f t="shared" si="66"/>
        <v>1</v>
      </c>
      <c r="H373" s="3103"/>
      <c r="I373" s="2407">
        <f t="shared" si="67"/>
        <v>1</v>
      </c>
      <c r="J373" s="3103"/>
      <c r="K373" s="2407">
        <f t="shared" si="68"/>
        <v>1</v>
      </c>
      <c r="L373" s="3103"/>
      <c r="M373" s="2407">
        <f t="shared" si="69"/>
        <v>1</v>
      </c>
      <c r="N373" s="3103"/>
      <c r="O373" s="2407">
        <f t="shared" si="70"/>
        <v>1</v>
      </c>
      <c r="P373" s="3103"/>
      <c r="Q373" s="2407">
        <f t="shared" si="71"/>
        <v>0</v>
      </c>
      <c r="R373" s="2407">
        <f t="shared" si="72"/>
        <v>0</v>
      </c>
      <c r="S373" s="3098">
        <f t="shared" si="63"/>
        <v>0</v>
      </c>
    </row>
    <row r="374" spans="1:19">
      <c r="A374" s="2571"/>
      <c r="B374" s="3107"/>
      <c r="C374" s="2407">
        <f t="shared" si="64"/>
        <v>1</v>
      </c>
      <c r="D374" s="3103"/>
      <c r="E374" s="2407">
        <f t="shared" si="65"/>
        <v>1</v>
      </c>
      <c r="F374" s="3103"/>
      <c r="G374" s="2407">
        <f t="shared" si="66"/>
        <v>1</v>
      </c>
      <c r="H374" s="3103"/>
      <c r="I374" s="2407">
        <f t="shared" si="67"/>
        <v>1</v>
      </c>
      <c r="J374" s="3103"/>
      <c r="K374" s="2407">
        <f t="shared" si="68"/>
        <v>1</v>
      </c>
      <c r="L374" s="3103"/>
      <c r="M374" s="2407">
        <f t="shared" si="69"/>
        <v>1</v>
      </c>
      <c r="N374" s="3103"/>
      <c r="O374" s="2407">
        <f t="shared" si="70"/>
        <v>1</v>
      </c>
      <c r="P374" s="3103"/>
      <c r="Q374" s="2407">
        <f t="shared" si="71"/>
        <v>0</v>
      </c>
      <c r="R374" s="2407">
        <f t="shared" si="72"/>
        <v>0</v>
      </c>
      <c r="S374" s="3098">
        <f t="shared" si="63"/>
        <v>0</v>
      </c>
    </row>
    <row r="375" spans="1:19">
      <c r="A375" s="2571"/>
      <c r="B375" s="3107"/>
      <c r="C375" s="2407">
        <f t="shared" si="64"/>
        <v>1</v>
      </c>
      <c r="D375" s="3103"/>
      <c r="E375" s="2407">
        <f t="shared" si="65"/>
        <v>1</v>
      </c>
      <c r="F375" s="3103"/>
      <c r="G375" s="2407">
        <f t="shared" si="66"/>
        <v>1</v>
      </c>
      <c r="H375" s="3103"/>
      <c r="I375" s="2407">
        <f t="shared" si="67"/>
        <v>1</v>
      </c>
      <c r="J375" s="3103"/>
      <c r="K375" s="2407">
        <f t="shared" si="68"/>
        <v>1</v>
      </c>
      <c r="L375" s="3103"/>
      <c r="M375" s="2407">
        <f t="shared" si="69"/>
        <v>1</v>
      </c>
      <c r="N375" s="3103"/>
      <c r="O375" s="2407">
        <f t="shared" si="70"/>
        <v>1</v>
      </c>
      <c r="P375" s="3103"/>
      <c r="Q375" s="2407">
        <f t="shared" si="71"/>
        <v>0</v>
      </c>
      <c r="R375" s="2407">
        <f t="shared" si="72"/>
        <v>0</v>
      </c>
      <c r="S375" s="3098">
        <f t="shared" si="63"/>
        <v>0</v>
      </c>
    </row>
    <row r="376" spans="1:19">
      <c r="A376" s="2571"/>
      <c r="B376" s="3107"/>
      <c r="C376" s="2407">
        <f t="shared" si="64"/>
        <v>1</v>
      </c>
      <c r="D376" s="3103"/>
      <c r="E376" s="2407">
        <f t="shared" si="65"/>
        <v>1</v>
      </c>
      <c r="F376" s="3103"/>
      <c r="G376" s="2407">
        <f t="shared" si="66"/>
        <v>1</v>
      </c>
      <c r="H376" s="3103"/>
      <c r="I376" s="2407">
        <f t="shared" si="67"/>
        <v>1</v>
      </c>
      <c r="J376" s="3103"/>
      <c r="K376" s="2407">
        <f t="shared" si="68"/>
        <v>1</v>
      </c>
      <c r="L376" s="3103"/>
      <c r="M376" s="2407">
        <f t="shared" si="69"/>
        <v>1</v>
      </c>
      <c r="N376" s="3103"/>
      <c r="O376" s="2407">
        <f t="shared" si="70"/>
        <v>1</v>
      </c>
      <c r="P376" s="3103"/>
      <c r="Q376" s="2407">
        <f t="shared" si="71"/>
        <v>0</v>
      </c>
      <c r="R376" s="2407">
        <f t="shared" si="72"/>
        <v>0</v>
      </c>
      <c r="S376" s="3098">
        <f t="shared" si="63"/>
        <v>0</v>
      </c>
    </row>
    <row r="377" spans="1:19">
      <c r="A377" s="2571"/>
      <c r="B377" s="3107"/>
      <c r="C377" s="2407">
        <f t="shared" si="64"/>
        <v>1</v>
      </c>
      <c r="D377" s="3103"/>
      <c r="E377" s="2407">
        <f t="shared" si="65"/>
        <v>1</v>
      </c>
      <c r="F377" s="3103"/>
      <c r="G377" s="2407">
        <f t="shared" si="66"/>
        <v>1</v>
      </c>
      <c r="H377" s="3103"/>
      <c r="I377" s="2407">
        <f t="shared" si="67"/>
        <v>1</v>
      </c>
      <c r="J377" s="3103"/>
      <c r="K377" s="2407">
        <f t="shared" si="68"/>
        <v>1</v>
      </c>
      <c r="L377" s="3103"/>
      <c r="M377" s="2407">
        <f t="shared" si="69"/>
        <v>1</v>
      </c>
      <c r="N377" s="3103"/>
      <c r="O377" s="2407">
        <f t="shared" si="70"/>
        <v>1</v>
      </c>
      <c r="P377" s="3103"/>
      <c r="Q377" s="2407">
        <f t="shared" si="71"/>
        <v>0</v>
      </c>
      <c r="R377" s="2407">
        <f t="shared" si="72"/>
        <v>0</v>
      </c>
      <c r="S377" s="3098">
        <f t="shared" si="63"/>
        <v>0</v>
      </c>
    </row>
    <row r="378" spans="1:19">
      <c r="A378" s="2571"/>
      <c r="B378" s="3107"/>
      <c r="C378" s="2407">
        <f t="shared" si="64"/>
        <v>1</v>
      </c>
      <c r="D378" s="3103"/>
      <c r="E378" s="2407">
        <f t="shared" si="65"/>
        <v>1</v>
      </c>
      <c r="F378" s="3103"/>
      <c r="G378" s="2407">
        <f t="shared" si="66"/>
        <v>1</v>
      </c>
      <c r="H378" s="3103"/>
      <c r="I378" s="2407">
        <f t="shared" si="67"/>
        <v>1</v>
      </c>
      <c r="J378" s="3103"/>
      <c r="K378" s="2407">
        <f t="shared" si="68"/>
        <v>1</v>
      </c>
      <c r="L378" s="3103"/>
      <c r="M378" s="2407">
        <f t="shared" si="69"/>
        <v>1</v>
      </c>
      <c r="N378" s="3103"/>
      <c r="O378" s="2407">
        <f t="shared" si="70"/>
        <v>1</v>
      </c>
      <c r="P378" s="3103"/>
      <c r="Q378" s="2407">
        <f t="shared" si="71"/>
        <v>0</v>
      </c>
      <c r="R378" s="2407">
        <f t="shared" si="72"/>
        <v>0</v>
      </c>
      <c r="S378" s="3098">
        <f t="shared" si="63"/>
        <v>0</v>
      </c>
    </row>
    <row r="379" spans="1:19">
      <c r="A379" s="2571"/>
      <c r="B379" s="3107"/>
      <c r="C379" s="2407">
        <f t="shared" si="64"/>
        <v>1</v>
      </c>
      <c r="D379" s="3103"/>
      <c r="E379" s="2407">
        <f t="shared" si="65"/>
        <v>1</v>
      </c>
      <c r="F379" s="3103"/>
      <c r="G379" s="2407">
        <f t="shared" si="66"/>
        <v>1</v>
      </c>
      <c r="H379" s="3103"/>
      <c r="I379" s="2407">
        <f t="shared" si="67"/>
        <v>1</v>
      </c>
      <c r="J379" s="3103"/>
      <c r="K379" s="2407">
        <f t="shared" si="68"/>
        <v>1</v>
      </c>
      <c r="L379" s="3103"/>
      <c r="M379" s="2407">
        <f t="shared" si="69"/>
        <v>1</v>
      </c>
      <c r="N379" s="3103"/>
      <c r="O379" s="2407">
        <f t="shared" si="70"/>
        <v>1</v>
      </c>
      <c r="P379" s="3103"/>
      <c r="Q379" s="2407">
        <f t="shared" si="71"/>
        <v>0</v>
      </c>
      <c r="R379" s="2407">
        <f t="shared" si="72"/>
        <v>0</v>
      </c>
      <c r="S379" s="3098">
        <f t="shared" si="63"/>
        <v>0</v>
      </c>
    </row>
    <row r="380" spans="1:19">
      <c r="A380" s="2571"/>
      <c r="B380" s="3107"/>
      <c r="C380" s="2407">
        <f t="shared" si="64"/>
        <v>1</v>
      </c>
      <c r="D380" s="3103"/>
      <c r="E380" s="2407">
        <f t="shared" si="65"/>
        <v>1</v>
      </c>
      <c r="F380" s="3103"/>
      <c r="G380" s="2407">
        <f t="shared" si="66"/>
        <v>1</v>
      </c>
      <c r="H380" s="3103"/>
      <c r="I380" s="2407">
        <f t="shared" si="67"/>
        <v>1</v>
      </c>
      <c r="J380" s="3103"/>
      <c r="K380" s="2407">
        <f t="shared" si="68"/>
        <v>1</v>
      </c>
      <c r="L380" s="3103"/>
      <c r="M380" s="2407">
        <f t="shared" si="69"/>
        <v>1</v>
      </c>
      <c r="N380" s="3103"/>
      <c r="O380" s="2407">
        <f t="shared" si="70"/>
        <v>1</v>
      </c>
      <c r="P380" s="3103"/>
      <c r="Q380" s="2407">
        <f t="shared" si="71"/>
        <v>0</v>
      </c>
      <c r="R380" s="2407">
        <f t="shared" si="72"/>
        <v>0</v>
      </c>
      <c r="S380" s="3098">
        <f t="shared" si="63"/>
        <v>0</v>
      </c>
    </row>
    <row r="381" spans="1:19">
      <c r="A381" s="2571"/>
      <c r="B381" s="3107"/>
      <c r="C381" s="2407">
        <f t="shared" si="64"/>
        <v>1</v>
      </c>
      <c r="D381" s="3103"/>
      <c r="E381" s="2407">
        <f t="shared" si="65"/>
        <v>1</v>
      </c>
      <c r="F381" s="3103"/>
      <c r="G381" s="2407">
        <f t="shared" si="66"/>
        <v>1</v>
      </c>
      <c r="H381" s="3103"/>
      <c r="I381" s="2407">
        <f t="shared" si="67"/>
        <v>1</v>
      </c>
      <c r="J381" s="3103"/>
      <c r="K381" s="2407">
        <f t="shared" si="68"/>
        <v>1</v>
      </c>
      <c r="L381" s="3103"/>
      <c r="M381" s="2407">
        <f t="shared" si="69"/>
        <v>1</v>
      </c>
      <c r="N381" s="3103"/>
      <c r="O381" s="2407">
        <f t="shared" si="70"/>
        <v>1</v>
      </c>
      <c r="P381" s="3103"/>
      <c r="Q381" s="2407">
        <f t="shared" si="71"/>
        <v>0</v>
      </c>
      <c r="R381" s="2407">
        <f t="shared" si="72"/>
        <v>0</v>
      </c>
      <c r="S381" s="3098">
        <f t="shared" si="63"/>
        <v>0</v>
      </c>
    </row>
    <row r="382" spans="1:19">
      <c r="A382" s="2571"/>
      <c r="B382" s="3107"/>
      <c r="C382" s="2407">
        <f t="shared" si="64"/>
        <v>1</v>
      </c>
      <c r="D382" s="3103"/>
      <c r="E382" s="2407">
        <f t="shared" si="65"/>
        <v>1</v>
      </c>
      <c r="F382" s="3103"/>
      <c r="G382" s="2407">
        <f t="shared" si="66"/>
        <v>1</v>
      </c>
      <c r="H382" s="3103"/>
      <c r="I382" s="2407">
        <f t="shared" si="67"/>
        <v>1</v>
      </c>
      <c r="J382" s="3103"/>
      <c r="K382" s="2407">
        <f t="shared" si="68"/>
        <v>1</v>
      </c>
      <c r="L382" s="3103"/>
      <c r="M382" s="2407">
        <f t="shared" si="69"/>
        <v>1</v>
      </c>
      <c r="N382" s="3103"/>
      <c r="O382" s="2407">
        <f t="shared" si="70"/>
        <v>1</v>
      </c>
      <c r="P382" s="3103"/>
      <c r="Q382" s="2407">
        <f t="shared" si="71"/>
        <v>0</v>
      </c>
      <c r="R382" s="2407">
        <f t="shared" si="72"/>
        <v>0</v>
      </c>
      <c r="S382" s="3098">
        <f t="shared" si="63"/>
        <v>0</v>
      </c>
    </row>
    <row r="383" spans="1:19">
      <c r="A383" s="2571"/>
      <c r="B383" s="3107"/>
      <c r="C383" s="2407">
        <f t="shared" si="64"/>
        <v>1</v>
      </c>
      <c r="D383" s="3103"/>
      <c r="E383" s="2407">
        <f t="shared" si="65"/>
        <v>1</v>
      </c>
      <c r="F383" s="3103"/>
      <c r="G383" s="2407">
        <f t="shared" si="66"/>
        <v>1</v>
      </c>
      <c r="H383" s="3103"/>
      <c r="I383" s="2407">
        <f t="shared" si="67"/>
        <v>1</v>
      </c>
      <c r="J383" s="3103"/>
      <c r="K383" s="2407">
        <f t="shared" si="68"/>
        <v>1</v>
      </c>
      <c r="L383" s="3103"/>
      <c r="M383" s="2407">
        <f t="shared" si="69"/>
        <v>1</v>
      </c>
      <c r="N383" s="3103"/>
      <c r="O383" s="2407">
        <f t="shared" si="70"/>
        <v>1</v>
      </c>
      <c r="P383" s="3103"/>
      <c r="Q383" s="2407">
        <f t="shared" si="71"/>
        <v>0</v>
      </c>
      <c r="R383" s="2407">
        <f t="shared" si="72"/>
        <v>0</v>
      </c>
      <c r="S383" s="3098">
        <f t="shared" si="63"/>
        <v>0</v>
      </c>
    </row>
    <row r="384" spans="1:19">
      <c r="A384" s="2571"/>
      <c r="B384" s="3107"/>
      <c r="C384" s="2407">
        <f t="shared" si="64"/>
        <v>1</v>
      </c>
      <c r="D384" s="3103"/>
      <c r="E384" s="2407">
        <f t="shared" si="65"/>
        <v>1</v>
      </c>
      <c r="F384" s="3103"/>
      <c r="G384" s="2407">
        <f t="shared" si="66"/>
        <v>1</v>
      </c>
      <c r="H384" s="3103"/>
      <c r="I384" s="2407">
        <f t="shared" si="67"/>
        <v>1</v>
      </c>
      <c r="J384" s="3103"/>
      <c r="K384" s="2407">
        <f t="shared" si="68"/>
        <v>1</v>
      </c>
      <c r="L384" s="3103"/>
      <c r="M384" s="2407">
        <f t="shared" si="69"/>
        <v>1</v>
      </c>
      <c r="N384" s="3103"/>
      <c r="O384" s="2407">
        <f t="shared" si="70"/>
        <v>1</v>
      </c>
      <c r="P384" s="3103"/>
      <c r="Q384" s="2407">
        <f t="shared" si="71"/>
        <v>0</v>
      </c>
      <c r="R384" s="2407">
        <f t="shared" si="72"/>
        <v>0</v>
      </c>
      <c r="S384" s="3098">
        <f t="shared" si="63"/>
        <v>0</v>
      </c>
    </row>
    <row r="385" spans="1:19">
      <c r="A385" s="2571"/>
      <c r="B385" s="3107"/>
      <c r="C385" s="2407">
        <f t="shared" si="64"/>
        <v>1</v>
      </c>
      <c r="D385" s="3103"/>
      <c r="E385" s="2407">
        <f t="shared" si="65"/>
        <v>1</v>
      </c>
      <c r="F385" s="3103"/>
      <c r="G385" s="2407">
        <f t="shared" si="66"/>
        <v>1</v>
      </c>
      <c r="H385" s="3103"/>
      <c r="I385" s="2407">
        <f t="shared" si="67"/>
        <v>1</v>
      </c>
      <c r="J385" s="3103"/>
      <c r="K385" s="2407">
        <f t="shared" si="68"/>
        <v>1</v>
      </c>
      <c r="L385" s="3103"/>
      <c r="M385" s="2407">
        <f t="shared" si="69"/>
        <v>1</v>
      </c>
      <c r="N385" s="3103"/>
      <c r="O385" s="2407">
        <f t="shared" si="70"/>
        <v>1</v>
      </c>
      <c r="P385" s="3103"/>
      <c r="Q385" s="2407">
        <f t="shared" si="71"/>
        <v>0</v>
      </c>
      <c r="R385" s="2407">
        <f t="shared" si="72"/>
        <v>0</v>
      </c>
      <c r="S385" s="3098">
        <f t="shared" ref="S385:S422" si="73">ROUND(R385*B385/10000,0)</f>
        <v>0</v>
      </c>
    </row>
    <row r="386" spans="1:19">
      <c r="A386" s="2571"/>
      <c r="B386" s="3107"/>
      <c r="C386" s="2407">
        <f t="shared" si="64"/>
        <v>1</v>
      </c>
      <c r="D386" s="3103"/>
      <c r="E386" s="2407">
        <f t="shared" si="65"/>
        <v>1</v>
      </c>
      <c r="F386" s="3103"/>
      <c r="G386" s="2407">
        <f t="shared" si="66"/>
        <v>1</v>
      </c>
      <c r="H386" s="3103"/>
      <c r="I386" s="2407">
        <f t="shared" si="67"/>
        <v>1</v>
      </c>
      <c r="J386" s="3103"/>
      <c r="K386" s="2407">
        <f t="shared" si="68"/>
        <v>1</v>
      </c>
      <c r="L386" s="3103"/>
      <c r="M386" s="2407">
        <f t="shared" si="69"/>
        <v>1</v>
      </c>
      <c r="N386" s="3103"/>
      <c r="O386" s="2407">
        <f t="shared" si="70"/>
        <v>1</v>
      </c>
      <c r="P386" s="3103"/>
      <c r="Q386" s="2407">
        <f t="shared" si="71"/>
        <v>0</v>
      </c>
      <c r="R386" s="2407">
        <f t="shared" si="72"/>
        <v>0</v>
      </c>
      <c r="S386" s="3098">
        <f t="shared" si="73"/>
        <v>0</v>
      </c>
    </row>
    <row r="387" spans="1:19">
      <c r="A387" s="2571"/>
      <c r="B387" s="3107"/>
      <c r="C387" s="2407">
        <f t="shared" si="64"/>
        <v>1</v>
      </c>
      <c r="D387" s="3103"/>
      <c r="E387" s="2407">
        <f t="shared" si="65"/>
        <v>1</v>
      </c>
      <c r="F387" s="3103"/>
      <c r="G387" s="2407">
        <f t="shared" si="66"/>
        <v>1</v>
      </c>
      <c r="H387" s="3103"/>
      <c r="I387" s="2407">
        <f t="shared" si="67"/>
        <v>1</v>
      </c>
      <c r="J387" s="3103"/>
      <c r="K387" s="2407">
        <f t="shared" si="68"/>
        <v>1</v>
      </c>
      <c r="L387" s="3103"/>
      <c r="M387" s="2407">
        <f t="shared" si="69"/>
        <v>1</v>
      </c>
      <c r="N387" s="3103"/>
      <c r="O387" s="2407">
        <f t="shared" si="70"/>
        <v>1</v>
      </c>
      <c r="P387" s="3103"/>
      <c r="Q387" s="2407">
        <f t="shared" si="71"/>
        <v>0</v>
      </c>
      <c r="R387" s="2407">
        <f t="shared" si="72"/>
        <v>0</v>
      </c>
      <c r="S387" s="3098">
        <f t="shared" si="73"/>
        <v>0</v>
      </c>
    </row>
    <row r="388" spans="1:19">
      <c r="A388" s="2571"/>
      <c r="B388" s="3107"/>
      <c r="C388" s="2407">
        <f t="shared" si="64"/>
        <v>1</v>
      </c>
      <c r="D388" s="3103"/>
      <c r="E388" s="2407">
        <f t="shared" si="65"/>
        <v>1</v>
      </c>
      <c r="F388" s="3103"/>
      <c r="G388" s="2407">
        <f t="shared" si="66"/>
        <v>1</v>
      </c>
      <c r="H388" s="3103"/>
      <c r="I388" s="2407">
        <f t="shared" si="67"/>
        <v>1</v>
      </c>
      <c r="J388" s="3103"/>
      <c r="K388" s="2407">
        <f t="shared" si="68"/>
        <v>1</v>
      </c>
      <c r="L388" s="3103"/>
      <c r="M388" s="2407">
        <f t="shared" si="69"/>
        <v>1</v>
      </c>
      <c r="N388" s="3103"/>
      <c r="O388" s="2407">
        <f t="shared" si="70"/>
        <v>1</v>
      </c>
      <c r="P388" s="3103"/>
      <c r="Q388" s="2407">
        <f t="shared" si="71"/>
        <v>0</v>
      </c>
      <c r="R388" s="2407">
        <f t="shared" si="72"/>
        <v>0</v>
      </c>
      <c r="S388" s="3098">
        <f t="shared" si="73"/>
        <v>0</v>
      </c>
    </row>
    <row r="389" spans="1:19">
      <c r="A389" s="2571"/>
      <c r="B389" s="3107"/>
      <c r="C389" s="2407">
        <f t="shared" si="64"/>
        <v>1</v>
      </c>
      <c r="D389" s="3103"/>
      <c r="E389" s="2407">
        <f t="shared" si="65"/>
        <v>1</v>
      </c>
      <c r="F389" s="3103"/>
      <c r="G389" s="2407">
        <f t="shared" si="66"/>
        <v>1</v>
      </c>
      <c r="H389" s="3103"/>
      <c r="I389" s="2407">
        <f t="shared" si="67"/>
        <v>1</v>
      </c>
      <c r="J389" s="3103"/>
      <c r="K389" s="2407">
        <f t="shared" si="68"/>
        <v>1</v>
      </c>
      <c r="L389" s="3103"/>
      <c r="M389" s="2407">
        <f t="shared" si="69"/>
        <v>1</v>
      </c>
      <c r="N389" s="3103"/>
      <c r="O389" s="2407">
        <f t="shared" si="70"/>
        <v>1</v>
      </c>
      <c r="P389" s="3103"/>
      <c r="Q389" s="2407">
        <f t="shared" si="71"/>
        <v>0</v>
      </c>
      <c r="R389" s="2407">
        <f t="shared" si="72"/>
        <v>0</v>
      </c>
      <c r="S389" s="3098">
        <f t="shared" si="73"/>
        <v>0</v>
      </c>
    </row>
    <row r="390" spans="1:19">
      <c r="A390" s="2571"/>
      <c r="B390" s="3107"/>
      <c r="C390" s="2407">
        <f t="shared" si="64"/>
        <v>1</v>
      </c>
      <c r="D390" s="3103"/>
      <c r="E390" s="2407">
        <f t="shared" si="65"/>
        <v>1</v>
      </c>
      <c r="F390" s="3103"/>
      <c r="G390" s="2407">
        <f t="shared" si="66"/>
        <v>1</v>
      </c>
      <c r="H390" s="3103"/>
      <c r="I390" s="2407">
        <f t="shared" si="67"/>
        <v>1</v>
      </c>
      <c r="J390" s="3103"/>
      <c r="K390" s="2407">
        <f t="shared" si="68"/>
        <v>1</v>
      </c>
      <c r="L390" s="3103"/>
      <c r="M390" s="2407">
        <f t="shared" si="69"/>
        <v>1</v>
      </c>
      <c r="N390" s="3103"/>
      <c r="O390" s="2407">
        <f t="shared" si="70"/>
        <v>1</v>
      </c>
      <c r="P390" s="3103"/>
      <c r="Q390" s="2407">
        <f t="shared" si="71"/>
        <v>0</v>
      </c>
      <c r="R390" s="2407">
        <f t="shared" si="72"/>
        <v>0</v>
      </c>
      <c r="S390" s="3098">
        <f t="shared" si="73"/>
        <v>0</v>
      </c>
    </row>
    <row r="391" spans="1:19">
      <c r="A391" s="2571"/>
      <c r="B391" s="3107"/>
      <c r="C391" s="2407">
        <f t="shared" si="64"/>
        <v>1</v>
      </c>
      <c r="D391" s="3103"/>
      <c r="E391" s="2407">
        <f t="shared" si="65"/>
        <v>1</v>
      </c>
      <c r="F391" s="3103"/>
      <c r="G391" s="2407">
        <f t="shared" si="66"/>
        <v>1</v>
      </c>
      <c r="H391" s="3103"/>
      <c r="I391" s="2407">
        <f t="shared" si="67"/>
        <v>1</v>
      </c>
      <c r="J391" s="3103"/>
      <c r="K391" s="2407">
        <f t="shared" si="68"/>
        <v>1</v>
      </c>
      <c r="L391" s="3103"/>
      <c r="M391" s="2407">
        <f t="shared" si="69"/>
        <v>1</v>
      </c>
      <c r="N391" s="3103"/>
      <c r="O391" s="2407">
        <f t="shared" si="70"/>
        <v>1</v>
      </c>
      <c r="P391" s="3103"/>
      <c r="Q391" s="2407">
        <f t="shared" si="71"/>
        <v>0</v>
      </c>
      <c r="R391" s="2407">
        <f t="shared" si="72"/>
        <v>0</v>
      </c>
      <c r="S391" s="3098">
        <f t="shared" si="73"/>
        <v>0</v>
      </c>
    </row>
    <row r="392" spans="1:19">
      <c r="A392" s="2571"/>
      <c r="B392" s="3107"/>
      <c r="C392" s="2407">
        <f t="shared" si="64"/>
        <v>1</v>
      </c>
      <c r="D392" s="3103"/>
      <c r="E392" s="2407">
        <f t="shared" si="65"/>
        <v>1</v>
      </c>
      <c r="F392" s="3103"/>
      <c r="G392" s="2407">
        <f t="shared" si="66"/>
        <v>1</v>
      </c>
      <c r="H392" s="3103"/>
      <c r="I392" s="2407">
        <f t="shared" si="67"/>
        <v>1</v>
      </c>
      <c r="J392" s="3103"/>
      <c r="K392" s="2407">
        <f t="shared" si="68"/>
        <v>1</v>
      </c>
      <c r="L392" s="3103"/>
      <c r="M392" s="2407">
        <f t="shared" si="69"/>
        <v>1</v>
      </c>
      <c r="N392" s="3103"/>
      <c r="O392" s="2407">
        <f t="shared" si="70"/>
        <v>1</v>
      </c>
      <c r="P392" s="3103"/>
      <c r="Q392" s="2407">
        <f t="shared" si="71"/>
        <v>0</v>
      </c>
      <c r="R392" s="2407">
        <f t="shared" si="72"/>
        <v>0</v>
      </c>
      <c r="S392" s="3098">
        <f t="shared" si="73"/>
        <v>0</v>
      </c>
    </row>
    <row r="393" spans="1:19">
      <c r="A393" s="2571"/>
      <c r="B393" s="3107"/>
      <c r="C393" s="2407">
        <f t="shared" si="64"/>
        <v>1</v>
      </c>
      <c r="D393" s="3103"/>
      <c r="E393" s="2407">
        <f t="shared" si="65"/>
        <v>1</v>
      </c>
      <c r="F393" s="3103"/>
      <c r="G393" s="2407">
        <f t="shared" si="66"/>
        <v>1</v>
      </c>
      <c r="H393" s="3103"/>
      <c r="I393" s="2407">
        <f t="shared" si="67"/>
        <v>1</v>
      </c>
      <c r="J393" s="3103"/>
      <c r="K393" s="2407">
        <f t="shared" si="68"/>
        <v>1</v>
      </c>
      <c r="L393" s="3103"/>
      <c r="M393" s="2407">
        <f t="shared" si="69"/>
        <v>1</v>
      </c>
      <c r="N393" s="3103"/>
      <c r="O393" s="2407">
        <f t="shared" si="70"/>
        <v>1</v>
      </c>
      <c r="P393" s="3103"/>
      <c r="Q393" s="2407">
        <f t="shared" si="71"/>
        <v>0</v>
      </c>
      <c r="R393" s="2407">
        <f t="shared" si="72"/>
        <v>0</v>
      </c>
      <c r="S393" s="3098">
        <f t="shared" si="73"/>
        <v>0</v>
      </c>
    </row>
    <row r="394" spans="1:19">
      <c r="A394" s="2571"/>
      <c r="B394" s="3107"/>
      <c r="C394" s="2407">
        <f t="shared" si="64"/>
        <v>1</v>
      </c>
      <c r="D394" s="3103"/>
      <c r="E394" s="2407">
        <f t="shared" si="65"/>
        <v>1</v>
      </c>
      <c r="F394" s="3103"/>
      <c r="G394" s="2407">
        <f t="shared" si="66"/>
        <v>1</v>
      </c>
      <c r="H394" s="3103"/>
      <c r="I394" s="2407">
        <f t="shared" si="67"/>
        <v>1</v>
      </c>
      <c r="J394" s="3103"/>
      <c r="K394" s="2407">
        <f t="shared" si="68"/>
        <v>1</v>
      </c>
      <c r="L394" s="3103"/>
      <c r="M394" s="2407">
        <f t="shared" si="69"/>
        <v>1</v>
      </c>
      <c r="N394" s="3103"/>
      <c r="O394" s="2407">
        <f t="shared" si="70"/>
        <v>1</v>
      </c>
      <c r="P394" s="3103"/>
      <c r="Q394" s="2407">
        <f t="shared" si="71"/>
        <v>0</v>
      </c>
      <c r="R394" s="2407">
        <f t="shared" si="72"/>
        <v>0</v>
      </c>
      <c r="S394" s="3098">
        <f t="shared" si="73"/>
        <v>0</v>
      </c>
    </row>
    <row r="395" spans="1:19">
      <c r="A395" s="2571"/>
      <c r="B395" s="3107"/>
      <c r="C395" s="2407">
        <f t="shared" si="64"/>
        <v>1</v>
      </c>
      <c r="D395" s="3103"/>
      <c r="E395" s="2407">
        <f t="shared" si="65"/>
        <v>1</v>
      </c>
      <c r="F395" s="3103"/>
      <c r="G395" s="2407">
        <f t="shared" si="66"/>
        <v>1</v>
      </c>
      <c r="H395" s="3103"/>
      <c r="I395" s="2407">
        <f t="shared" si="67"/>
        <v>1</v>
      </c>
      <c r="J395" s="3103"/>
      <c r="K395" s="2407">
        <f t="shared" si="68"/>
        <v>1</v>
      </c>
      <c r="L395" s="3103"/>
      <c r="M395" s="2407">
        <f t="shared" si="69"/>
        <v>1</v>
      </c>
      <c r="N395" s="3103"/>
      <c r="O395" s="2407">
        <f t="shared" si="70"/>
        <v>1</v>
      </c>
      <c r="P395" s="3103"/>
      <c r="Q395" s="2407">
        <f t="shared" si="71"/>
        <v>0</v>
      </c>
      <c r="R395" s="2407">
        <f t="shared" si="72"/>
        <v>0</v>
      </c>
      <c r="S395" s="3098">
        <f t="shared" si="73"/>
        <v>0</v>
      </c>
    </row>
    <row r="396" spans="1:19">
      <c r="A396" s="2571"/>
      <c r="B396" s="3107"/>
      <c r="C396" s="2407">
        <f t="shared" si="64"/>
        <v>1</v>
      </c>
      <c r="D396" s="3103"/>
      <c r="E396" s="2407">
        <f t="shared" si="65"/>
        <v>1</v>
      </c>
      <c r="F396" s="3103"/>
      <c r="G396" s="2407">
        <f t="shared" si="66"/>
        <v>1</v>
      </c>
      <c r="H396" s="3103"/>
      <c r="I396" s="2407">
        <f t="shared" si="67"/>
        <v>1</v>
      </c>
      <c r="J396" s="3103"/>
      <c r="K396" s="2407">
        <f t="shared" si="68"/>
        <v>1</v>
      </c>
      <c r="L396" s="3103"/>
      <c r="M396" s="2407">
        <f t="shared" si="69"/>
        <v>1</v>
      </c>
      <c r="N396" s="3103"/>
      <c r="O396" s="2407">
        <f t="shared" si="70"/>
        <v>1</v>
      </c>
      <c r="P396" s="3103"/>
      <c r="Q396" s="2407">
        <f t="shared" si="71"/>
        <v>0</v>
      </c>
      <c r="R396" s="2407">
        <f t="shared" si="72"/>
        <v>0</v>
      </c>
      <c r="S396" s="3098">
        <f t="shared" si="73"/>
        <v>0</v>
      </c>
    </row>
    <row r="397" spans="1:19">
      <c r="A397" s="2571"/>
      <c r="B397" s="3107"/>
      <c r="C397" s="2407">
        <f t="shared" si="64"/>
        <v>1</v>
      </c>
      <c r="D397" s="3103"/>
      <c r="E397" s="2407">
        <f t="shared" si="65"/>
        <v>1</v>
      </c>
      <c r="F397" s="3103"/>
      <c r="G397" s="2407">
        <f t="shared" si="66"/>
        <v>1</v>
      </c>
      <c r="H397" s="3103"/>
      <c r="I397" s="2407">
        <f t="shared" si="67"/>
        <v>1</v>
      </c>
      <c r="J397" s="3103"/>
      <c r="K397" s="2407">
        <f t="shared" si="68"/>
        <v>1</v>
      </c>
      <c r="L397" s="3103"/>
      <c r="M397" s="2407">
        <f t="shared" si="69"/>
        <v>1</v>
      </c>
      <c r="N397" s="3103"/>
      <c r="O397" s="2407">
        <f t="shared" si="70"/>
        <v>1</v>
      </c>
      <c r="P397" s="3103"/>
      <c r="Q397" s="2407">
        <f t="shared" si="71"/>
        <v>0</v>
      </c>
      <c r="R397" s="2407">
        <f t="shared" si="72"/>
        <v>0</v>
      </c>
      <c r="S397" s="3098">
        <f t="shared" si="73"/>
        <v>0</v>
      </c>
    </row>
    <row r="398" spans="1:19">
      <c r="A398" s="2571"/>
      <c r="B398" s="3107"/>
      <c r="C398" s="2407">
        <f t="shared" si="64"/>
        <v>1</v>
      </c>
      <c r="D398" s="3103"/>
      <c r="E398" s="2407">
        <f t="shared" si="65"/>
        <v>1</v>
      </c>
      <c r="F398" s="3103"/>
      <c r="G398" s="2407">
        <f t="shared" si="66"/>
        <v>1</v>
      </c>
      <c r="H398" s="3103"/>
      <c r="I398" s="2407">
        <f t="shared" si="67"/>
        <v>1</v>
      </c>
      <c r="J398" s="3103"/>
      <c r="K398" s="2407">
        <f t="shared" si="68"/>
        <v>1</v>
      </c>
      <c r="L398" s="3103"/>
      <c r="M398" s="2407">
        <f t="shared" si="69"/>
        <v>1</v>
      </c>
      <c r="N398" s="3103"/>
      <c r="O398" s="2407">
        <f t="shared" si="70"/>
        <v>1</v>
      </c>
      <c r="P398" s="3103"/>
      <c r="Q398" s="2407">
        <f t="shared" si="71"/>
        <v>0</v>
      </c>
      <c r="R398" s="2407">
        <f t="shared" si="72"/>
        <v>0</v>
      </c>
      <c r="S398" s="3098">
        <f t="shared" si="73"/>
        <v>0</v>
      </c>
    </row>
    <row r="399" spans="1:19">
      <c r="A399" s="2571"/>
      <c r="B399" s="3107"/>
      <c r="C399" s="2407">
        <f t="shared" si="64"/>
        <v>1</v>
      </c>
      <c r="D399" s="3103"/>
      <c r="E399" s="2407">
        <f t="shared" si="65"/>
        <v>1</v>
      </c>
      <c r="F399" s="3103"/>
      <c r="G399" s="2407">
        <f t="shared" si="66"/>
        <v>1</v>
      </c>
      <c r="H399" s="3103"/>
      <c r="I399" s="2407">
        <f t="shared" si="67"/>
        <v>1</v>
      </c>
      <c r="J399" s="3103"/>
      <c r="K399" s="2407">
        <f t="shared" si="68"/>
        <v>1</v>
      </c>
      <c r="L399" s="3103"/>
      <c r="M399" s="2407">
        <f t="shared" si="69"/>
        <v>1</v>
      </c>
      <c r="N399" s="3103"/>
      <c r="O399" s="2407">
        <f t="shared" si="70"/>
        <v>1</v>
      </c>
      <c r="P399" s="3103"/>
      <c r="Q399" s="2407">
        <f t="shared" si="71"/>
        <v>0</v>
      </c>
      <c r="R399" s="2407">
        <f t="shared" si="72"/>
        <v>0</v>
      </c>
      <c r="S399" s="3098">
        <f t="shared" si="73"/>
        <v>0</v>
      </c>
    </row>
    <row r="400" spans="1:19">
      <c r="A400" s="2571"/>
      <c r="B400" s="3107"/>
      <c r="C400" s="2407">
        <f t="shared" si="64"/>
        <v>1</v>
      </c>
      <c r="D400" s="3103"/>
      <c r="E400" s="2407">
        <f t="shared" si="65"/>
        <v>1</v>
      </c>
      <c r="F400" s="3103"/>
      <c r="G400" s="2407">
        <f t="shared" si="66"/>
        <v>1</v>
      </c>
      <c r="H400" s="3103"/>
      <c r="I400" s="2407">
        <f t="shared" si="67"/>
        <v>1</v>
      </c>
      <c r="J400" s="3103"/>
      <c r="K400" s="2407">
        <f t="shared" si="68"/>
        <v>1</v>
      </c>
      <c r="L400" s="3103"/>
      <c r="M400" s="2407">
        <f t="shared" si="69"/>
        <v>1</v>
      </c>
      <c r="N400" s="3103"/>
      <c r="O400" s="2407">
        <f t="shared" si="70"/>
        <v>1</v>
      </c>
      <c r="P400" s="3103"/>
      <c r="Q400" s="2407">
        <f t="shared" si="71"/>
        <v>0</v>
      </c>
      <c r="R400" s="2407">
        <f t="shared" si="72"/>
        <v>0</v>
      </c>
      <c r="S400" s="3098">
        <f t="shared" si="73"/>
        <v>0</v>
      </c>
    </row>
    <row r="401" spans="1:19">
      <c r="A401" s="2571"/>
      <c r="B401" s="3107"/>
      <c r="C401" s="2407">
        <f t="shared" si="64"/>
        <v>1</v>
      </c>
      <c r="D401" s="3103"/>
      <c r="E401" s="2407">
        <f t="shared" si="65"/>
        <v>1</v>
      </c>
      <c r="F401" s="3103"/>
      <c r="G401" s="2407">
        <f t="shared" si="66"/>
        <v>1</v>
      </c>
      <c r="H401" s="3103"/>
      <c r="I401" s="2407">
        <f t="shared" si="67"/>
        <v>1</v>
      </c>
      <c r="J401" s="3103"/>
      <c r="K401" s="2407">
        <f t="shared" si="68"/>
        <v>1</v>
      </c>
      <c r="L401" s="3103"/>
      <c r="M401" s="2407">
        <f t="shared" si="69"/>
        <v>1</v>
      </c>
      <c r="N401" s="3103"/>
      <c r="O401" s="2407">
        <f t="shared" si="70"/>
        <v>1</v>
      </c>
      <c r="P401" s="3103"/>
      <c r="Q401" s="2407">
        <f t="shared" si="71"/>
        <v>0</v>
      </c>
      <c r="R401" s="2407">
        <f t="shared" si="72"/>
        <v>0</v>
      </c>
      <c r="S401" s="3098">
        <f t="shared" si="73"/>
        <v>0</v>
      </c>
    </row>
    <row r="402" spans="1:19">
      <c r="A402" s="2571"/>
      <c r="B402" s="3107"/>
      <c r="C402" s="2407">
        <f t="shared" si="64"/>
        <v>1</v>
      </c>
      <c r="D402" s="3103"/>
      <c r="E402" s="2407">
        <f t="shared" si="65"/>
        <v>1</v>
      </c>
      <c r="F402" s="3103"/>
      <c r="G402" s="2407">
        <f t="shared" si="66"/>
        <v>1</v>
      </c>
      <c r="H402" s="3103"/>
      <c r="I402" s="2407">
        <f t="shared" si="67"/>
        <v>1</v>
      </c>
      <c r="J402" s="3103"/>
      <c r="K402" s="2407">
        <f t="shared" si="68"/>
        <v>1</v>
      </c>
      <c r="L402" s="3103"/>
      <c r="M402" s="2407">
        <f t="shared" si="69"/>
        <v>1</v>
      </c>
      <c r="N402" s="3103"/>
      <c r="O402" s="2407">
        <f t="shared" si="70"/>
        <v>1</v>
      </c>
      <c r="P402" s="3103"/>
      <c r="Q402" s="2407">
        <f t="shared" si="71"/>
        <v>0</v>
      </c>
      <c r="R402" s="2407">
        <f t="shared" si="72"/>
        <v>0</v>
      </c>
      <c r="S402" s="3098">
        <f t="shared" si="73"/>
        <v>0</v>
      </c>
    </row>
    <row r="403" spans="1:19">
      <c r="A403" s="2571"/>
      <c r="B403" s="3107"/>
      <c r="C403" s="2407">
        <f t="shared" si="64"/>
        <v>1</v>
      </c>
      <c r="D403" s="3103"/>
      <c r="E403" s="2407">
        <f t="shared" si="65"/>
        <v>1</v>
      </c>
      <c r="F403" s="3103"/>
      <c r="G403" s="2407">
        <f t="shared" si="66"/>
        <v>1</v>
      </c>
      <c r="H403" s="3103"/>
      <c r="I403" s="2407">
        <f t="shared" si="67"/>
        <v>1</v>
      </c>
      <c r="J403" s="3103"/>
      <c r="K403" s="2407">
        <f t="shared" si="68"/>
        <v>1</v>
      </c>
      <c r="L403" s="3103"/>
      <c r="M403" s="2407">
        <f t="shared" si="69"/>
        <v>1</v>
      </c>
      <c r="N403" s="3103"/>
      <c r="O403" s="2407">
        <f t="shared" si="70"/>
        <v>1</v>
      </c>
      <c r="P403" s="3103"/>
      <c r="Q403" s="2407">
        <f t="shared" si="71"/>
        <v>0</v>
      </c>
      <c r="R403" s="2407">
        <f t="shared" si="72"/>
        <v>0</v>
      </c>
      <c r="S403" s="3098">
        <f t="shared" si="73"/>
        <v>0</v>
      </c>
    </row>
    <row r="404" spans="1:19">
      <c r="A404" s="2571"/>
      <c r="B404" s="3107"/>
      <c r="C404" s="2407">
        <f t="shared" si="64"/>
        <v>1</v>
      </c>
      <c r="D404" s="3103"/>
      <c r="E404" s="2407">
        <f t="shared" si="65"/>
        <v>1</v>
      </c>
      <c r="F404" s="3103"/>
      <c r="G404" s="2407">
        <f t="shared" si="66"/>
        <v>1</v>
      </c>
      <c r="H404" s="3103"/>
      <c r="I404" s="2407">
        <f t="shared" si="67"/>
        <v>1</v>
      </c>
      <c r="J404" s="3103"/>
      <c r="K404" s="2407">
        <f t="shared" si="68"/>
        <v>1</v>
      </c>
      <c r="L404" s="3103"/>
      <c r="M404" s="2407">
        <f t="shared" si="69"/>
        <v>1</v>
      </c>
      <c r="N404" s="3103"/>
      <c r="O404" s="2407">
        <f t="shared" si="70"/>
        <v>1</v>
      </c>
      <c r="P404" s="3103"/>
      <c r="Q404" s="2407">
        <f t="shared" si="71"/>
        <v>0</v>
      </c>
      <c r="R404" s="2407">
        <f t="shared" si="72"/>
        <v>0</v>
      </c>
      <c r="S404" s="3098">
        <f t="shared" si="73"/>
        <v>0</v>
      </c>
    </row>
    <row r="405" spans="1:19">
      <c r="A405" s="2571"/>
      <c r="B405" s="3107"/>
      <c r="C405" s="2407">
        <f t="shared" si="64"/>
        <v>1</v>
      </c>
      <c r="D405" s="3103"/>
      <c r="E405" s="2407">
        <f t="shared" si="65"/>
        <v>1</v>
      </c>
      <c r="F405" s="3103"/>
      <c r="G405" s="2407">
        <f t="shared" si="66"/>
        <v>1</v>
      </c>
      <c r="H405" s="3103"/>
      <c r="I405" s="2407">
        <f t="shared" si="67"/>
        <v>1</v>
      </c>
      <c r="J405" s="3103"/>
      <c r="K405" s="2407">
        <f t="shared" si="68"/>
        <v>1</v>
      </c>
      <c r="L405" s="3103"/>
      <c r="M405" s="2407">
        <f t="shared" si="69"/>
        <v>1</v>
      </c>
      <c r="N405" s="3103"/>
      <c r="O405" s="2407">
        <f t="shared" si="70"/>
        <v>1</v>
      </c>
      <c r="P405" s="3103"/>
      <c r="Q405" s="2407">
        <f t="shared" si="71"/>
        <v>0</v>
      </c>
      <c r="R405" s="2407">
        <f t="shared" si="72"/>
        <v>0</v>
      </c>
      <c r="S405" s="3098">
        <f t="shared" si="73"/>
        <v>0</v>
      </c>
    </row>
    <row r="406" spans="1:19">
      <c r="A406" s="2571"/>
      <c r="B406" s="3107"/>
      <c r="C406" s="2407">
        <f t="shared" si="64"/>
        <v>1</v>
      </c>
      <c r="D406" s="3103"/>
      <c r="E406" s="2407">
        <f t="shared" si="65"/>
        <v>1</v>
      </c>
      <c r="F406" s="3103"/>
      <c r="G406" s="2407">
        <f t="shared" si="66"/>
        <v>1</v>
      </c>
      <c r="H406" s="3103"/>
      <c r="I406" s="2407">
        <f t="shared" si="67"/>
        <v>1</v>
      </c>
      <c r="J406" s="3103"/>
      <c r="K406" s="2407">
        <f t="shared" si="68"/>
        <v>1</v>
      </c>
      <c r="L406" s="3103"/>
      <c r="M406" s="2407">
        <f t="shared" si="69"/>
        <v>1</v>
      </c>
      <c r="N406" s="3103"/>
      <c r="O406" s="2407">
        <f t="shared" si="70"/>
        <v>1</v>
      </c>
      <c r="P406" s="3103"/>
      <c r="Q406" s="2407">
        <f t="shared" si="71"/>
        <v>0</v>
      </c>
      <c r="R406" s="2407">
        <f t="shared" si="72"/>
        <v>0</v>
      </c>
      <c r="S406" s="3098">
        <f t="shared" si="73"/>
        <v>0</v>
      </c>
    </row>
    <row r="407" spans="1:19">
      <c r="A407" s="2571"/>
      <c r="B407" s="3107"/>
      <c r="C407" s="2407">
        <f t="shared" si="64"/>
        <v>1</v>
      </c>
      <c r="D407" s="3103"/>
      <c r="E407" s="2407">
        <f t="shared" si="65"/>
        <v>1</v>
      </c>
      <c r="F407" s="3103"/>
      <c r="G407" s="2407">
        <f t="shared" si="66"/>
        <v>1</v>
      </c>
      <c r="H407" s="3103"/>
      <c r="I407" s="2407">
        <f t="shared" si="67"/>
        <v>1</v>
      </c>
      <c r="J407" s="3103"/>
      <c r="K407" s="2407">
        <f t="shared" si="68"/>
        <v>1</v>
      </c>
      <c r="L407" s="3103"/>
      <c r="M407" s="2407">
        <f t="shared" si="69"/>
        <v>1</v>
      </c>
      <c r="N407" s="3103"/>
      <c r="O407" s="2407">
        <f t="shared" si="70"/>
        <v>1</v>
      </c>
      <c r="P407" s="3103"/>
      <c r="Q407" s="2407">
        <f t="shared" si="71"/>
        <v>0</v>
      </c>
      <c r="R407" s="2407">
        <f t="shared" si="72"/>
        <v>0</v>
      </c>
      <c r="S407" s="3098">
        <f t="shared" si="73"/>
        <v>0</v>
      </c>
    </row>
    <row r="408" spans="1:19">
      <c r="A408" s="2571"/>
      <c r="B408" s="3107"/>
      <c r="C408" s="2407">
        <f t="shared" si="64"/>
        <v>1</v>
      </c>
      <c r="D408" s="3103"/>
      <c r="E408" s="2407">
        <f t="shared" si="65"/>
        <v>1</v>
      </c>
      <c r="F408" s="3103"/>
      <c r="G408" s="2407">
        <f t="shared" si="66"/>
        <v>1</v>
      </c>
      <c r="H408" s="3103"/>
      <c r="I408" s="2407">
        <f t="shared" si="67"/>
        <v>1</v>
      </c>
      <c r="J408" s="3103"/>
      <c r="K408" s="2407">
        <f t="shared" si="68"/>
        <v>1</v>
      </c>
      <c r="L408" s="3103"/>
      <c r="M408" s="2407">
        <f t="shared" si="69"/>
        <v>1</v>
      </c>
      <c r="N408" s="3103"/>
      <c r="O408" s="2407">
        <f t="shared" si="70"/>
        <v>1</v>
      </c>
      <c r="P408" s="3103"/>
      <c r="Q408" s="2407">
        <f t="shared" si="71"/>
        <v>0</v>
      </c>
      <c r="R408" s="2407">
        <f t="shared" si="72"/>
        <v>0</v>
      </c>
      <c r="S408" s="3098">
        <f t="shared" si="73"/>
        <v>0</v>
      </c>
    </row>
    <row r="409" spans="1:19">
      <c r="A409" s="2571"/>
      <c r="B409" s="3107"/>
      <c r="C409" s="2407">
        <f t="shared" si="64"/>
        <v>1</v>
      </c>
      <c r="D409" s="3103"/>
      <c r="E409" s="2407">
        <f t="shared" si="65"/>
        <v>1</v>
      </c>
      <c r="F409" s="3103"/>
      <c r="G409" s="2407">
        <f t="shared" si="66"/>
        <v>1</v>
      </c>
      <c r="H409" s="3103"/>
      <c r="I409" s="2407">
        <f t="shared" si="67"/>
        <v>1</v>
      </c>
      <c r="J409" s="3103"/>
      <c r="K409" s="2407">
        <f t="shared" si="68"/>
        <v>1</v>
      </c>
      <c r="L409" s="3103"/>
      <c r="M409" s="2407">
        <f t="shared" si="69"/>
        <v>1</v>
      </c>
      <c r="N409" s="3103"/>
      <c r="O409" s="2407">
        <f t="shared" si="70"/>
        <v>1</v>
      </c>
      <c r="P409" s="3103"/>
      <c r="Q409" s="2407">
        <f t="shared" si="71"/>
        <v>0</v>
      </c>
      <c r="R409" s="2407">
        <f t="shared" si="72"/>
        <v>0</v>
      </c>
      <c r="S409" s="3098">
        <f t="shared" si="73"/>
        <v>0</v>
      </c>
    </row>
    <row r="410" spans="1:19">
      <c r="A410" s="2571"/>
      <c r="B410" s="3107"/>
      <c r="C410" s="2407">
        <f t="shared" ref="C410:C473" si="74">IF(B410="",1,(LOOKUP(B410,$3:$3,$4:$4)-LOOKUP($B$24,$3:$3,$4:$4)+100)/100)</f>
        <v>1</v>
      </c>
      <c r="D410" s="3103"/>
      <c r="E410" s="2407">
        <f t="shared" ref="E410:E473" si="75">(SUMIF($5:$5,D410,$6:$6)-SUMIF($5:$5,$D$24,$6:$6)+100)/100</f>
        <v>1</v>
      </c>
      <c r="F410" s="3103"/>
      <c r="G410" s="2407">
        <f t="shared" ref="G410:G473" si="76">(SUMIF($7:$7,F410,$8:$8)-SUMIF($7:$7,$F$24,$8:$8)+100)/100</f>
        <v>1</v>
      </c>
      <c r="H410" s="3103"/>
      <c r="I410" s="2407">
        <f t="shared" ref="I410:I473" si="77">(SUMIF($9:$9,H410,$10:$10)-SUMIF($9:$9,$H$24,$10:$10)+100)/100</f>
        <v>1</v>
      </c>
      <c r="J410" s="3103"/>
      <c r="K410" s="2407">
        <f t="shared" ref="K410:K473" si="78">(SUMIF($11:$11,J410,$12:$12)-SUMIF($11:$11,$J$24,$12:$12)+100)/100</f>
        <v>1</v>
      </c>
      <c r="L410" s="3103"/>
      <c r="M410" s="2407">
        <f t="shared" ref="M410:M473" si="79">(SUMIF($13:$13,L410,$14:$14)-SUMIF($13:$13,$L$24,$14:$14)+100)/100</f>
        <v>1</v>
      </c>
      <c r="N410" s="3103"/>
      <c r="O410" s="2407">
        <f t="shared" ref="O410:O473" si="80">(SUMIF($15:$15,N410,$16:$16)-SUMIF($15:$15,$N$24,$16:$16)+100)/100</f>
        <v>1</v>
      </c>
      <c r="P410" s="3103"/>
      <c r="Q410" s="2407">
        <f t="shared" ref="Q410:Q473" si="81">(SUMIF($17:$17,P410,$18:$18)-SUMIF($17:$17,$P$24,$18:$18)+100)/100</f>
        <v>0</v>
      </c>
      <c r="R410" s="2407">
        <f t="shared" ref="R410:R473" si="82">IF(B410="",0,ROUND($R$24*C410*E410*G410*I410*K410*M410*O410*Q410,0))</f>
        <v>0</v>
      </c>
      <c r="S410" s="3098">
        <f t="shared" si="73"/>
        <v>0</v>
      </c>
    </row>
    <row r="411" spans="1:19">
      <c r="A411" s="2571"/>
      <c r="B411" s="3107"/>
      <c r="C411" s="2407">
        <f t="shared" si="74"/>
        <v>1</v>
      </c>
      <c r="D411" s="3103"/>
      <c r="E411" s="2407">
        <f t="shared" si="75"/>
        <v>1</v>
      </c>
      <c r="F411" s="3103"/>
      <c r="G411" s="2407">
        <f t="shared" si="76"/>
        <v>1</v>
      </c>
      <c r="H411" s="3103"/>
      <c r="I411" s="2407">
        <f t="shared" si="77"/>
        <v>1</v>
      </c>
      <c r="J411" s="3103"/>
      <c r="K411" s="2407">
        <f t="shared" si="78"/>
        <v>1</v>
      </c>
      <c r="L411" s="3103"/>
      <c r="M411" s="2407">
        <f t="shared" si="79"/>
        <v>1</v>
      </c>
      <c r="N411" s="3103"/>
      <c r="O411" s="2407">
        <f t="shared" si="80"/>
        <v>1</v>
      </c>
      <c r="P411" s="3103"/>
      <c r="Q411" s="2407">
        <f t="shared" si="81"/>
        <v>0</v>
      </c>
      <c r="R411" s="2407">
        <f t="shared" si="82"/>
        <v>0</v>
      </c>
      <c r="S411" s="3098">
        <f t="shared" si="73"/>
        <v>0</v>
      </c>
    </row>
    <row r="412" spans="1:19">
      <c r="A412" s="2571"/>
      <c r="B412" s="3107"/>
      <c r="C412" s="2407">
        <f t="shared" si="74"/>
        <v>1</v>
      </c>
      <c r="D412" s="3103"/>
      <c r="E412" s="2407">
        <f t="shared" si="75"/>
        <v>1</v>
      </c>
      <c r="F412" s="3103"/>
      <c r="G412" s="2407">
        <f t="shared" si="76"/>
        <v>1</v>
      </c>
      <c r="H412" s="3103"/>
      <c r="I412" s="2407">
        <f t="shared" si="77"/>
        <v>1</v>
      </c>
      <c r="J412" s="3103"/>
      <c r="K412" s="2407">
        <f t="shared" si="78"/>
        <v>1</v>
      </c>
      <c r="L412" s="3103"/>
      <c r="M412" s="2407">
        <f t="shared" si="79"/>
        <v>1</v>
      </c>
      <c r="N412" s="3103"/>
      <c r="O412" s="2407">
        <f t="shared" si="80"/>
        <v>1</v>
      </c>
      <c r="P412" s="3103"/>
      <c r="Q412" s="2407">
        <f t="shared" si="81"/>
        <v>0</v>
      </c>
      <c r="R412" s="2407">
        <f t="shared" si="82"/>
        <v>0</v>
      </c>
      <c r="S412" s="3098">
        <f t="shared" si="73"/>
        <v>0</v>
      </c>
    </row>
    <row r="413" spans="1:19">
      <c r="A413" s="2571"/>
      <c r="B413" s="3107"/>
      <c r="C413" s="2407">
        <f t="shared" si="74"/>
        <v>1</v>
      </c>
      <c r="D413" s="3103"/>
      <c r="E413" s="2407">
        <f t="shared" si="75"/>
        <v>1</v>
      </c>
      <c r="F413" s="3103"/>
      <c r="G413" s="2407">
        <f t="shared" si="76"/>
        <v>1</v>
      </c>
      <c r="H413" s="3103"/>
      <c r="I413" s="2407">
        <f t="shared" si="77"/>
        <v>1</v>
      </c>
      <c r="J413" s="3103"/>
      <c r="K413" s="2407">
        <f t="shared" si="78"/>
        <v>1</v>
      </c>
      <c r="L413" s="3103"/>
      <c r="M413" s="2407">
        <f t="shared" si="79"/>
        <v>1</v>
      </c>
      <c r="N413" s="3103"/>
      <c r="O413" s="2407">
        <f t="shared" si="80"/>
        <v>1</v>
      </c>
      <c r="P413" s="3103"/>
      <c r="Q413" s="2407">
        <f t="shared" si="81"/>
        <v>0</v>
      </c>
      <c r="R413" s="2407">
        <f t="shared" si="82"/>
        <v>0</v>
      </c>
      <c r="S413" s="3098">
        <f t="shared" si="73"/>
        <v>0</v>
      </c>
    </row>
    <row r="414" spans="1:19">
      <c r="A414" s="2571"/>
      <c r="B414" s="3107"/>
      <c r="C414" s="2407">
        <f t="shared" si="74"/>
        <v>1</v>
      </c>
      <c r="D414" s="3103"/>
      <c r="E414" s="2407">
        <f t="shared" si="75"/>
        <v>1</v>
      </c>
      <c r="F414" s="3103"/>
      <c r="G414" s="2407">
        <f t="shared" si="76"/>
        <v>1</v>
      </c>
      <c r="H414" s="3103"/>
      <c r="I414" s="2407">
        <f t="shared" si="77"/>
        <v>1</v>
      </c>
      <c r="J414" s="3103"/>
      <c r="K414" s="2407">
        <f t="shared" si="78"/>
        <v>1</v>
      </c>
      <c r="L414" s="3103"/>
      <c r="M414" s="2407">
        <f t="shared" si="79"/>
        <v>1</v>
      </c>
      <c r="N414" s="3103"/>
      <c r="O414" s="2407">
        <f t="shared" si="80"/>
        <v>1</v>
      </c>
      <c r="P414" s="3103"/>
      <c r="Q414" s="2407">
        <f t="shared" si="81"/>
        <v>0</v>
      </c>
      <c r="R414" s="2407">
        <f t="shared" si="82"/>
        <v>0</v>
      </c>
      <c r="S414" s="3098">
        <f t="shared" si="73"/>
        <v>0</v>
      </c>
    </row>
    <row r="415" spans="1:19">
      <c r="A415" s="2571"/>
      <c r="B415" s="3107"/>
      <c r="C415" s="2407">
        <f t="shared" si="74"/>
        <v>1</v>
      </c>
      <c r="D415" s="3103"/>
      <c r="E415" s="2407">
        <f t="shared" si="75"/>
        <v>1</v>
      </c>
      <c r="F415" s="3103"/>
      <c r="G415" s="2407">
        <f t="shared" si="76"/>
        <v>1</v>
      </c>
      <c r="H415" s="3103"/>
      <c r="I415" s="2407">
        <f t="shared" si="77"/>
        <v>1</v>
      </c>
      <c r="J415" s="3103"/>
      <c r="K415" s="2407">
        <f t="shared" si="78"/>
        <v>1</v>
      </c>
      <c r="L415" s="3103"/>
      <c r="M415" s="2407">
        <f t="shared" si="79"/>
        <v>1</v>
      </c>
      <c r="N415" s="3103"/>
      <c r="O415" s="2407">
        <f t="shared" si="80"/>
        <v>1</v>
      </c>
      <c r="P415" s="3103"/>
      <c r="Q415" s="2407">
        <f t="shared" si="81"/>
        <v>0</v>
      </c>
      <c r="R415" s="2407">
        <f t="shared" si="82"/>
        <v>0</v>
      </c>
      <c r="S415" s="3098">
        <f t="shared" si="73"/>
        <v>0</v>
      </c>
    </row>
    <row r="416" spans="1:19">
      <c r="A416" s="2571"/>
      <c r="B416" s="3107"/>
      <c r="C416" s="2407">
        <f t="shared" si="74"/>
        <v>1</v>
      </c>
      <c r="D416" s="3103"/>
      <c r="E416" s="2407">
        <f t="shared" si="75"/>
        <v>1</v>
      </c>
      <c r="F416" s="3103"/>
      <c r="G416" s="2407">
        <f t="shared" si="76"/>
        <v>1</v>
      </c>
      <c r="H416" s="3103"/>
      <c r="I416" s="2407">
        <f t="shared" si="77"/>
        <v>1</v>
      </c>
      <c r="J416" s="3103"/>
      <c r="K416" s="2407">
        <f t="shared" si="78"/>
        <v>1</v>
      </c>
      <c r="L416" s="3103"/>
      <c r="M416" s="2407">
        <f t="shared" si="79"/>
        <v>1</v>
      </c>
      <c r="N416" s="3103"/>
      <c r="O416" s="2407">
        <f t="shared" si="80"/>
        <v>1</v>
      </c>
      <c r="P416" s="3103"/>
      <c r="Q416" s="2407">
        <f t="shared" si="81"/>
        <v>0</v>
      </c>
      <c r="R416" s="2407">
        <f t="shared" si="82"/>
        <v>0</v>
      </c>
      <c r="S416" s="3098">
        <f t="shared" si="73"/>
        <v>0</v>
      </c>
    </row>
    <row r="417" spans="1:19">
      <c r="A417" s="2571"/>
      <c r="B417" s="3107"/>
      <c r="C417" s="2407">
        <f t="shared" si="74"/>
        <v>1</v>
      </c>
      <c r="D417" s="3103"/>
      <c r="E417" s="2407">
        <f t="shared" si="75"/>
        <v>1</v>
      </c>
      <c r="F417" s="3103"/>
      <c r="G417" s="2407">
        <f t="shared" si="76"/>
        <v>1</v>
      </c>
      <c r="H417" s="3103"/>
      <c r="I417" s="2407">
        <f t="shared" si="77"/>
        <v>1</v>
      </c>
      <c r="J417" s="3103"/>
      <c r="K417" s="2407">
        <f t="shared" si="78"/>
        <v>1</v>
      </c>
      <c r="L417" s="3103"/>
      <c r="M417" s="2407">
        <f t="shared" si="79"/>
        <v>1</v>
      </c>
      <c r="N417" s="3103"/>
      <c r="O417" s="2407">
        <f t="shared" si="80"/>
        <v>1</v>
      </c>
      <c r="P417" s="3103"/>
      <c r="Q417" s="2407">
        <f t="shared" si="81"/>
        <v>0</v>
      </c>
      <c r="R417" s="2407">
        <f t="shared" si="82"/>
        <v>0</v>
      </c>
      <c r="S417" s="3098">
        <f t="shared" si="73"/>
        <v>0</v>
      </c>
    </row>
    <row r="418" spans="1:19">
      <c r="A418" s="2571"/>
      <c r="B418" s="3107"/>
      <c r="C418" s="2407">
        <f t="shared" si="74"/>
        <v>1</v>
      </c>
      <c r="D418" s="3103"/>
      <c r="E418" s="2407">
        <f t="shared" si="75"/>
        <v>1</v>
      </c>
      <c r="F418" s="3103"/>
      <c r="G418" s="2407">
        <f t="shared" si="76"/>
        <v>1</v>
      </c>
      <c r="H418" s="3103"/>
      <c r="I418" s="2407">
        <f t="shared" si="77"/>
        <v>1</v>
      </c>
      <c r="J418" s="3103"/>
      <c r="K418" s="2407">
        <f t="shared" si="78"/>
        <v>1</v>
      </c>
      <c r="L418" s="3103"/>
      <c r="M418" s="2407">
        <f t="shared" si="79"/>
        <v>1</v>
      </c>
      <c r="N418" s="3103"/>
      <c r="O418" s="2407">
        <f t="shared" si="80"/>
        <v>1</v>
      </c>
      <c r="P418" s="3103"/>
      <c r="Q418" s="2407">
        <f t="shared" si="81"/>
        <v>0</v>
      </c>
      <c r="R418" s="2407">
        <f t="shared" si="82"/>
        <v>0</v>
      </c>
      <c r="S418" s="3098">
        <f t="shared" si="73"/>
        <v>0</v>
      </c>
    </row>
    <row r="419" spans="1:19">
      <c r="A419" s="2571"/>
      <c r="B419" s="3107"/>
      <c r="C419" s="2407">
        <f t="shared" si="74"/>
        <v>1</v>
      </c>
      <c r="D419" s="3103"/>
      <c r="E419" s="2407">
        <f t="shared" si="75"/>
        <v>1</v>
      </c>
      <c r="F419" s="3103"/>
      <c r="G419" s="2407">
        <f t="shared" si="76"/>
        <v>1</v>
      </c>
      <c r="H419" s="3103"/>
      <c r="I419" s="2407">
        <f t="shared" si="77"/>
        <v>1</v>
      </c>
      <c r="J419" s="3103"/>
      <c r="K419" s="2407">
        <f t="shared" si="78"/>
        <v>1</v>
      </c>
      <c r="L419" s="3103"/>
      <c r="M419" s="2407">
        <f t="shared" si="79"/>
        <v>1</v>
      </c>
      <c r="N419" s="3103"/>
      <c r="O419" s="2407">
        <f t="shared" si="80"/>
        <v>1</v>
      </c>
      <c r="P419" s="3103"/>
      <c r="Q419" s="2407">
        <f t="shared" si="81"/>
        <v>0</v>
      </c>
      <c r="R419" s="2407">
        <f t="shared" si="82"/>
        <v>0</v>
      </c>
      <c r="S419" s="3098">
        <f t="shared" si="73"/>
        <v>0</v>
      </c>
    </row>
    <row r="420" spans="1:19">
      <c r="A420" s="2571"/>
      <c r="B420" s="3107"/>
      <c r="C420" s="2407">
        <f t="shared" si="74"/>
        <v>1</v>
      </c>
      <c r="D420" s="3103"/>
      <c r="E420" s="2407">
        <f t="shared" si="75"/>
        <v>1</v>
      </c>
      <c r="F420" s="3103"/>
      <c r="G420" s="2407">
        <f t="shared" si="76"/>
        <v>1</v>
      </c>
      <c r="H420" s="3103"/>
      <c r="I420" s="2407">
        <f t="shared" si="77"/>
        <v>1</v>
      </c>
      <c r="J420" s="3103"/>
      <c r="K420" s="2407">
        <f t="shared" si="78"/>
        <v>1</v>
      </c>
      <c r="L420" s="3103"/>
      <c r="M420" s="2407">
        <f t="shared" si="79"/>
        <v>1</v>
      </c>
      <c r="N420" s="3103"/>
      <c r="O420" s="2407">
        <f t="shared" si="80"/>
        <v>1</v>
      </c>
      <c r="P420" s="3103"/>
      <c r="Q420" s="2407">
        <f t="shared" si="81"/>
        <v>0</v>
      </c>
      <c r="R420" s="2407">
        <f t="shared" si="82"/>
        <v>0</v>
      </c>
      <c r="S420" s="3098">
        <f t="shared" si="73"/>
        <v>0</v>
      </c>
    </row>
    <row r="421" spans="1:19">
      <c r="A421" s="2571"/>
      <c r="B421" s="3107"/>
      <c r="C421" s="2407">
        <f t="shared" si="74"/>
        <v>1</v>
      </c>
      <c r="D421" s="3103"/>
      <c r="E421" s="2407">
        <f t="shared" si="75"/>
        <v>1</v>
      </c>
      <c r="F421" s="3103"/>
      <c r="G421" s="2407">
        <f t="shared" si="76"/>
        <v>1</v>
      </c>
      <c r="H421" s="3103"/>
      <c r="I421" s="2407">
        <f t="shared" si="77"/>
        <v>1</v>
      </c>
      <c r="J421" s="3103"/>
      <c r="K421" s="2407">
        <f t="shared" si="78"/>
        <v>1</v>
      </c>
      <c r="L421" s="3103"/>
      <c r="M421" s="2407">
        <f t="shared" si="79"/>
        <v>1</v>
      </c>
      <c r="N421" s="3103"/>
      <c r="O421" s="2407">
        <f t="shared" si="80"/>
        <v>1</v>
      </c>
      <c r="P421" s="3103"/>
      <c r="Q421" s="2407">
        <f t="shared" si="81"/>
        <v>0</v>
      </c>
      <c r="R421" s="2407">
        <f t="shared" si="82"/>
        <v>0</v>
      </c>
      <c r="S421" s="3098">
        <f t="shared" si="73"/>
        <v>0</v>
      </c>
    </row>
    <row r="422" spans="1:19">
      <c r="A422" s="2571"/>
      <c r="B422" s="3107"/>
      <c r="C422" s="2407">
        <f t="shared" si="74"/>
        <v>1</v>
      </c>
      <c r="D422" s="3103"/>
      <c r="E422" s="2407">
        <f t="shared" si="75"/>
        <v>1</v>
      </c>
      <c r="F422" s="3103"/>
      <c r="G422" s="2407">
        <f t="shared" si="76"/>
        <v>1</v>
      </c>
      <c r="H422" s="3103"/>
      <c r="I422" s="2407">
        <f t="shared" si="77"/>
        <v>1</v>
      </c>
      <c r="J422" s="3103"/>
      <c r="K422" s="2407">
        <f t="shared" si="78"/>
        <v>1</v>
      </c>
      <c r="L422" s="3103"/>
      <c r="M422" s="2407">
        <f t="shared" si="79"/>
        <v>1</v>
      </c>
      <c r="N422" s="3103"/>
      <c r="O422" s="2407">
        <f t="shared" si="80"/>
        <v>1</v>
      </c>
      <c r="P422" s="3103"/>
      <c r="Q422" s="2407">
        <f t="shared" si="81"/>
        <v>0</v>
      </c>
      <c r="R422" s="2407">
        <f t="shared" si="82"/>
        <v>0</v>
      </c>
      <c r="S422" s="3098">
        <f t="shared" si="73"/>
        <v>0</v>
      </c>
    </row>
    <row r="423" spans="1:19">
      <c r="A423" s="2571"/>
      <c r="B423" s="3107"/>
      <c r="C423" s="2407">
        <f t="shared" si="74"/>
        <v>1</v>
      </c>
      <c r="D423" s="3103"/>
      <c r="E423" s="2407">
        <f t="shared" si="75"/>
        <v>1</v>
      </c>
      <c r="F423" s="3103"/>
      <c r="G423" s="2407">
        <f t="shared" si="76"/>
        <v>1</v>
      </c>
      <c r="H423" s="3103"/>
      <c r="I423" s="2407">
        <f t="shared" si="77"/>
        <v>1</v>
      </c>
      <c r="J423" s="3103"/>
      <c r="K423" s="2407">
        <f t="shared" si="78"/>
        <v>1</v>
      </c>
      <c r="L423" s="3103"/>
      <c r="M423" s="2407">
        <f t="shared" si="79"/>
        <v>1</v>
      </c>
      <c r="N423" s="3103"/>
      <c r="O423" s="2407">
        <f t="shared" si="80"/>
        <v>1</v>
      </c>
      <c r="P423" s="3103"/>
      <c r="Q423" s="2407">
        <f t="shared" si="81"/>
        <v>0</v>
      </c>
      <c r="R423" s="2407">
        <f t="shared" si="82"/>
        <v>0</v>
      </c>
      <c r="S423" s="3098">
        <f t="shared" ref="S423:S467" si="83">ROUND(R423*B423/10000,0)</f>
        <v>0</v>
      </c>
    </row>
    <row r="424" spans="1:19">
      <c r="A424" s="2571"/>
      <c r="B424" s="3107"/>
      <c r="C424" s="2407">
        <f t="shared" si="74"/>
        <v>1</v>
      </c>
      <c r="D424" s="3103"/>
      <c r="E424" s="2407">
        <f t="shared" si="75"/>
        <v>1</v>
      </c>
      <c r="F424" s="3103"/>
      <c r="G424" s="2407">
        <f t="shared" si="76"/>
        <v>1</v>
      </c>
      <c r="H424" s="3103"/>
      <c r="I424" s="2407">
        <f t="shared" si="77"/>
        <v>1</v>
      </c>
      <c r="J424" s="3103"/>
      <c r="K424" s="2407">
        <f t="shared" si="78"/>
        <v>1</v>
      </c>
      <c r="L424" s="3103"/>
      <c r="M424" s="2407">
        <f t="shared" si="79"/>
        <v>1</v>
      </c>
      <c r="N424" s="3103"/>
      <c r="O424" s="2407">
        <f t="shared" si="80"/>
        <v>1</v>
      </c>
      <c r="P424" s="3103"/>
      <c r="Q424" s="2407">
        <f t="shared" si="81"/>
        <v>0</v>
      </c>
      <c r="R424" s="2407">
        <f t="shared" si="82"/>
        <v>0</v>
      </c>
      <c r="S424" s="3098">
        <f t="shared" si="83"/>
        <v>0</v>
      </c>
    </row>
    <row r="425" spans="1:19">
      <c r="A425" s="2571"/>
      <c r="B425" s="3107"/>
      <c r="C425" s="2407">
        <f t="shared" si="74"/>
        <v>1</v>
      </c>
      <c r="D425" s="3103"/>
      <c r="E425" s="2407">
        <f t="shared" si="75"/>
        <v>1</v>
      </c>
      <c r="F425" s="3103"/>
      <c r="G425" s="2407">
        <f t="shared" si="76"/>
        <v>1</v>
      </c>
      <c r="H425" s="3103"/>
      <c r="I425" s="2407">
        <f t="shared" si="77"/>
        <v>1</v>
      </c>
      <c r="J425" s="3103"/>
      <c r="K425" s="2407">
        <f t="shared" si="78"/>
        <v>1</v>
      </c>
      <c r="L425" s="3103"/>
      <c r="M425" s="2407">
        <f t="shared" si="79"/>
        <v>1</v>
      </c>
      <c r="N425" s="3103"/>
      <c r="O425" s="2407">
        <f t="shared" si="80"/>
        <v>1</v>
      </c>
      <c r="P425" s="3103"/>
      <c r="Q425" s="2407">
        <f t="shared" si="81"/>
        <v>0</v>
      </c>
      <c r="R425" s="2407">
        <f t="shared" si="82"/>
        <v>0</v>
      </c>
      <c r="S425" s="3098">
        <f t="shared" si="83"/>
        <v>0</v>
      </c>
    </row>
    <row r="426" spans="1:19">
      <c r="A426" s="2571"/>
      <c r="B426" s="3107"/>
      <c r="C426" s="2407">
        <f t="shared" si="74"/>
        <v>1</v>
      </c>
      <c r="D426" s="3103"/>
      <c r="E426" s="2407">
        <f t="shared" si="75"/>
        <v>1</v>
      </c>
      <c r="F426" s="3103"/>
      <c r="G426" s="2407">
        <f t="shared" si="76"/>
        <v>1</v>
      </c>
      <c r="H426" s="3103"/>
      <c r="I426" s="2407">
        <f t="shared" si="77"/>
        <v>1</v>
      </c>
      <c r="J426" s="3103"/>
      <c r="K426" s="2407">
        <f t="shared" si="78"/>
        <v>1</v>
      </c>
      <c r="L426" s="3103"/>
      <c r="M426" s="2407">
        <f t="shared" si="79"/>
        <v>1</v>
      </c>
      <c r="N426" s="3103"/>
      <c r="O426" s="2407">
        <f t="shared" si="80"/>
        <v>1</v>
      </c>
      <c r="P426" s="3103"/>
      <c r="Q426" s="2407">
        <f t="shared" si="81"/>
        <v>0</v>
      </c>
      <c r="R426" s="2407">
        <f t="shared" si="82"/>
        <v>0</v>
      </c>
      <c r="S426" s="3098">
        <f t="shared" si="83"/>
        <v>0</v>
      </c>
    </row>
    <row r="427" spans="1:19">
      <c r="A427" s="2571"/>
      <c r="B427" s="3107"/>
      <c r="C427" s="2407">
        <f t="shared" si="74"/>
        <v>1</v>
      </c>
      <c r="D427" s="3103"/>
      <c r="E427" s="2407">
        <f t="shared" si="75"/>
        <v>1</v>
      </c>
      <c r="F427" s="3103"/>
      <c r="G427" s="2407">
        <f t="shared" si="76"/>
        <v>1</v>
      </c>
      <c r="H427" s="3103"/>
      <c r="I427" s="2407">
        <f t="shared" si="77"/>
        <v>1</v>
      </c>
      <c r="J427" s="3103"/>
      <c r="K427" s="2407">
        <f t="shared" si="78"/>
        <v>1</v>
      </c>
      <c r="L427" s="3103"/>
      <c r="M427" s="2407">
        <f t="shared" si="79"/>
        <v>1</v>
      </c>
      <c r="N427" s="3103"/>
      <c r="O427" s="2407">
        <f t="shared" si="80"/>
        <v>1</v>
      </c>
      <c r="P427" s="3103"/>
      <c r="Q427" s="2407">
        <f t="shared" si="81"/>
        <v>0</v>
      </c>
      <c r="R427" s="2407">
        <f t="shared" si="82"/>
        <v>0</v>
      </c>
      <c r="S427" s="3098">
        <f t="shared" si="83"/>
        <v>0</v>
      </c>
    </row>
    <row r="428" spans="1:19">
      <c r="A428" s="2571"/>
      <c r="B428" s="3107"/>
      <c r="C428" s="2407">
        <f t="shared" si="74"/>
        <v>1</v>
      </c>
      <c r="D428" s="3103"/>
      <c r="E428" s="2407">
        <f t="shared" si="75"/>
        <v>1</v>
      </c>
      <c r="F428" s="3103"/>
      <c r="G428" s="2407">
        <f t="shared" si="76"/>
        <v>1</v>
      </c>
      <c r="H428" s="3103"/>
      <c r="I428" s="2407">
        <f t="shared" si="77"/>
        <v>1</v>
      </c>
      <c r="J428" s="3103"/>
      <c r="K428" s="2407">
        <f t="shared" si="78"/>
        <v>1</v>
      </c>
      <c r="L428" s="3103"/>
      <c r="M428" s="2407">
        <f t="shared" si="79"/>
        <v>1</v>
      </c>
      <c r="N428" s="3103"/>
      <c r="O428" s="2407">
        <f t="shared" si="80"/>
        <v>1</v>
      </c>
      <c r="P428" s="3103"/>
      <c r="Q428" s="2407">
        <f t="shared" si="81"/>
        <v>0</v>
      </c>
      <c r="R428" s="2407">
        <f t="shared" si="82"/>
        <v>0</v>
      </c>
      <c r="S428" s="3098">
        <f t="shared" si="83"/>
        <v>0</v>
      </c>
    </row>
    <row r="429" spans="1:19">
      <c r="A429" s="2571"/>
      <c r="B429" s="3107"/>
      <c r="C429" s="2407">
        <f t="shared" si="74"/>
        <v>1</v>
      </c>
      <c r="D429" s="3103"/>
      <c r="E429" s="2407">
        <f t="shared" si="75"/>
        <v>1</v>
      </c>
      <c r="F429" s="3103"/>
      <c r="G429" s="2407">
        <f t="shared" si="76"/>
        <v>1</v>
      </c>
      <c r="H429" s="3103"/>
      <c r="I429" s="2407">
        <f t="shared" si="77"/>
        <v>1</v>
      </c>
      <c r="J429" s="3103"/>
      <c r="K429" s="2407">
        <f t="shared" si="78"/>
        <v>1</v>
      </c>
      <c r="L429" s="3103"/>
      <c r="M429" s="2407">
        <f t="shared" si="79"/>
        <v>1</v>
      </c>
      <c r="N429" s="3103"/>
      <c r="O429" s="2407">
        <f t="shared" si="80"/>
        <v>1</v>
      </c>
      <c r="P429" s="3103"/>
      <c r="Q429" s="2407">
        <f t="shared" si="81"/>
        <v>0</v>
      </c>
      <c r="R429" s="2407">
        <f t="shared" si="82"/>
        <v>0</v>
      </c>
      <c r="S429" s="3098">
        <f t="shared" si="83"/>
        <v>0</v>
      </c>
    </row>
    <row r="430" spans="1:19">
      <c r="A430" s="2571"/>
      <c r="B430" s="3107"/>
      <c r="C430" s="2407">
        <f t="shared" si="74"/>
        <v>1</v>
      </c>
      <c r="D430" s="3103"/>
      <c r="E430" s="2407">
        <f t="shared" si="75"/>
        <v>1</v>
      </c>
      <c r="F430" s="3103"/>
      <c r="G430" s="2407">
        <f t="shared" si="76"/>
        <v>1</v>
      </c>
      <c r="H430" s="3103"/>
      <c r="I430" s="2407">
        <f t="shared" si="77"/>
        <v>1</v>
      </c>
      <c r="J430" s="3103"/>
      <c r="K430" s="2407">
        <f t="shared" si="78"/>
        <v>1</v>
      </c>
      <c r="L430" s="3103"/>
      <c r="M430" s="2407">
        <f t="shared" si="79"/>
        <v>1</v>
      </c>
      <c r="N430" s="3103"/>
      <c r="O430" s="2407">
        <f t="shared" si="80"/>
        <v>1</v>
      </c>
      <c r="P430" s="3103"/>
      <c r="Q430" s="2407">
        <f t="shared" si="81"/>
        <v>0</v>
      </c>
      <c r="R430" s="2407">
        <f t="shared" si="82"/>
        <v>0</v>
      </c>
      <c r="S430" s="3098">
        <f t="shared" si="83"/>
        <v>0</v>
      </c>
    </row>
    <row r="431" spans="1:19">
      <c r="A431" s="2571"/>
      <c r="B431" s="3107"/>
      <c r="C431" s="2407">
        <f t="shared" si="74"/>
        <v>1</v>
      </c>
      <c r="D431" s="3103"/>
      <c r="E431" s="2407">
        <f t="shared" si="75"/>
        <v>1</v>
      </c>
      <c r="F431" s="3103"/>
      <c r="G431" s="2407">
        <f t="shared" si="76"/>
        <v>1</v>
      </c>
      <c r="H431" s="3103"/>
      <c r="I431" s="2407">
        <f t="shared" si="77"/>
        <v>1</v>
      </c>
      <c r="J431" s="3103"/>
      <c r="K431" s="2407">
        <f t="shared" si="78"/>
        <v>1</v>
      </c>
      <c r="L431" s="3103"/>
      <c r="M431" s="2407">
        <f t="shared" si="79"/>
        <v>1</v>
      </c>
      <c r="N431" s="3103"/>
      <c r="O431" s="2407">
        <f t="shared" si="80"/>
        <v>1</v>
      </c>
      <c r="P431" s="3103"/>
      <c r="Q431" s="2407">
        <f t="shared" si="81"/>
        <v>0</v>
      </c>
      <c r="R431" s="2407">
        <f t="shared" si="82"/>
        <v>0</v>
      </c>
      <c r="S431" s="3098">
        <f t="shared" si="83"/>
        <v>0</v>
      </c>
    </row>
    <row r="432" spans="1:19">
      <c r="A432" s="2571"/>
      <c r="B432" s="3107"/>
      <c r="C432" s="2407">
        <f t="shared" si="74"/>
        <v>1</v>
      </c>
      <c r="D432" s="3103"/>
      <c r="E432" s="2407">
        <f t="shared" si="75"/>
        <v>1</v>
      </c>
      <c r="F432" s="3103"/>
      <c r="G432" s="2407">
        <f t="shared" si="76"/>
        <v>1</v>
      </c>
      <c r="H432" s="3103"/>
      <c r="I432" s="2407">
        <f t="shared" si="77"/>
        <v>1</v>
      </c>
      <c r="J432" s="3103"/>
      <c r="K432" s="2407">
        <f t="shared" si="78"/>
        <v>1</v>
      </c>
      <c r="L432" s="3103"/>
      <c r="M432" s="2407">
        <f t="shared" si="79"/>
        <v>1</v>
      </c>
      <c r="N432" s="3103"/>
      <c r="O432" s="2407">
        <f t="shared" si="80"/>
        <v>1</v>
      </c>
      <c r="P432" s="3103"/>
      <c r="Q432" s="2407">
        <f t="shared" si="81"/>
        <v>0</v>
      </c>
      <c r="R432" s="2407">
        <f t="shared" si="82"/>
        <v>0</v>
      </c>
      <c r="S432" s="3098">
        <f t="shared" si="83"/>
        <v>0</v>
      </c>
    </row>
    <row r="433" spans="1:19">
      <c r="A433" s="2571"/>
      <c r="B433" s="3107"/>
      <c r="C433" s="2407">
        <f t="shared" si="74"/>
        <v>1</v>
      </c>
      <c r="D433" s="3103"/>
      <c r="E433" s="2407">
        <f t="shared" si="75"/>
        <v>1</v>
      </c>
      <c r="F433" s="3103"/>
      <c r="G433" s="2407">
        <f t="shared" si="76"/>
        <v>1</v>
      </c>
      <c r="H433" s="3103"/>
      <c r="I433" s="2407">
        <f t="shared" si="77"/>
        <v>1</v>
      </c>
      <c r="J433" s="3103"/>
      <c r="K433" s="2407">
        <f t="shared" si="78"/>
        <v>1</v>
      </c>
      <c r="L433" s="3103"/>
      <c r="M433" s="2407">
        <f t="shared" si="79"/>
        <v>1</v>
      </c>
      <c r="N433" s="3103"/>
      <c r="O433" s="2407">
        <f t="shared" si="80"/>
        <v>1</v>
      </c>
      <c r="P433" s="3103"/>
      <c r="Q433" s="2407">
        <f t="shared" si="81"/>
        <v>0</v>
      </c>
      <c r="R433" s="2407">
        <f t="shared" si="82"/>
        <v>0</v>
      </c>
      <c r="S433" s="3098">
        <f t="shared" si="83"/>
        <v>0</v>
      </c>
    </row>
    <row r="434" spans="1:19">
      <c r="A434" s="2571"/>
      <c r="B434" s="3107"/>
      <c r="C434" s="2407">
        <f t="shared" si="74"/>
        <v>1</v>
      </c>
      <c r="D434" s="3103"/>
      <c r="E434" s="2407">
        <f t="shared" si="75"/>
        <v>1</v>
      </c>
      <c r="F434" s="3103"/>
      <c r="G434" s="2407">
        <f t="shared" si="76"/>
        <v>1</v>
      </c>
      <c r="H434" s="3103"/>
      <c r="I434" s="2407">
        <f t="shared" si="77"/>
        <v>1</v>
      </c>
      <c r="J434" s="3103"/>
      <c r="K434" s="2407">
        <f t="shared" si="78"/>
        <v>1</v>
      </c>
      <c r="L434" s="3103"/>
      <c r="M434" s="2407">
        <f t="shared" si="79"/>
        <v>1</v>
      </c>
      <c r="N434" s="3103"/>
      <c r="O434" s="2407">
        <f t="shared" si="80"/>
        <v>1</v>
      </c>
      <c r="P434" s="3103"/>
      <c r="Q434" s="2407">
        <f t="shared" si="81"/>
        <v>0</v>
      </c>
      <c r="R434" s="2407">
        <f t="shared" si="82"/>
        <v>0</v>
      </c>
      <c r="S434" s="3098">
        <f t="shared" si="83"/>
        <v>0</v>
      </c>
    </row>
    <row r="435" spans="1:19">
      <c r="A435" s="2571"/>
      <c r="B435" s="3107"/>
      <c r="C435" s="2407">
        <f t="shared" si="74"/>
        <v>1</v>
      </c>
      <c r="D435" s="3103"/>
      <c r="E435" s="2407">
        <f t="shared" si="75"/>
        <v>1</v>
      </c>
      <c r="F435" s="3103"/>
      <c r="G435" s="2407">
        <f t="shared" si="76"/>
        <v>1</v>
      </c>
      <c r="H435" s="3103"/>
      <c r="I435" s="2407">
        <f t="shared" si="77"/>
        <v>1</v>
      </c>
      <c r="J435" s="3103"/>
      <c r="K435" s="2407">
        <f t="shared" si="78"/>
        <v>1</v>
      </c>
      <c r="L435" s="3103"/>
      <c r="M435" s="2407">
        <f t="shared" si="79"/>
        <v>1</v>
      </c>
      <c r="N435" s="3103"/>
      <c r="O435" s="2407">
        <f t="shared" si="80"/>
        <v>1</v>
      </c>
      <c r="P435" s="3103"/>
      <c r="Q435" s="2407">
        <f t="shared" si="81"/>
        <v>0</v>
      </c>
      <c r="R435" s="2407">
        <f t="shared" si="82"/>
        <v>0</v>
      </c>
      <c r="S435" s="3098">
        <f t="shared" si="83"/>
        <v>0</v>
      </c>
    </row>
    <row r="436" spans="1:19">
      <c r="A436" s="2571"/>
      <c r="B436" s="3107"/>
      <c r="C436" s="2407">
        <f t="shared" si="74"/>
        <v>1</v>
      </c>
      <c r="D436" s="3103"/>
      <c r="E436" s="2407">
        <f t="shared" si="75"/>
        <v>1</v>
      </c>
      <c r="F436" s="3103"/>
      <c r="G436" s="2407">
        <f t="shared" si="76"/>
        <v>1</v>
      </c>
      <c r="H436" s="3103"/>
      <c r="I436" s="2407">
        <f t="shared" si="77"/>
        <v>1</v>
      </c>
      <c r="J436" s="3103"/>
      <c r="K436" s="2407">
        <f t="shared" si="78"/>
        <v>1</v>
      </c>
      <c r="L436" s="3103"/>
      <c r="M436" s="2407">
        <f t="shared" si="79"/>
        <v>1</v>
      </c>
      <c r="N436" s="3103"/>
      <c r="O436" s="2407">
        <f t="shared" si="80"/>
        <v>1</v>
      </c>
      <c r="P436" s="3103"/>
      <c r="Q436" s="2407">
        <f t="shared" si="81"/>
        <v>0</v>
      </c>
      <c r="R436" s="2407">
        <f t="shared" si="82"/>
        <v>0</v>
      </c>
      <c r="S436" s="3098">
        <f t="shared" si="83"/>
        <v>0</v>
      </c>
    </row>
    <row r="437" spans="1:19">
      <c r="A437" s="2571"/>
      <c r="B437" s="3107"/>
      <c r="C437" s="2407">
        <f t="shared" si="74"/>
        <v>1</v>
      </c>
      <c r="D437" s="3103"/>
      <c r="E437" s="2407">
        <f t="shared" si="75"/>
        <v>1</v>
      </c>
      <c r="F437" s="3103"/>
      <c r="G437" s="2407">
        <f t="shared" si="76"/>
        <v>1</v>
      </c>
      <c r="H437" s="3103"/>
      <c r="I437" s="2407">
        <f t="shared" si="77"/>
        <v>1</v>
      </c>
      <c r="J437" s="3103"/>
      <c r="K437" s="2407">
        <f t="shared" si="78"/>
        <v>1</v>
      </c>
      <c r="L437" s="3103"/>
      <c r="M437" s="2407">
        <f t="shared" si="79"/>
        <v>1</v>
      </c>
      <c r="N437" s="3103"/>
      <c r="O437" s="2407">
        <f t="shared" si="80"/>
        <v>1</v>
      </c>
      <c r="P437" s="3103"/>
      <c r="Q437" s="2407">
        <f t="shared" si="81"/>
        <v>0</v>
      </c>
      <c r="R437" s="2407">
        <f t="shared" si="82"/>
        <v>0</v>
      </c>
      <c r="S437" s="3098">
        <f t="shared" si="83"/>
        <v>0</v>
      </c>
    </row>
    <row r="438" spans="1:19">
      <c r="A438" s="2571"/>
      <c r="B438" s="3107"/>
      <c r="C438" s="2407">
        <f t="shared" si="74"/>
        <v>1</v>
      </c>
      <c r="D438" s="3103"/>
      <c r="E438" s="2407">
        <f t="shared" si="75"/>
        <v>1</v>
      </c>
      <c r="F438" s="3103"/>
      <c r="G438" s="2407">
        <f t="shared" si="76"/>
        <v>1</v>
      </c>
      <c r="H438" s="3103"/>
      <c r="I438" s="2407">
        <f t="shared" si="77"/>
        <v>1</v>
      </c>
      <c r="J438" s="3103"/>
      <c r="K438" s="2407">
        <f t="shared" si="78"/>
        <v>1</v>
      </c>
      <c r="L438" s="3103"/>
      <c r="M438" s="2407">
        <f t="shared" si="79"/>
        <v>1</v>
      </c>
      <c r="N438" s="3103"/>
      <c r="O438" s="2407">
        <f t="shared" si="80"/>
        <v>1</v>
      </c>
      <c r="P438" s="3103"/>
      <c r="Q438" s="2407">
        <f t="shared" si="81"/>
        <v>0</v>
      </c>
      <c r="R438" s="2407">
        <f t="shared" si="82"/>
        <v>0</v>
      </c>
      <c r="S438" s="3098">
        <f t="shared" si="83"/>
        <v>0</v>
      </c>
    </row>
    <row r="439" spans="1:19">
      <c r="A439" s="2571"/>
      <c r="B439" s="3107"/>
      <c r="C439" s="2407">
        <f t="shared" si="74"/>
        <v>1</v>
      </c>
      <c r="D439" s="3103"/>
      <c r="E439" s="2407">
        <f t="shared" si="75"/>
        <v>1</v>
      </c>
      <c r="F439" s="3103"/>
      <c r="G439" s="2407">
        <f t="shared" si="76"/>
        <v>1</v>
      </c>
      <c r="H439" s="3103"/>
      <c r="I439" s="2407">
        <f t="shared" si="77"/>
        <v>1</v>
      </c>
      <c r="J439" s="3103"/>
      <c r="K439" s="2407">
        <f t="shared" si="78"/>
        <v>1</v>
      </c>
      <c r="L439" s="3103"/>
      <c r="M439" s="2407">
        <f t="shared" si="79"/>
        <v>1</v>
      </c>
      <c r="N439" s="3103"/>
      <c r="O439" s="2407">
        <f t="shared" si="80"/>
        <v>1</v>
      </c>
      <c r="P439" s="3103"/>
      <c r="Q439" s="2407">
        <f t="shared" si="81"/>
        <v>0</v>
      </c>
      <c r="R439" s="2407">
        <f t="shared" si="82"/>
        <v>0</v>
      </c>
      <c r="S439" s="3098">
        <f t="shared" si="83"/>
        <v>0</v>
      </c>
    </row>
    <row r="440" spans="1:19">
      <c r="A440" s="2571"/>
      <c r="B440" s="3107"/>
      <c r="C440" s="2407">
        <f t="shared" si="74"/>
        <v>1</v>
      </c>
      <c r="D440" s="3103"/>
      <c r="E440" s="2407">
        <f t="shared" si="75"/>
        <v>1</v>
      </c>
      <c r="F440" s="3103"/>
      <c r="G440" s="2407">
        <f t="shared" si="76"/>
        <v>1</v>
      </c>
      <c r="H440" s="3103"/>
      <c r="I440" s="2407">
        <f t="shared" si="77"/>
        <v>1</v>
      </c>
      <c r="J440" s="3103"/>
      <c r="K440" s="2407">
        <f t="shared" si="78"/>
        <v>1</v>
      </c>
      <c r="L440" s="3103"/>
      <c r="M440" s="2407">
        <f t="shared" si="79"/>
        <v>1</v>
      </c>
      <c r="N440" s="3103"/>
      <c r="O440" s="2407">
        <f t="shared" si="80"/>
        <v>1</v>
      </c>
      <c r="P440" s="3103"/>
      <c r="Q440" s="2407">
        <f t="shared" si="81"/>
        <v>0</v>
      </c>
      <c r="R440" s="2407">
        <f t="shared" si="82"/>
        <v>0</v>
      </c>
      <c r="S440" s="3098">
        <f t="shared" si="83"/>
        <v>0</v>
      </c>
    </row>
    <row r="441" spans="1:19">
      <c r="A441" s="2571"/>
      <c r="B441" s="3107"/>
      <c r="C441" s="2407">
        <f t="shared" si="74"/>
        <v>1</v>
      </c>
      <c r="D441" s="3103"/>
      <c r="E441" s="2407">
        <f t="shared" si="75"/>
        <v>1</v>
      </c>
      <c r="F441" s="3103"/>
      <c r="G441" s="2407">
        <f t="shared" si="76"/>
        <v>1</v>
      </c>
      <c r="H441" s="3103"/>
      <c r="I441" s="2407">
        <f t="shared" si="77"/>
        <v>1</v>
      </c>
      <c r="J441" s="3103"/>
      <c r="K441" s="2407">
        <f t="shared" si="78"/>
        <v>1</v>
      </c>
      <c r="L441" s="3103"/>
      <c r="M441" s="2407">
        <f t="shared" si="79"/>
        <v>1</v>
      </c>
      <c r="N441" s="3103"/>
      <c r="O441" s="2407">
        <f t="shared" si="80"/>
        <v>1</v>
      </c>
      <c r="P441" s="3103"/>
      <c r="Q441" s="2407">
        <f t="shared" si="81"/>
        <v>0</v>
      </c>
      <c r="R441" s="2407">
        <f t="shared" si="82"/>
        <v>0</v>
      </c>
      <c r="S441" s="3098">
        <f t="shared" si="83"/>
        <v>0</v>
      </c>
    </row>
    <row r="442" spans="1:19">
      <c r="A442" s="2571"/>
      <c r="B442" s="3107"/>
      <c r="C442" s="2407">
        <f t="shared" si="74"/>
        <v>1</v>
      </c>
      <c r="D442" s="3103"/>
      <c r="E442" s="2407">
        <f t="shared" si="75"/>
        <v>1</v>
      </c>
      <c r="F442" s="3103"/>
      <c r="G442" s="2407">
        <f t="shared" si="76"/>
        <v>1</v>
      </c>
      <c r="H442" s="3103"/>
      <c r="I442" s="2407">
        <f t="shared" si="77"/>
        <v>1</v>
      </c>
      <c r="J442" s="3103"/>
      <c r="K442" s="2407">
        <f t="shared" si="78"/>
        <v>1</v>
      </c>
      <c r="L442" s="3103"/>
      <c r="M442" s="2407">
        <f t="shared" si="79"/>
        <v>1</v>
      </c>
      <c r="N442" s="3103"/>
      <c r="O442" s="2407">
        <f t="shared" si="80"/>
        <v>1</v>
      </c>
      <c r="P442" s="3103"/>
      <c r="Q442" s="2407">
        <f t="shared" si="81"/>
        <v>0</v>
      </c>
      <c r="R442" s="2407">
        <f t="shared" si="82"/>
        <v>0</v>
      </c>
      <c r="S442" s="3098">
        <f t="shared" si="83"/>
        <v>0</v>
      </c>
    </row>
    <row r="443" spans="1:19">
      <c r="A443" s="2571"/>
      <c r="B443" s="3107"/>
      <c r="C443" s="2407">
        <f t="shared" si="74"/>
        <v>1</v>
      </c>
      <c r="D443" s="3103"/>
      <c r="E443" s="2407">
        <f t="shared" si="75"/>
        <v>1</v>
      </c>
      <c r="F443" s="3103"/>
      <c r="G443" s="2407">
        <f t="shared" si="76"/>
        <v>1</v>
      </c>
      <c r="H443" s="3103"/>
      <c r="I443" s="2407">
        <f t="shared" si="77"/>
        <v>1</v>
      </c>
      <c r="J443" s="3103"/>
      <c r="K443" s="2407">
        <f t="shared" si="78"/>
        <v>1</v>
      </c>
      <c r="L443" s="3103"/>
      <c r="M443" s="2407">
        <f t="shared" si="79"/>
        <v>1</v>
      </c>
      <c r="N443" s="3103"/>
      <c r="O443" s="2407">
        <f t="shared" si="80"/>
        <v>1</v>
      </c>
      <c r="P443" s="3103"/>
      <c r="Q443" s="2407">
        <f t="shared" si="81"/>
        <v>0</v>
      </c>
      <c r="R443" s="2407">
        <f t="shared" si="82"/>
        <v>0</v>
      </c>
      <c r="S443" s="3098">
        <f t="shared" si="83"/>
        <v>0</v>
      </c>
    </row>
    <row r="444" spans="1:19">
      <c r="A444" s="2571"/>
      <c r="B444" s="3107"/>
      <c r="C444" s="2407">
        <f t="shared" si="74"/>
        <v>1</v>
      </c>
      <c r="D444" s="3103"/>
      <c r="E444" s="2407">
        <f t="shared" si="75"/>
        <v>1</v>
      </c>
      <c r="F444" s="3103"/>
      <c r="G444" s="2407">
        <f t="shared" si="76"/>
        <v>1</v>
      </c>
      <c r="H444" s="3103"/>
      <c r="I444" s="2407">
        <f t="shared" si="77"/>
        <v>1</v>
      </c>
      <c r="J444" s="3103"/>
      <c r="K444" s="2407">
        <f t="shared" si="78"/>
        <v>1</v>
      </c>
      <c r="L444" s="3103"/>
      <c r="M444" s="2407">
        <f t="shared" si="79"/>
        <v>1</v>
      </c>
      <c r="N444" s="3103"/>
      <c r="O444" s="2407">
        <f t="shared" si="80"/>
        <v>1</v>
      </c>
      <c r="P444" s="3103"/>
      <c r="Q444" s="2407">
        <f t="shared" si="81"/>
        <v>0</v>
      </c>
      <c r="R444" s="2407">
        <f t="shared" si="82"/>
        <v>0</v>
      </c>
      <c r="S444" s="3098">
        <f t="shared" si="83"/>
        <v>0</v>
      </c>
    </row>
    <row r="445" spans="1:19">
      <c r="A445" s="2571"/>
      <c r="B445" s="3107"/>
      <c r="C445" s="2407">
        <f t="shared" si="74"/>
        <v>1</v>
      </c>
      <c r="D445" s="3103"/>
      <c r="E445" s="2407">
        <f t="shared" si="75"/>
        <v>1</v>
      </c>
      <c r="F445" s="3103"/>
      <c r="G445" s="2407">
        <f t="shared" si="76"/>
        <v>1</v>
      </c>
      <c r="H445" s="3103"/>
      <c r="I445" s="2407">
        <f t="shared" si="77"/>
        <v>1</v>
      </c>
      <c r="J445" s="3103"/>
      <c r="K445" s="2407">
        <f t="shared" si="78"/>
        <v>1</v>
      </c>
      <c r="L445" s="3103"/>
      <c r="M445" s="2407">
        <f t="shared" si="79"/>
        <v>1</v>
      </c>
      <c r="N445" s="3103"/>
      <c r="O445" s="2407">
        <f t="shared" si="80"/>
        <v>1</v>
      </c>
      <c r="P445" s="3103"/>
      <c r="Q445" s="2407">
        <f t="shared" si="81"/>
        <v>0</v>
      </c>
      <c r="R445" s="2407">
        <f t="shared" si="82"/>
        <v>0</v>
      </c>
      <c r="S445" s="3098">
        <f t="shared" si="83"/>
        <v>0</v>
      </c>
    </row>
    <row r="446" spans="1:19">
      <c r="A446" s="2571"/>
      <c r="B446" s="3107"/>
      <c r="C446" s="2407">
        <f t="shared" si="74"/>
        <v>1</v>
      </c>
      <c r="D446" s="3103"/>
      <c r="E446" s="2407">
        <f t="shared" si="75"/>
        <v>1</v>
      </c>
      <c r="F446" s="3103"/>
      <c r="G446" s="2407">
        <f t="shared" si="76"/>
        <v>1</v>
      </c>
      <c r="H446" s="3103"/>
      <c r="I446" s="2407">
        <f t="shared" si="77"/>
        <v>1</v>
      </c>
      <c r="J446" s="3103"/>
      <c r="K446" s="2407">
        <f t="shared" si="78"/>
        <v>1</v>
      </c>
      <c r="L446" s="3103"/>
      <c r="M446" s="2407">
        <f t="shared" si="79"/>
        <v>1</v>
      </c>
      <c r="N446" s="3103"/>
      <c r="O446" s="2407">
        <f t="shared" si="80"/>
        <v>1</v>
      </c>
      <c r="P446" s="3103"/>
      <c r="Q446" s="2407">
        <f t="shared" si="81"/>
        <v>0</v>
      </c>
      <c r="R446" s="2407">
        <f t="shared" si="82"/>
        <v>0</v>
      </c>
      <c r="S446" s="3098">
        <f t="shared" si="83"/>
        <v>0</v>
      </c>
    </row>
    <row r="447" spans="1:19">
      <c r="A447" s="2571"/>
      <c r="B447" s="3107"/>
      <c r="C447" s="2407">
        <f t="shared" si="74"/>
        <v>1</v>
      </c>
      <c r="D447" s="3103"/>
      <c r="E447" s="2407">
        <f t="shared" si="75"/>
        <v>1</v>
      </c>
      <c r="F447" s="3103"/>
      <c r="G447" s="2407">
        <f t="shared" si="76"/>
        <v>1</v>
      </c>
      <c r="H447" s="3103"/>
      <c r="I447" s="2407">
        <f t="shared" si="77"/>
        <v>1</v>
      </c>
      <c r="J447" s="3103"/>
      <c r="K447" s="2407">
        <f t="shared" si="78"/>
        <v>1</v>
      </c>
      <c r="L447" s="3103"/>
      <c r="M447" s="2407">
        <f t="shared" si="79"/>
        <v>1</v>
      </c>
      <c r="N447" s="3103"/>
      <c r="O447" s="2407">
        <f t="shared" si="80"/>
        <v>1</v>
      </c>
      <c r="P447" s="3103"/>
      <c r="Q447" s="2407">
        <f t="shared" si="81"/>
        <v>0</v>
      </c>
      <c r="R447" s="2407">
        <f t="shared" si="82"/>
        <v>0</v>
      </c>
      <c r="S447" s="3098">
        <f t="shared" si="83"/>
        <v>0</v>
      </c>
    </row>
    <row r="448" spans="1:19">
      <c r="A448" s="2571"/>
      <c r="B448" s="3107"/>
      <c r="C448" s="2407">
        <f t="shared" si="74"/>
        <v>1</v>
      </c>
      <c r="D448" s="3103"/>
      <c r="E448" s="2407">
        <f t="shared" si="75"/>
        <v>1</v>
      </c>
      <c r="F448" s="3103"/>
      <c r="G448" s="2407">
        <f t="shared" si="76"/>
        <v>1</v>
      </c>
      <c r="H448" s="3103"/>
      <c r="I448" s="2407">
        <f t="shared" si="77"/>
        <v>1</v>
      </c>
      <c r="J448" s="3103"/>
      <c r="K448" s="2407">
        <f t="shared" si="78"/>
        <v>1</v>
      </c>
      <c r="L448" s="3103"/>
      <c r="M448" s="2407">
        <f t="shared" si="79"/>
        <v>1</v>
      </c>
      <c r="N448" s="3103"/>
      <c r="O448" s="2407">
        <f t="shared" si="80"/>
        <v>1</v>
      </c>
      <c r="P448" s="3103"/>
      <c r="Q448" s="2407">
        <f t="shared" si="81"/>
        <v>0</v>
      </c>
      <c r="R448" s="2407">
        <f t="shared" si="82"/>
        <v>0</v>
      </c>
      <c r="S448" s="3098">
        <f t="shared" si="83"/>
        <v>0</v>
      </c>
    </row>
    <row r="449" spans="1:19">
      <c r="A449" s="2571"/>
      <c r="B449" s="3107"/>
      <c r="C449" s="2407">
        <f t="shared" si="74"/>
        <v>1</v>
      </c>
      <c r="D449" s="3103"/>
      <c r="E449" s="2407">
        <f t="shared" si="75"/>
        <v>1</v>
      </c>
      <c r="F449" s="3103"/>
      <c r="G449" s="2407">
        <f t="shared" si="76"/>
        <v>1</v>
      </c>
      <c r="H449" s="3103"/>
      <c r="I449" s="2407">
        <f t="shared" si="77"/>
        <v>1</v>
      </c>
      <c r="J449" s="3103"/>
      <c r="K449" s="2407">
        <f t="shared" si="78"/>
        <v>1</v>
      </c>
      <c r="L449" s="3103"/>
      <c r="M449" s="2407">
        <f t="shared" si="79"/>
        <v>1</v>
      </c>
      <c r="N449" s="3103"/>
      <c r="O449" s="2407">
        <f t="shared" si="80"/>
        <v>1</v>
      </c>
      <c r="P449" s="3103"/>
      <c r="Q449" s="2407">
        <f t="shared" si="81"/>
        <v>0</v>
      </c>
      <c r="R449" s="2407">
        <f t="shared" si="82"/>
        <v>0</v>
      </c>
      <c r="S449" s="3098">
        <f t="shared" si="83"/>
        <v>0</v>
      </c>
    </row>
    <row r="450" spans="1:19">
      <c r="A450" s="2571"/>
      <c r="B450" s="3107"/>
      <c r="C450" s="2407">
        <f t="shared" si="74"/>
        <v>1</v>
      </c>
      <c r="D450" s="3103"/>
      <c r="E450" s="2407">
        <f t="shared" si="75"/>
        <v>1</v>
      </c>
      <c r="F450" s="3103"/>
      <c r="G450" s="2407">
        <f t="shared" si="76"/>
        <v>1</v>
      </c>
      <c r="H450" s="3103"/>
      <c r="I450" s="2407">
        <f t="shared" si="77"/>
        <v>1</v>
      </c>
      <c r="J450" s="3103"/>
      <c r="K450" s="2407">
        <f t="shared" si="78"/>
        <v>1</v>
      </c>
      <c r="L450" s="3103"/>
      <c r="M450" s="2407">
        <f t="shared" si="79"/>
        <v>1</v>
      </c>
      <c r="N450" s="3103"/>
      <c r="O450" s="2407">
        <f t="shared" si="80"/>
        <v>1</v>
      </c>
      <c r="P450" s="3103"/>
      <c r="Q450" s="2407">
        <f t="shared" si="81"/>
        <v>0</v>
      </c>
      <c r="R450" s="2407">
        <f t="shared" si="82"/>
        <v>0</v>
      </c>
      <c r="S450" s="3098">
        <f t="shared" si="83"/>
        <v>0</v>
      </c>
    </row>
    <row r="451" spans="1:19">
      <c r="A451" s="2571"/>
      <c r="B451" s="3107"/>
      <c r="C451" s="2407">
        <f t="shared" si="74"/>
        <v>1</v>
      </c>
      <c r="D451" s="3103"/>
      <c r="E451" s="2407">
        <f t="shared" si="75"/>
        <v>1</v>
      </c>
      <c r="F451" s="3103"/>
      <c r="G451" s="2407">
        <f t="shared" si="76"/>
        <v>1</v>
      </c>
      <c r="H451" s="3103"/>
      <c r="I451" s="2407">
        <f t="shared" si="77"/>
        <v>1</v>
      </c>
      <c r="J451" s="3103"/>
      <c r="K451" s="2407">
        <f t="shared" si="78"/>
        <v>1</v>
      </c>
      <c r="L451" s="3103"/>
      <c r="M451" s="2407">
        <f t="shared" si="79"/>
        <v>1</v>
      </c>
      <c r="N451" s="3103"/>
      <c r="O451" s="2407">
        <f t="shared" si="80"/>
        <v>1</v>
      </c>
      <c r="P451" s="3103"/>
      <c r="Q451" s="2407">
        <f t="shared" si="81"/>
        <v>0</v>
      </c>
      <c r="R451" s="2407">
        <f t="shared" si="82"/>
        <v>0</v>
      </c>
      <c r="S451" s="3098">
        <f t="shared" si="83"/>
        <v>0</v>
      </c>
    </row>
    <row r="452" spans="1:19">
      <c r="A452" s="2571"/>
      <c r="B452" s="3107"/>
      <c r="C452" s="2407">
        <f t="shared" si="74"/>
        <v>1</v>
      </c>
      <c r="D452" s="3103"/>
      <c r="E452" s="2407">
        <f t="shared" si="75"/>
        <v>1</v>
      </c>
      <c r="F452" s="3103"/>
      <c r="G452" s="2407">
        <f t="shared" si="76"/>
        <v>1</v>
      </c>
      <c r="H452" s="3103"/>
      <c r="I452" s="2407">
        <f t="shared" si="77"/>
        <v>1</v>
      </c>
      <c r="J452" s="3103"/>
      <c r="K452" s="2407">
        <f t="shared" si="78"/>
        <v>1</v>
      </c>
      <c r="L452" s="3103"/>
      <c r="M452" s="2407">
        <f t="shared" si="79"/>
        <v>1</v>
      </c>
      <c r="N452" s="3103"/>
      <c r="O452" s="2407">
        <f t="shared" si="80"/>
        <v>1</v>
      </c>
      <c r="P452" s="3103"/>
      <c r="Q452" s="2407">
        <f t="shared" si="81"/>
        <v>0</v>
      </c>
      <c r="R452" s="2407">
        <f t="shared" si="82"/>
        <v>0</v>
      </c>
      <c r="S452" s="3098">
        <f t="shared" si="83"/>
        <v>0</v>
      </c>
    </row>
    <row r="453" spans="1:19">
      <c r="A453" s="2571"/>
      <c r="B453" s="3107"/>
      <c r="C453" s="2407">
        <f t="shared" si="74"/>
        <v>1</v>
      </c>
      <c r="D453" s="3103"/>
      <c r="E453" s="2407">
        <f t="shared" si="75"/>
        <v>1</v>
      </c>
      <c r="F453" s="3103"/>
      <c r="G453" s="2407">
        <f t="shared" si="76"/>
        <v>1</v>
      </c>
      <c r="H453" s="3103"/>
      <c r="I453" s="2407">
        <f t="shared" si="77"/>
        <v>1</v>
      </c>
      <c r="J453" s="3103"/>
      <c r="K453" s="2407">
        <f t="shared" si="78"/>
        <v>1</v>
      </c>
      <c r="L453" s="3103"/>
      <c r="M453" s="2407">
        <f t="shared" si="79"/>
        <v>1</v>
      </c>
      <c r="N453" s="3103"/>
      <c r="O453" s="2407">
        <f t="shared" si="80"/>
        <v>1</v>
      </c>
      <c r="P453" s="3103"/>
      <c r="Q453" s="2407">
        <f t="shared" si="81"/>
        <v>0</v>
      </c>
      <c r="R453" s="2407">
        <f t="shared" si="82"/>
        <v>0</v>
      </c>
      <c r="S453" s="3098">
        <f t="shared" si="83"/>
        <v>0</v>
      </c>
    </row>
    <row r="454" spans="1:19">
      <c r="A454" s="2571"/>
      <c r="B454" s="3107"/>
      <c r="C454" s="2407">
        <f t="shared" si="74"/>
        <v>1</v>
      </c>
      <c r="D454" s="3103"/>
      <c r="E454" s="2407">
        <f t="shared" si="75"/>
        <v>1</v>
      </c>
      <c r="F454" s="3103"/>
      <c r="G454" s="2407">
        <f t="shared" si="76"/>
        <v>1</v>
      </c>
      <c r="H454" s="3103"/>
      <c r="I454" s="2407">
        <f t="shared" si="77"/>
        <v>1</v>
      </c>
      <c r="J454" s="3103"/>
      <c r="K454" s="2407">
        <f t="shared" si="78"/>
        <v>1</v>
      </c>
      <c r="L454" s="3103"/>
      <c r="M454" s="2407">
        <f t="shared" si="79"/>
        <v>1</v>
      </c>
      <c r="N454" s="3103"/>
      <c r="O454" s="2407">
        <f t="shared" si="80"/>
        <v>1</v>
      </c>
      <c r="P454" s="3103"/>
      <c r="Q454" s="2407">
        <f t="shared" si="81"/>
        <v>0</v>
      </c>
      <c r="R454" s="2407">
        <f t="shared" si="82"/>
        <v>0</v>
      </c>
      <c r="S454" s="3098">
        <f t="shared" si="83"/>
        <v>0</v>
      </c>
    </row>
    <row r="455" spans="1:19">
      <c r="A455" s="2571"/>
      <c r="B455" s="3107"/>
      <c r="C455" s="2407">
        <f t="shared" si="74"/>
        <v>1</v>
      </c>
      <c r="D455" s="3103"/>
      <c r="E455" s="2407">
        <f t="shared" si="75"/>
        <v>1</v>
      </c>
      <c r="F455" s="3103"/>
      <c r="G455" s="2407">
        <f t="shared" si="76"/>
        <v>1</v>
      </c>
      <c r="H455" s="3103"/>
      <c r="I455" s="2407">
        <f t="shared" si="77"/>
        <v>1</v>
      </c>
      <c r="J455" s="3103"/>
      <c r="K455" s="2407">
        <f t="shared" si="78"/>
        <v>1</v>
      </c>
      <c r="L455" s="3103"/>
      <c r="M455" s="2407">
        <f t="shared" si="79"/>
        <v>1</v>
      </c>
      <c r="N455" s="3103"/>
      <c r="O455" s="2407">
        <f t="shared" si="80"/>
        <v>1</v>
      </c>
      <c r="P455" s="3103"/>
      <c r="Q455" s="2407">
        <f t="shared" si="81"/>
        <v>0</v>
      </c>
      <c r="R455" s="2407">
        <f t="shared" si="82"/>
        <v>0</v>
      </c>
      <c r="S455" s="3098">
        <f t="shared" si="83"/>
        <v>0</v>
      </c>
    </row>
    <row r="456" spans="1:19">
      <c r="A456" s="2571"/>
      <c r="B456" s="3107"/>
      <c r="C456" s="2407">
        <f t="shared" si="74"/>
        <v>1</v>
      </c>
      <c r="D456" s="3103"/>
      <c r="E456" s="2407">
        <f t="shared" si="75"/>
        <v>1</v>
      </c>
      <c r="F456" s="3103"/>
      <c r="G456" s="2407">
        <f t="shared" si="76"/>
        <v>1</v>
      </c>
      <c r="H456" s="3103"/>
      <c r="I456" s="2407">
        <f t="shared" si="77"/>
        <v>1</v>
      </c>
      <c r="J456" s="3103"/>
      <c r="K456" s="2407">
        <f t="shared" si="78"/>
        <v>1</v>
      </c>
      <c r="L456" s="3103"/>
      <c r="M456" s="2407">
        <f t="shared" si="79"/>
        <v>1</v>
      </c>
      <c r="N456" s="3103"/>
      <c r="O456" s="2407">
        <f t="shared" si="80"/>
        <v>1</v>
      </c>
      <c r="P456" s="3103"/>
      <c r="Q456" s="2407">
        <f t="shared" si="81"/>
        <v>0</v>
      </c>
      <c r="R456" s="2407">
        <f t="shared" si="82"/>
        <v>0</v>
      </c>
      <c r="S456" s="3098">
        <f t="shared" si="83"/>
        <v>0</v>
      </c>
    </row>
    <row r="457" spans="1:19">
      <c r="A457" s="2571"/>
      <c r="B457" s="3107"/>
      <c r="C457" s="2407">
        <f t="shared" si="74"/>
        <v>1</v>
      </c>
      <c r="D457" s="3103"/>
      <c r="E457" s="2407">
        <f t="shared" si="75"/>
        <v>1</v>
      </c>
      <c r="F457" s="3103"/>
      <c r="G457" s="2407">
        <f t="shared" si="76"/>
        <v>1</v>
      </c>
      <c r="H457" s="3103"/>
      <c r="I457" s="2407">
        <f t="shared" si="77"/>
        <v>1</v>
      </c>
      <c r="J457" s="3103"/>
      <c r="K457" s="2407">
        <f t="shared" si="78"/>
        <v>1</v>
      </c>
      <c r="L457" s="3103"/>
      <c r="M457" s="2407">
        <f t="shared" si="79"/>
        <v>1</v>
      </c>
      <c r="N457" s="3103"/>
      <c r="O457" s="2407">
        <f t="shared" si="80"/>
        <v>1</v>
      </c>
      <c r="P457" s="3103"/>
      <c r="Q457" s="2407">
        <f t="shared" si="81"/>
        <v>0</v>
      </c>
      <c r="R457" s="2407">
        <f t="shared" si="82"/>
        <v>0</v>
      </c>
      <c r="S457" s="3098">
        <f t="shared" si="83"/>
        <v>0</v>
      </c>
    </row>
    <row r="458" spans="1:19">
      <c r="A458" s="2571"/>
      <c r="B458" s="3107"/>
      <c r="C458" s="2407">
        <f t="shared" si="74"/>
        <v>1</v>
      </c>
      <c r="D458" s="3103"/>
      <c r="E458" s="2407">
        <f t="shared" si="75"/>
        <v>1</v>
      </c>
      <c r="F458" s="3103"/>
      <c r="G458" s="2407">
        <f t="shared" si="76"/>
        <v>1</v>
      </c>
      <c r="H458" s="3103"/>
      <c r="I458" s="2407">
        <f t="shared" si="77"/>
        <v>1</v>
      </c>
      <c r="J458" s="3103"/>
      <c r="K458" s="2407">
        <f t="shared" si="78"/>
        <v>1</v>
      </c>
      <c r="L458" s="3103"/>
      <c r="M458" s="2407">
        <f t="shared" si="79"/>
        <v>1</v>
      </c>
      <c r="N458" s="3103"/>
      <c r="O458" s="2407">
        <f t="shared" si="80"/>
        <v>1</v>
      </c>
      <c r="P458" s="3103"/>
      <c r="Q458" s="2407">
        <f t="shared" si="81"/>
        <v>0</v>
      </c>
      <c r="R458" s="2407">
        <f t="shared" si="82"/>
        <v>0</v>
      </c>
      <c r="S458" s="3098">
        <f t="shared" si="83"/>
        <v>0</v>
      </c>
    </row>
    <row r="459" spans="1:19">
      <c r="A459" s="2571"/>
      <c r="B459" s="3107"/>
      <c r="C459" s="2407">
        <f t="shared" si="74"/>
        <v>1</v>
      </c>
      <c r="D459" s="3103"/>
      <c r="E459" s="2407">
        <f t="shared" si="75"/>
        <v>1</v>
      </c>
      <c r="F459" s="3103"/>
      <c r="G459" s="2407">
        <f t="shared" si="76"/>
        <v>1</v>
      </c>
      <c r="H459" s="3103"/>
      <c r="I459" s="2407">
        <f t="shared" si="77"/>
        <v>1</v>
      </c>
      <c r="J459" s="3103"/>
      <c r="K459" s="2407">
        <f t="shared" si="78"/>
        <v>1</v>
      </c>
      <c r="L459" s="3103"/>
      <c r="M459" s="2407">
        <f t="shared" si="79"/>
        <v>1</v>
      </c>
      <c r="N459" s="3103"/>
      <c r="O459" s="2407">
        <f t="shared" si="80"/>
        <v>1</v>
      </c>
      <c r="P459" s="3103"/>
      <c r="Q459" s="2407">
        <f t="shared" si="81"/>
        <v>0</v>
      </c>
      <c r="R459" s="2407">
        <f t="shared" si="82"/>
        <v>0</v>
      </c>
      <c r="S459" s="3098">
        <f t="shared" si="83"/>
        <v>0</v>
      </c>
    </row>
    <row r="460" spans="1:19">
      <c r="A460" s="2571"/>
      <c r="B460" s="3107"/>
      <c r="C460" s="2407">
        <f t="shared" si="74"/>
        <v>1</v>
      </c>
      <c r="D460" s="3103"/>
      <c r="E460" s="2407">
        <f t="shared" si="75"/>
        <v>1</v>
      </c>
      <c r="F460" s="3103"/>
      <c r="G460" s="2407">
        <f t="shared" si="76"/>
        <v>1</v>
      </c>
      <c r="H460" s="3103"/>
      <c r="I460" s="2407">
        <f t="shared" si="77"/>
        <v>1</v>
      </c>
      <c r="J460" s="3103"/>
      <c r="K460" s="2407">
        <f t="shared" si="78"/>
        <v>1</v>
      </c>
      <c r="L460" s="3103"/>
      <c r="M460" s="2407">
        <f t="shared" si="79"/>
        <v>1</v>
      </c>
      <c r="N460" s="3103"/>
      <c r="O460" s="2407">
        <f t="shared" si="80"/>
        <v>1</v>
      </c>
      <c r="P460" s="3103"/>
      <c r="Q460" s="2407">
        <f t="shared" si="81"/>
        <v>0</v>
      </c>
      <c r="R460" s="2407">
        <f t="shared" si="82"/>
        <v>0</v>
      </c>
      <c r="S460" s="3098">
        <f t="shared" si="83"/>
        <v>0</v>
      </c>
    </row>
    <row r="461" spans="1:19">
      <c r="A461" s="2571"/>
      <c r="B461" s="3107"/>
      <c r="C461" s="2407">
        <f t="shared" si="74"/>
        <v>1</v>
      </c>
      <c r="D461" s="3103"/>
      <c r="E461" s="2407">
        <f t="shared" si="75"/>
        <v>1</v>
      </c>
      <c r="F461" s="3103"/>
      <c r="G461" s="2407">
        <f t="shared" si="76"/>
        <v>1</v>
      </c>
      <c r="H461" s="3103"/>
      <c r="I461" s="2407">
        <f t="shared" si="77"/>
        <v>1</v>
      </c>
      <c r="J461" s="3103"/>
      <c r="K461" s="2407">
        <f t="shared" si="78"/>
        <v>1</v>
      </c>
      <c r="L461" s="3103"/>
      <c r="M461" s="2407">
        <f t="shared" si="79"/>
        <v>1</v>
      </c>
      <c r="N461" s="3103"/>
      <c r="O461" s="2407">
        <f t="shared" si="80"/>
        <v>1</v>
      </c>
      <c r="P461" s="3103"/>
      <c r="Q461" s="2407">
        <f t="shared" si="81"/>
        <v>0</v>
      </c>
      <c r="R461" s="2407">
        <f t="shared" si="82"/>
        <v>0</v>
      </c>
      <c r="S461" s="3098">
        <f t="shared" si="83"/>
        <v>0</v>
      </c>
    </row>
    <row r="462" spans="1:19">
      <c r="A462" s="2571"/>
      <c r="B462" s="3107"/>
      <c r="C462" s="2407">
        <f t="shared" si="74"/>
        <v>1</v>
      </c>
      <c r="D462" s="3103"/>
      <c r="E462" s="2407">
        <f t="shared" si="75"/>
        <v>1</v>
      </c>
      <c r="F462" s="3103"/>
      <c r="G462" s="2407">
        <f t="shared" si="76"/>
        <v>1</v>
      </c>
      <c r="H462" s="3103"/>
      <c r="I462" s="2407">
        <f t="shared" si="77"/>
        <v>1</v>
      </c>
      <c r="J462" s="3103"/>
      <c r="K462" s="2407">
        <f t="shared" si="78"/>
        <v>1</v>
      </c>
      <c r="L462" s="3103"/>
      <c r="M462" s="2407">
        <f t="shared" si="79"/>
        <v>1</v>
      </c>
      <c r="N462" s="3103"/>
      <c r="O462" s="2407">
        <f t="shared" si="80"/>
        <v>1</v>
      </c>
      <c r="P462" s="3103"/>
      <c r="Q462" s="2407">
        <f t="shared" si="81"/>
        <v>0</v>
      </c>
      <c r="R462" s="2407">
        <f t="shared" si="82"/>
        <v>0</v>
      </c>
      <c r="S462" s="3098">
        <f t="shared" si="83"/>
        <v>0</v>
      </c>
    </row>
    <row r="463" spans="1:19">
      <c r="A463" s="2571"/>
      <c r="B463" s="3107"/>
      <c r="C463" s="2407">
        <f t="shared" si="74"/>
        <v>1</v>
      </c>
      <c r="D463" s="3103"/>
      <c r="E463" s="2407">
        <f t="shared" si="75"/>
        <v>1</v>
      </c>
      <c r="F463" s="3103"/>
      <c r="G463" s="2407">
        <f t="shared" si="76"/>
        <v>1</v>
      </c>
      <c r="H463" s="3103"/>
      <c r="I463" s="2407">
        <f t="shared" si="77"/>
        <v>1</v>
      </c>
      <c r="J463" s="3103"/>
      <c r="K463" s="2407">
        <f t="shared" si="78"/>
        <v>1</v>
      </c>
      <c r="L463" s="3103"/>
      <c r="M463" s="2407">
        <f t="shared" si="79"/>
        <v>1</v>
      </c>
      <c r="N463" s="3103"/>
      <c r="O463" s="2407">
        <f t="shared" si="80"/>
        <v>1</v>
      </c>
      <c r="P463" s="3103"/>
      <c r="Q463" s="2407">
        <f t="shared" si="81"/>
        <v>0</v>
      </c>
      <c r="R463" s="2407">
        <f t="shared" si="82"/>
        <v>0</v>
      </c>
      <c r="S463" s="3098">
        <f t="shared" si="83"/>
        <v>0</v>
      </c>
    </row>
    <row r="464" spans="1:19">
      <c r="A464" s="2571"/>
      <c r="B464" s="3107"/>
      <c r="C464" s="2407">
        <f t="shared" si="74"/>
        <v>1</v>
      </c>
      <c r="D464" s="3103"/>
      <c r="E464" s="2407">
        <f t="shared" si="75"/>
        <v>1</v>
      </c>
      <c r="F464" s="3103"/>
      <c r="G464" s="2407">
        <f t="shared" si="76"/>
        <v>1</v>
      </c>
      <c r="H464" s="3103"/>
      <c r="I464" s="2407">
        <f t="shared" si="77"/>
        <v>1</v>
      </c>
      <c r="J464" s="3103"/>
      <c r="K464" s="2407">
        <f t="shared" si="78"/>
        <v>1</v>
      </c>
      <c r="L464" s="3103"/>
      <c r="M464" s="2407">
        <f t="shared" si="79"/>
        <v>1</v>
      </c>
      <c r="N464" s="3103"/>
      <c r="O464" s="2407">
        <f t="shared" si="80"/>
        <v>1</v>
      </c>
      <c r="P464" s="3103"/>
      <c r="Q464" s="2407">
        <f t="shared" si="81"/>
        <v>0</v>
      </c>
      <c r="R464" s="2407">
        <f t="shared" si="82"/>
        <v>0</v>
      </c>
      <c r="S464" s="3098">
        <f t="shared" si="83"/>
        <v>0</v>
      </c>
    </row>
    <row r="465" spans="1:19">
      <c r="A465" s="2571"/>
      <c r="B465" s="3107"/>
      <c r="C465" s="2407">
        <f t="shared" si="74"/>
        <v>1</v>
      </c>
      <c r="D465" s="3103"/>
      <c r="E465" s="2407">
        <f t="shared" si="75"/>
        <v>1</v>
      </c>
      <c r="F465" s="3103"/>
      <c r="G465" s="2407">
        <f t="shared" si="76"/>
        <v>1</v>
      </c>
      <c r="H465" s="3103"/>
      <c r="I465" s="2407">
        <f t="shared" si="77"/>
        <v>1</v>
      </c>
      <c r="J465" s="3103"/>
      <c r="K465" s="2407">
        <f t="shared" si="78"/>
        <v>1</v>
      </c>
      <c r="L465" s="3103"/>
      <c r="M465" s="2407">
        <f t="shared" si="79"/>
        <v>1</v>
      </c>
      <c r="N465" s="3103"/>
      <c r="O465" s="2407">
        <f t="shared" si="80"/>
        <v>1</v>
      </c>
      <c r="P465" s="3103"/>
      <c r="Q465" s="2407">
        <f t="shared" si="81"/>
        <v>0</v>
      </c>
      <c r="R465" s="2407">
        <f t="shared" si="82"/>
        <v>0</v>
      </c>
      <c r="S465" s="3098">
        <f t="shared" si="83"/>
        <v>0</v>
      </c>
    </row>
    <row r="466" spans="1:19">
      <c r="A466" s="2571"/>
      <c r="B466" s="3107"/>
      <c r="C466" s="2407">
        <f t="shared" si="74"/>
        <v>1</v>
      </c>
      <c r="D466" s="3103"/>
      <c r="E466" s="2407">
        <f t="shared" si="75"/>
        <v>1</v>
      </c>
      <c r="F466" s="3103"/>
      <c r="G466" s="2407">
        <f t="shared" si="76"/>
        <v>1</v>
      </c>
      <c r="H466" s="3103"/>
      <c r="I466" s="2407">
        <f t="shared" si="77"/>
        <v>1</v>
      </c>
      <c r="J466" s="3103"/>
      <c r="K466" s="2407">
        <f t="shared" si="78"/>
        <v>1</v>
      </c>
      <c r="L466" s="3103"/>
      <c r="M466" s="2407">
        <f t="shared" si="79"/>
        <v>1</v>
      </c>
      <c r="N466" s="3103"/>
      <c r="O466" s="2407">
        <f t="shared" si="80"/>
        <v>1</v>
      </c>
      <c r="P466" s="3103"/>
      <c r="Q466" s="2407">
        <f t="shared" si="81"/>
        <v>0</v>
      </c>
      <c r="R466" s="2407">
        <f t="shared" si="82"/>
        <v>0</v>
      </c>
      <c r="S466" s="3098">
        <f t="shared" si="83"/>
        <v>0</v>
      </c>
    </row>
    <row r="467" spans="1:19">
      <c r="A467" s="2571"/>
      <c r="B467" s="3107"/>
      <c r="C467" s="2407">
        <f t="shared" si="74"/>
        <v>1</v>
      </c>
      <c r="D467" s="3103"/>
      <c r="E467" s="2407">
        <f t="shared" si="75"/>
        <v>1</v>
      </c>
      <c r="F467" s="3103"/>
      <c r="G467" s="2407">
        <f t="shared" si="76"/>
        <v>1</v>
      </c>
      <c r="H467" s="3103"/>
      <c r="I467" s="2407">
        <f t="shared" si="77"/>
        <v>1</v>
      </c>
      <c r="J467" s="3103"/>
      <c r="K467" s="2407">
        <f t="shared" si="78"/>
        <v>1</v>
      </c>
      <c r="L467" s="3103"/>
      <c r="M467" s="2407">
        <f t="shared" si="79"/>
        <v>1</v>
      </c>
      <c r="N467" s="3103"/>
      <c r="O467" s="2407">
        <f t="shared" si="80"/>
        <v>1</v>
      </c>
      <c r="P467" s="3103"/>
      <c r="Q467" s="2407">
        <f t="shared" si="81"/>
        <v>0</v>
      </c>
      <c r="R467" s="2407">
        <f t="shared" si="82"/>
        <v>0</v>
      </c>
      <c r="S467" s="3098">
        <f t="shared" si="83"/>
        <v>0</v>
      </c>
    </row>
    <row r="468" spans="1:19">
      <c r="A468" s="2571"/>
      <c r="B468" s="3107"/>
      <c r="C468" s="2407">
        <f t="shared" si="74"/>
        <v>1</v>
      </c>
      <c r="D468" s="3103"/>
      <c r="E468" s="2407">
        <f t="shared" si="75"/>
        <v>1</v>
      </c>
      <c r="F468" s="3103"/>
      <c r="G468" s="2407">
        <f t="shared" si="76"/>
        <v>1</v>
      </c>
      <c r="H468" s="3103"/>
      <c r="I468" s="2407">
        <f t="shared" si="77"/>
        <v>1</v>
      </c>
      <c r="J468" s="3103"/>
      <c r="K468" s="2407">
        <f t="shared" si="78"/>
        <v>1</v>
      </c>
      <c r="L468" s="3103"/>
      <c r="M468" s="2407">
        <f t="shared" si="79"/>
        <v>1</v>
      </c>
      <c r="N468" s="3103"/>
      <c r="O468" s="2407">
        <f t="shared" si="80"/>
        <v>1</v>
      </c>
      <c r="P468" s="3103"/>
      <c r="Q468" s="2407">
        <f t="shared" si="81"/>
        <v>0</v>
      </c>
      <c r="R468" s="2407">
        <f t="shared" si="82"/>
        <v>0</v>
      </c>
      <c r="S468" s="3098">
        <f t="shared" ref="S468:S497" si="84">ROUND(R468*B468/10000,0)</f>
        <v>0</v>
      </c>
    </row>
    <row r="469" spans="1:19">
      <c r="A469" s="2571"/>
      <c r="B469" s="3107"/>
      <c r="C469" s="2407">
        <f t="shared" si="74"/>
        <v>1</v>
      </c>
      <c r="D469" s="3103"/>
      <c r="E469" s="2407">
        <f t="shared" si="75"/>
        <v>1</v>
      </c>
      <c r="F469" s="3103"/>
      <c r="G469" s="2407">
        <f t="shared" si="76"/>
        <v>1</v>
      </c>
      <c r="H469" s="3103"/>
      <c r="I469" s="2407">
        <f t="shared" si="77"/>
        <v>1</v>
      </c>
      <c r="J469" s="3103"/>
      <c r="K469" s="2407">
        <f t="shared" si="78"/>
        <v>1</v>
      </c>
      <c r="L469" s="3103"/>
      <c r="M469" s="2407">
        <f t="shared" si="79"/>
        <v>1</v>
      </c>
      <c r="N469" s="3103"/>
      <c r="O469" s="2407">
        <f t="shared" si="80"/>
        <v>1</v>
      </c>
      <c r="P469" s="3103"/>
      <c r="Q469" s="2407">
        <f t="shared" si="81"/>
        <v>0</v>
      </c>
      <c r="R469" s="2407">
        <f t="shared" si="82"/>
        <v>0</v>
      </c>
      <c r="S469" s="3098">
        <f t="shared" si="84"/>
        <v>0</v>
      </c>
    </row>
    <row r="470" spans="1:19">
      <c r="A470" s="2571"/>
      <c r="B470" s="3107"/>
      <c r="C470" s="2407">
        <f t="shared" si="74"/>
        <v>1</v>
      </c>
      <c r="D470" s="3103"/>
      <c r="E470" s="2407">
        <f t="shared" si="75"/>
        <v>1</v>
      </c>
      <c r="F470" s="3103"/>
      <c r="G470" s="2407">
        <f t="shared" si="76"/>
        <v>1</v>
      </c>
      <c r="H470" s="3103"/>
      <c r="I470" s="2407">
        <f t="shared" si="77"/>
        <v>1</v>
      </c>
      <c r="J470" s="3103"/>
      <c r="K470" s="2407">
        <f t="shared" si="78"/>
        <v>1</v>
      </c>
      <c r="L470" s="3103"/>
      <c r="M470" s="2407">
        <f t="shared" si="79"/>
        <v>1</v>
      </c>
      <c r="N470" s="3103"/>
      <c r="O470" s="2407">
        <f t="shared" si="80"/>
        <v>1</v>
      </c>
      <c r="P470" s="3103"/>
      <c r="Q470" s="2407">
        <f t="shared" si="81"/>
        <v>0</v>
      </c>
      <c r="R470" s="2407">
        <f t="shared" si="82"/>
        <v>0</v>
      </c>
      <c r="S470" s="3098">
        <f t="shared" si="84"/>
        <v>0</v>
      </c>
    </row>
    <row r="471" spans="1:19">
      <c r="A471" s="2571"/>
      <c r="B471" s="3107"/>
      <c r="C471" s="2407">
        <f t="shared" si="74"/>
        <v>1</v>
      </c>
      <c r="D471" s="3103"/>
      <c r="E471" s="2407">
        <f t="shared" si="75"/>
        <v>1</v>
      </c>
      <c r="F471" s="3103"/>
      <c r="G471" s="2407">
        <f t="shared" si="76"/>
        <v>1</v>
      </c>
      <c r="H471" s="3103"/>
      <c r="I471" s="2407">
        <f t="shared" si="77"/>
        <v>1</v>
      </c>
      <c r="J471" s="3103"/>
      <c r="K471" s="2407">
        <f t="shared" si="78"/>
        <v>1</v>
      </c>
      <c r="L471" s="3103"/>
      <c r="M471" s="2407">
        <f t="shared" si="79"/>
        <v>1</v>
      </c>
      <c r="N471" s="3103"/>
      <c r="O471" s="2407">
        <f t="shared" si="80"/>
        <v>1</v>
      </c>
      <c r="P471" s="3103"/>
      <c r="Q471" s="2407">
        <f t="shared" si="81"/>
        <v>0</v>
      </c>
      <c r="R471" s="2407">
        <f t="shared" si="82"/>
        <v>0</v>
      </c>
      <c r="S471" s="3098">
        <f t="shared" si="84"/>
        <v>0</v>
      </c>
    </row>
    <row r="472" spans="1:19">
      <c r="A472" s="2571"/>
      <c r="B472" s="3107"/>
      <c r="C472" s="2407">
        <f t="shared" si="74"/>
        <v>1</v>
      </c>
      <c r="D472" s="3103"/>
      <c r="E472" s="2407">
        <f t="shared" si="75"/>
        <v>1</v>
      </c>
      <c r="F472" s="3103"/>
      <c r="G472" s="2407">
        <f t="shared" si="76"/>
        <v>1</v>
      </c>
      <c r="H472" s="3103"/>
      <c r="I472" s="2407">
        <f t="shared" si="77"/>
        <v>1</v>
      </c>
      <c r="J472" s="3103"/>
      <c r="K472" s="2407">
        <f t="shared" si="78"/>
        <v>1</v>
      </c>
      <c r="L472" s="3103"/>
      <c r="M472" s="2407">
        <f t="shared" si="79"/>
        <v>1</v>
      </c>
      <c r="N472" s="3103"/>
      <c r="O472" s="2407">
        <f t="shared" si="80"/>
        <v>1</v>
      </c>
      <c r="P472" s="3103"/>
      <c r="Q472" s="2407">
        <f t="shared" si="81"/>
        <v>0</v>
      </c>
      <c r="R472" s="2407">
        <f t="shared" si="82"/>
        <v>0</v>
      </c>
      <c r="S472" s="3098">
        <f t="shared" si="84"/>
        <v>0</v>
      </c>
    </row>
    <row r="473" spans="1:19">
      <c r="A473" s="2571"/>
      <c r="B473" s="3107"/>
      <c r="C473" s="2407">
        <f t="shared" si="74"/>
        <v>1</v>
      </c>
      <c r="D473" s="3103"/>
      <c r="E473" s="2407">
        <f t="shared" si="75"/>
        <v>1</v>
      </c>
      <c r="F473" s="3103"/>
      <c r="G473" s="2407">
        <f t="shared" si="76"/>
        <v>1</v>
      </c>
      <c r="H473" s="3103"/>
      <c r="I473" s="2407">
        <f t="shared" si="77"/>
        <v>1</v>
      </c>
      <c r="J473" s="3103"/>
      <c r="K473" s="2407">
        <f t="shared" si="78"/>
        <v>1</v>
      </c>
      <c r="L473" s="3103"/>
      <c r="M473" s="2407">
        <f t="shared" si="79"/>
        <v>1</v>
      </c>
      <c r="N473" s="3103"/>
      <c r="O473" s="2407">
        <f t="shared" si="80"/>
        <v>1</v>
      </c>
      <c r="P473" s="3103"/>
      <c r="Q473" s="2407">
        <f t="shared" si="81"/>
        <v>0</v>
      </c>
      <c r="R473" s="2407">
        <f t="shared" si="82"/>
        <v>0</v>
      </c>
      <c r="S473" s="3098">
        <f t="shared" si="84"/>
        <v>0</v>
      </c>
    </row>
    <row r="474" spans="1:19">
      <c r="A474" s="2571"/>
      <c r="B474" s="3107"/>
      <c r="C474" s="2407">
        <f t="shared" ref="C474:C524" si="85">IF(B474="",1,(LOOKUP(B474,$3:$3,$4:$4)-LOOKUP($B$24,$3:$3,$4:$4)+100)/100)</f>
        <v>1</v>
      </c>
      <c r="D474" s="3103"/>
      <c r="E474" s="2407">
        <f t="shared" ref="E474:E524" si="86">(SUMIF($5:$5,D474,$6:$6)-SUMIF($5:$5,$D$24,$6:$6)+100)/100</f>
        <v>1</v>
      </c>
      <c r="F474" s="3103"/>
      <c r="G474" s="2407">
        <f t="shared" ref="G474:G524" si="87">(SUMIF($7:$7,F474,$8:$8)-SUMIF($7:$7,$F$24,$8:$8)+100)/100</f>
        <v>1</v>
      </c>
      <c r="H474" s="3103"/>
      <c r="I474" s="2407">
        <f t="shared" ref="I474:I524" si="88">(SUMIF($9:$9,H474,$10:$10)-SUMIF($9:$9,$H$24,$10:$10)+100)/100</f>
        <v>1</v>
      </c>
      <c r="J474" s="3103"/>
      <c r="K474" s="2407">
        <f t="shared" ref="K474:K524" si="89">(SUMIF($11:$11,J474,$12:$12)-SUMIF($11:$11,$J$24,$12:$12)+100)/100</f>
        <v>1</v>
      </c>
      <c r="L474" s="3103"/>
      <c r="M474" s="2407">
        <f t="shared" ref="M474:M524" si="90">(SUMIF($13:$13,L474,$14:$14)-SUMIF($13:$13,$L$24,$14:$14)+100)/100</f>
        <v>1</v>
      </c>
      <c r="N474" s="3103"/>
      <c r="O474" s="2407">
        <f t="shared" ref="O474:O524" si="91">(SUMIF($15:$15,N474,$16:$16)-SUMIF($15:$15,$N$24,$16:$16)+100)/100</f>
        <v>1</v>
      </c>
      <c r="P474" s="3103"/>
      <c r="Q474" s="2407">
        <f t="shared" ref="Q474:Q524" si="92">(SUMIF($17:$17,P474,$18:$18)-SUMIF($17:$17,$P$24,$18:$18)+100)/100</f>
        <v>0</v>
      </c>
      <c r="R474" s="2407">
        <f t="shared" ref="R474:R524" si="93">IF(B474="",0,ROUND($R$24*C474*E474*G474*I474*K474*M474*O474*Q474,0))</f>
        <v>0</v>
      </c>
      <c r="S474" s="3098">
        <f t="shared" si="84"/>
        <v>0</v>
      </c>
    </row>
    <row r="475" spans="1:19">
      <c r="A475" s="2571"/>
      <c r="B475" s="3107"/>
      <c r="C475" s="2407">
        <f t="shared" si="85"/>
        <v>1</v>
      </c>
      <c r="D475" s="3103"/>
      <c r="E475" s="2407">
        <f t="shared" si="86"/>
        <v>1</v>
      </c>
      <c r="F475" s="3103"/>
      <c r="G475" s="2407">
        <f t="shared" si="87"/>
        <v>1</v>
      </c>
      <c r="H475" s="3103"/>
      <c r="I475" s="2407">
        <f t="shared" si="88"/>
        <v>1</v>
      </c>
      <c r="J475" s="3103"/>
      <c r="K475" s="2407">
        <f t="shared" si="89"/>
        <v>1</v>
      </c>
      <c r="L475" s="3103"/>
      <c r="M475" s="2407">
        <f t="shared" si="90"/>
        <v>1</v>
      </c>
      <c r="N475" s="3103"/>
      <c r="O475" s="2407">
        <f t="shared" si="91"/>
        <v>1</v>
      </c>
      <c r="P475" s="3103"/>
      <c r="Q475" s="2407">
        <f t="shared" si="92"/>
        <v>0</v>
      </c>
      <c r="R475" s="2407">
        <f t="shared" si="93"/>
        <v>0</v>
      </c>
      <c r="S475" s="3098">
        <f t="shared" si="84"/>
        <v>0</v>
      </c>
    </row>
    <row r="476" spans="1:19">
      <c r="A476" s="2571"/>
      <c r="B476" s="3107"/>
      <c r="C476" s="2407">
        <f t="shared" si="85"/>
        <v>1</v>
      </c>
      <c r="D476" s="3103"/>
      <c r="E476" s="2407">
        <f t="shared" si="86"/>
        <v>1</v>
      </c>
      <c r="F476" s="3103"/>
      <c r="G476" s="2407">
        <f t="shared" si="87"/>
        <v>1</v>
      </c>
      <c r="H476" s="3103"/>
      <c r="I476" s="2407">
        <f t="shared" si="88"/>
        <v>1</v>
      </c>
      <c r="J476" s="3103"/>
      <c r="K476" s="2407">
        <f t="shared" si="89"/>
        <v>1</v>
      </c>
      <c r="L476" s="3103"/>
      <c r="M476" s="2407">
        <f t="shared" si="90"/>
        <v>1</v>
      </c>
      <c r="N476" s="3103"/>
      <c r="O476" s="2407">
        <f t="shared" si="91"/>
        <v>1</v>
      </c>
      <c r="P476" s="3103"/>
      <c r="Q476" s="2407">
        <f t="shared" si="92"/>
        <v>0</v>
      </c>
      <c r="R476" s="2407">
        <f t="shared" si="93"/>
        <v>0</v>
      </c>
      <c r="S476" s="3098">
        <f t="shared" si="84"/>
        <v>0</v>
      </c>
    </row>
    <row r="477" spans="1:19">
      <c r="A477" s="2571"/>
      <c r="B477" s="3107"/>
      <c r="C477" s="2407">
        <f t="shared" si="85"/>
        <v>1</v>
      </c>
      <c r="D477" s="3103"/>
      <c r="E477" s="2407">
        <f t="shared" si="86"/>
        <v>1</v>
      </c>
      <c r="F477" s="3103"/>
      <c r="G477" s="2407">
        <f t="shared" si="87"/>
        <v>1</v>
      </c>
      <c r="H477" s="3103"/>
      <c r="I477" s="2407">
        <f t="shared" si="88"/>
        <v>1</v>
      </c>
      <c r="J477" s="3103"/>
      <c r="K477" s="2407">
        <f t="shared" si="89"/>
        <v>1</v>
      </c>
      <c r="L477" s="3103"/>
      <c r="M477" s="2407">
        <f t="shared" si="90"/>
        <v>1</v>
      </c>
      <c r="N477" s="3103"/>
      <c r="O477" s="2407">
        <f t="shared" si="91"/>
        <v>1</v>
      </c>
      <c r="P477" s="3103"/>
      <c r="Q477" s="2407">
        <f t="shared" si="92"/>
        <v>0</v>
      </c>
      <c r="R477" s="2407">
        <f t="shared" si="93"/>
        <v>0</v>
      </c>
      <c r="S477" s="3098">
        <f t="shared" si="84"/>
        <v>0</v>
      </c>
    </row>
    <row r="478" spans="1:19">
      <c r="A478" s="2571"/>
      <c r="B478" s="3107"/>
      <c r="C478" s="2407">
        <f t="shared" si="85"/>
        <v>1</v>
      </c>
      <c r="D478" s="3103"/>
      <c r="E478" s="2407">
        <f t="shared" si="86"/>
        <v>1</v>
      </c>
      <c r="F478" s="3103"/>
      <c r="G478" s="2407">
        <f t="shared" si="87"/>
        <v>1</v>
      </c>
      <c r="H478" s="3103"/>
      <c r="I478" s="2407">
        <f t="shared" si="88"/>
        <v>1</v>
      </c>
      <c r="J478" s="3103"/>
      <c r="K478" s="2407">
        <f t="shared" si="89"/>
        <v>1</v>
      </c>
      <c r="L478" s="3103"/>
      <c r="M478" s="2407">
        <f t="shared" si="90"/>
        <v>1</v>
      </c>
      <c r="N478" s="3103"/>
      <c r="O478" s="2407">
        <f t="shared" si="91"/>
        <v>1</v>
      </c>
      <c r="P478" s="3103"/>
      <c r="Q478" s="2407">
        <f t="shared" si="92"/>
        <v>0</v>
      </c>
      <c r="R478" s="2407">
        <f t="shared" si="93"/>
        <v>0</v>
      </c>
      <c r="S478" s="3098">
        <f t="shared" si="84"/>
        <v>0</v>
      </c>
    </row>
    <row r="479" spans="1:19">
      <c r="A479" s="2571"/>
      <c r="B479" s="3107"/>
      <c r="C479" s="2407">
        <f t="shared" si="85"/>
        <v>1</v>
      </c>
      <c r="D479" s="3103"/>
      <c r="E479" s="2407">
        <f t="shared" si="86"/>
        <v>1</v>
      </c>
      <c r="F479" s="3103"/>
      <c r="G479" s="2407">
        <f t="shared" si="87"/>
        <v>1</v>
      </c>
      <c r="H479" s="3103"/>
      <c r="I479" s="2407">
        <f t="shared" si="88"/>
        <v>1</v>
      </c>
      <c r="J479" s="3103"/>
      <c r="K479" s="2407">
        <f t="shared" si="89"/>
        <v>1</v>
      </c>
      <c r="L479" s="3103"/>
      <c r="M479" s="2407">
        <f t="shared" si="90"/>
        <v>1</v>
      </c>
      <c r="N479" s="3103"/>
      <c r="O479" s="2407">
        <f t="shared" si="91"/>
        <v>1</v>
      </c>
      <c r="P479" s="3103"/>
      <c r="Q479" s="2407">
        <f t="shared" si="92"/>
        <v>0</v>
      </c>
      <c r="R479" s="2407">
        <f t="shared" si="93"/>
        <v>0</v>
      </c>
      <c r="S479" s="3098">
        <f t="shared" si="84"/>
        <v>0</v>
      </c>
    </row>
    <row r="480" spans="1:19">
      <c r="A480" s="2571"/>
      <c r="B480" s="3107"/>
      <c r="C480" s="2407">
        <f t="shared" si="85"/>
        <v>1</v>
      </c>
      <c r="D480" s="3103"/>
      <c r="E480" s="2407">
        <f t="shared" si="86"/>
        <v>1</v>
      </c>
      <c r="F480" s="3103"/>
      <c r="G480" s="2407">
        <f t="shared" si="87"/>
        <v>1</v>
      </c>
      <c r="H480" s="3103"/>
      <c r="I480" s="2407">
        <f t="shared" si="88"/>
        <v>1</v>
      </c>
      <c r="J480" s="3103"/>
      <c r="K480" s="2407">
        <f t="shared" si="89"/>
        <v>1</v>
      </c>
      <c r="L480" s="3103"/>
      <c r="M480" s="2407">
        <f t="shared" si="90"/>
        <v>1</v>
      </c>
      <c r="N480" s="3103"/>
      <c r="O480" s="2407">
        <f t="shared" si="91"/>
        <v>1</v>
      </c>
      <c r="P480" s="3103"/>
      <c r="Q480" s="2407">
        <f t="shared" si="92"/>
        <v>0</v>
      </c>
      <c r="R480" s="2407">
        <f t="shared" si="93"/>
        <v>0</v>
      </c>
      <c r="S480" s="3098">
        <f t="shared" si="84"/>
        <v>0</v>
      </c>
    </row>
    <row r="481" spans="1:19">
      <c r="A481" s="2571"/>
      <c r="B481" s="3107"/>
      <c r="C481" s="2407">
        <f t="shared" si="85"/>
        <v>1</v>
      </c>
      <c r="D481" s="3103"/>
      <c r="E481" s="2407">
        <f t="shared" si="86"/>
        <v>1</v>
      </c>
      <c r="F481" s="3103"/>
      <c r="G481" s="2407">
        <f t="shared" si="87"/>
        <v>1</v>
      </c>
      <c r="H481" s="3103"/>
      <c r="I481" s="2407">
        <f t="shared" si="88"/>
        <v>1</v>
      </c>
      <c r="J481" s="3103"/>
      <c r="K481" s="2407">
        <f t="shared" si="89"/>
        <v>1</v>
      </c>
      <c r="L481" s="3103"/>
      <c r="M481" s="2407">
        <f t="shared" si="90"/>
        <v>1</v>
      </c>
      <c r="N481" s="3103"/>
      <c r="O481" s="2407">
        <f t="shared" si="91"/>
        <v>1</v>
      </c>
      <c r="P481" s="3103"/>
      <c r="Q481" s="2407">
        <f t="shared" si="92"/>
        <v>0</v>
      </c>
      <c r="R481" s="2407">
        <f t="shared" si="93"/>
        <v>0</v>
      </c>
      <c r="S481" s="3098">
        <f t="shared" si="84"/>
        <v>0</v>
      </c>
    </row>
    <row r="482" spans="1:19">
      <c r="A482" s="2571"/>
      <c r="B482" s="3107"/>
      <c r="C482" s="2407">
        <f t="shared" si="85"/>
        <v>1</v>
      </c>
      <c r="D482" s="3103"/>
      <c r="E482" s="2407">
        <f t="shared" si="86"/>
        <v>1</v>
      </c>
      <c r="F482" s="3103"/>
      <c r="G482" s="2407">
        <f t="shared" si="87"/>
        <v>1</v>
      </c>
      <c r="H482" s="3103"/>
      <c r="I482" s="2407">
        <f t="shared" si="88"/>
        <v>1</v>
      </c>
      <c r="J482" s="3103"/>
      <c r="K482" s="2407">
        <f t="shared" si="89"/>
        <v>1</v>
      </c>
      <c r="L482" s="3103"/>
      <c r="M482" s="2407">
        <f t="shared" si="90"/>
        <v>1</v>
      </c>
      <c r="N482" s="3103"/>
      <c r="O482" s="2407">
        <f t="shared" si="91"/>
        <v>1</v>
      </c>
      <c r="P482" s="3103"/>
      <c r="Q482" s="2407">
        <f t="shared" si="92"/>
        <v>0</v>
      </c>
      <c r="R482" s="2407">
        <f t="shared" si="93"/>
        <v>0</v>
      </c>
      <c r="S482" s="3098">
        <f t="shared" si="84"/>
        <v>0</v>
      </c>
    </row>
    <row r="483" spans="1:19">
      <c r="A483" s="2571"/>
      <c r="B483" s="3107"/>
      <c r="C483" s="2407">
        <f t="shared" si="85"/>
        <v>1</v>
      </c>
      <c r="D483" s="3103"/>
      <c r="E483" s="2407">
        <f t="shared" si="86"/>
        <v>1</v>
      </c>
      <c r="F483" s="3103"/>
      <c r="G483" s="2407">
        <f t="shared" si="87"/>
        <v>1</v>
      </c>
      <c r="H483" s="3103"/>
      <c r="I483" s="2407">
        <f t="shared" si="88"/>
        <v>1</v>
      </c>
      <c r="J483" s="3103"/>
      <c r="K483" s="2407">
        <f t="shared" si="89"/>
        <v>1</v>
      </c>
      <c r="L483" s="3103"/>
      <c r="M483" s="2407">
        <f t="shared" si="90"/>
        <v>1</v>
      </c>
      <c r="N483" s="3103"/>
      <c r="O483" s="2407">
        <f t="shared" si="91"/>
        <v>1</v>
      </c>
      <c r="P483" s="3103"/>
      <c r="Q483" s="2407">
        <f t="shared" si="92"/>
        <v>0</v>
      </c>
      <c r="R483" s="2407">
        <f t="shared" si="93"/>
        <v>0</v>
      </c>
      <c r="S483" s="3098">
        <f t="shared" si="84"/>
        <v>0</v>
      </c>
    </row>
    <row r="484" spans="1:19">
      <c r="A484" s="2571"/>
      <c r="B484" s="3107"/>
      <c r="C484" s="2407">
        <f t="shared" si="85"/>
        <v>1</v>
      </c>
      <c r="D484" s="3103"/>
      <c r="E484" s="2407">
        <f t="shared" si="86"/>
        <v>1</v>
      </c>
      <c r="F484" s="3103"/>
      <c r="G484" s="2407">
        <f t="shared" si="87"/>
        <v>1</v>
      </c>
      <c r="H484" s="3103"/>
      <c r="I484" s="2407">
        <f t="shared" si="88"/>
        <v>1</v>
      </c>
      <c r="J484" s="3103"/>
      <c r="K484" s="2407">
        <f t="shared" si="89"/>
        <v>1</v>
      </c>
      <c r="L484" s="3103"/>
      <c r="M484" s="2407">
        <f t="shared" si="90"/>
        <v>1</v>
      </c>
      <c r="N484" s="3103"/>
      <c r="O484" s="2407">
        <f t="shared" si="91"/>
        <v>1</v>
      </c>
      <c r="P484" s="3103"/>
      <c r="Q484" s="2407">
        <f t="shared" si="92"/>
        <v>0</v>
      </c>
      <c r="R484" s="2407">
        <f t="shared" si="93"/>
        <v>0</v>
      </c>
      <c r="S484" s="3098">
        <f t="shared" si="84"/>
        <v>0</v>
      </c>
    </row>
    <row r="485" spans="1:19">
      <c r="A485" s="2571"/>
      <c r="B485" s="3107"/>
      <c r="C485" s="2407">
        <f t="shared" si="85"/>
        <v>1</v>
      </c>
      <c r="D485" s="3103"/>
      <c r="E485" s="2407">
        <f t="shared" si="86"/>
        <v>1</v>
      </c>
      <c r="F485" s="3103"/>
      <c r="G485" s="2407">
        <f t="shared" si="87"/>
        <v>1</v>
      </c>
      <c r="H485" s="3103"/>
      <c r="I485" s="2407">
        <f t="shared" si="88"/>
        <v>1</v>
      </c>
      <c r="J485" s="3103"/>
      <c r="K485" s="2407">
        <f t="shared" si="89"/>
        <v>1</v>
      </c>
      <c r="L485" s="3103"/>
      <c r="M485" s="2407">
        <f t="shared" si="90"/>
        <v>1</v>
      </c>
      <c r="N485" s="3103"/>
      <c r="O485" s="2407">
        <f t="shared" si="91"/>
        <v>1</v>
      </c>
      <c r="P485" s="3103"/>
      <c r="Q485" s="2407">
        <f t="shared" si="92"/>
        <v>0</v>
      </c>
      <c r="R485" s="2407">
        <f t="shared" si="93"/>
        <v>0</v>
      </c>
      <c r="S485" s="3098">
        <f t="shared" si="84"/>
        <v>0</v>
      </c>
    </row>
    <row r="486" spans="1:19">
      <c r="A486" s="2571"/>
      <c r="B486" s="3107"/>
      <c r="C486" s="2407">
        <f t="shared" si="85"/>
        <v>1</v>
      </c>
      <c r="D486" s="3103"/>
      <c r="E486" s="2407">
        <f t="shared" si="86"/>
        <v>1</v>
      </c>
      <c r="F486" s="3103"/>
      <c r="G486" s="2407">
        <f t="shared" si="87"/>
        <v>1</v>
      </c>
      <c r="H486" s="3103"/>
      <c r="I486" s="2407">
        <f t="shared" si="88"/>
        <v>1</v>
      </c>
      <c r="J486" s="3103"/>
      <c r="K486" s="2407">
        <f t="shared" si="89"/>
        <v>1</v>
      </c>
      <c r="L486" s="3103"/>
      <c r="M486" s="2407">
        <f t="shared" si="90"/>
        <v>1</v>
      </c>
      <c r="N486" s="3103"/>
      <c r="O486" s="2407">
        <f t="shared" si="91"/>
        <v>1</v>
      </c>
      <c r="P486" s="3103"/>
      <c r="Q486" s="2407">
        <f t="shared" si="92"/>
        <v>0</v>
      </c>
      <c r="R486" s="2407">
        <f t="shared" si="93"/>
        <v>0</v>
      </c>
      <c r="S486" s="3098">
        <f t="shared" si="84"/>
        <v>0</v>
      </c>
    </row>
    <row r="487" spans="1:19">
      <c r="A487" s="2571"/>
      <c r="B487" s="3107"/>
      <c r="C487" s="2407">
        <f t="shared" si="85"/>
        <v>1</v>
      </c>
      <c r="D487" s="3103"/>
      <c r="E487" s="2407">
        <f t="shared" si="86"/>
        <v>1</v>
      </c>
      <c r="F487" s="3103"/>
      <c r="G487" s="2407">
        <f t="shared" si="87"/>
        <v>1</v>
      </c>
      <c r="H487" s="3103"/>
      <c r="I487" s="2407">
        <f t="shared" si="88"/>
        <v>1</v>
      </c>
      <c r="J487" s="3103"/>
      <c r="K487" s="2407">
        <f t="shared" si="89"/>
        <v>1</v>
      </c>
      <c r="L487" s="3103"/>
      <c r="M487" s="2407">
        <f t="shared" si="90"/>
        <v>1</v>
      </c>
      <c r="N487" s="3103"/>
      <c r="O487" s="2407">
        <f t="shared" si="91"/>
        <v>1</v>
      </c>
      <c r="P487" s="3103"/>
      <c r="Q487" s="2407">
        <f t="shared" si="92"/>
        <v>0</v>
      </c>
      <c r="R487" s="2407">
        <f t="shared" si="93"/>
        <v>0</v>
      </c>
      <c r="S487" s="3098">
        <f t="shared" si="84"/>
        <v>0</v>
      </c>
    </row>
    <row r="488" spans="1:19">
      <c r="A488" s="2571"/>
      <c r="B488" s="3107"/>
      <c r="C488" s="2407">
        <f t="shared" si="85"/>
        <v>1</v>
      </c>
      <c r="D488" s="3103"/>
      <c r="E488" s="2407">
        <f t="shared" si="86"/>
        <v>1</v>
      </c>
      <c r="F488" s="3103"/>
      <c r="G488" s="2407">
        <f t="shared" si="87"/>
        <v>1</v>
      </c>
      <c r="H488" s="3103"/>
      <c r="I488" s="2407">
        <f t="shared" si="88"/>
        <v>1</v>
      </c>
      <c r="J488" s="3103"/>
      <c r="K488" s="2407">
        <f t="shared" si="89"/>
        <v>1</v>
      </c>
      <c r="L488" s="3103"/>
      <c r="M488" s="2407">
        <f t="shared" si="90"/>
        <v>1</v>
      </c>
      <c r="N488" s="3103"/>
      <c r="O488" s="2407">
        <f t="shared" si="91"/>
        <v>1</v>
      </c>
      <c r="P488" s="3103"/>
      <c r="Q488" s="2407">
        <f t="shared" si="92"/>
        <v>0</v>
      </c>
      <c r="R488" s="2407">
        <f t="shared" si="93"/>
        <v>0</v>
      </c>
      <c r="S488" s="3098">
        <f t="shared" si="84"/>
        <v>0</v>
      </c>
    </row>
    <row r="489" spans="1:19">
      <c r="A489" s="2571"/>
      <c r="B489" s="3107"/>
      <c r="C489" s="2407">
        <f t="shared" si="85"/>
        <v>1</v>
      </c>
      <c r="D489" s="3103"/>
      <c r="E489" s="2407">
        <f t="shared" si="86"/>
        <v>1</v>
      </c>
      <c r="F489" s="3103"/>
      <c r="G489" s="2407">
        <f t="shared" si="87"/>
        <v>1</v>
      </c>
      <c r="H489" s="3103"/>
      <c r="I489" s="2407">
        <f t="shared" si="88"/>
        <v>1</v>
      </c>
      <c r="J489" s="3103"/>
      <c r="K489" s="2407">
        <f t="shared" si="89"/>
        <v>1</v>
      </c>
      <c r="L489" s="3103"/>
      <c r="M489" s="2407">
        <f t="shared" si="90"/>
        <v>1</v>
      </c>
      <c r="N489" s="3103"/>
      <c r="O489" s="2407">
        <f t="shared" si="91"/>
        <v>1</v>
      </c>
      <c r="P489" s="3103"/>
      <c r="Q489" s="2407">
        <f t="shared" si="92"/>
        <v>0</v>
      </c>
      <c r="R489" s="2407">
        <f t="shared" si="93"/>
        <v>0</v>
      </c>
      <c r="S489" s="3098">
        <f t="shared" si="84"/>
        <v>0</v>
      </c>
    </row>
    <row r="490" spans="1:19">
      <c r="A490" s="2571"/>
      <c r="B490" s="3107"/>
      <c r="C490" s="2407">
        <f t="shared" si="85"/>
        <v>1</v>
      </c>
      <c r="D490" s="3103"/>
      <c r="E490" s="2407">
        <f t="shared" si="86"/>
        <v>1</v>
      </c>
      <c r="F490" s="3103"/>
      <c r="G490" s="2407">
        <f t="shared" si="87"/>
        <v>1</v>
      </c>
      <c r="H490" s="3103"/>
      <c r="I490" s="2407">
        <f t="shared" si="88"/>
        <v>1</v>
      </c>
      <c r="J490" s="3103"/>
      <c r="K490" s="2407">
        <f t="shared" si="89"/>
        <v>1</v>
      </c>
      <c r="L490" s="3103"/>
      <c r="M490" s="2407">
        <f t="shared" si="90"/>
        <v>1</v>
      </c>
      <c r="N490" s="3103"/>
      <c r="O490" s="2407">
        <f t="shared" si="91"/>
        <v>1</v>
      </c>
      <c r="P490" s="3103"/>
      <c r="Q490" s="2407">
        <f t="shared" si="92"/>
        <v>0</v>
      </c>
      <c r="R490" s="2407">
        <f t="shared" si="93"/>
        <v>0</v>
      </c>
      <c r="S490" s="3098">
        <f t="shared" si="84"/>
        <v>0</v>
      </c>
    </row>
    <row r="491" spans="1:19">
      <c r="A491" s="2571"/>
      <c r="B491" s="3107"/>
      <c r="C491" s="2407">
        <f t="shared" si="85"/>
        <v>1</v>
      </c>
      <c r="D491" s="3103"/>
      <c r="E491" s="2407">
        <f t="shared" si="86"/>
        <v>1</v>
      </c>
      <c r="F491" s="3103"/>
      <c r="G491" s="2407">
        <f t="shared" si="87"/>
        <v>1</v>
      </c>
      <c r="H491" s="3103"/>
      <c r="I491" s="2407">
        <f t="shared" si="88"/>
        <v>1</v>
      </c>
      <c r="J491" s="3103"/>
      <c r="K491" s="2407">
        <f t="shared" si="89"/>
        <v>1</v>
      </c>
      <c r="L491" s="3103"/>
      <c r="M491" s="2407">
        <f t="shared" si="90"/>
        <v>1</v>
      </c>
      <c r="N491" s="3103"/>
      <c r="O491" s="2407">
        <f t="shared" si="91"/>
        <v>1</v>
      </c>
      <c r="P491" s="3103"/>
      <c r="Q491" s="2407">
        <f t="shared" si="92"/>
        <v>0</v>
      </c>
      <c r="R491" s="2407">
        <f t="shared" si="93"/>
        <v>0</v>
      </c>
      <c r="S491" s="3098">
        <f t="shared" si="84"/>
        <v>0</v>
      </c>
    </row>
    <row r="492" spans="1:19">
      <c r="A492" s="2571"/>
      <c r="B492" s="3107"/>
      <c r="C492" s="2407">
        <f t="shared" si="85"/>
        <v>1</v>
      </c>
      <c r="D492" s="3103"/>
      <c r="E492" s="2407">
        <f t="shared" si="86"/>
        <v>1</v>
      </c>
      <c r="F492" s="3103"/>
      <c r="G492" s="2407">
        <f t="shared" si="87"/>
        <v>1</v>
      </c>
      <c r="H492" s="3103"/>
      <c r="I492" s="2407">
        <f t="shared" si="88"/>
        <v>1</v>
      </c>
      <c r="J492" s="3103"/>
      <c r="K492" s="2407">
        <f t="shared" si="89"/>
        <v>1</v>
      </c>
      <c r="L492" s="3103"/>
      <c r="M492" s="2407">
        <f t="shared" si="90"/>
        <v>1</v>
      </c>
      <c r="N492" s="3103"/>
      <c r="O492" s="2407">
        <f t="shared" si="91"/>
        <v>1</v>
      </c>
      <c r="P492" s="3103"/>
      <c r="Q492" s="2407">
        <f t="shared" si="92"/>
        <v>0</v>
      </c>
      <c r="R492" s="2407">
        <f t="shared" si="93"/>
        <v>0</v>
      </c>
      <c r="S492" s="3098">
        <f t="shared" si="84"/>
        <v>0</v>
      </c>
    </row>
    <row r="493" spans="1:19">
      <c r="A493" s="2571"/>
      <c r="B493" s="3107"/>
      <c r="C493" s="2407">
        <f t="shared" si="85"/>
        <v>1</v>
      </c>
      <c r="D493" s="3103"/>
      <c r="E493" s="2407">
        <f t="shared" si="86"/>
        <v>1</v>
      </c>
      <c r="F493" s="3103"/>
      <c r="G493" s="2407">
        <f t="shared" si="87"/>
        <v>1</v>
      </c>
      <c r="H493" s="3103"/>
      <c r="I493" s="2407">
        <f t="shared" si="88"/>
        <v>1</v>
      </c>
      <c r="J493" s="3103"/>
      <c r="K493" s="2407">
        <f t="shared" si="89"/>
        <v>1</v>
      </c>
      <c r="L493" s="3103"/>
      <c r="M493" s="2407">
        <f t="shared" si="90"/>
        <v>1</v>
      </c>
      <c r="N493" s="3103"/>
      <c r="O493" s="2407">
        <f t="shared" si="91"/>
        <v>1</v>
      </c>
      <c r="P493" s="3103"/>
      <c r="Q493" s="2407">
        <f t="shared" si="92"/>
        <v>0</v>
      </c>
      <c r="R493" s="2407">
        <f t="shared" si="93"/>
        <v>0</v>
      </c>
      <c r="S493" s="3098">
        <f t="shared" si="84"/>
        <v>0</v>
      </c>
    </row>
    <row r="494" spans="1:19">
      <c r="A494" s="2571"/>
      <c r="B494" s="3107"/>
      <c r="C494" s="2407">
        <f t="shared" si="85"/>
        <v>1</v>
      </c>
      <c r="D494" s="3103"/>
      <c r="E494" s="2407">
        <f t="shared" si="86"/>
        <v>1</v>
      </c>
      <c r="F494" s="3103"/>
      <c r="G494" s="2407">
        <f t="shared" si="87"/>
        <v>1</v>
      </c>
      <c r="H494" s="3103"/>
      <c r="I494" s="2407">
        <f t="shared" si="88"/>
        <v>1</v>
      </c>
      <c r="J494" s="3103"/>
      <c r="K494" s="2407">
        <f t="shared" si="89"/>
        <v>1</v>
      </c>
      <c r="L494" s="3103"/>
      <c r="M494" s="2407">
        <f t="shared" si="90"/>
        <v>1</v>
      </c>
      <c r="N494" s="3103"/>
      <c r="O494" s="2407">
        <f t="shared" si="91"/>
        <v>1</v>
      </c>
      <c r="P494" s="3103"/>
      <c r="Q494" s="2407">
        <f t="shared" si="92"/>
        <v>0</v>
      </c>
      <c r="R494" s="2407">
        <f t="shared" si="93"/>
        <v>0</v>
      </c>
      <c r="S494" s="3098">
        <f t="shared" si="84"/>
        <v>0</v>
      </c>
    </row>
    <row r="495" spans="1:19">
      <c r="A495" s="2571"/>
      <c r="B495" s="3107"/>
      <c r="C495" s="2407">
        <f t="shared" si="85"/>
        <v>1</v>
      </c>
      <c r="D495" s="3103"/>
      <c r="E495" s="2407">
        <f t="shared" si="86"/>
        <v>1</v>
      </c>
      <c r="F495" s="3103"/>
      <c r="G495" s="2407">
        <f t="shared" si="87"/>
        <v>1</v>
      </c>
      <c r="H495" s="3103"/>
      <c r="I495" s="2407">
        <f t="shared" si="88"/>
        <v>1</v>
      </c>
      <c r="J495" s="3103"/>
      <c r="K495" s="2407">
        <f t="shared" si="89"/>
        <v>1</v>
      </c>
      <c r="L495" s="3103"/>
      <c r="M495" s="2407">
        <f t="shared" si="90"/>
        <v>1</v>
      </c>
      <c r="N495" s="3103"/>
      <c r="O495" s="2407">
        <f t="shared" si="91"/>
        <v>1</v>
      </c>
      <c r="P495" s="3103"/>
      <c r="Q495" s="2407">
        <f t="shared" si="92"/>
        <v>0</v>
      </c>
      <c r="R495" s="2407">
        <f t="shared" si="93"/>
        <v>0</v>
      </c>
      <c r="S495" s="3098">
        <f t="shared" si="84"/>
        <v>0</v>
      </c>
    </row>
    <row r="496" spans="1:19">
      <c r="A496" s="2571"/>
      <c r="B496" s="3107"/>
      <c r="C496" s="2407">
        <f t="shared" si="85"/>
        <v>1</v>
      </c>
      <c r="D496" s="3103"/>
      <c r="E496" s="2407">
        <f t="shared" si="86"/>
        <v>1</v>
      </c>
      <c r="F496" s="3103"/>
      <c r="G496" s="2407">
        <f t="shared" si="87"/>
        <v>1</v>
      </c>
      <c r="H496" s="3103"/>
      <c r="I496" s="2407">
        <f t="shared" si="88"/>
        <v>1</v>
      </c>
      <c r="J496" s="3103"/>
      <c r="K496" s="2407">
        <f t="shared" si="89"/>
        <v>1</v>
      </c>
      <c r="L496" s="3103"/>
      <c r="M496" s="2407">
        <f t="shared" si="90"/>
        <v>1</v>
      </c>
      <c r="N496" s="3103"/>
      <c r="O496" s="2407">
        <f t="shared" si="91"/>
        <v>1</v>
      </c>
      <c r="P496" s="3103"/>
      <c r="Q496" s="2407">
        <f t="shared" si="92"/>
        <v>0</v>
      </c>
      <c r="R496" s="2407">
        <f t="shared" si="93"/>
        <v>0</v>
      </c>
      <c r="S496" s="3098">
        <f t="shared" si="84"/>
        <v>0</v>
      </c>
    </row>
    <row r="497" spans="1:19">
      <c r="A497" s="2571"/>
      <c r="B497" s="3107"/>
      <c r="C497" s="2407">
        <f t="shared" si="85"/>
        <v>1</v>
      </c>
      <c r="D497" s="3103"/>
      <c r="E497" s="2407">
        <f t="shared" si="86"/>
        <v>1</v>
      </c>
      <c r="F497" s="3103"/>
      <c r="G497" s="2407">
        <f t="shared" si="87"/>
        <v>1</v>
      </c>
      <c r="H497" s="3103"/>
      <c r="I497" s="2407">
        <f t="shared" si="88"/>
        <v>1</v>
      </c>
      <c r="J497" s="3103"/>
      <c r="K497" s="2407">
        <f t="shared" si="89"/>
        <v>1</v>
      </c>
      <c r="L497" s="3103"/>
      <c r="M497" s="2407">
        <f t="shared" si="90"/>
        <v>1</v>
      </c>
      <c r="N497" s="3103"/>
      <c r="O497" s="2407">
        <f t="shared" si="91"/>
        <v>1</v>
      </c>
      <c r="P497" s="3103"/>
      <c r="Q497" s="2407">
        <f t="shared" si="92"/>
        <v>0</v>
      </c>
      <c r="R497" s="2407">
        <f t="shared" si="93"/>
        <v>0</v>
      </c>
      <c r="S497" s="3098">
        <f t="shared" si="84"/>
        <v>0</v>
      </c>
    </row>
    <row r="498" spans="1:19">
      <c r="A498" s="2571"/>
      <c r="B498" s="3107"/>
      <c r="C498" s="2407">
        <f t="shared" si="85"/>
        <v>1</v>
      </c>
      <c r="D498" s="3103"/>
      <c r="E498" s="2407">
        <f t="shared" si="86"/>
        <v>1</v>
      </c>
      <c r="F498" s="3103"/>
      <c r="G498" s="2407">
        <f t="shared" si="87"/>
        <v>1</v>
      </c>
      <c r="H498" s="3103"/>
      <c r="I498" s="2407">
        <f t="shared" si="88"/>
        <v>1</v>
      </c>
      <c r="J498" s="3103"/>
      <c r="K498" s="2407">
        <f t="shared" si="89"/>
        <v>1</v>
      </c>
      <c r="L498" s="3103"/>
      <c r="M498" s="2407">
        <f t="shared" si="90"/>
        <v>1</v>
      </c>
      <c r="N498" s="3103"/>
      <c r="O498" s="2407">
        <f t="shared" si="91"/>
        <v>1</v>
      </c>
      <c r="P498" s="3103"/>
      <c r="Q498" s="2407">
        <f t="shared" si="92"/>
        <v>0</v>
      </c>
      <c r="R498" s="2407">
        <f t="shared" si="93"/>
        <v>0</v>
      </c>
      <c r="S498" s="3098">
        <f t="shared" ref="S498:S524" si="94">ROUND(R498*B498/10000,0)</f>
        <v>0</v>
      </c>
    </row>
    <row r="499" spans="1:19">
      <c r="A499" s="2571"/>
      <c r="B499" s="3107"/>
      <c r="C499" s="2407">
        <f t="shared" si="85"/>
        <v>1</v>
      </c>
      <c r="D499" s="3103"/>
      <c r="E499" s="2407">
        <f t="shared" si="86"/>
        <v>1</v>
      </c>
      <c r="F499" s="3103"/>
      <c r="G499" s="2407">
        <f t="shared" si="87"/>
        <v>1</v>
      </c>
      <c r="H499" s="3103"/>
      <c r="I499" s="2407">
        <f t="shared" si="88"/>
        <v>1</v>
      </c>
      <c r="J499" s="3103"/>
      <c r="K499" s="2407">
        <f t="shared" si="89"/>
        <v>1</v>
      </c>
      <c r="L499" s="3103"/>
      <c r="M499" s="2407">
        <f t="shared" si="90"/>
        <v>1</v>
      </c>
      <c r="N499" s="3103"/>
      <c r="O499" s="2407">
        <f t="shared" si="91"/>
        <v>1</v>
      </c>
      <c r="P499" s="3103"/>
      <c r="Q499" s="2407">
        <f t="shared" si="92"/>
        <v>0</v>
      </c>
      <c r="R499" s="2407">
        <f t="shared" si="93"/>
        <v>0</v>
      </c>
      <c r="S499" s="3098">
        <f t="shared" si="94"/>
        <v>0</v>
      </c>
    </row>
    <row r="500" spans="1:19">
      <c r="A500" s="2571"/>
      <c r="B500" s="3107"/>
      <c r="C500" s="2407">
        <f t="shared" si="85"/>
        <v>1</v>
      </c>
      <c r="D500" s="3103"/>
      <c r="E500" s="2407">
        <f t="shared" si="86"/>
        <v>1</v>
      </c>
      <c r="F500" s="3103"/>
      <c r="G500" s="2407">
        <f t="shared" si="87"/>
        <v>1</v>
      </c>
      <c r="H500" s="3103"/>
      <c r="I500" s="2407">
        <f t="shared" si="88"/>
        <v>1</v>
      </c>
      <c r="J500" s="3103"/>
      <c r="K500" s="2407">
        <f t="shared" si="89"/>
        <v>1</v>
      </c>
      <c r="L500" s="3103"/>
      <c r="M500" s="2407">
        <f t="shared" si="90"/>
        <v>1</v>
      </c>
      <c r="N500" s="3103"/>
      <c r="O500" s="2407">
        <f t="shared" si="91"/>
        <v>1</v>
      </c>
      <c r="P500" s="3103"/>
      <c r="Q500" s="2407">
        <f t="shared" si="92"/>
        <v>0</v>
      </c>
      <c r="R500" s="2407">
        <f t="shared" si="93"/>
        <v>0</v>
      </c>
      <c r="S500" s="3098">
        <f t="shared" si="94"/>
        <v>0</v>
      </c>
    </row>
    <row r="501" spans="1:19">
      <c r="A501" s="2571"/>
      <c r="B501" s="3107"/>
      <c r="C501" s="2407">
        <f t="shared" si="85"/>
        <v>1</v>
      </c>
      <c r="D501" s="3103"/>
      <c r="E501" s="2407">
        <f t="shared" si="86"/>
        <v>1</v>
      </c>
      <c r="F501" s="3103"/>
      <c r="G501" s="2407">
        <f t="shared" si="87"/>
        <v>1</v>
      </c>
      <c r="H501" s="3103"/>
      <c r="I501" s="2407">
        <f t="shared" si="88"/>
        <v>1</v>
      </c>
      <c r="J501" s="3103"/>
      <c r="K501" s="2407">
        <f t="shared" si="89"/>
        <v>1</v>
      </c>
      <c r="L501" s="3103"/>
      <c r="M501" s="2407">
        <f t="shared" si="90"/>
        <v>1</v>
      </c>
      <c r="N501" s="3103"/>
      <c r="O501" s="2407">
        <f t="shared" si="91"/>
        <v>1</v>
      </c>
      <c r="P501" s="3103"/>
      <c r="Q501" s="2407">
        <f t="shared" si="92"/>
        <v>0</v>
      </c>
      <c r="R501" s="2407">
        <f t="shared" si="93"/>
        <v>0</v>
      </c>
      <c r="S501" s="3098">
        <f t="shared" si="94"/>
        <v>0</v>
      </c>
    </row>
    <row r="502" spans="1:19">
      <c r="A502" s="2571"/>
      <c r="B502" s="3107"/>
      <c r="C502" s="2407">
        <f t="shared" si="85"/>
        <v>1</v>
      </c>
      <c r="D502" s="3103"/>
      <c r="E502" s="2407">
        <f t="shared" si="86"/>
        <v>1</v>
      </c>
      <c r="F502" s="3103"/>
      <c r="G502" s="2407">
        <f t="shared" si="87"/>
        <v>1</v>
      </c>
      <c r="H502" s="3103"/>
      <c r="I502" s="2407">
        <f t="shared" si="88"/>
        <v>1</v>
      </c>
      <c r="J502" s="3103"/>
      <c r="K502" s="2407">
        <f t="shared" si="89"/>
        <v>1</v>
      </c>
      <c r="L502" s="3103"/>
      <c r="M502" s="2407">
        <f t="shared" si="90"/>
        <v>1</v>
      </c>
      <c r="N502" s="3103"/>
      <c r="O502" s="2407">
        <f t="shared" si="91"/>
        <v>1</v>
      </c>
      <c r="P502" s="3103"/>
      <c r="Q502" s="2407">
        <f t="shared" si="92"/>
        <v>0</v>
      </c>
      <c r="R502" s="2407">
        <f t="shared" si="93"/>
        <v>0</v>
      </c>
      <c r="S502" s="3098">
        <f t="shared" si="94"/>
        <v>0</v>
      </c>
    </row>
    <row r="503" spans="1:19">
      <c r="A503" s="2571"/>
      <c r="B503" s="3107"/>
      <c r="C503" s="2407">
        <f t="shared" si="85"/>
        <v>1</v>
      </c>
      <c r="D503" s="3103"/>
      <c r="E503" s="2407">
        <f t="shared" si="86"/>
        <v>1</v>
      </c>
      <c r="F503" s="3103"/>
      <c r="G503" s="2407">
        <f t="shared" si="87"/>
        <v>1</v>
      </c>
      <c r="H503" s="3103"/>
      <c r="I503" s="2407">
        <f t="shared" si="88"/>
        <v>1</v>
      </c>
      <c r="J503" s="3103"/>
      <c r="K503" s="2407">
        <f t="shared" si="89"/>
        <v>1</v>
      </c>
      <c r="L503" s="3103"/>
      <c r="M503" s="2407">
        <f t="shared" si="90"/>
        <v>1</v>
      </c>
      <c r="N503" s="3103"/>
      <c r="O503" s="2407">
        <f t="shared" si="91"/>
        <v>1</v>
      </c>
      <c r="P503" s="3103"/>
      <c r="Q503" s="2407">
        <f t="shared" si="92"/>
        <v>0</v>
      </c>
      <c r="R503" s="2407">
        <f t="shared" si="93"/>
        <v>0</v>
      </c>
      <c r="S503" s="3098">
        <f t="shared" si="94"/>
        <v>0</v>
      </c>
    </row>
    <row r="504" spans="1:19">
      <c r="A504" s="2571"/>
      <c r="B504" s="3107"/>
      <c r="C504" s="2407">
        <f t="shared" si="85"/>
        <v>1</v>
      </c>
      <c r="D504" s="3103"/>
      <c r="E504" s="2407">
        <f t="shared" si="86"/>
        <v>1</v>
      </c>
      <c r="F504" s="3103"/>
      <c r="G504" s="2407">
        <f t="shared" si="87"/>
        <v>1</v>
      </c>
      <c r="H504" s="3103"/>
      <c r="I504" s="2407">
        <f t="shared" si="88"/>
        <v>1</v>
      </c>
      <c r="J504" s="3103"/>
      <c r="K504" s="2407">
        <f t="shared" si="89"/>
        <v>1</v>
      </c>
      <c r="L504" s="3103"/>
      <c r="M504" s="2407">
        <f t="shared" si="90"/>
        <v>1</v>
      </c>
      <c r="N504" s="3103"/>
      <c r="O504" s="2407">
        <f t="shared" si="91"/>
        <v>1</v>
      </c>
      <c r="P504" s="3103"/>
      <c r="Q504" s="2407">
        <f t="shared" si="92"/>
        <v>0</v>
      </c>
      <c r="R504" s="2407">
        <f t="shared" si="93"/>
        <v>0</v>
      </c>
      <c r="S504" s="3098">
        <f t="shared" si="94"/>
        <v>0</v>
      </c>
    </row>
    <row r="505" spans="1:19">
      <c r="A505" s="2571"/>
      <c r="B505" s="3107"/>
      <c r="C505" s="2407">
        <f t="shared" si="85"/>
        <v>1</v>
      </c>
      <c r="D505" s="3103"/>
      <c r="E505" s="2407">
        <f t="shared" si="86"/>
        <v>1</v>
      </c>
      <c r="F505" s="3103"/>
      <c r="G505" s="2407">
        <f t="shared" si="87"/>
        <v>1</v>
      </c>
      <c r="H505" s="3103"/>
      <c r="I505" s="2407">
        <f t="shared" si="88"/>
        <v>1</v>
      </c>
      <c r="J505" s="3103"/>
      <c r="K505" s="2407">
        <f t="shared" si="89"/>
        <v>1</v>
      </c>
      <c r="L505" s="3103"/>
      <c r="M505" s="2407">
        <f t="shared" si="90"/>
        <v>1</v>
      </c>
      <c r="N505" s="3103"/>
      <c r="O505" s="2407">
        <f t="shared" si="91"/>
        <v>1</v>
      </c>
      <c r="P505" s="3103"/>
      <c r="Q505" s="2407">
        <f t="shared" si="92"/>
        <v>0</v>
      </c>
      <c r="R505" s="2407">
        <f t="shared" si="93"/>
        <v>0</v>
      </c>
      <c r="S505" s="3098">
        <f t="shared" si="94"/>
        <v>0</v>
      </c>
    </row>
    <row r="506" spans="1:19">
      <c r="A506" s="2571"/>
      <c r="B506" s="3107"/>
      <c r="C506" s="2407">
        <f t="shared" si="85"/>
        <v>1</v>
      </c>
      <c r="D506" s="3103"/>
      <c r="E506" s="2407">
        <f t="shared" si="86"/>
        <v>1</v>
      </c>
      <c r="F506" s="3103"/>
      <c r="G506" s="2407">
        <f t="shared" si="87"/>
        <v>1</v>
      </c>
      <c r="H506" s="3103"/>
      <c r="I506" s="2407">
        <f t="shared" si="88"/>
        <v>1</v>
      </c>
      <c r="J506" s="3103"/>
      <c r="K506" s="2407">
        <f t="shared" si="89"/>
        <v>1</v>
      </c>
      <c r="L506" s="3103"/>
      <c r="M506" s="2407">
        <f t="shared" si="90"/>
        <v>1</v>
      </c>
      <c r="N506" s="3103"/>
      <c r="O506" s="2407">
        <f t="shared" si="91"/>
        <v>1</v>
      </c>
      <c r="P506" s="3103"/>
      <c r="Q506" s="2407">
        <f t="shared" si="92"/>
        <v>0</v>
      </c>
      <c r="R506" s="2407">
        <f t="shared" si="93"/>
        <v>0</v>
      </c>
      <c r="S506" s="3098">
        <f t="shared" si="94"/>
        <v>0</v>
      </c>
    </row>
    <row r="507" spans="1:19">
      <c r="A507" s="2571"/>
      <c r="B507" s="3107"/>
      <c r="C507" s="2407">
        <f t="shared" si="85"/>
        <v>1</v>
      </c>
      <c r="D507" s="3103"/>
      <c r="E507" s="2407">
        <f t="shared" si="86"/>
        <v>1</v>
      </c>
      <c r="F507" s="3103"/>
      <c r="G507" s="2407">
        <f t="shared" si="87"/>
        <v>1</v>
      </c>
      <c r="H507" s="3103"/>
      <c r="I507" s="2407">
        <f t="shared" si="88"/>
        <v>1</v>
      </c>
      <c r="J507" s="3103"/>
      <c r="K507" s="2407">
        <f t="shared" si="89"/>
        <v>1</v>
      </c>
      <c r="L507" s="3103"/>
      <c r="M507" s="2407">
        <f t="shared" si="90"/>
        <v>1</v>
      </c>
      <c r="N507" s="3103"/>
      <c r="O507" s="2407">
        <f t="shared" si="91"/>
        <v>1</v>
      </c>
      <c r="P507" s="3103"/>
      <c r="Q507" s="2407">
        <f t="shared" si="92"/>
        <v>0</v>
      </c>
      <c r="R507" s="2407">
        <f t="shared" si="93"/>
        <v>0</v>
      </c>
      <c r="S507" s="3098">
        <f t="shared" si="94"/>
        <v>0</v>
      </c>
    </row>
    <row r="508" spans="1:19">
      <c r="A508" s="2571"/>
      <c r="B508" s="3107"/>
      <c r="C508" s="2407">
        <f t="shared" si="85"/>
        <v>1</v>
      </c>
      <c r="D508" s="3103"/>
      <c r="E508" s="2407">
        <f t="shared" si="86"/>
        <v>1</v>
      </c>
      <c r="F508" s="3103"/>
      <c r="G508" s="2407">
        <f t="shared" si="87"/>
        <v>1</v>
      </c>
      <c r="H508" s="3103"/>
      <c r="I508" s="2407">
        <f t="shared" si="88"/>
        <v>1</v>
      </c>
      <c r="J508" s="3103"/>
      <c r="K508" s="2407">
        <f t="shared" si="89"/>
        <v>1</v>
      </c>
      <c r="L508" s="3103"/>
      <c r="M508" s="2407">
        <f t="shared" si="90"/>
        <v>1</v>
      </c>
      <c r="N508" s="3103"/>
      <c r="O508" s="2407">
        <f t="shared" si="91"/>
        <v>1</v>
      </c>
      <c r="P508" s="3103"/>
      <c r="Q508" s="2407">
        <f t="shared" si="92"/>
        <v>0</v>
      </c>
      <c r="R508" s="2407">
        <f t="shared" si="93"/>
        <v>0</v>
      </c>
      <c r="S508" s="3098">
        <f t="shared" si="94"/>
        <v>0</v>
      </c>
    </row>
    <row r="509" spans="1:19">
      <c r="A509" s="2571"/>
      <c r="B509" s="3107"/>
      <c r="C509" s="2407">
        <f t="shared" si="85"/>
        <v>1</v>
      </c>
      <c r="D509" s="3103"/>
      <c r="E509" s="2407">
        <f t="shared" si="86"/>
        <v>1</v>
      </c>
      <c r="F509" s="3103"/>
      <c r="G509" s="2407">
        <f t="shared" si="87"/>
        <v>1</v>
      </c>
      <c r="H509" s="3103"/>
      <c r="I509" s="2407">
        <f t="shared" si="88"/>
        <v>1</v>
      </c>
      <c r="J509" s="3103"/>
      <c r="K509" s="2407">
        <f t="shared" si="89"/>
        <v>1</v>
      </c>
      <c r="L509" s="3103"/>
      <c r="M509" s="2407">
        <f t="shared" si="90"/>
        <v>1</v>
      </c>
      <c r="N509" s="3103"/>
      <c r="O509" s="2407">
        <f t="shared" si="91"/>
        <v>1</v>
      </c>
      <c r="P509" s="3103"/>
      <c r="Q509" s="2407">
        <f t="shared" si="92"/>
        <v>0</v>
      </c>
      <c r="R509" s="2407">
        <f t="shared" si="93"/>
        <v>0</v>
      </c>
      <c r="S509" s="3098">
        <f t="shared" si="94"/>
        <v>0</v>
      </c>
    </row>
    <row r="510" spans="1:19">
      <c r="A510" s="2571"/>
      <c r="B510" s="3107"/>
      <c r="C510" s="2407">
        <f t="shared" si="85"/>
        <v>1</v>
      </c>
      <c r="D510" s="3103"/>
      <c r="E510" s="2407">
        <f t="shared" si="86"/>
        <v>1</v>
      </c>
      <c r="F510" s="3103"/>
      <c r="G510" s="2407">
        <f t="shared" si="87"/>
        <v>1</v>
      </c>
      <c r="H510" s="3103"/>
      <c r="I510" s="2407">
        <f t="shared" si="88"/>
        <v>1</v>
      </c>
      <c r="J510" s="3103"/>
      <c r="K510" s="2407">
        <f t="shared" si="89"/>
        <v>1</v>
      </c>
      <c r="L510" s="3103"/>
      <c r="M510" s="2407">
        <f t="shared" si="90"/>
        <v>1</v>
      </c>
      <c r="N510" s="3103"/>
      <c r="O510" s="2407">
        <f t="shared" si="91"/>
        <v>1</v>
      </c>
      <c r="P510" s="3103"/>
      <c r="Q510" s="2407">
        <f t="shared" si="92"/>
        <v>0</v>
      </c>
      <c r="R510" s="2407">
        <f t="shared" si="93"/>
        <v>0</v>
      </c>
      <c r="S510" s="3098">
        <f t="shared" si="94"/>
        <v>0</v>
      </c>
    </row>
    <row r="511" spans="1:19">
      <c r="A511" s="2571"/>
      <c r="B511" s="3107"/>
      <c r="C511" s="2407">
        <f t="shared" si="85"/>
        <v>1</v>
      </c>
      <c r="D511" s="3103"/>
      <c r="E511" s="2407">
        <f t="shared" si="86"/>
        <v>1</v>
      </c>
      <c r="F511" s="3103"/>
      <c r="G511" s="2407">
        <f t="shared" si="87"/>
        <v>1</v>
      </c>
      <c r="H511" s="3103"/>
      <c r="I511" s="2407">
        <f t="shared" si="88"/>
        <v>1</v>
      </c>
      <c r="J511" s="3103"/>
      <c r="K511" s="2407">
        <f t="shared" si="89"/>
        <v>1</v>
      </c>
      <c r="L511" s="3103"/>
      <c r="M511" s="2407">
        <f t="shared" si="90"/>
        <v>1</v>
      </c>
      <c r="N511" s="3103"/>
      <c r="O511" s="2407">
        <f t="shared" si="91"/>
        <v>1</v>
      </c>
      <c r="P511" s="3103"/>
      <c r="Q511" s="2407">
        <f t="shared" si="92"/>
        <v>0</v>
      </c>
      <c r="R511" s="2407">
        <f t="shared" si="93"/>
        <v>0</v>
      </c>
      <c r="S511" s="3098">
        <f t="shared" si="94"/>
        <v>0</v>
      </c>
    </row>
    <row r="512" spans="1:19">
      <c r="A512" s="2571"/>
      <c r="B512" s="3107"/>
      <c r="C512" s="2407">
        <f t="shared" si="85"/>
        <v>1</v>
      </c>
      <c r="D512" s="3103"/>
      <c r="E512" s="2407">
        <f t="shared" si="86"/>
        <v>1</v>
      </c>
      <c r="F512" s="3103"/>
      <c r="G512" s="2407">
        <f t="shared" si="87"/>
        <v>1</v>
      </c>
      <c r="H512" s="3103"/>
      <c r="I512" s="2407">
        <f t="shared" si="88"/>
        <v>1</v>
      </c>
      <c r="J512" s="3103"/>
      <c r="K512" s="2407">
        <f t="shared" si="89"/>
        <v>1</v>
      </c>
      <c r="L512" s="3103"/>
      <c r="M512" s="2407">
        <f t="shared" si="90"/>
        <v>1</v>
      </c>
      <c r="N512" s="3103"/>
      <c r="O512" s="2407">
        <f t="shared" si="91"/>
        <v>1</v>
      </c>
      <c r="P512" s="3103"/>
      <c r="Q512" s="2407">
        <f t="shared" si="92"/>
        <v>0</v>
      </c>
      <c r="R512" s="2407">
        <f t="shared" si="93"/>
        <v>0</v>
      </c>
      <c r="S512" s="3098">
        <f t="shared" si="94"/>
        <v>0</v>
      </c>
    </row>
    <row r="513" spans="1:19">
      <c r="A513" s="2571"/>
      <c r="B513" s="3107"/>
      <c r="C513" s="2407">
        <f t="shared" si="85"/>
        <v>1</v>
      </c>
      <c r="D513" s="3103"/>
      <c r="E513" s="2407">
        <f t="shared" si="86"/>
        <v>1</v>
      </c>
      <c r="F513" s="3103"/>
      <c r="G513" s="2407">
        <f t="shared" si="87"/>
        <v>1</v>
      </c>
      <c r="H513" s="3103"/>
      <c r="I513" s="2407">
        <f t="shared" si="88"/>
        <v>1</v>
      </c>
      <c r="J513" s="3103"/>
      <c r="K513" s="2407">
        <f t="shared" si="89"/>
        <v>1</v>
      </c>
      <c r="L513" s="3103"/>
      <c r="M513" s="2407">
        <f t="shared" si="90"/>
        <v>1</v>
      </c>
      <c r="N513" s="3103"/>
      <c r="O513" s="2407">
        <f t="shared" si="91"/>
        <v>1</v>
      </c>
      <c r="P513" s="3103"/>
      <c r="Q513" s="2407">
        <f t="shared" si="92"/>
        <v>0</v>
      </c>
      <c r="R513" s="2407">
        <f t="shared" si="93"/>
        <v>0</v>
      </c>
      <c r="S513" s="3098">
        <f t="shared" si="94"/>
        <v>0</v>
      </c>
    </row>
    <row r="514" spans="1:19">
      <c r="A514" s="2571"/>
      <c r="B514" s="3107"/>
      <c r="C514" s="2407">
        <f t="shared" si="85"/>
        <v>1</v>
      </c>
      <c r="D514" s="3103"/>
      <c r="E514" s="2407">
        <f t="shared" si="86"/>
        <v>1</v>
      </c>
      <c r="F514" s="3103"/>
      <c r="G514" s="2407">
        <f t="shared" si="87"/>
        <v>1</v>
      </c>
      <c r="H514" s="3103"/>
      <c r="I514" s="2407">
        <f t="shared" si="88"/>
        <v>1</v>
      </c>
      <c r="J514" s="3103"/>
      <c r="K514" s="2407">
        <f t="shared" si="89"/>
        <v>1</v>
      </c>
      <c r="L514" s="3103"/>
      <c r="M514" s="2407">
        <f t="shared" si="90"/>
        <v>1</v>
      </c>
      <c r="N514" s="3103"/>
      <c r="O514" s="2407">
        <f t="shared" si="91"/>
        <v>1</v>
      </c>
      <c r="P514" s="3103"/>
      <c r="Q514" s="2407">
        <f t="shared" si="92"/>
        <v>0</v>
      </c>
      <c r="R514" s="2407">
        <f t="shared" si="93"/>
        <v>0</v>
      </c>
      <c r="S514" s="3098">
        <f t="shared" si="94"/>
        <v>0</v>
      </c>
    </row>
    <row r="515" spans="1:19">
      <c r="A515" s="2571"/>
      <c r="B515" s="3107"/>
      <c r="C515" s="2407">
        <f t="shared" si="85"/>
        <v>1</v>
      </c>
      <c r="D515" s="3103"/>
      <c r="E515" s="2407">
        <f t="shared" si="86"/>
        <v>1</v>
      </c>
      <c r="F515" s="3103"/>
      <c r="G515" s="2407">
        <f t="shared" si="87"/>
        <v>1</v>
      </c>
      <c r="H515" s="3103"/>
      <c r="I515" s="2407">
        <f t="shared" si="88"/>
        <v>1</v>
      </c>
      <c r="J515" s="3103"/>
      <c r="K515" s="2407">
        <f t="shared" si="89"/>
        <v>1</v>
      </c>
      <c r="L515" s="3103"/>
      <c r="M515" s="2407">
        <f t="shared" si="90"/>
        <v>1</v>
      </c>
      <c r="N515" s="3103"/>
      <c r="O515" s="2407">
        <f t="shared" si="91"/>
        <v>1</v>
      </c>
      <c r="P515" s="3103"/>
      <c r="Q515" s="2407">
        <f t="shared" si="92"/>
        <v>0</v>
      </c>
      <c r="R515" s="2407">
        <f t="shared" si="93"/>
        <v>0</v>
      </c>
      <c r="S515" s="3098">
        <f t="shared" si="94"/>
        <v>0</v>
      </c>
    </row>
    <row r="516" spans="1:19">
      <c r="A516" s="2571"/>
      <c r="B516" s="3107"/>
      <c r="C516" s="2407">
        <f t="shared" si="85"/>
        <v>1</v>
      </c>
      <c r="D516" s="3103"/>
      <c r="E516" s="2407">
        <f t="shared" si="86"/>
        <v>1</v>
      </c>
      <c r="F516" s="3103"/>
      <c r="G516" s="2407">
        <f t="shared" si="87"/>
        <v>1</v>
      </c>
      <c r="H516" s="3103"/>
      <c r="I516" s="2407">
        <f t="shared" si="88"/>
        <v>1</v>
      </c>
      <c r="J516" s="3103"/>
      <c r="K516" s="2407">
        <f t="shared" si="89"/>
        <v>1</v>
      </c>
      <c r="L516" s="3103"/>
      <c r="M516" s="2407">
        <f t="shared" si="90"/>
        <v>1</v>
      </c>
      <c r="N516" s="3103"/>
      <c r="O516" s="2407">
        <f t="shared" si="91"/>
        <v>1</v>
      </c>
      <c r="P516" s="3103"/>
      <c r="Q516" s="2407">
        <f t="shared" si="92"/>
        <v>0</v>
      </c>
      <c r="R516" s="2407">
        <f t="shared" si="93"/>
        <v>0</v>
      </c>
      <c r="S516" s="3098">
        <f t="shared" si="94"/>
        <v>0</v>
      </c>
    </row>
    <row r="517" spans="1:19">
      <c r="A517" s="2571"/>
      <c r="B517" s="3107"/>
      <c r="C517" s="2407">
        <f t="shared" si="85"/>
        <v>1</v>
      </c>
      <c r="D517" s="3103"/>
      <c r="E517" s="2407">
        <f t="shared" si="86"/>
        <v>1</v>
      </c>
      <c r="F517" s="3103"/>
      <c r="G517" s="2407">
        <f t="shared" si="87"/>
        <v>1</v>
      </c>
      <c r="H517" s="3103"/>
      <c r="I517" s="2407">
        <f t="shared" si="88"/>
        <v>1</v>
      </c>
      <c r="J517" s="3103"/>
      <c r="K517" s="2407">
        <f t="shared" si="89"/>
        <v>1</v>
      </c>
      <c r="L517" s="3103"/>
      <c r="M517" s="2407">
        <f t="shared" si="90"/>
        <v>1</v>
      </c>
      <c r="N517" s="3103"/>
      <c r="O517" s="2407">
        <f t="shared" si="91"/>
        <v>1</v>
      </c>
      <c r="P517" s="3103"/>
      <c r="Q517" s="2407">
        <f t="shared" si="92"/>
        <v>0</v>
      </c>
      <c r="R517" s="2407">
        <f t="shared" si="93"/>
        <v>0</v>
      </c>
      <c r="S517" s="3098">
        <f t="shared" si="94"/>
        <v>0</v>
      </c>
    </row>
    <row r="518" spans="1:19">
      <c r="A518" s="2571"/>
      <c r="B518" s="3107"/>
      <c r="C518" s="2407">
        <f t="shared" si="85"/>
        <v>1</v>
      </c>
      <c r="D518" s="3103"/>
      <c r="E518" s="2407">
        <f t="shared" si="86"/>
        <v>1</v>
      </c>
      <c r="F518" s="3103"/>
      <c r="G518" s="2407">
        <f t="shared" si="87"/>
        <v>1</v>
      </c>
      <c r="H518" s="3103"/>
      <c r="I518" s="2407">
        <f t="shared" si="88"/>
        <v>1</v>
      </c>
      <c r="J518" s="3103"/>
      <c r="K518" s="2407">
        <f t="shared" si="89"/>
        <v>1</v>
      </c>
      <c r="L518" s="3103"/>
      <c r="M518" s="2407">
        <f t="shared" si="90"/>
        <v>1</v>
      </c>
      <c r="N518" s="3103"/>
      <c r="O518" s="2407">
        <f t="shared" si="91"/>
        <v>1</v>
      </c>
      <c r="P518" s="3103"/>
      <c r="Q518" s="2407">
        <f t="shared" si="92"/>
        <v>0</v>
      </c>
      <c r="R518" s="2407">
        <f t="shared" si="93"/>
        <v>0</v>
      </c>
      <c r="S518" s="3098">
        <f t="shared" si="94"/>
        <v>0</v>
      </c>
    </row>
    <row r="519" spans="1:19">
      <c r="A519" s="2571"/>
      <c r="B519" s="3107"/>
      <c r="C519" s="2407">
        <f t="shared" si="85"/>
        <v>1</v>
      </c>
      <c r="D519" s="3103"/>
      <c r="E519" s="2407">
        <f t="shared" si="86"/>
        <v>1</v>
      </c>
      <c r="F519" s="3103"/>
      <c r="G519" s="2407">
        <f t="shared" si="87"/>
        <v>1</v>
      </c>
      <c r="H519" s="3103"/>
      <c r="I519" s="2407">
        <f t="shared" si="88"/>
        <v>1</v>
      </c>
      <c r="J519" s="3103"/>
      <c r="K519" s="2407">
        <f t="shared" si="89"/>
        <v>1</v>
      </c>
      <c r="L519" s="3103"/>
      <c r="M519" s="2407">
        <f t="shared" si="90"/>
        <v>1</v>
      </c>
      <c r="N519" s="3103"/>
      <c r="O519" s="2407">
        <f t="shared" si="91"/>
        <v>1</v>
      </c>
      <c r="P519" s="3103"/>
      <c r="Q519" s="2407">
        <f t="shared" si="92"/>
        <v>0</v>
      </c>
      <c r="R519" s="2407">
        <f t="shared" si="93"/>
        <v>0</v>
      </c>
      <c r="S519" s="3098">
        <f t="shared" si="94"/>
        <v>0</v>
      </c>
    </row>
    <row r="520" spans="1:19">
      <c r="A520" s="2571"/>
      <c r="B520" s="3107"/>
      <c r="C520" s="2407">
        <f t="shared" si="85"/>
        <v>1</v>
      </c>
      <c r="D520" s="3103"/>
      <c r="E520" s="2407">
        <f t="shared" si="86"/>
        <v>1</v>
      </c>
      <c r="F520" s="3103"/>
      <c r="G520" s="2407">
        <f t="shared" si="87"/>
        <v>1</v>
      </c>
      <c r="H520" s="3103"/>
      <c r="I520" s="2407">
        <f t="shared" si="88"/>
        <v>1</v>
      </c>
      <c r="J520" s="3103"/>
      <c r="K520" s="2407">
        <f t="shared" si="89"/>
        <v>1</v>
      </c>
      <c r="L520" s="3103"/>
      <c r="M520" s="2407">
        <f t="shared" si="90"/>
        <v>1</v>
      </c>
      <c r="N520" s="3103"/>
      <c r="O520" s="2407">
        <f t="shared" si="91"/>
        <v>1</v>
      </c>
      <c r="P520" s="3103"/>
      <c r="Q520" s="2407">
        <f t="shared" si="92"/>
        <v>0</v>
      </c>
      <c r="R520" s="2407">
        <f t="shared" si="93"/>
        <v>0</v>
      </c>
      <c r="S520" s="3098">
        <f t="shared" si="94"/>
        <v>0</v>
      </c>
    </row>
    <row r="521" spans="1:19">
      <c r="A521" s="2571"/>
      <c r="B521" s="3107"/>
      <c r="C521" s="2407">
        <f t="shared" si="85"/>
        <v>1</v>
      </c>
      <c r="D521" s="3103"/>
      <c r="E521" s="2407">
        <f t="shared" si="86"/>
        <v>1</v>
      </c>
      <c r="F521" s="3103"/>
      <c r="G521" s="2407">
        <f t="shared" si="87"/>
        <v>1</v>
      </c>
      <c r="H521" s="3103"/>
      <c r="I521" s="2407">
        <f t="shared" si="88"/>
        <v>1</v>
      </c>
      <c r="J521" s="3103"/>
      <c r="K521" s="2407">
        <f t="shared" si="89"/>
        <v>1</v>
      </c>
      <c r="L521" s="3103"/>
      <c r="M521" s="2407">
        <f t="shared" si="90"/>
        <v>1</v>
      </c>
      <c r="N521" s="3103"/>
      <c r="O521" s="2407">
        <f t="shared" si="91"/>
        <v>1</v>
      </c>
      <c r="P521" s="3103"/>
      <c r="Q521" s="2407">
        <f t="shared" si="92"/>
        <v>0</v>
      </c>
      <c r="R521" s="2407">
        <f t="shared" si="93"/>
        <v>0</v>
      </c>
      <c r="S521" s="3098">
        <f t="shared" si="94"/>
        <v>0</v>
      </c>
    </row>
    <row r="522" spans="1:19">
      <c r="A522" s="2571"/>
      <c r="B522" s="3107"/>
      <c r="C522" s="2407">
        <f t="shared" si="85"/>
        <v>1</v>
      </c>
      <c r="D522" s="3103"/>
      <c r="E522" s="2407">
        <f t="shared" si="86"/>
        <v>1</v>
      </c>
      <c r="F522" s="3103"/>
      <c r="G522" s="2407">
        <f t="shared" si="87"/>
        <v>1</v>
      </c>
      <c r="H522" s="3103"/>
      <c r="I522" s="2407">
        <f t="shared" si="88"/>
        <v>1</v>
      </c>
      <c r="J522" s="3103"/>
      <c r="K522" s="2407">
        <f t="shared" si="89"/>
        <v>1</v>
      </c>
      <c r="L522" s="3103"/>
      <c r="M522" s="2407">
        <f t="shared" si="90"/>
        <v>1</v>
      </c>
      <c r="N522" s="3103"/>
      <c r="O522" s="2407">
        <f t="shared" si="91"/>
        <v>1</v>
      </c>
      <c r="P522" s="3103"/>
      <c r="Q522" s="2407">
        <f t="shared" si="92"/>
        <v>0</v>
      </c>
      <c r="R522" s="2407">
        <f t="shared" si="93"/>
        <v>0</v>
      </c>
      <c r="S522" s="3098">
        <f t="shared" si="94"/>
        <v>0</v>
      </c>
    </row>
    <row r="523" spans="1:19">
      <c r="A523" s="2571"/>
      <c r="B523" s="3107"/>
      <c r="C523" s="2407">
        <f t="shared" si="85"/>
        <v>1</v>
      </c>
      <c r="D523" s="3103"/>
      <c r="E523" s="2407">
        <f t="shared" si="86"/>
        <v>1</v>
      </c>
      <c r="F523" s="3103"/>
      <c r="G523" s="2407">
        <f t="shared" si="87"/>
        <v>1</v>
      </c>
      <c r="H523" s="3103"/>
      <c r="I523" s="2407">
        <f t="shared" si="88"/>
        <v>1</v>
      </c>
      <c r="J523" s="3103"/>
      <c r="K523" s="2407">
        <f t="shared" si="89"/>
        <v>1</v>
      </c>
      <c r="L523" s="3103"/>
      <c r="M523" s="2407">
        <f t="shared" si="90"/>
        <v>1</v>
      </c>
      <c r="N523" s="3103"/>
      <c r="O523" s="2407">
        <f t="shared" si="91"/>
        <v>1</v>
      </c>
      <c r="P523" s="3103"/>
      <c r="Q523" s="2407">
        <f t="shared" si="92"/>
        <v>0</v>
      </c>
      <c r="R523" s="2407">
        <f t="shared" si="93"/>
        <v>0</v>
      </c>
      <c r="S523" s="3098">
        <f t="shared" si="94"/>
        <v>0</v>
      </c>
    </row>
    <row r="524" spans="1:19">
      <c r="A524" s="2571"/>
      <c r="B524" s="3107"/>
      <c r="C524" s="2407">
        <f t="shared" si="85"/>
        <v>1</v>
      </c>
      <c r="D524" s="3103"/>
      <c r="E524" s="2407">
        <f t="shared" si="86"/>
        <v>1</v>
      </c>
      <c r="F524" s="3103"/>
      <c r="G524" s="2407">
        <f t="shared" si="87"/>
        <v>1</v>
      </c>
      <c r="H524" s="3103"/>
      <c r="I524" s="2407">
        <f t="shared" si="88"/>
        <v>1</v>
      </c>
      <c r="J524" s="3103"/>
      <c r="K524" s="2407">
        <f t="shared" si="89"/>
        <v>1</v>
      </c>
      <c r="L524" s="3103"/>
      <c r="M524" s="2407">
        <f t="shared" si="90"/>
        <v>1</v>
      </c>
      <c r="N524" s="3103"/>
      <c r="O524" s="2407">
        <f t="shared" si="91"/>
        <v>1</v>
      </c>
      <c r="P524" s="3103"/>
      <c r="Q524" s="2407">
        <f t="shared" si="92"/>
        <v>0</v>
      </c>
      <c r="R524" s="2407">
        <f t="shared" si="93"/>
        <v>0</v>
      </c>
      <c r="S524" s="3098">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tabSelected="1" view="pageBreakPreview" zoomScaleNormal="100" zoomScaleSheetLayoutView="100" workbookViewId="0">
      <pane ySplit="24" topLeftCell="A25" activePane="bottomLeft" state="frozen"/>
      <selection activeCell="C38" sqref="C38"/>
      <selection pane="bottomLeft" activeCell="R24" sqref="R24:S30"/>
    </sheetView>
  </sheetViews>
  <sheetFormatPr defaultRowHeight="12.75"/>
  <cols>
    <col min="1" max="1" width="11.5" style="2750" customWidth="1"/>
    <col min="2" max="2" width="14" style="2490" customWidth="1"/>
    <col min="3" max="3" width="7.5" style="2490" customWidth="1"/>
    <col min="4" max="4" width="9.25" style="2490" bestFit="1" customWidth="1"/>
    <col min="5" max="5" width="7.75" style="2490" customWidth="1"/>
    <col min="6" max="6" width="9.125" style="2490" customWidth="1"/>
    <col min="7" max="7" width="7.5" style="2490" customWidth="1"/>
    <col min="8" max="8" width="9.125" style="2490" customWidth="1"/>
    <col min="9" max="9" width="7.625" style="2490" customWidth="1"/>
    <col min="10" max="10" width="9.125" style="2490" hidden="1" customWidth="1"/>
    <col min="11" max="11" width="6.625" style="2490" hidden="1" customWidth="1"/>
    <col min="12" max="12" width="9.125" style="2490" hidden="1" customWidth="1"/>
    <col min="13" max="13" width="5" style="2490" hidden="1" customWidth="1"/>
    <col min="14" max="14" width="9.125" style="2490" hidden="1" customWidth="1"/>
    <col min="15" max="15" width="5" style="2490" hidden="1" customWidth="1"/>
    <col min="16" max="16" width="9.125" style="3492" bestFit="1" customWidth="1"/>
    <col min="17" max="17" width="6.5" style="2490" customWidth="1"/>
    <col min="18" max="18" width="9.375" style="2490" bestFit="1" customWidth="1"/>
    <col min="19" max="19" width="10.375" style="2750" bestFit="1" customWidth="1"/>
    <col min="20" max="45" width="9" style="2497"/>
    <col min="46" max="16384" width="9" style="2750"/>
  </cols>
  <sheetData>
    <row r="1" spans="1:45" ht="14.25" hidden="1" customHeight="1" thickBot="1">
      <c r="A1" s="2622"/>
      <c r="B1" s="2632" t="s">
        <v>3013</v>
      </c>
      <c r="C1" s="3875" t="s">
        <v>3014</v>
      </c>
      <c r="D1" s="3876"/>
      <c r="E1" s="3876"/>
      <c r="F1" s="3876"/>
      <c r="G1" s="3876"/>
      <c r="H1" s="3876"/>
      <c r="I1" s="3876"/>
      <c r="J1" s="3876"/>
      <c r="K1" s="3876"/>
      <c r="L1" s="3876"/>
      <c r="M1" s="3876"/>
      <c r="N1" s="3876"/>
      <c r="O1" s="3876"/>
      <c r="P1" s="3876"/>
      <c r="Q1" s="3876"/>
      <c r="R1" s="3876"/>
      <c r="S1" s="3877"/>
      <c r="T1" s="2632" t="s">
        <v>2884</v>
      </c>
    </row>
    <row r="2" spans="1:45" s="3015" customFormat="1" ht="25.5" hidden="1">
      <c r="A2" s="3009"/>
      <c r="B2" s="3010" t="s">
        <v>1875</v>
      </c>
      <c r="C2" s="3011" t="str">
        <f t="shared" ref="C2:R2" si="0">C3&amp;"(含)"&amp;"-"&amp;D3</f>
        <v>0(含)-10000</v>
      </c>
      <c r="D2" s="16" t="str">
        <f t="shared" si="0"/>
        <v>10000(含)-</v>
      </c>
      <c r="E2" s="16" t="str">
        <f t="shared" si="0"/>
        <v>(含)-</v>
      </c>
      <c r="F2" s="16" t="str">
        <f t="shared" si="0"/>
        <v>(含)-</v>
      </c>
      <c r="G2" s="16" t="str">
        <f t="shared" si="0"/>
        <v>(含)-</v>
      </c>
      <c r="H2" s="16" t="str">
        <f t="shared" si="0"/>
        <v>(含)-</v>
      </c>
      <c r="I2" s="16" t="str">
        <f t="shared" si="0"/>
        <v>(含)-</v>
      </c>
      <c r="J2" s="16" t="str">
        <f t="shared" si="0"/>
        <v>(含)-</v>
      </c>
      <c r="K2" s="16" t="str">
        <f t="shared" si="0"/>
        <v>(含)-</v>
      </c>
      <c r="L2" s="16" t="str">
        <f t="shared" si="0"/>
        <v>(含)-</v>
      </c>
      <c r="M2" s="16" t="str">
        <f t="shared" si="0"/>
        <v>(含)-</v>
      </c>
      <c r="N2" s="16" t="str">
        <f t="shared" si="0"/>
        <v>(含)-</v>
      </c>
      <c r="O2" s="16" t="str">
        <f t="shared" si="0"/>
        <v>(含)-</v>
      </c>
      <c r="P2" s="3476" t="str">
        <f t="shared" si="0"/>
        <v>(含)-</v>
      </c>
      <c r="Q2" s="16" t="str">
        <f t="shared" si="0"/>
        <v>(含)-</v>
      </c>
      <c r="R2" s="16" t="str">
        <f t="shared" si="0"/>
        <v>(含)-</v>
      </c>
      <c r="S2" s="3012" t="str">
        <f>S3&amp;"(含)"&amp;"-"</f>
        <v>(含)-</v>
      </c>
      <c r="T2" s="3013"/>
      <c r="U2" s="3014"/>
      <c r="V2" s="3014"/>
      <c r="W2" s="3014"/>
      <c r="X2" s="3014"/>
      <c r="Y2" s="3014"/>
      <c r="Z2" s="3014"/>
      <c r="AA2" s="3014"/>
      <c r="AB2" s="3014"/>
      <c r="AC2" s="3014"/>
      <c r="AD2" s="3014"/>
      <c r="AE2" s="3014"/>
      <c r="AF2" s="3014"/>
      <c r="AG2" s="3014"/>
      <c r="AH2" s="3014"/>
      <c r="AI2" s="3014"/>
      <c r="AJ2" s="3014"/>
      <c r="AK2" s="3014"/>
      <c r="AL2" s="3014"/>
      <c r="AM2" s="3014"/>
      <c r="AN2" s="3014"/>
      <c r="AO2" s="3014"/>
      <c r="AP2" s="3014"/>
      <c r="AQ2" s="3014"/>
      <c r="AR2" s="3014"/>
      <c r="AS2" s="3014"/>
    </row>
    <row r="3" spans="1:45" s="3025" customFormat="1" hidden="1">
      <c r="A3" s="3016"/>
      <c r="B3" s="3017"/>
      <c r="C3" s="3018">
        <v>0</v>
      </c>
      <c r="D3" s="954">
        <v>10000</v>
      </c>
      <c r="E3" s="954"/>
      <c r="F3" s="3019"/>
      <c r="G3" s="3019"/>
      <c r="H3" s="3019"/>
      <c r="I3" s="3019"/>
      <c r="J3" s="3019"/>
      <c r="K3" s="3019"/>
      <c r="L3" s="3020"/>
      <c r="M3" s="3021"/>
      <c r="N3" s="3021"/>
      <c r="O3" s="3019"/>
      <c r="P3" s="3477"/>
      <c r="Q3" s="3019"/>
      <c r="R3" s="3019"/>
      <c r="S3" s="3022"/>
      <c r="T3" s="3023"/>
      <c r="U3" s="3024"/>
      <c r="V3" s="3024"/>
      <c r="W3" s="3024"/>
      <c r="X3" s="3024"/>
      <c r="Y3" s="3024"/>
      <c r="Z3" s="3024"/>
      <c r="AA3" s="3024"/>
      <c r="AB3" s="3024"/>
      <c r="AC3" s="3024"/>
      <c r="AD3" s="3024"/>
      <c r="AE3" s="3024"/>
      <c r="AF3" s="3024"/>
      <c r="AG3" s="3024"/>
      <c r="AH3" s="3024"/>
      <c r="AI3" s="3024"/>
      <c r="AJ3" s="3024"/>
      <c r="AK3" s="3024"/>
      <c r="AL3" s="3024"/>
      <c r="AM3" s="3024"/>
      <c r="AN3" s="3024"/>
      <c r="AO3" s="3024"/>
      <c r="AP3" s="3024"/>
      <c r="AQ3" s="3024"/>
      <c r="AR3" s="3024"/>
      <c r="AS3" s="3024"/>
    </row>
    <row r="4" spans="1:45" s="3025" customFormat="1" ht="13.5" hidden="1" thickBot="1">
      <c r="A4" s="3026"/>
      <c r="B4" s="3027"/>
      <c r="C4" s="3028"/>
      <c r="D4" s="3029"/>
      <c r="E4" s="3029"/>
      <c r="F4" s="3030"/>
      <c r="G4" s="3030"/>
      <c r="H4" s="3030"/>
      <c r="I4" s="3030"/>
      <c r="J4" s="3030"/>
      <c r="K4" s="3030"/>
      <c r="L4" s="3030"/>
      <c r="M4" s="3031"/>
      <c r="N4" s="3031"/>
      <c r="O4" s="3030"/>
      <c r="P4" s="3478"/>
      <c r="Q4" s="3030"/>
      <c r="R4" s="3030"/>
      <c r="S4" s="3032"/>
      <c r="T4" s="3033"/>
      <c r="U4" s="3024"/>
      <c r="V4" s="3024"/>
      <c r="W4" s="3024"/>
      <c r="X4" s="3024"/>
      <c r="Y4" s="3024"/>
      <c r="Z4" s="3024"/>
      <c r="AA4" s="3024"/>
      <c r="AB4" s="3024"/>
      <c r="AC4" s="3024"/>
      <c r="AD4" s="3024"/>
      <c r="AE4" s="3024"/>
      <c r="AF4" s="3024"/>
      <c r="AG4" s="3024"/>
      <c r="AH4" s="3024"/>
      <c r="AI4" s="3024"/>
      <c r="AJ4" s="3024"/>
      <c r="AK4" s="3024"/>
      <c r="AL4" s="3024"/>
      <c r="AM4" s="3024"/>
      <c r="AN4" s="3024"/>
      <c r="AO4" s="3024"/>
      <c r="AP4" s="3024"/>
      <c r="AQ4" s="3024"/>
      <c r="AR4" s="3024"/>
      <c r="AS4" s="3024"/>
    </row>
    <row r="5" spans="1:45" s="3043" customFormat="1" hidden="1">
      <c r="A5" s="3034"/>
      <c r="B5" s="3035" t="s">
        <v>7154</v>
      </c>
      <c r="C5" s="3036" t="s">
        <v>7155</v>
      </c>
      <c r="D5" s="3037" t="s">
        <v>7157</v>
      </c>
      <c r="E5" s="3037"/>
      <c r="F5" s="3038"/>
      <c r="G5" s="3038"/>
      <c r="H5" s="3038"/>
      <c r="I5" s="3038"/>
      <c r="J5" s="3038"/>
      <c r="K5" s="3038"/>
      <c r="L5" s="3039"/>
      <c r="M5" s="3040"/>
      <c r="N5" s="3040"/>
      <c r="O5" s="3038"/>
      <c r="P5" s="3479"/>
      <c r="Q5" s="3038"/>
      <c r="R5" s="3038"/>
      <c r="S5" s="3041"/>
      <c r="T5" s="3042"/>
      <c r="U5" s="2488"/>
      <c r="V5" s="2488"/>
      <c r="W5" s="2488"/>
      <c r="X5" s="2488"/>
      <c r="Y5" s="2488"/>
      <c r="Z5" s="2488"/>
      <c r="AA5" s="2488"/>
      <c r="AB5" s="2488"/>
      <c r="AC5" s="2488"/>
      <c r="AD5" s="2488"/>
      <c r="AE5" s="2488"/>
      <c r="AF5" s="2488"/>
      <c r="AG5" s="2488"/>
      <c r="AH5" s="2488"/>
      <c r="AI5" s="2488"/>
      <c r="AJ5" s="2488"/>
      <c r="AK5" s="2488"/>
      <c r="AL5" s="2488"/>
      <c r="AM5" s="2488"/>
      <c r="AN5" s="2488"/>
      <c r="AO5" s="2488"/>
      <c r="AP5" s="2488"/>
      <c r="AQ5" s="2488"/>
      <c r="AR5" s="2488"/>
      <c r="AS5" s="2488"/>
    </row>
    <row r="6" spans="1:45" s="3043" customFormat="1" ht="13.5" hidden="1" thickBot="1">
      <c r="A6" s="3034"/>
      <c r="B6" s="3044"/>
      <c r="C6" s="3045">
        <v>100</v>
      </c>
      <c r="D6" s="3046">
        <f>C6-$T5</f>
        <v>100</v>
      </c>
      <c r="E6" s="3046">
        <f t="shared" ref="E6:S6" si="1">D6-$T5</f>
        <v>100</v>
      </c>
      <c r="F6" s="3047">
        <f t="shared" si="1"/>
        <v>100</v>
      </c>
      <c r="G6" s="3047">
        <f t="shared" si="1"/>
        <v>100</v>
      </c>
      <c r="H6" s="3047">
        <f t="shared" si="1"/>
        <v>100</v>
      </c>
      <c r="I6" s="3047">
        <f t="shared" si="1"/>
        <v>100</v>
      </c>
      <c r="J6" s="3047">
        <f t="shared" si="1"/>
        <v>100</v>
      </c>
      <c r="K6" s="3047">
        <f t="shared" si="1"/>
        <v>100</v>
      </c>
      <c r="L6" s="3047">
        <f t="shared" si="1"/>
        <v>100</v>
      </c>
      <c r="M6" s="3047">
        <f t="shared" si="1"/>
        <v>100</v>
      </c>
      <c r="N6" s="3047">
        <f t="shared" si="1"/>
        <v>100</v>
      </c>
      <c r="O6" s="3047">
        <f t="shared" si="1"/>
        <v>100</v>
      </c>
      <c r="P6" s="3480">
        <f t="shared" si="1"/>
        <v>100</v>
      </c>
      <c r="Q6" s="3047">
        <f t="shared" si="1"/>
        <v>100</v>
      </c>
      <c r="R6" s="3047">
        <f t="shared" si="1"/>
        <v>100</v>
      </c>
      <c r="S6" s="3047">
        <f t="shared" si="1"/>
        <v>100</v>
      </c>
      <c r="T6" s="3048"/>
      <c r="U6" s="2488"/>
      <c r="V6" s="2488"/>
      <c r="W6" s="2488"/>
      <c r="X6" s="2488"/>
      <c r="Y6" s="2488"/>
      <c r="Z6" s="2488"/>
      <c r="AA6" s="2488"/>
      <c r="AB6" s="2488"/>
      <c r="AC6" s="2488"/>
      <c r="AD6" s="2488"/>
      <c r="AE6" s="2488"/>
      <c r="AF6" s="2488"/>
      <c r="AG6" s="2488"/>
      <c r="AH6" s="2488"/>
      <c r="AI6" s="2488"/>
      <c r="AJ6" s="2488"/>
      <c r="AK6" s="2488"/>
      <c r="AL6" s="2488"/>
      <c r="AM6" s="2488"/>
      <c r="AN6" s="2488"/>
      <c r="AO6" s="2488"/>
      <c r="AP6" s="2488"/>
      <c r="AQ6" s="2488"/>
      <c r="AR6" s="2488"/>
      <c r="AS6" s="2488"/>
    </row>
    <row r="7" spans="1:45" s="3043" customFormat="1" hidden="1">
      <c r="A7" s="3034"/>
      <c r="B7" s="3049" t="s">
        <v>3017</v>
      </c>
      <c r="C7" s="3050"/>
      <c r="D7" s="25"/>
      <c r="E7" s="25"/>
      <c r="F7" s="3051"/>
      <c r="G7" s="3051"/>
      <c r="H7" s="3051"/>
      <c r="I7" s="3051"/>
      <c r="J7" s="3051"/>
      <c r="K7" s="3051"/>
      <c r="L7" s="3051"/>
      <c r="M7" s="3052"/>
      <c r="N7" s="3053"/>
      <c r="O7" s="3054"/>
      <c r="P7" s="3481"/>
      <c r="Q7" s="3054"/>
      <c r="R7" s="3055"/>
      <c r="S7" s="3056"/>
      <c r="T7" s="3057"/>
      <c r="U7" s="2488"/>
      <c r="V7" s="2488"/>
      <c r="W7" s="2488"/>
      <c r="X7" s="2488"/>
      <c r="Y7" s="2488"/>
      <c r="Z7" s="2488"/>
      <c r="AA7" s="2488"/>
      <c r="AB7" s="2488"/>
      <c r="AC7" s="2488"/>
      <c r="AD7" s="2488"/>
      <c r="AE7" s="2488"/>
      <c r="AF7" s="2488"/>
      <c r="AG7" s="2488"/>
      <c r="AH7" s="2488"/>
      <c r="AI7" s="2488"/>
      <c r="AJ7" s="2488"/>
      <c r="AK7" s="2488"/>
      <c r="AL7" s="2488"/>
      <c r="AM7" s="2488"/>
      <c r="AN7" s="2488"/>
      <c r="AO7" s="2488"/>
      <c r="AP7" s="2488"/>
      <c r="AQ7" s="2488"/>
      <c r="AR7" s="2488"/>
      <c r="AS7" s="2488"/>
    </row>
    <row r="8" spans="1:45" s="3043" customFormat="1" ht="13.5" hidden="1" thickBot="1">
      <c r="A8" s="3034"/>
      <c r="B8" s="3044"/>
      <c r="C8" s="3045">
        <v>100</v>
      </c>
      <c r="D8" s="3046">
        <f>C8-$T7</f>
        <v>100</v>
      </c>
      <c r="E8" s="3046">
        <f t="shared" ref="E8:S8" si="2">D8-$T7</f>
        <v>100</v>
      </c>
      <c r="F8" s="3047">
        <f t="shared" si="2"/>
        <v>100</v>
      </c>
      <c r="G8" s="3047">
        <f t="shared" si="2"/>
        <v>100</v>
      </c>
      <c r="H8" s="3047">
        <f t="shared" si="2"/>
        <v>100</v>
      </c>
      <c r="I8" s="3047">
        <f t="shared" si="2"/>
        <v>100</v>
      </c>
      <c r="J8" s="3047">
        <f t="shared" si="2"/>
        <v>100</v>
      </c>
      <c r="K8" s="3047">
        <f t="shared" si="2"/>
        <v>100</v>
      </c>
      <c r="L8" s="3047">
        <f t="shared" si="2"/>
        <v>100</v>
      </c>
      <c r="M8" s="3047">
        <f t="shared" si="2"/>
        <v>100</v>
      </c>
      <c r="N8" s="3047">
        <f t="shared" si="2"/>
        <v>100</v>
      </c>
      <c r="O8" s="3047">
        <f t="shared" si="2"/>
        <v>100</v>
      </c>
      <c r="P8" s="3480">
        <f t="shared" si="2"/>
        <v>100</v>
      </c>
      <c r="Q8" s="3047">
        <f t="shared" si="2"/>
        <v>100</v>
      </c>
      <c r="R8" s="3047">
        <f t="shared" si="2"/>
        <v>100</v>
      </c>
      <c r="S8" s="3047">
        <f t="shared" si="2"/>
        <v>100</v>
      </c>
      <c r="T8" s="3048"/>
      <c r="U8" s="2488"/>
      <c r="V8" s="2488"/>
      <c r="W8" s="2488"/>
      <c r="X8" s="2488"/>
      <c r="Y8" s="2488"/>
      <c r="Z8" s="2488"/>
      <c r="AA8" s="2488"/>
      <c r="AB8" s="2488"/>
      <c r="AC8" s="2488"/>
      <c r="AD8" s="2488"/>
      <c r="AE8" s="2488"/>
      <c r="AF8" s="2488"/>
      <c r="AG8" s="2488"/>
      <c r="AH8" s="2488"/>
      <c r="AI8" s="2488"/>
      <c r="AJ8" s="2488"/>
      <c r="AK8" s="2488"/>
      <c r="AL8" s="2488"/>
      <c r="AM8" s="2488"/>
      <c r="AN8" s="2488"/>
      <c r="AO8" s="2488"/>
      <c r="AP8" s="2488"/>
      <c r="AQ8" s="2488"/>
      <c r="AR8" s="2488"/>
      <c r="AS8" s="2488"/>
    </row>
    <row r="9" spans="1:45" s="3043" customFormat="1" hidden="1">
      <c r="A9" s="3034"/>
      <c r="B9" s="3049" t="s">
        <v>3018</v>
      </c>
      <c r="C9" s="3050"/>
      <c r="D9" s="25"/>
      <c r="E9" s="25"/>
      <c r="F9" s="3051"/>
      <c r="G9" s="3051"/>
      <c r="H9" s="3051"/>
      <c r="I9" s="3051"/>
      <c r="J9" s="3051"/>
      <c r="K9" s="3051"/>
      <c r="L9" s="3058"/>
      <c r="M9" s="3052"/>
      <c r="N9" s="3053"/>
      <c r="O9" s="3054"/>
      <c r="P9" s="3481"/>
      <c r="Q9" s="3054"/>
      <c r="R9" s="3055"/>
      <c r="S9" s="3056"/>
      <c r="T9" s="3057"/>
      <c r="U9" s="2488"/>
      <c r="V9" s="2488"/>
      <c r="W9" s="2488"/>
      <c r="X9" s="2488"/>
      <c r="Y9" s="2488"/>
      <c r="Z9" s="2488"/>
      <c r="AA9" s="2488"/>
      <c r="AB9" s="2488"/>
      <c r="AC9" s="2488"/>
      <c r="AD9" s="2488"/>
      <c r="AE9" s="2488"/>
      <c r="AF9" s="2488"/>
      <c r="AG9" s="2488"/>
      <c r="AH9" s="2488"/>
      <c r="AI9" s="2488"/>
      <c r="AJ9" s="2488"/>
      <c r="AK9" s="2488"/>
      <c r="AL9" s="2488"/>
      <c r="AM9" s="2488"/>
      <c r="AN9" s="2488"/>
      <c r="AO9" s="2488"/>
      <c r="AP9" s="2488"/>
      <c r="AQ9" s="2488"/>
      <c r="AR9" s="2488"/>
      <c r="AS9" s="2488"/>
    </row>
    <row r="10" spans="1:45" s="3043" customFormat="1" ht="13.5" hidden="1" thickBot="1">
      <c r="A10" s="3034"/>
      <c r="B10" s="3027"/>
      <c r="C10" s="3059">
        <v>100</v>
      </c>
      <c r="D10" s="3060">
        <f>C10-$T9</f>
        <v>100</v>
      </c>
      <c r="E10" s="3060">
        <f t="shared" ref="E10:S10" si="3">D10-$T9</f>
        <v>100</v>
      </c>
      <c r="F10" s="3410">
        <f t="shared" si="3"/>
        <v>100</v>
      </c>
      <c r="G10" s="3410">
        <f t="shared" si="3"/>
        <v>100</v>
      </c>
      <c r="H10" s="3410">
        <f t="shared" si="3"/>
        <v>100</v>
      </c>
      <c r="I10" s="3410">
        <f t="shared" si="3"/>
        <v>100</v>
      </c>
      <c r="J10" s="3410">
        <f t="shared" si="3"/>
        <v>100</v>
      </c>
      <c r="K10" s="3410">
        <f t="shared" si="3"/>
        <v>100</v>
      </c>
      <c r="L10" s="3410">
        <f t="shared" si="3"/>
        <v>100</v>
      </c>
      <c r="M10" s="3410">
        <f t="shared" si="3"/>
        <v>100</v>
      </c>
      <c r="N10" s="3410">
        <f t="shared" si="3"/>
        <v>100</v>
      </c>
      <c r="O10" s="3410">
        <f t="shared" si="3"/>
        <v>100</v>
      </c>
      <c r="P10" s="3482">
        <f t="shared" si="3"/>
        <v>100</v>
      </c>
      <c r="Q10" s="3410">
        <f t="shared" si="3"/>
        <v>100</v>
      </c>
      <c r="R10" s="3410">
        <f t="shared" si="3"/>
        <v>100</v>
      </c>
      <c r="S10" s="3410">
        <f t="shared" si="3"/>
        <v>100</v>
      </c>
      <c r="T10" s="3033"/>
      <c r="U10" s="2488"/>
      <c r="V10" s="2488"/>
      <c r="W10" s="2488"/>
      <c r="X10" s="2488"/>
      <c r="Y10" s="2488"/>
      <c r="Z10" s="2488"/>
      <c r="AA10" s="2488"/>
      <c r="AB10" s="2488"/>
      <c r="AC10" s="2488"/>
      <c r="AD10" s="2488"/>
      <c r="AE10" s="2488"/>
      <c r="AF10" s="2488"/>
      <c r="AG10" s="2488"/>
      <c r="AH10" s="2488"/>
      <c r="AI10" s="2488"/>
      <c r="AJ10" s="2488"/>
      <c r="AK10" s="2488"/>
      <c r="AL10" s="2488"/>
      <c r="AM10" s="2488"/>
      <c r="AN10" s="2488"/>
      <c r="AO10" s="2488"/>
      <c r="AP10" s="2488"/>
      <c r="AQ10" s="2488"/>
      <c r="AR10" s="2488"/>
      <c r="AS10" s="2488"/>
    </row>
    <row r="11" spans="1:45" s="3043" customFormat="1" hidden="1">
      <c r="A11" s="3034"/>
      <c r="B11" s="3061" t="s">
        <v>3019</v>
      </c>
      <c r="C11" s="3036"/>
      <c r="D11" s="3037"/>
      <c r="E11" s="3037"/>
      <c r="F11" s="3037"/>
      <c r="G11" s="3037"/>
      <c r="H11" s="3037"/>
      <c r="I11" s="3037"/>
      <c r="J11" s="3037"/>
      <c r="K11" s="3037"/>
      <c r="L11" s="3037"/>
      <c r="M11" s="3062"/>
      <c r="N11" s="3063"/>
      <c r="O11" s="3064"/>
      <c r="P11" s="3483"/>
      <c r="Q11" s="3064"/>
      <c r="R11" s="3065"/>
      <c r="S11" s="3066"/>
      <c r="T11" s="3042"/>
      <c r="U11" s="2488"/>
      <c r="V11" s="2488"/>
      <c r="W11" s="2488"/>
      <c r="X11" s="2488"/>
      <c r="Y11" s="2488"/>
      <c r="Z11" s="2488"/>
      <c r="AA11" s="2488"/>
      <c r="AB11" s="2488"/>
      <c r="AC11" s="2488"/>
      <c r="AD11" s="2488"/>
      <c r="AE11" s="2488"/>
      <c r="AF11" s="2488"/>
      <c r="AG11" s="2488"/>
      <c r="AH11" s="2488"/>
      <c r="AI11" s="2488"/>
      <c r="AJ11" s="2488"/>
      <c r="AK11" s="2488"/>
      <c r="AL11" s="2488"/>
      <c r="AM11" s="2488"/>
      <c r="AN11" s="2488"/>
      <c r="AO11" s="2488"/>
      <c r="AP11" s="2488"/>
      <c r="AQ11" s="2488"/>
      <c r="AR11" s="2488"/>
      <c r="AS11" s="2488"/>
    </row>
    <row r="12" spans="1:45" s="3043" customFormat="1" ht="13.5" hidden="1" thickBot="1">
      <c r="A12" s="3034"/>
      <c r="B12" s="3044"/>
      <c r="C12" s="3045">
        <v>100</v>
      </c>
      <c r="D12" s="3046">
        <f>C12-$T11</f>
        <v>100</v>
      </c>
      <c r="E12" s="3046">
        <f t="shared" ref="E12:S12" si="4">D12-$T11</f>
        <v>100</v>
      </c>
      <c r="F12" s="3046">
        <f t="shared" si="4"/>
        <v>100</v>
      </c>
      <c r="G12" s="3046">
        <f t="shared" si="4"/>
        <v>100</v>
      </c>
      <c r="H12" s="3046">
        <f t="shared" si="4"/>
        <v>100</v>
      </c>
      <c r="I12" s="3046">
        <f t="shared" si="4"/>
        <v>100</v>
      </c>
      <c r="J12" s="3046">
        <f t="shared" si="4"/>
        <v>100</v>
      </c>
      <c r="K12" s="3046">
        <f t="shared" si="4"/>
        <v>100</v>
      </c>
      <c r="L12" s="3046">
        <f t="shared" si="4"/>
        <v>100</v>
      </c>
      <c r="M12" s="3046">
        <f t="shared" si="4"/>
        <v>100</v>
      </c>
      <c r="N12" s="3046">
        <f t="shared" si="4"/>
        <v>100</v>
      </c>
      <c r="O12" s="3046">
        <f t="shared" si="4"/>
        <v>100</v>
      </c>
      <c r="P12" s="3484">
        <f t="shared" si="4"/>
        <v>100</v>
      </c>
      <c r="Q12" s="3046">
        <f t="shared" si="4"/>
        <v>100</v>
      </c>
      <c r="R12" s="3046">
        <f>Q12-$T11</f>
        <v>100</v>
      </c>
      <c r="S12" s="3046">
        <f t="shared" si="4"/>
        <v>100</v>
      </c>
      <c r="T12" s="3048"/>
      <c r="U12" s="2488"/>
      <c r="V12" s="2488"/>
      <c r="W12" s="2488"/>
      <c r="X12" s="2488"/>
      <c r="Y12" s="2488"/>
      <c r="Z12" s="2488"/>
      <c r="AA12" s="2488"/>
      <c r="AB12" s="2488"/>
      <c r="AC12" s="2488"/>
      <c r="AD12" s="2488"/>
      <c r="AE12" s="2488"/>
      <c r="AF12" s="2488"/>
      <c r="AG12" s="2488"/>
      <c r="AH12" s="2488"/>
      <c r="AI12" s="2488"/>
      <c r="AJ12" s="2488"/>
      <c r="AK12" s="2488"/>
      <c r="AL12" s="2488"/>
      <c r="AM12" s="2488"/>
      <c r="AN12" s="2488"/>
      <c r="AO12" s="2488"/>
      <c r="AP12" s="2488"/>
      <c r="AQ12" s="2488"/>
      <c r="AR12" s="2488"/>
      <c r="AS12" s="2488"/>
    </row>
    <row r="13" spans="1:45" s="3043" customFormat="1" hidden="1">
      <c r="A13" s="3034"/>
      <c r="B13" s="3061" t="s">
        <v>3020</v>
      </c>
      <c r="C13" s="3036"/>
      <c r="D13" s="3037"/>
      <c r="E13" s="3037"/>
      <c r="F13" s="3037"/>
      <c r="G13" s="3037"/>
      <c r="H13" s="3037"/>
      <c r="I13" s="3037"/>
      <c r="J13" s="3037"/>
      <c r="K13" s="3037"/>
      <c r="L13" s="3037"/>
      <c r="M13" s="3062"/>
      <c r="N13" s="3063"/>
      <c r="O13" s="3064"/>
      <c r="P13" s="3483"/>
      <c r="Q13" s="3064"/>
      <c r="R13" s="3065"/>
      <c r="S13" s="3066"/>
      <c r="T13" s="3067"/>
      <c r="U13" s="2488"/>
      <c r="V13" s="2488"/>
      <c r="W13" s="2488"/>
      <c r="X13" s="2488"/>
      <c r="Y13" s="2488"/>
      <c r="Z13" s="2488"/>
      <c r="AA13" s="2488"/>
      <c r="AB13" s="2488"/>
      <c r="AC13" s="2488"/>
      <c r="AD13" s="2488"/>
      <c r="AE13" s="2488"/>
      <c r="AF13" s="2488"/>
      <c r="AG13" s="2488"/>
      <c r="AH13" s="2488"/>
      <c r="AI13" s="2488"/>
      <c r="AJ13" s="2488"/>
      <c r="AK13" s="2488"/>
      <c r="AL13" s="2488"/>
      <c r="AM13" s="2488"/>
      <c r="AN13" s="2488"/>
      <c r="AO13" s="2488"/>
      <c r="AP13" s="2488"/>
      <c r="AQ13" s="2488"/>
      <c r="AR13" s="2488"/>
      <c r="AS13" s="2488"/>
    </row>
    <row r="14" spans="1:45" s="3043" customFormat="1" ht="13.5" hidden="1" thickBot="1">
      <c r="A14" s="3034"/>
      <c r="B14" s="3044"/>
      <c r="C14" s="3068"/>
      <c r="D14" s="3069"/>
      <c r="E14" s="3069"/>
      <c r="F14" s="3069"/>
      <c r="G14" s="3069"/>
      <c r="H14" s="3069"/>
      <c r="I14" s="3069"/>
      <c r="J14" s="3069"/>
      <c r="K14" s="3069"/>
      <c r="L14" s="3069"/>
      <c r="M14" s="3070"/>
      <c r="N14" s="3070"/>
      <c r="O14" s="3069"/>
      <c r="P14" s="3485"/>
      <c r="Q14" s="3069"/>
      <c r="R14" s="3069"/>
      <c r="S14" s="3071"/>
      <c r="T14" s="3048"/>
      <c r="U14" s="2488"/>
      <c r="V14" s="2488"/>
      <c r="W14" s="2488"/>
      <c r="X14" s="2488"/>
      <c r="Y14" s="2488"/>
      <c r="Z14" s="2488"/>
      <c r="AA14" s="2488"/>
      <c r="AB14" s="2488"/>
      <c r="AC14" s="2488"/>
      <c r="AD14" s="2488"/>
      <c r="AE14" s="2488"/>
      <c r="AF14" s="2488"/>
      <c r="AG14" s="2488"/>
      <c r="AH14" s="2488"/>
      <c r="AI14" s="2488"/>
      <c r="AJ14" s="2488"/>
      <c r="AK14" s="2488"/>
      <c r="AL14" s="2488"/>
      <c r="AM14" s="2488"/>
      <c r="AN14" s="2488"/>
      <c r="AO14" s="2488"/>
      <c r="AP14" s="2488"/>
      <c r="AQ14" s="2488"/>
      <c r="AR14" s="2488"/>
      <c r="AS14" s="2488"/>
    </row>
    <row r="15" spans="1:45" s="3043" customFormat="1" hidden="1">
      <c r="A15" s="3034"/>
      <c r="B15" s="3061" t="s">
        <v>3021</v>
      </c>
      <c r="C15" s="3036"/>
      <c r="D15" s="3037"/>
      <c r="E15" s="3037"/>
      <c r="F15" s="3037"/>
      <c r="G15" s="3037"/>
      <c r="H15" s="3037"/>
      <c r="I15" s="3037"/>
      <c r="J15" s="3037"/>
      <c r="K15" s="3037"/>
      <c r="L15" s="3037"/>
      <c r="M15" s="3062"/>
      <c r="N15" s="3063"/>
      <c r="O15" s="3064"/>
      <c r="P15" s="3483"/>
      <c r="Q15" s="3064"/>
      <c r="R15" s="3065"/>
      <c r="S15" s="3066"/>
      <c r="T15" s="3067"/>
      <c r="U15" s="2488"/>
      <c r="V15" s="2488"/>
      <c r="W15" s="2488"/>
      <c r="X15" s="2488"/>
      <c r="Y15" s="2488"/>
      <c r="Z15" s="2488"/>
      <c r="AA15" s="2488"/>
      <c r="AB15" s="2488"/>
      <c r="AC15" s="2488"/>
      <c r="AD15" s="2488"/>
      <c r="AE15" s="2488"/>
      <c r="AF15" s="2488"/>
      <c r="AG15" s="2488"/>
      <c r="AH15" s="2488"/>
      <c r="AI15" s="2488"/>
      <c r="AJ15" s="2488"/>
      <c r="AK15" s="2488"/>
      <c r="AL15" s="2488"/>
      <c r="AM15" s="2488"/>
      <c r="AN15" s="2488"/>
      <c r="AO15" s="2488"/>
      <c r="AP15" s="2488"/>
      <c r="AQ15" s="2488"/>
      <c r="AR15" s="2488"/>
      <c r="AS15" s="2488"/>
    </row>
    <row r="16" spans="1:45" s="3043" customFormat="1" ht="0.75" hidden="1" customHeight="1" thickBot="1">
      <c r="A16" s="3034"/>
      <c r="B16" s="3027"/>
      <c r="C16" s="3028"/>
      <c r="D16" s="3029"/>
      <c r="E16" s="3029"/>
      <c r="F16" s="3029"/>
      <c r="G16" s="3029"/>
      <c r="H16" s="3029"/>
      <c r="I16" s="3029"/>
      <c r="J16" s="3029"/>
      <c r="K16" s="3029"/>
      <c r="L16" s="3029"/>
      <c r="M16" s="3072"/>
      <c r="N16" s="3072"/>
      <c r="O16" s="3029"/>
      <c r="P16" s="3486"/>
      <c r="Q16" s="3029"/>
      <c r="R16" s="3029"/>
      <c r="S16" s="3073"/>
      <c r="T16" s="3033"/>
      <c r="U16" s="2488"/>
      <c r="V16" s="2488"/>
      <c r="W16" s="2488"/>
      <c r="X16" s="2488"/>
      <c r="Y16" s="2488"/>
      <c r="Z16" s="2488"/>
      <c r="AA16" s="2488"/>
      <c r="AB16" s="2488"/>
      <c r="AC16" s="2488"/>
      <c r="AD16" s="2488"/>
      <c r="AE16" s="2488"/>
      <c r="AF16" s="2488"/>
      <c r="AG16" s="2488"/>
      <c r="AH16" s="2488"/>
      <c r="AI16" s="2488"/>
      <c r="AJ16" s="2488"/>
      <c r="AK16" s="2488"/>
      <c r="AL16" s="2488"/>
      <c r="AM16" s="2488"/>
      <c r="AN16" s="2488"/>
      <c r="AO16" s="2488"/>
      <c r="AP16" s="2488"/>
      <c r="AQ16" s="2488"/>
      <c r="AR16" s="2488"/>
      <c r="AS16" s="2488"/>
    </row>
    <row r="17" spans="1:45" s="3503" customFormat="1" hidden="1">
      <c r="A17" s="3493" t="s">
        <v>3022</v>
      </c>
      <c r="B17" s="3494" t="s">
        <v>3023</v>
      </c>
      <c r="C17" s="3495">
        <v>1</v>
      </c>
      <c r="D17" s="3495">
        <v>2</v>
      </c>
      <c r="E17" s="3495">
        <v>3</v>
      </c>
      <c r="F17" s="3495">
        <v>4</v>
      </c>
      <c r="G17" s="3495">
        <v>5</v>
      </c>
      <c r="H17" s="3496">
        <v>-1</v>
      </c>
      <c r="I17" s="3496">
        <v>-2</v>
      </c>
      <c r="J17" s="3496"/>
      <c r="K17" s="3496"/>
      <c r="L17" s="3497"/>
      <c r="M17" s="3498"/>
      <c r="N17" s="3499"/>
      <c r="O17" s="3487"/>
      <c r="P17" s="3487"/>
      <c r="Q17" s="3487"/>
      <c r="R17" s="3500"/>
      <c r="S17" s="3501"/>
      <c r="T17" s="3501"/>
      <c r="U17" s="3501"/>
      <c r="V17" s="3501"/>
      <c r="W17" s="3501"/>
      <c r="X17" s="3501"/>
      <c r="Y17" s="3501"/>
      <c r="Z17" s="3501"/>
      <c r="AA17" s="3501"/>
      <c r="AB17" s="3501"/>
      <c r="AC17" s="3501"/>
      <c r="AD17" s="3501"/>
      <c r="AE17" s="3501"/>
      <c r="AF17" s="3501"/>
      <c r="AG17" s="3501"/>
      <c r="AH17" s="3501"/>
      <c r="AI17" s="3501"/>
      <c r="AJ17" s="3501"/>
      <c r="AK17" s="3501"/>
      <c r="AL17" s="3501"/>
      <c r="AM17" s="3501"/>
      <c r="AN17" s="3501"/>
      <c r="AO17" s="3501"/>
      <c r="AP17" s="3501"/>
      <c r="AQ17" s="3501"/>
      <c r="AR17" s="3502"/>
      <c r="AS17" s="3502"/>
    </row>
    <row r="18" spans="1:45" s="3015" customFormat="1" ht="13.5" hidden="1" thickBot="1">
      <c r="A18" s="3084"/>
      <c r="B18" s="3085"/>
      <c r="C18" s="3086">
        <v>100</v>
      </c>
      <c r="D18" s="3087">
        <v>70</v>
      </c>
      <c r="E18" s="3087">
        <v>50</v>
      </c>
      <c r="F18" s="3087">
        <v>50</v>
      </c>
      <c r="G18" s="3087">
        <v>45</v>
      </c>
      <c r="H18" s="3087">
        <v>50</v>
      </c>
      <c r="I18" s="3087">
        <v>40</v>
      </c>
      <c r="J18" s="3087"/>
      <c r="K18" s="3087"/>
      <c r="L18" s="3087"/>
      <c r="M18" s="3088"/>
      <c r="N18" s="3088"/>
      <c r="O18" s="3087"/>
      <c r="P18" s="3488"/>
      <c r="Q18" s="3087"/>
      <c r="R18" s="3087"/>
      <c r="S18" s="3089"/>
      <c r="T18" s="3089"/>
      <c r="U18" s="3089"/>
      <c r="V18" s="3089"/>
      <c r="W18" s="3089"/>
      <c r="X18" s="3089"/>
      <c r="Y18" s="3089"/>
      <c r="Z18" s="3089"/>
      <c r="AA18" s="3089"/>
      <c r="AB18" s="3089"/>
      <c r="AC18" s="3089"/>
      <c r="AD18" s="3089"/>
      <c r="AE18" s="3089"/>
      <c r="AF18" s="3089"/>
      <c r="AG18" s="3089"/>
      <c r="AH18" s="3089"/>
      <c r="AI18" s="3089"/>
      <c r="AJ18" s="3089"/>
      <c r="AK18" s="3089"/>
      <c r="AL18" s="3089"/>
      <c r="AM18" s="3089"/>
      <c r="AN18" s="3089"/>
      <c r="AO18" s="3089"/>
      <c r="AP18" s="3089"/>
      <c r="AQ18" s="3089"/>
      <c r="AR18" s="3014"/>
      <c r="AS18" s="3014"/>
    </row>
    <row r="19" spans="1:45">
      <c r="A19" s="2510"/>
      <c r="B19" s="2369"/>
      <c r="C19" s="2369"/>
      <c r="D19" s="3090" t="s">
        <v>3024</v>
      </c>
      <c r="E19" s="3091"/>
      <c r="F19" s="3091"/>
      <c r="G19" s="3091"/>
      <c r="H19" s="3092"/>
      <c r="I19" s="2369"/>
      <c r="J19" s="2369"/>
      <c r="K19" s="2369"/>
      <c r="L19" s="2369"/>
      <c r="M19" s="2369"/>
      <c r="N19" s="2369"/>
      <c r="O19" s="2369"/>
      <c r="P19" s="3489"/>
      <c r="Q19" s="2369"/>
      <c r="R19" s="2369"/>
      <c r="S19" s="2510"/>
    </row>
    <row r="20" spans="1:45" ht="16.5" thickBot="1">
      <c r="A20" s="3093" t="s">
        <v>3025</v>
      </c>
      <c r="B20" s="3094">
        <f ca="1">IF(D20="——",S22,S22-F20)</f>
        <v>104807</v>
      </c>
      <c r="C20" s="2369"/>
      <c r="D20" s="3095" t="s">
        <v>70</v>
      </c>
      <c r="E20" s="3096"/>
      <c r="F20" s="2632" t="e">
        <f ca="1">SUMIF(INDIRECT("'"&amp;H20&amp;"'"&amp;"!A:A"),"承租人权益价值",INDIRECT("'"&amp;H20&amp;"'"&amp;"!c:c"))</f>
        <v>#REF!</v>
      </c>
      <c r="G20" s="2632" t="s">
        <v>3026</v>
      </c>
      <c r="H20" s="3097"/>
      <c r="I20" s="2369"/>
      <c r="J20" s="2369"/>
      <c r="K20" s="2369"/>
      <c r="L20" s="2369"/>
      <c r="M20" s="2369"/>
      <c r="N20" s="2369"/>
      <c r="O20" s="2369"/>
      <c r="P20" s="3489"/>
      <c r="Q20" s="2369"/>
      <c r="R20" s="2369"/>
      <c r="S20" s="2510"/>
    </row>
    <row r="21" spans="1:45" ht="15.75">
      <c r="A21" s="3093" t="s">
        <v>3027</v>
      </c>
      <c r="B21" s="3094">
        <f ca="1">R22</f>
        <v>23544</v>
      </c>
      <c r="C21" s="2369"/>
      <c r="D21" s="2369"/>
      <c r="E21" s="2369"/>
      <c r="F21" s="2369"/>
      <c r="G21" s="2369"/>
      <c r="H21" s="2369"/>
      <c r="I21" s="2369"/>
      <c r="J21" s="2369"/>
      <c r="K21" s="2369"/>
      <c r="L21" s="2369"/>
      <c r="M21" s="2369"/>
      <c r="N21" s="2369"/>
      <c r="O21" s="2369"/>
      <c r="P21" s="3489"/>
      <c r="Q21" s="2369"/>
      <c r="R21" s="3537" t="s">
        <v>7160</v>
      </c>
      <c r="S21" s="3536" t="s">
        <v>7159</v>
      </c>
      <c r="T21" s="3536" t="s">
        <v>7161</v>
      </c>
    </row>
    <row r="22" spans="1:45">
      <c r="A22" s="3098" t="s">
        <v>3028</v>
      </c>
      <c r="B22" s="2407">
        <f>SUM(B24:B10000)</f>
        <v>44516.22</v>
      </c>
      <c r="C22" s="3740" t="s">
        <v>33</v>
      </c>
      <c r="D22" s="3741"/>
      <c r="E22" s="3741"/>
      <c r="F22" s="3741"/>
      <c r="G22" s="3741"/>
      <c r="H22" s="3741"/>
      <c r="I22" s="3741"/>
      <c r="J22" s="3741"/>
      <c r="K22" s="3741"/>
      <c r="L22" s="3741"/>
      <c r="M22" s="3741"/>
      <c r="N22" s="3741"/>
      <c r="O22" s="3741"/>
      <c r="P22" s="3741"/>
      <c r="Q22" s="3874"/>
      <c r="R22" s="2407">
        <f ca="1">ROUND(S22*10000/B22,0)</f>
        <v>23544</v>
      </c>
      <c r="S22" s="2407">
        <f ca="1">SUM(S24:S10000)</f>
        <v>104807</v>
      </c>
      <c r="T22" s="3534">
        <v>97000</v>
      </c>
    </row>
    <row r="23" spans="1:45" s="3100" customFormat="1" ht="24">
      <c r="A23" s="15" t="s">
        <v>3029</v>
      </c>
      <c r="B23" s="15" t="s">
        <v>3030</v>
      </c>
      <c r="C23" s="15" t="s">
        <v>3031</v>
      </c>
      <c r="D23" s="15" t="str">
        <f>B5</f>
        <v>套均面积</v>
      </c>
      <c r="E23" s="15" t="s">
        <v>3031</v>
      </c>
      <c r="F23" s="15" t="str">
        <f>B7</f>
        <v>修正项3</v>
      </c>
      <c r="G23" s="15" t="s">
        <v>3031</v>
      </c>
      <c r="H23" s="15" t="str">
        <f>B9</f>
        <v>修正项4</v>
      </c>
      <c r="I23" s="15" t="s">
        <v>3031</v>
      </c>
      <c r="J23" s="15" t="str">
        <f>B11</f>
        <v>修正项5</v>
      </c>
      <c r="K23" s="15" t="s">
        <v>3031</v>
      </c>
      <c r="L23" s="15" t="str">
        <f>B13</f>
        <v>修正项6</v>
      </c>
      <c r="M23" s="15" t="s">
        <v>3031</v>
      </c>
      <c r="N23" s="15" t="str">
        <f>B15</f>
        <v>修正项7</v>
      </c>
      <c r="O23" s="15" t="s">
        <v>3031</v>
      </c>
      <c r="P23" s="3490" t="str">
        <f>B17</f>
        <v>楼层</v>
      </c>
      <c r="Q23" s="15" t="s">
        <v>3031</v>
      </c>
      <c r="R23" s="15" t="s">
        <v>3032</v>
      </c>
      <c r="S23" s="15" t="s">
        <v>3033</v>
      </c>
      <c r="T23" s="3535" t="s">
        <v>7158</v>
      </c>
      <c r="U23" s="3099"/>
      <c r="V23" s="3099"/>
      <c r="W23" s="3099"/>
      <c r="X23" s="3099"/>
      <c r="Y23" s="3099"/>
      <c r="Z23" s="3099"/>
      <c r="AA23" s="3099"/>
      <c r="AB23" s="3099"/>
      <c r="AC23" s="3099"/>
      <c r="AD23" s="3099"/>
      <c r="AE23" s="3099"/>
      <c r="AF23" s="3099"/>
      <c r="AG23" s="3099"/>
      <c r="AH23" s="3099"/>
      <c r="AI23" s="3099"/>
      <c r="AJ23" s="3099"/>
      <c r="AK23" s="3099"/>
      <c r="AL23" s="3099"/>
      <c r="AM23" s="3099"/>
      <c r="AN23" s="3099"/>
      <c r="AO23" s="3099"/>
      <c r="AP23" s="3099"/>
      <c r="AQ23" s="3099"/>
      <c r="AR23" s="3099"/>
      <c r="AS23" s="3099"/>
    </row>
    <row r="24" spans="1:45" s="3106" customFormat="1">
      <c r="A24" s="3101" t="str">
        <f>'数据-基础表'!C13</f>
        <v>1层</v>
      </c>
      <c r="B24" s="3101">
        <f>'数据-汇总表'!F19</f>
        <v>15982.84</v>
      </c>
      <c r="C24" s="3102">
        <v>1</v>
      </c>
      <c r="D24" s="3103" t="s">
        <v>7156</v>
      </c>
      <c r="E24" s="3102">
        <v>1</v>
      </c>
      <c r="F24" s="3103"/>
      <c r="G24" s="3102">
        <v>1</v>
      </c>
      <c r="H24" s="3103"/>
      <c r="I24" s="3102">
        <v>1</v>
      </c>
      <c r="J24" s="3103"/>
      <c r="K24" s="3102">
        <v>1</v>
      </c>
      <c r="L24" s="3103"/>
      <c r="M24" s="3102">
        <v>1</v>
      </c>
      <c r="N24" s="3103"/>
      <c r="O24" s="3102">
        <v>1</v>
      </c>
      <c r="P24" s="3491">
        <v>1</v>
      </c>
      <c r="Q24" s="3102">
        <v>1</v>
      </c>
      <c r="R24" s="3637">
        <f ca="1">结果表!G20</f>
        <v>35065</v>
      </c>
      <c r="S24" s="3638">
        <f t="shared" ref="S24:S87" ca="1" si="5">ROUND(R24*B24/10000,0)</f>
        <v>56044</v>
      </c>
      <c r="T24" s="3104">
        <f>面积表!E16</f>
        <v>67.2</v>
      </c>
      <c r="U24" s="3105"/>
      <c r="V24" s="3105"/>
      <c r="W24" s="3105"/>
      <c r="X24" s="3105"/>
      <c r="Y24" s="3105"/>
      <c r="Z24" s="3105"/>
      <c r="AA24" s="3105"/>
      <c r="AB24" s="3105"/>
      <c r="AC24" s="3105"/>
      <c r="AD24" s="3105"/>
      <c r="AE24" s="3105"/>
      <c r="AF24" s="3105"/>
      <c r="AG24" s="3105"/>
      <c r="AH24" s="3105"/>
      <c r="AI24" s="3105"/>
      <c r="AJ24" s="3105"/>
      <c r="AK24" s="3105"/>
      <c r="AL24" s="3105"/>
      <c r="AM24" s="3105"/>
      <c r="AN24" s="3105"/>
      <c r="AO24" s="3105"/>
      <c r="AP24" s="3105"/>
      <c r="AQ24" s="3105"/>
      <c r="AR24" s="3105"/>
      <c r="AS24" s="3105"/>
    </row>
    <row r="25" spans="1:45">
      <c r="A25" s="3101" t="str">
        <f>'数据-基础表'!C14</f>
        <v>2层</v>
      </c>
      <c r="B25" s="3101">
        <f>'数据-汇总表'!F20</f>
        <v>1603.32</v>
      </c>
      <c r="C25" s="2407">
        <f>IF(B25="",1,(LOOKUP(B25,$3:$3,$4:$4)-LOOKUP($B$24,$3:$3,$4:$4)+100)/100)</f>
        <v>1</v>
      </c>
      <c r="D25" s="3103" t="s">
        <v>7156</v>
      </c>
      <c r="E25" s="2407">
        <f>(SUMIF($5:$5,D25,$6:$6)-SUMIF($5:$5,$D$24,$6:$6)+100)/100</f>
        <v>1</v>
      </c>
      <c r="F25" s="3103"/>
      <c r="G25" s="2407">
        <f>(SUMIF($7:$7,F25,$8:$8)-SUMIF($7:$7,$F$24,$8:$8)+100)/100</f>
        <v>1</v>
      </c>
      <c r="H25" s="3103"/>
      <c r="I25" s="2407">
        <f>(SUMIF($9:$9,H25,$10:$10)-SUMIF($9:$9,$H$24,$10:$10)+100)/100</f>
        <v>1</v>
      </c>
      <c r="J25" s="3103"/>
      <c r="K25" s="2407">
        <f>(SUMIF($11:$11,J25,$12:$12)-SUMIF($11:$11,$J$24,$12:$12)+100)/100</f>
        <v>1</v>
      </c>
      <c r="L25" s="3103"/>
      <c r="M25" s="2407">
        <f>(SUMIF($13:$13,L25,$14:$14)-SUMIF($13:$13,$L$24,$14:$14)+100)/100</f>
        <v>1</v>
      </c>
      <c r="N25" s="3103"/>
      <c r="O25" s="2407">
        <f>(SUMIF($15:$15,N25,$16:$16)-SUMIF($15:$15,$N$24,$16:$16)+100)/100</f>
        <v>1</v>
      </c>
      <c r="P25" s="3491">
        <v>2</v>
      </c>
      <c r="Q25" s="2407">
        <f>(SUMIF($17:$17,P25,$18:$18)-SUMIF($17:$17,$P$24,$18:$18)+100)/100</f>
        <v>0.7</v>
      </c>
      <c r="R25" s="3438">
        <f ca="1">IF(B25="",0,ROUND($R$24*C25*E25*G25*I25*K25*M25*O25*Q25,0))</f>
        <v>24546</v>
      </c>
      <c r="S25" s="3639">
        <f t="shared" ca="1" si="5"/>
        <v>3936</v>
      </c>
      <c r="T25" s="3534">
        <f>面积表!E17</f>
        <v>57.26</v>
      </c>
    </row>
    <row r="26" spans="1:45">
      <c r="A26" s="3101" t="str">
        <f>'数据-基础表'!C15</f>
        <v>3层</v>
      </c>
      <c r="B26" s="3101">
        <f>'数据-汇总表'!F21</f>
        <v>1041.3799999999999</v>
      </c>
      <c r="C26" s="2407">
        <f t="shared" ref="C26:C89" si="6">IF(B26="",1,(LOOKUP(B26,$3:$3,$4:$4)-LOOKUP($B$24,$3:$3,$4:$4)+100)/100)</f>
        <v>1</v>
      </c>
      <c r="D26" s="3103" t="s">
        <v>7156</v>
      </c>
      <c r="E26" s="2407">
        <f t="shared" ref="E26:E89" si="7">(SUMIF($5:$5,D26,$6:$6)-SUMIF($5:$5,$D$24,$6:$6)+100)/100</f>
        <v>1</v>
      </c>
      <c r="F26" s="3103"/>
      <c r="G26" s="2407">
        <f t="shared" ref="G26:G89" si="8">(SUMIF($7:$7,F26,$8:$8)-SUMIF($7:$7,$F$24,$8:$8)+100)/100</f>
        <v>1</v>
      </c>
      <c r="H26" s="3103"/>
      <c r="I26" s="2407">
        <f t="shared" ref="I26:I89" si="9">(SUMIF($9:$9,H26,$10:$10)-SUMIF($9:$9,$H$24,$10:$10)+100)/100</f>
        <v>1</v>
      </c>
      <c r="J26" s="3103"/>
      <c r="K26" s="2407">
        <f t="shared" ref="K26:K89" si="10">(SUMIF($11:$11,J26,$12:$12)-SUMIF($11:$11,$J$24,$12:$12)+100)/100</f>
        <v>1</v>
      </c>
      <c r="L26" s="3103"/>
      <c r="M26" s="2407">
        <f t="shared" ref="M26:M89" si="11">(SUMIF($13:$13,L26,$14:$14)-SUMIF($13:$13,$L$24,$14:$14)+100)/100</f>
        <v>1</v>
      </c>
      <c r="N26" s="3103"/>
      <c r="O26" s="2407">
        <f t="shared" ref="O26:O89" si="12">(SUMIF($15:$15,N26,$16:$16)-SUMIF($15:$15,$N$24,$16:$16)+100)/100</f>
        <v>1</v>
      </c>
      <c r="P26" s="3491">
        <v>3</v>
      </c>
      <c r="Q26" s="2407">
        <f t="shared" ref="Q26:Q89" si="13">(SUMIF($17:$17,P26,$18:$18)-SUMIF($17:$17,$P$24,$18:$18)+100)/100</f>
        <v>0.5</v>
      </c>
      <c r="R26" s="3438">
        <f t="shared" ref="R26:R89" ca="1" si="14">IF(B26="",0,ROUND($R$24*C26*E26*G26*I26*K26*M26*O26*Q26,0))</f>
        <v>17533</v>
      </c>
      <c r="S26" s="3639">
        <f t="shared" ca="1" si="5"/>
        <v>1826</v>
      </c>
      <c r="T26" s="3534">
        <f>面积表!E18</f>
        <v>74.38</v>
      </c>
    </row>
    <row r="27" spans="1:45">
      <c r="A27" s="3101" t="s">
        <v>7098</v>
      </c>
      <c r="B27" s="3101">
        <f>'数据-基础表'!I16+'数据-基础表'!I17</f>
        <v>4137.8500000000004</v>
      </c>
      <c r="C27" s="2407">
        <f t="shared" si="6"/>
        <v>1</v>
      </c>
      <c r="D27" s="3103" t="s">
        <v>7156</v>
      </c>
      <c r="E27" s="2407">
        <f t="shared" si="7"/>
        <v>1</v>
      </c>
      <c r="F27" s="3103"/>
      <c r="G27" s="2407">
        <f t="shared" si="8"/>
        <v>1</v>
      </c>
      <c r="H27" s="3103"/>
      <c r="I27" s="2407">
        <f t="shared" si="9"/>
        <v>1</v>
      </c>
      <c r="J27" s="3103"/>
      <c r="K27" s="2407">
        <f t="shared" si="10"/>
        <v>1</v>
      </c>
      <c r="L27" s="3103"/>
      <c r="M27" s="2407">
        <f t="shared" si="11"/>
        <v>1</v>
      </c>
      <c r="N27" s="3103"/>
      <c r="O27" s="2407">
        <f t="shared" si="12"/>
        <v>1</v>
      </c>
      <c r="P27" s="3491">
        <v>4</v>
      </c>
      <c r="Q27" s="2407">
        <f t="shared" si="13"/>
        <v>0.5</v>
      </c>
      <c r="R27" s="3438">
        <f t="shared" ca="1" si="14"/>
        <v>17533</v>
      </c>
      <c r="S27" s="3639">
        <f t="shared" ca="1" si="5"/>
        <v>7255</v>
      </c>
      <c r="T27" s="3534">
        <f>面积表!E19</f>
        <v>71.34</v>
      </c>
    </row>
    <row r="28" spans="1:45" hidden="1">
      <c r="A28" s="3101"/>
      <c r="B28" s="3101"/>
      <c r="C28" s="2407">
        <f t="shared" si="6"/>
        <v>1</v>
      </c>
      <c r="D28" s="3103"/>
      <c r="E28" s="2407">
        <f t="shared" si="7"/>
        <v>0</v>
      </c>
      <c r="F28" s="3103"/>
      <c r="G28" s="2407">
        <f t="shared" si="8"/>
        <v>1</v>
      </c>
      <c r="H28" s="3103"/>
      <c r="I28" s="2407">
        <f t="shared" si="9"/>
        <v>1</v>
      </c>
      <c r="J28" s="3103"/>
      <c r="K28" s="2407">
        <f t="shared" si="10"/>
        <v>1</v>
      </c>
      <c r="L28" s="3103"/>
      <c r="M28" s="2407">
        <f t="shared" si="11"/>
        <v>1</v>
      </c>
      <c r="N28" s="3103"/>
      <c r="O28" s="2407">
        <f t="shared" si="12"/>
        <v>1</v>
      </c>
      <c r="P28" s="3491"/>
      <c r="Q28" s="2407">
        <f t="shared" si="13"/>
        <v>0</v>
      </c>
      <c r="R28" s="3438">
        <f t="shared" si="14"/>
        <v>0</v>
      </c>
      <c r="S28" s="3639">
        <f t="shared" si="5"/>
        <v>0</v>
      </c>
      <c r="T28" s="3534">
        <f>面积表!E20</f>
        <v>65.22</v>
      </c>
    </row>
    <row r="29" spans="1:45">
      <c r="A29" s="3101" t="str">
        <f>'数据-基础表'!C18</f>
        <v>—1层</v>
      </c>
      <c r="B29" s="3107">
        <f>'数据-汇总表'!G24</f>
        <v>14937.26</v>
      </c>
      <c r="C29" s="2407">
        <f t="shared" si="6"/>
        <v>1</v>
      </c>
      <c r="D29" s="3103" t="s">
        <v>7156</v>
      </c>
      <c r="E29" s="2407">
        <f t="shared" si="7"/>
        <v>1</v>
      </c>
      <c r="F29" s="3103"/>
      <c r="G29" s="2407">
        <f t="shared" si="8"/>
        <v>1</v>
      </c>
      <c r="H29" s="3103"/>
      <c r="I29" s="2407">
        <f t="shared" si="9"/>
        <v>1</v>
      </c>
      <c r="J29" s="3103"/>
      <c r="K29" s="2407">
        <f t="shared" si="10"/>
        <v>1</v>
      </c>
      <c r="L29" s="3103"/>
      <c r="M29" s="2407">
        <f t="shared" si="11"/>
        <v>1</v>
      </c>
      <c r="N29" s="3103"/>
      <c r="O29" s="2407">
        <f t="shared" si="12"/>
        <v>1</v>
      </c>
      <c r="P29" s="3491">
        <v>-1</v>
      </c>
      <c r="Q29" s="2407">
        <f t="shared" si="13"/>
        <v>0.5</v>
      </c>
      <c r="R29" s="3438">
        <f t="shared" ca="1" si="14"/>
        <v>17533</v>
      </c>
      <c r="S29" s="3639">
        <f t="shared" ca="1" si="5"/>
        <v>26189</v>
      </c>
      <c r="T29" s="3534">
        <f>面积表!E21</f>
        <v>69.53</v>
      </c>
    </row>
    <row r="30" spans="1:45">
      <c r="A30" s="3101" t="str">
        <f>'数据-基础表'!C19</f>
        <v>—2层</v>
      </c>
      <c r="B30" s="3107">
        <f>'数据-汇总表'!G25</f>
        <v>6813.5700000000006</v>
      </c>
      <c r="C30" s="2407">
        <f t="shared" si="6"/>
        <v>1</v>
      </c>
      <c r="D30" s="3103" t="s">
        <v>7156</v>
      </c>
      <c r="E30" s="2407">
        <f t="shared" si="7"/>
        <v>1</v>
      </c>
      <c r="F30" s="3103"/>
      <c r="G30" s="2407">
        <f t="shared" si="8"/>
        <v>1</v>
      </c>
      <c r="H30" s="3103"/>
      <c r="I30" s="2407">
        <f t="shared" si="9"/>
        <v>1</v>
      </c>
      <c r="J30" s="3103"/>
      <c r="K30" s="2407">
        <f t="shared" si="10"/>
        <v>1</v>
      </c>
      <c r="L30" s="3103"/>
      <c r="M30" s="2407">
        <f t="shared" si="11"/>
        <v>1</v>
      </c>
      <c r="N30" s="3103"/>
      <c r="O30" s="2407">
        <f t="shared" si="12"/>
        <v>1</v>
      </c>
      <c r="P30" s="3491">
        <v>-2</v>
      </c>
      <c r="Q30" s="2407">
        <f t="shared" si="13"/>
        <v>0.4</v>
      </c>
      <c r="R30" s="3438">
        <f t="shared" ca="1" si="14"/>
        <v>14026</v>
      </c>
      <c r="S30" s="3639">
        <f t="shared" ca="1" si="5"/>
        <v>9557</v>
      </c>
      <c r="T30" s="3534">
        <f>面积表!E22</f>
        <v>66.959999999999994</v>
      </c>
    </row>
    <row r="31" spans="1:45">
      <c r="A31" s="3101"/>
      <c r="B31" s="3107"/>
      <c r="C31" s="2407">
        <f t="shared" si="6"/>
        <v>1</v>
      </c>
      <c r="D31" s="3103"/>
      <c r="E31" s="2407">
        <f t="shared" si="7"/>
        <v>0</v>
      </c>
      <c r="F31" s="3103"/>
      <c r="G31" s="2407">
        <f t="shared" si="8"/>
        <v>1</v>
      </c>
      <c r="H31" s="3103"/>
      <c r="I31" s="2407">
        <f t="shared" si="9"/>
        <v>1</v>
      </c>
      <c r="J31" s="3103"/>
      <c r="K31" s="2407">
        <f t="shared" si="10"/>
        <v>1</v>
      </c>
      <c r="L31" s="3103"/>
      <c r="M31" s="2407">
        <f t="shared" si="11"/>
        <v>1</v>
      </c>
      <c r="N31" s="3103"/>
      <c r="O31" s="2407">
        <f t="shared" si="12"/>
        <v>1</v>
      </c>
      <c r="P31" s="3491"/>
      <c r="Q31" s="2407">
        <f t="shared" si="13"/>
        <v>0</v>
      </c>
      <c r="R31" s="2407">
        <f t="shared" si="14"/>
        <v>0</v>
      </c>
      <c r="S31" s="3098">
        <f t="shared" si="5"/>
        <v>0</v>
      </c>
    </row>
    <row r="32" spans="1:45">
      <c r="A32" s="3101"/>
      <c r="B32" s="3107"/>
      <c r="C32" s="2407">
        <f t="shared" si="6"/>
        <v>1</v>
      </c>
      <c r="D32" s="3103"/>
      <c r="E32" s="2407">
        <f t="shared" si="7"/>
        <v>0</v>
      </c>
      <c r="F32" s="3103"/>
      <c r="G32" s="2407">
        <f t="shared" si="8"/>
        <v>1</v>
      </c>
      <c r="H32" s="3103"/>
      <c r="I32" s="2407">
        <f t="shared" si="9"/>
        <v>1</v>
      </c>
      <c r="J32" s="3103"/>
      <c r="K32" s="2407">
        <f t="shared" si="10"/>
        <v>1</v>
      </c>
      <c r="L32" s="3103"/>
      <c r="M32" s="2407">
        <f t="shared" si="11"/>
        <v>1</v>
      </c>
      <c r="N32" s="3103"/>
      <c r="O32" s="2407">
        <f t="shared" si="12"/>
        <v>1</v>
      </c>
      <c r="P32" s="3491"/>
      <c r="Q32" s="2407">
        <f t="shared" si="13"/>
        <v>0</v>
      </c>
      <c r="R32" s="2407">
        <f t="shared" si="14"/>
        <v>0</v>
      </c>
      <c r="S32" s="3098">
        <f t="shared" si="5"/>
        <v>0</v>
      </c>
    </row>
    <row r="33" spans="1:19">
      <c r="A33" s="3101"/>
      <c r="B33" s="3107"/>
      <c r="C33" s="2407">
        <f t="shared" si="6"/>
        <v>1</v>
      </c>
      <c r="D33" s="3103"/>
      <c r="E33" s="2407">
        <f t="shared" si="7"/>
        <v>0</v>
      </c>
      <c r="F33" s="3103"/>
      <c r="G33" s="2407">
        <f t="shared" si="8"/>
        <v>1</v>
      </c>
      <c r="H33" s="3103"/>
      <c r="I33" s="2407">
        <f t="shared" si="9"/>
        <v>1</v>
      </c>
      <c r="J33" s="3103"/>
      <c r="K33" s="2407">
        <f t="shared" si="10"/>
        <v>1</v>
      </c>
      <c r="L33" s="3103"/>
      <c r="M33" s="2407">
        <f t="shared" si="11"/>
        <v>1</v>
      </c>
      <c r="N33" s="3103"/>
      <c r="O33" s="2407">
        <f t="shared" si="12"/>
        <v>1</v>
      </c>
      <c r="P33" s="3491"/>
      <c r="Q33" s="2407">
        <f t="shared" si="13"/>
        <v>0</v>
      </c>
      <c r="R33" s="2407">
        <f t="shared" si="14"/>
        <v>0</v>
      </c>
      <c r="S33" s="3098">
        <f t="shared" si="5"/>
        <v>0</v>
      </c>
    </row>
    <row r="34" spans="1:19">
      <c r="A34" s="3101"/>
      <c r="B34" s="3107"/>
      <c r="C34" s="2407">
        <f t="shared" si="6"/>
        <v>1</v>
      </c>
      <c r="D34" s="3103"/>
      <c r="E34" s="2407">
        <f t="shared" si="7"/>
        <v>0</v>
      </c>
      <c r="F34" s="3103"/>
      <c r="G34" s="2407">
        <f t="shared" si="8"/>
        <v>1</v>
      </c>
      <c r="H34" s="3103"/>
      <c r="I34" s="2407">
        <f t="shared" si="9"/>
        <v>1</v>
      </c>
      <c r="J34" s="3103"/>
      <c r="K34" s="2407">
        <f t="shared" si="10"/>
        <v>1</v>
      </c>
      <c r="L34" s="3103"/>
      <c r="M34" s="2407">
        <f t="shared" si="11"/>
        <v>1</v>
      </c>
      <c r="N34" s="3103"/>
      <c r="O34" s="2407">
        <f t="shared" si="12"/>
        <v>1</v>
      </c>
      <c r="P34" s="3491"/>
      <c r="Q34" s="2407">
        <f t="shared" si="13"/>
        <v>0</v>
      </c>
      <c r="R34" s="2407">
        <f t="shared" si="14"/>
        <v>0</v>
      </c>
      <c r="S34" s="3098">
        <f t="shared" si="5"/>
        <v>0</v>
      </c>
    </row>
    <row r="35" spans="1:19">
      <c r="A35" s="2571"/>
      <c r="B35" s="3107"/>
      <c r="C35" s="2407">
        <f t="shared" si="6"/>
        <v>1</v>
      </c>
      <c r="D35" s="3103"/>
      <c r="E35" s="2407">
        <f t="shared" si="7"/>
        <v>0</v>
      </c>
      <c r="F35" s="3103"/>
      <c r="G35" s="2407">
        <f t="shared" si="8"/>
        <v>1</v>
      </c>
      <c r="H35" s="3103"/>
      <c r="I35" s="2407">
        <f t="shared" si="9"/>
        <v>1</v>
      </c>
      <c r="J35" s="3103"/>
      <c r="K35" s="2407">
        <f t="shared" si="10"/>
        <v>1</v>
      </c>
      <c r="L35" s="3103"/>
      <c r="M35" s="2407">
        <f t="shared" si="11"/>
        <v>1</v>
      </c>
      <c r="N35" s="3103"/>
      <c r="O35" s="2407">
        <f t="shared" si="12"/>
        <v>1</v>
      </c>
      <c r="P35" s="3491"/>
      <c r="Q35" s="2407">
        <f t="shared" si="13"/>
        <v>0</v>
      </c>
      <c r="R35" s="2407">
        <f t="shared" si="14"/>
        <v>0</v>
      </c>
      <c r="S35" s="3098">
        <f t="shared" si="5"/>
        <v>0</v>
      </c>
    </row>
    <row r="36" spans="1:19">
      <c r="A36" s="2571"/>
      <c r="B36" s="3107"/>
      <c r="C36" s="2407">
        <f t="shared" si="6"/>
        <v>1</v>
      </c>
      <c r="D36" s="3103"/>
      <c r="E36" s="2407">
        <f t="shared" si="7"/>
        <v>0</v>
      </c>
      <c r="F36" s="3103"/>
      <c r="G36" s="2407">
        <f t="shared" si="8"/>
        <v>1</v>
      </c>
      <c r="H36" s="3103"/>
      <c r="I36" s="2407">
        <f t="shared" si="9"/>
        <v>1</v>
      </c>
      <c r="J36" s="3103"/>
      <c r="K36" s="2407">
        <f t="shared" si="10"/>
        <v>1</v>
      </c>
      <c r="L36" s="3103"/>
      <c r="M36" s="2407">
        <f t="shared" si="11"/>
        <v>1</v>
      </c>
      <c r="N36" s="3103"/>
      <c r="O36" s="2407">
        <f t="shared" si="12"/>
        <v>1</v>
      </c>
      <c r="P36" s="3491"/>
      <c r="Q36" s="2407">
        <f t="shared" si="13"/>
        <v>0</v>
      </c>
      <c r="R36" s="2407">
        <f t="shared" si="14"/>
        <v>0</v>
      </c>
      <c r="S36" s="3098">
        <f t="shared" si="5"/>
        <v>0</v>
      </c>
    </row>
    <row r="37" spans="1:19">
      <c r="A37" s="2571"/>
      <c r="B37" s="3107"/>
      <c r="C37" s="2407">
        <f t="shared" si="6"/>
        <v>1</v>
      </c>
      <c r="D37" s="3103"/>
      <c r="E37" s="2407">
        <f t="shared" si="7"/>
        <v>0</v>
      </c>
      <c r="F37" s="3103"/>
      <c r="G37" s="2407">
        <f t="shared" si="8"/>
        <v>1</v>
      </c>
      <c r="H37" s="3103"/>
      <c r="I37" s="2407">
        <f t="shared" si="9"/>
        <v>1</v>
      </c>
      <c r="J37" s="3103"/>
      <c r="K37" s="2407">
        <f t="shared" si="10"/>
        <v>1</v>
      </c>
      <c r="L37" s="3103"/>
      <c r="M37" s="2407">
        <f t="shared" si="11"/>
        <v>1</v>
      </c>
      <c r="N37" s="3103"/>
      <c r="O37" s="2407">
        <f t="shared" si="12"/>
        <v>1</v>
      </c>
      <c r="P37" s="3491"/>
      <c r="Q37" s="2407">
        <f t="shared" si="13"/>
        <v>0</v>
      </c>
      <c r="R37" s="2407">
        <f t="shared" si="14"/>
        <v>0</v>
      </c>
      <c r="S37" s="3098">
        <f t="shared" si="5"/>
        <v>0</v>
      </c>
    </row>
    <row r="38" spans="1:19">
      <c r="A38" s="2571"/>
      <c r="B38" s="3107"/>
      <c r="C38" s="2407">
        <f t="shared" si="6"/>
        <v>1</v>
      </c>
      <c r="D38" s="3103"/>
      <c r="E38" s="2407">
        <f t="shared" si="7"/>
        <v>0</v>
      </c>
      <c r="F38" s="3103"/>
      <c r="G38" s="2407">
        <f t="shared" si="8"/>
        <v>1</v>
      </c>
      <c r="H38" s="3103"/>
      <c r="I38" s="2407">
        <f t="shared" si="9"/>
        <v>1</v>
      </c>
      <c r="J38" s="3103"/>
      <c r="K38" s="2407">
        <f t="shared" si="10"/>
        <v>1</v>
      </c>
      <c r="L38" s="3103"/>
      <c r="M38" s="2407">
        <f t="shared" si="11"/>
        <v>1</v>
      </c>
      <c r="N38" s="3103"/>
      <c r="O38" s="2407">
        <f t="shared" si="12"/>
        <v>1</v>
      </c>
      <c r="P38" s="3491"/>
      <c r="Q38" s="2407">
        <f t="shared" si="13"/>
        <v>0</v>
      </c>
      <c r="R38" s="2407">
        <f t="shared" si="14"/>
        <v>0</v>
      </c>
      <c r="S38" s="3098">
        <f t="shared" si="5"/>
        <v>0</v>
      </c>
    </row>
    <row r="39" spans="1:19">
      <c r="A39" s="2571"/>
      <c r="B39" s="3107"/>
      <c r="C39" s="2407">
        <f t="shared" si="6"/>
        <v>1</v>
      </c>
      <c r="D39" s="3103"/>
      <c r="E39" s="2407">
        <f t="shared" si="7"/>
        <v>0</v>
      </c>
      <c r="F39" s="3103"/>
      <c r="G39" s="2407">
        <f t="shared" si="8"/>
        <v>1</v>
      </c>
      <c r="H39" s="3103"/>
      <c r="I39" s="2407">
        <f t="shared" si="9"/>
        <v>1</v>
      </c>
      <c r="J39" s="3103"/>
      <c r="K39" s="2407">
        <f t="shared" si="10"/>
        <v>1</v>
      </c>
      <c r="L39" s="3103"/>
      <c r="M39" s="2407">
        <f t="shared" si="11"/>
        <v>1</v>
      </c>
      <c r="N39" s="3103"/>
      <c r="O39" s="2407">
        <f t="shared" si="12"/>
        <v>1</v>
      </c>
      <c r="P39" s="3491"/>
      <c r="Q39" s="2407">
        <f t="shared" si="13"/>
        <v>0</v>
      </c>
      <c r="R39" s="2407">
        <f t="shared" si="14"/>
        <v>0</v>
      </c>
      <c r="S39" s="3098">
        <f t="shared" si="5"/>
        <v>0</v>
      </c>
    </row>
    <row r="40" spans="1:19">
      <c r="A40" s="2571"/>
      <c r="B40" s="3107"/>
      <c r="C40" s="2407">
        <f t="shared" si="6"/>
        <v>1</v>
      </c>
      <c r="D40" s="3103"/>
      <c r="E40" s="2407">
        <f t="shared" si="7"/>
        <v>0</v>
      </c>
      <c r="F40" s="3103"/>
      <c r="G40" s="2407">
        <f t="shared" si="8"/>
        <v>1</v>
      </c>
      <c r="H40" s="3103"/>
      <c r="I40" s="2407">
        <f t="shared" si="9"/>
        <v>1</v>
      </c>
      <c r="J40" s="3103"/>
      <c r="K40" s="2407">
        <f t="shared" si="10"/>
        <v>1</v>
      </c>
      <c r="L40" s="3103"/>
      <c r="M40" s="2407">
        <f t="shared" si="11"/>
        <v>1</v>
      </c>
      <c r="N40" s="3103"/>
      <c r="O40" s="2407">
        <f t="shared" si="12"/>
        <v>1</v>
      </c>
      <c r="P40" s="3491"/>
      <c r="Q40" s="2407">
        <f t="shared" si="13"/>
        <v>0</v>
      </c>
      <c r="R40" s="2407">
        <f t="shared" si="14"/>
        <v>0</v>
      </c>
      <c r="S40" s="3098">
        <f t="shared" si="5"/>
        <v>0</v>
      </c>
    </row>
    <row r="41" spans="1:19">
      <c r="A41" s="2571"/>
      <c r="B41" s="3107"/>
      <c r="C41" s="2407">
        <f t="shared" si="6"/>
        <v>1</v>
      </c>
      <c r="D41" s="3103"/>
      <c r="E41" s="2407">
        <f t="shared" si="7"/>
        <v>0</v>
      </c>
      <c r="F41" s="3103"/>
      <c r="G41" s="2407">
        <f t="shared" si="8"/>
        <v>1</v>
      </c>
      <c r="H41" s="3103"/>
      <c r="I41" s="2407">
        <f t="shared" si="9"/>
        <v>1</v>
      </c>
      <c r="J41" s="3103"/>
      <c r="K41" s="2407">
        <f t="shared" si="10"/>
        <v>1</v>
      </c>
      <c r="L41" s="3103"/>
      <c r="M41" s="2407">
        <f t="shared" si="11"/>
        <v>1</v>
      </c>
      <c r="N41" s="3103"/>
      <c r="O41" s="2407">
        <f t="shared" si="12"/>
        <v>1</v>
      </c>
      <c r="P41" s="3491"/>
      <c r="Q41" s="2407">
        <f t="shared" si="13"/>
        <v>0</v>
      </c>
      <c r="R41" s="2407">
        <f t="shared" si="14"/>
        <v>0</v>
      </c>
      <c r="S41" s="3098">
        <f t="shared" si="5"/>
        <v>0</v>
      </c>
    </row>
    <row r="42" spans="1:19">
      <c r="A42" s="2571"/>
      <c r="B42" s="3107"/>
      <c r="C42" s="2407">
        <f t="shared" si="6"/>
        <v>1</v>
      </c>
      <c r="D42" s="3103"/>
      <c r="E42" s="2407">
        <f t="shared" si="7"/>
        <v>0</v>
      </c>
      <c r="F42" s="3103"/>
      <c r="G42" s="2407">
        <f t="shared" si="8"/>
        <v>1</v>
      </c>
      <c r="H42" s="3103"/>
      <c r="I42" s="2407">
        <f t="shared" si="9"/>
        <v>1</v>
      </c>
      <c r="J42" s="3103"/>
      <c r="K42" s="2407">
        <f t="shared" si="10"/>
        <v>1</v>
      </c>
      <c r="L42" s="3103"/>
      <c r="M42" s="2407">
        <f t="shared" si="11"/>
        <v>1</v>
      </c>
      <c r="N42" s="3103"/>
      <c r="O42" s="2407">
        <f t="shared" si="12"/>
        <v>1</v>
      </c>
      <c r="P42" s="3491"/>
      <c r="Q42" s="2407">
        <f t="shared" si="13"/>
        <v>0</v>
      </c>
      <c r="R42" s="2407">
        <f t="shared" si="14"/>
        <v>0</v>
      </c>
      <c r="S42" s="3098">
        <f t="shared" si="5"/>
        <v>0</v>
      </c>
    </row>
    <row r="43" spans="1:19">
      <c r="A43" s="2571"/>
      <c r="B43" s="3107"/>
      <c r="C43" s="2407">
        <f t="shared" si="6"/>
        <v>1</v>
      </c>
      <c r="D43" s="3103"/>
      <c r="E43" s="2407">
        <f t="shared" si="7"/>
        <v>0</v>
      </c>
      <c r="F43" s="3103"/>
      <c r="G43" s="2407">
        <f t="shared" si="8"/>
        <v>1</v>
      </c>
      <c r="H43" s="3103"/>
      <c r="I43" s="2407">
        <f t="shared" si="9"/>
        <v>1</v>
      </c>
      <c r="J43" s="3103"/>
      <c r="K43" s="2407">
        <f t="shared" si="10"/>
        <v>1</v>
      </c>
      <c r="L43" s="3103"/>
      <c r="M43" s="2407">
        <f t="shared" si="11"/>
        <v>1</v>
      </c>
      <c r="N43" s="3103"/>
      <c r="O43" s="2407">
        <f t="shared" si="12"/>
        <v>1</v>
      </c>
      <c r="P43" s="3491"/>
      <c r="Q43" s="2407">
        <f t="shared" si="13"/>
        <v>0</v>
      </c>
      <c r="R43" s="2407">
        <f t="shared" si="14"/>
        <v>0</v>
      </c>
      <c r="S43" s="3098">
        <f t="shared" si="5"/>
        <v>0</v>
      </c>
    </row>
    <row r="44" spans="1:19">
      <c r="A44" s="2571"/>
      <c r="B44" s="3107"/>
      <c r="C44" s="2407">
        <f t="shared" si="6"/>
        <v>1</v>
      </c>
      <c r="D44" s="3103"/>
      <c r="E44" s="2407">
        <f t="shared" si="7"/>
        <v>0</v>
      </c>
      <c r="F44" s="3103"/>
      <c r="G44" s="2407">
        <f t="shared" si="8"/>
        <v>1</v>
      </c>
      <c r="H44" s="3103"/>
      <c r="I44" s="2407">
        <f t="shared" si="9"/>
        <v>1</v>
      </c>
      <c r="J44" s="3103"/>
      <c r="K44" s="2407">
        <f t="shared" si="10"/>
        <v>1</v>
      </c>
      <c r="L44" s="3103"/>
      <c r="M44" s="2407">
        <f t="shared" si="11"/>
        <v>1</v>
      </c>
      <c r="N44" s="3103"/>
      <c r="O44" s="2407">
        <f t="shared" si="12"/>
        <v>1</v>
      </c>
      <c r="P44" s="3491"/>
      <c r="Q44" s="2407">
        <f t="shared" si="13"/>
        <v>0</v>
      </c>
      <c r="R44" s="2407">
        <f t="shared" si="14"/>
        <v>0</v>
      </c>
      <c r="S44" s="3098">
        <f t="shared" si="5"/>
        <v>0</v>
      </c>
    </row>
    <row r="45" spans="1:19">
      <c r="A45" s="2571"/>
      <c r="B45" s="3107"/>
      <c r="C45" s="2407">
        <f t="shared" si="6"/>
        <v>1</v>
      </c>
      <c r="D45" s="3103"/>
      <c r="E45" s="2407">
        <f t="shared" si="7"/>
        <v>0</v>
      </c>
      <c r="F45" s="3103"/>
      <c r="G45" s="2407">
        <f t="shared" si="8"/>
        <v>1</v>
      </c>
      <c r="H45" s="3103"/>
      <c r="I45" s="2407">
        <f t="shared" si="9"/>
        <v>1</v>
      </c>
      <c r="J45" s="3103"/>
      <c r="K45" s="2407">
        <f t="shared" si="10"/>
        <v>1</v>
      </c>
      <c r="L45" s="3103"/>
      <c r="M45" s="2407">
        <f t="shared" si="11"/>
        <v>1</v>
      </c>
      <c r="N45" s="3103"/>
      <c r="O45" s="2407">
        <f t="shared" si="12"/>
        <v>1</v>
      </c>
      <c r="P45" s="3491"/>
      <c r="Q45" s="2407">
        <f t="shared" si="13"/>
        <v>0</v>
      </c>
      <c r="R45" s="2407">
        <f t="shared" si="14"/>
        <v>0</v>
      </c>
      <c r="S45" s="3098">
        <f t="shared" si="5"/>
        <v>0</v>
      </c>
    </row>
    <row r="46" spans="1:19">
      <c r="A46" s="2571"/>
      <c r="B46" s="3107"/>
      <c r="C46" s="2407">
        <f t="shared" si="6"/>
        <v>1</v>
      </c>
      <c r="D46" s="3103"/>
      <c r="E46" s="2407">
        <f t="shared" si="7"/>
        <v>0</v>
      </c>
      <c r="F46" s="3103"/>
      <c r="G46" s="2407">
        <f t="shared" si="8"/>
        <v>1</v>
      </c>
      <c r="H46" s="3103"/>
      <c r="I46" s="2407">
        <f t="shared" si="9"/>
        <v>1</v>
      </c>
      <c r="J46" s="3103"/>
      <c r="K46" s="2407">
        <f t="shared" si="10"/>
        <v>1</v>
      </c>
      <c r="L46" s="3103"/>
      <c r="M46" s="2407">
        <f t="shared" si="11"/>
        <v>1</v>
      </c>
      <c r="N46" s="3103"/>
      <c r="O46" s="2407">
        <f t="shared" si="12"/>
        <v>1</v>
      </c>
      <c r="P46" s="3491"/>
      <c r="Q46" s="2407">
        <f t="shared" si="13"/>
        <v>0</v>
      </c>
      <c r="R46" s="2407">
        <f t="shared" si="14"/>
        <v>0</v>
      </c>
      <c r="S46" s="3098">
        <f t="shared" si="5"/>
        <v>0</v>
      </c>
    </row>
    <row r="47" spans="1:19">
      <c r="A47" s="2571"/>
      <c r="B47" s="3107"/>
      <c r="C47" s="2407">
        <f t="shared" si="6"/>
        <v>1</v>
      </c>
      <c r="D47" s="3103"/>
      <c r="E47" s="2407">
        <f t="shared" si="7"/>
        <v>0</v>
      </c>
      <c r="F47" s="3103"/>
      <c r="G47" s="2407">
        <f t="shared" si="8"/>
        <v>1</v>
      </c>
      <c r="H47" s="3103"/>
      <c r="I47" s="2407">
        <f t="shared" si="9"/>
        <v>1</v>
      </c>
      <c r="J47" s="3103"/>
      <c r="K47" s="2407">
        <f t="shared" si="10"/>
        <v>1</v>
      </c>
      <c r="L47" s="3103"/>
      <c r="M47" s="2407">
        <f t="shared" si="11"/>
        <v>1</v>
      </c>
      <c r="N47" s="3103"/>
      <c r="O47" s="2407">
        <f t="shared" si="12"/>
        <v>1</v>
      </c>
      <c r="P47" s="3491"/>
      <c r="Q47" s="2407">
        <f t="shared" si="13"/>
        <v>0</v>
      </c>
      <c r="R47" s="2407">
        <f t="shared" si="14"/>
        <v>0</v>
      </c>
      <c r="S47" s="3098">
        <f t="shared" si="5"/>
        <v>0</v>
      </c>
    </row>
    <row r="48" spans="1:19">
      <c r="A48" s="2571"/>
      <c r="B48" s="3107"/>
      <c r="C48" s="2407">
        <f t="shared" si="6"/>
        <v>1</v>
      </c>
      <c r="D48" s="3103"/>
      <c r="E48" s="2407">
        <f t="shared" si="7"/>
        <v>0</v>
      </c>
      <c r="F48" s="3103"/>
      <c r="G48" s="2407">
        <f t="shared" si="8"/>
        <v>1</v>
      </c>
      <c r="H48" s="3103"/>
      <c r="I48" s="2407">
        <f t="shared" si="9"/>
        <v>1</v>
      </c>
      <c r="J48" s="3103"/>
      <c r="K48" s="2407">
        <f t="shared" si="10"/>
        <v>1</v>
      </c>
      <c r="L48" s="3103"/>
      <c r="M48" s="2407">
        <f t="shared" si="11"/>
        <v>1</v>
      </c>
      <c r="N48" s="3103"/>
      <c r="O48" s="2407">
        <f t="shared" si="12"/>
        <v>1</v>
      </c>
      <c r="P48" s="3491"/>
      <c r="Q48" s="2407">
        <f t="shared" si="13"/>
        <v>0</v>
      </c>
      <c r="R48" s="2407">
        <f t="shared" si="14"/>
        <v>0</v>
      </c>
      <c r="S48" s="3098">
        <f t="shared" si="5"/>
        <v>0</v>
      </c>
    </row>
    <row r="49" spans="1:19">
      <c r="A49" s="2571"/>
      <c r="B49" s="3107"/>
      <c r="C49" s="2407">
        <f t="shared" si="6"/>
        <v>1</v>
      </c>
      <c r="D49" s="3103"/>
      <c r="E49" s="2407">
        <f t="shared" si="7"/>
        <v>0</v>
      </c>
      <c r="F49" s="3103"/>
      <c r="G49" s="2407">
        <f t="shared" si="8"/>
        <v>1</v>
      </c>
      <c r="H49" s="3103"/>
      <c r="I49" s="2407">
        <f t="shared" si="9"/>
        <v>1</v>
      </c>
      <c r="J49" s="3103"/>
      <c r="K49" s="2407">
        <f t="shared" si="10"/>
        <v>1</v>
      </c>
      <c r="L49" s="3103"/>
      <c r="M49" s="2407">
        <f t="shared" si="11"/>
        <v>1</v>
      </c>
      <c r="N49" s="3103"/>
      <c r="O49" s="2407">
        <f t="shared" si="12"/>
        <v>1</v>
      </c>
      <c r="P49" s="3491"/>
      <c r="Q49" s="2407">
        <f t="shared" si="13"/>
        <v>0</v>
      </c>
      <c r="R49" s="2407">
        <f t="shared" si="14"/>
        <v>0</v>
      </c>
      <c r="S49" s="3098">
        <f t="shared" si="5"/>
        <v>0</v>
      </c>
    </row>
    <row r="50" spans="1:19">
      <c r="A50" s="2571"/>
      <c r="B50" s="3107"/>
      <c r="C50" s="2407">
        <f t="shared" si="6"/>
        <v>1</v>
      </c>
      <c r="D50" s="3103"/>
      <c r="E50" s="2407">
        <f t="shared" si="7"/>
        <v>0</v>
      </c>
      <c r="F50" s="3103"/>
      <c r="G50" s="2407">
        <f t="shared" si="8"/>
        <v>1</v>
      </c>
      <c r="H50" s="3103"/>
      <c r="I50" s="2407">
        <f t="shared" si="9"/>
        <v>1</v>
      </c>
      <c r="J50" s="3103"/>
      <c r="K50" s="2407">
        <f t="shared" si="10"/>
        <v>1</v>
      </c>
      <c r="L50" s="3103"/>
      <c r="M50" s="2407">
        <f t="shared" si="11"/>
        <v>1</v>
      </c>
      <c r="N50" s="3103"/>
      <c r="O50" s="2407">
        <f t="shared" si="12"/>
        <v>1</v>
      </c>
      <c r="P50" s="3491"/>
      <c r="Q50" s="2407">
        <f t="shared" si="13"/>
        <v>0</v>
      </c>
      <c r="R50" s="2407">
        <f t="shared" si="14"/>
        <v>0</v>
      </c>
      <c r="S50" s="3098">
        <f t="shared" si="5"/>
        <v>0</v>
      </c>
    </row>
    <row r="51" spans="1:19">
      <c r="A51" s="2571"/>
      <c r="B51" s="3107"/>
      <c r="C51" s="2407">
        <f t="shared" si="6"/>
        <v>1</v>
      </c>
      <c r="D51" s="3103"/>
      <c r="E51" s="2407">
        <f t="shared" si="7"/>
        <v>0</v>
      </c>
      <c r="F51" s="3103"/>
      <c r="G51" s="2407">
        <f t="shared" si="8"/>
        <v>1</v>
      </c>
      <c r="H51" s="3103"/>
      <c r="I51" s="2407">
        <f t="shared" si="9"/>
        <v>1</v>
      </c>
      <c r="J51" s="3103"/>
      <c r="K51" s="2407">
        <f t="shared" si="10"/>
        <v>1</v>
      </c>
      <c r="L51" s="3103"/>
      <c r="M51" s="2407">
        <f t="shared" si="11"/>
        <v>1</v>
      </c>
      <c r="N51" s="3103"/>
      <c r="O51" s="2407">
        <f t="shared" si="12"/>
        <v>1</v>
      </c>
      <c r="P51" s="3491"/>
      <c r="Q51" s="2407">
        <f t="shared" si="13"/>
        <v>0</v>
      </c>
      <c r="R51" s="2407">
        <f t="shared" si="14"/>
        <v>0</v>
      </c>
      <c r="S51" s="3098">
        <f t="shared" si="5"/>
        <v>0</v>
      </c>
    </row>
    <row r="52" spans="1:19">
      <c r="A52" s="2571"/>
      <c r="B52" s="3107"/>
      <c r="C52" s="2407">
        <f t="shared" si="6"/>
        <v>1</v>
      </c>
      <c r="D52" s="3103"/>
      <c r="E52" s="2407">
        <f t="shared" si="7"/>
        <v>0</v>
      </c>
      <c r="F52" s="3103"/>
      <c r="G52" s="2407">
        <f t="shared" si="8"/>
        <v>1</v>
      </c>
      <c r="H52" s="3103"/>
      <c r="I52" s="2407">
        <f t="shared" si="9"/>
        <v>1</v>
      </c>
      <c r="J52" s="3103"/>
      <c r="K52" s="2407">
        <f t="shared" si="10"/>
        <v>1</v>
      </c>
      <c r="L52" s="3103"/>
      <c r="M52" s="2407">
        <f t="shared" si="11"/>
        <v>1</v>
      </c>
      <c r="N52" s="3103"/>
      <c r="O52" s="2407">
        <f t="shared" si="12"/>
        <v>1</v>
      </c>
      <c r="P52" s="3491"/>
      <c r="Q52" s="2407">
        <f t="shared" si="13"/>
        <v>0</v>
      </c>
      <c r="R52" s="2407">
        <f t="shared" si="14"/>
        <v>0</v>
      </c>
      <c r="S52" s="3098">
        <f t="shared" si="5"/>
        <v>0</v>
      </c>
    </row>
    <row r="53" spans="1:19">
      <c r="A53" s="2571"/>
      <c r="B53" s="3107"/>
      <c r="C53" s="2407">
        <f t="shared" si="6"/>
        <v>1</v>
      </c>
      <c r="D53" s="3103"/>
      <c r="E53" s="2407">
        <f t="shared" si="7"/>
        <v>0</v>
      </c>
      <c r="F53" s="3103"/>
      <c r="G53" s="2407">
        <f t="shared" si="8"/>
        <v>1</v>
      </c>
      <c r="H53" s="3103"/>
      <c r="I53" s="2407">
        <f t="shared" si="9"/>
        <v>1</v>
      </c>
      <c r="J53" s="3103"/>
      <c r="K53" s="2407">
        <f t="shared" si="10"/>
        <v>1</v>
      </c>
      <c r="L53" s="3103"/>
      <c r="M53" s="2407">
        <f t="shared" si="11"/>
        <v>1</v>
      </c>
      <c r="N53" s="3103"/>
      <c r="O53" s="2407">
        <f t="shared" si="12"/>
        <v>1</v>
      </c>
      <c r="P53" s="3491"/>
      <c r="Q53" s="2407">
        <f t="shared" si="13"/>
        <v>0</v>
      </c>
      <c r="R53" s="2407">
        <f t="shared" si="14"/>
        <v>0</v>
      </c>
      <c r="S53" s="3098">
        <f t="shared" si="5"/>
        <v>0</v>
      </c>
    </row>
    <row r="54" spans="1:19">
      <c r="A54" s="2571"/>
      <c r="B54" s="3107"/>
      <c r="C54" s="2407">
        <f t="shared" si="6"/>
        <v>1</v>
      </c>
      <c r="D54" s="3103"/>
      <c r="E54" s="2407">
        <f t="shared" si="7"/>
        <v>0</v>
      </c>
      <c r="F54" s="3103"/>
      <c r="G54" s="2407">
        <f t="shared" si="8"/>
        <v>1</v>
      </c>
      <c r="H54" s="3103"/>
      <c r="I54" s="2407">
        <f t="shared" si="9"/>
        <v>1</v>
      </c>
      <c r="J54" s="3103"/>
      <c r="K54" s="2407">
        <f t="shared" si="10"/>
        <v>1</v>
      </c>
      <c r="L54" s="3103"/>
      <c r="M54" s="2407">
        <f t="shared" si="11"/>
        <v>1</v>
      </c>
      <c r="N54" s="3103"/>
      <c r="O54" s="2407">
        <f t="shared" si="12"/>
        <v>1</v>
      </c>
      <c r="P54" s="3491"/>
      <c r="Q54" s="2407">
        <f t="shared" si="13"/>
        <v>0</v>
      </c>
      <c r="R54" s="2407">
        <f t="shared" si="14"/>
        <v>0</v>
      </c>
      <c r="S54" s="3098">
        <f t="shared" si="5"/>
        <v>0</v>
      </c>
    </row>
    <row r="55" spans="1:19">
      <c r="A55" s="2571"/>
      <c r="B55" s="3107"/>
      <c r="C55" s="2407">
        <f t="shared" si="6"/>
        <v>1</v>
      </c>
      <c r="D55" s="3103"/>
      <c r="E55" s="2407">
        <f t="shared" si="7"/>
        <v>0</v>
      </c>
      <c r="F55" s="3103"/>
      <c r="G55" s="2407">
        <f t="shared" si="8"/>
        <v>1</v>
      </c>
      <c r="H55" s="3103"/>
      <c r="I55" s="2407">
        <f t="shared" si="9"/>
        <v>1</v>
      </c>
      <c r="J55" s="3103"/>
      <c r="K55" s="2407">
        <f t="shared" si="10"/>
        <v>1</v>
      </c>
      <c r="L55" s="3103"/>
      <c r="M55" s="2407">
        <f t="shared" si="11"/>
        <v>1</v>
      </c>
      <c r="N55" s="3103"/>
      <c r="O55" s="2407">
        <f t="shared" si="12"/>
        <v>1</v>
      </c>
      <c r="P55" s="3491"/>
      <c r="Q55" s="2407">
        <f t="shared" si="13"/>
        <v>0</v>
      </c>
      <c r="R55" s="2407">
        <f t="shared" si="14"/>
        <v>0</v>
      </c>
      <c r="S55" s="3098">
        <f t="shared" si="5"/>
        <v>0</v>
      </c>
    </row>
    <row r="56" spans="1:19">
      <c r="A56" s="2571"/>
      <c r="B56" s="3107"/>
      <c r="C56" s="2407">
        <f t="shared" si="6"/>
        <v>1</v>
      </c>
      <c r="D56" s="3103"/>
      <c r="E56" s="2407">
        <f t="shared" si="7"/>
        <v>0</v>
      </c>
      <c r="F56" s="3103"/>
      <c r="G56" s="2407">
        <f t="shared" si="8"/>
        <v>1</v>
      </c>
      <c r="H56" s="3103"/>
      <c r="I56" s="2407">
        <f t="shared" si="9"/>
        <v>1</v>
      </c>
      <c r="J56" s="3103"/>
      <c r="K56" s="2407">
        <f t="shared" si="10"/>
        <v>1</v>
      </c>
      <c r="L56" s="3103"/>
      <c r="M56" s="2407">
        <f t="shared" si="11"/>
        <v>1</v>
      </c>
      <c r="N56" s="3103"/>
      <c r="O56" s="2407">
        <f t="shared" si="12"/>
        <v>1</v>
      </c>
      <c r="P56" s="3491"/>
      <c r="Q56" s="2407">
        <f t="shared" si="13"/>
        <v>0</v>
      </c>
      <c r="R56" s="2407">
        <f t="shared" si="14"/>
        <v>0</v>
      </c>
      <c r="S56" s="3098">
        <f t="shared" si="5"/>
        <v>0</v>
      </c>
    </row>
    <row r="57" spans="1:19">
      <c r="A57" s="2571"/>
      <c r="B57" s="3107"/>
      <c r="C57" s="2407">
        <f t="shared" si="6"/>
        <v>1</v>
      </c>
      <c r="D57" s="3103"/>
      <c r="E57" s="2407">
        <f t="shared" si="7"/>
        <v>0</v>
      </c>
      <c r="F57" s="3103"/>
      <c r="G57" s="2407">
        <f t="shared" si="8"/>
        <v>1</v>
      </c>
      <c r="H57" s="3103"/>
      <c r="I57" s="2407">
        <f t="shared" si="9"/>
        <v>1</v>
      </c>
      <c r="J57" s="3103"/>
      <c r="K57" s="2407">
        <f t="shared" si="10"/>
        <v>1</v>
      </c>
      <c r="L57" s="3103"/>
      <c r="M57" s="2407">
        <f t="shared" si="11"/>
        <v>1</v>
      </c>
      <c r="N57" s="3103"/>
      <c r="O57" s="2407">
        <f t="shared" si="12"/>
        <v>1</v>
      </c>
      <c r="P57" s="3491"/>
      <c r="Q57" s="2407">
        <f t="shared" si="13"/>
        <v>0</v>
      </c>
      <c r="R57" s="2407">
        <f t="shared" si="14"/>
        <v>0</v>
      </c>
      <c r="S57" s="3098">
        <f t="shared" si="5"/>
        <v>0</v>
      </c>
    </row>
    <row r="58" spans="1:19">
      <c r="A58" s="2571"/>
      <c r="B58" s="3107"/>
      <c r="C58" s="2407">
        <f t="shared" si="6"/>
        <v>1</v>
      </c>
      <c r="D58" s="3103"/>
      <c r="E58" s="2407">
        <f t="shared" si="7"/>
        <v>0</v>
      </c>
      <c r="F58" s="3103"/>
      <c r="G58" s="2407">
        <f t="shared" si="8"/>
        <v>1</v>
      </c>
      <c r="H58" s="3103"/>
      <c r="I58" s="2407">
        <f t="shared" si="9"/>
        <v>1</v>
      </c>
      <c r="J58" s="3103"/>
      <c r="K58" s="2407">
        <f t="shared" si="10"/>
        <v>1</v>
      </c>
      <c r="L58" s="3103"/>
      <c r="M58" s="2407">
        <f t="shared" si="11"/>
        <v>1</v>
      </c>
      <c r="N58" s="3103"/>
      <c r="O58" s="2407">
        <f t="shared" si="12"/>
        <v>1</v>
      </c>
      <c r="P58" s="3491"/>
      <c r="Q58" s="2407">
        <f t="shared" si="13"/>
        <v>0</v>
      </c>
      <c r="R58" s="2407">
        <f t="shared" si="14"/>
        <v>0</v>
      </c>
      <c r="S58" s="3098">
        <f t="shared" si="5"/>
        <v>0</v>
      </c>
    </row>
    <row r="59" spans="1:19">
      <c r="A59" s="2571"/>
      <c r="B59" s="3107"/>
      <c r="C59" s="2407">
        <f t="shared" si="6"/>
        <v>1</v>
      </c>
      <c r="D59" s="3103"/>
      <c r="E59" s="2407">
        <f t="shared" si="7"/>
        <v>0</v>
      </c>
      <c r="F59" s="3103"/>
      <c r="G59" s="2407">
        <f t="shared" si="8"/>
        <v>1</v>
      </c>
      <c r="H59" s="3103"/>
      <c r="I59" s="2407">
        <f t="shared" si="9"/>
        <v>1</v>
      </c>
      <c r="J59" s="3103"/>
      <c r="K59" s="2407">
        <f t="shared" si="10"/>
        <v>1</v>
      </c>
      <c r="L59" s="3103"/>
      <c r="M59" s="2407">
        <f t="shared" si="11"/>
        <v>1</v>
      </c>
      <c r="N59" s="3103"/>
      <c r="O59" s="2407">
        <f t="shared" si="12"/>
        <v>1</v>
      </c>
      <c r="P59" s="3491"/>
      <c r="Q59" s="2407">
        <f t="shared" si="13"/>
        <v>0</v>
      </c>
      <c r="R59" s="2407">
        <f t="shared" si="14"/>
        <v>0</v>
      </c>
      <c r="S59" s="3098">
        <f t="shared" si="5"/>
        <v>0</v>
      </c>
    </row>
    <row r="60" spans="1:19">
      <c r="A60" s="2571"/>
      <c r="B60" s="3107"/>
      <c r="C60" s="2407">
        <f t="shared" si="6"/>
        <v>1</v>
      </c>
      <c r="D60" s="3103"/>
      <c r="E60" s="2407">
        <f t="shared" si="7"/>
        <v>0</v>
      </c>
      <c r="F60" s="3103"/>
      <c r="G60" s="2407">
        <f t="shared" si="8"/>
        <v>1</v>
      </c>
      <c r="H60" s="3103"/>
      <c r="I60" s="2407">
        <f t="shared" si="9"/>
        <v>1</v>
      </c>
      <c r="J60" s="3103"/>
      <c r="K60" s="2407">
        <f t="shared" si="10"/>
        <v>1</v>
      </c>
      <c r="L60" s="3103"/>
      <c r="M60" s="2407">
        <f t="shared" si="11"/>
        <v>1</v>
      </c>
      <c r="N60" s="3103"/>
      <c r="O60" s="2407">
        <f t="shared" si="12"/>
        <v>1</v>
      </c>
      <c r="P60" s="3491"/>
      <c r="Q60" s="2407">
        <f t="shared" si="13"/>
        <v>0</v>
      </c>
      <c r="R60" s="2407">
        <f t="shared" si="14"/>
        <v>0</v>
      </c>
      <c r="S60" s="3098">
        <f t="shared" si="5"/>
        <v>0</v>
      </c>
    </row>
    <row r="61" spans="1:19">
      <c r="A61" s="2571"/>
      <c r="B61" s="3107"/>
      <c r="C61" s="2407">
        <f t="shared" si="6"/>
        <v>1</v>
      </c>
      <c r="D61" s="3103"/>
      <c r="E61" s="2407">
        <f t="shared" si="7"/>
        <v>0</v>
      </c>
      <c r="F61" s="3103"/>
      <c r="G61" s="2407">
        <f t="shared" si="8"/>
        <v>1</v>
      </c>
      <c r="H61" s="3103"/>
      <c r="I61" s="2407">
        <f t="shared" si="9"/>
        <v>1</v>
      </c>
      <c r="J61" s="3103"/>
      <c r="K61" s="2407">
        <f t="shared" si="10"/>
        <v>1</v>
      </c>
      <c r="L61" s="3103"/>
      <c r="M61" s="2407">
        <f t="shared" si="11"/>
        <v>1</v>
      </c>
      <c r="N61" s="3103"/>
      <c r="O61" s="2407">
        <f t="shared" si="12"/>
        <v>1</v>
      </c>
      <c r="P61" s="3491"/>
      <c r="Q61" s="2407">
        <f t="shared" si="13"/>
        <v>0</v>
      </c>
      <c r="R61" s="2407">
        <f t="shared" si="14"/>
        <v>0</v>
      </c>
      <c r="S61" s="3098">
        <f t="shared" si="5"/>
        <v>0</v>
      </c>
    </row>
    <row r="62" spans="1:19">
      <c r="A62" s="2571"/>
      <c r="B62" s="3107"/>
      <c r="C62" s="2407">
        <f t="shared" si="6"/>
        <v>1</v>
      </c>
      <c r="D62" s="3103"/>
      <c r="E62" s="2407">
        <f t="shared" si="7"/>
        <v>0</v>
      </c>
      <c r="F62" s="3103"/>
      <c r="G62" s="2407">
        <f t="shared" si="8"/>
        <v>1</v>
      </c>
      <c r="H62" s="3103"/>
      <c r="I62" s="2407">
        <f t="shared" si="9"/>
        <v>1</v>
      </c>
      <c r="J62" s="3103"/>
      <c r="K62" s="2407">
        <f t="shared" si="10"/>
        <v>1</v>
      </c>
      <c r="L62" s="3103"/>
      <c r="M62" s="2407">
        <f t="shared" si="11"/>
        <v>1</v>
      </c>
      <c r="N62" s="3103"/>
      <c r="O62" s="2407">
        <f t="shared" si="12"/>
        <v>1</v>
      </c>
      <c r="P62" s="3491"/>
      <c r="Q62" s="2407">
        <f t="shared" si="13"/>
        <v>0</v>
      </c>
      <c r="R62" s="2407">
        <f t="shared" si="14"/>
        <v>0</v>
      </c>
      <c r="S62" s="3098">
        <f t="shared" si="5"/>
        <v>0</v>
      </c>
    </row>
    <row r="63" spans="1:19">
      <c r="A63" s="2571"/>
      <c r="B63" s="3107"/>
      <c r="C63" s="2407">
        <f t="shared" si="6"/>
        <v>1</v>
      </c>
      <c r="D63" s="3103"/>
      <c r="E63" s="2407">
        <f t="shared" si="7"/>
        <v>0</v>
      </c>
      <c r="F63" s="3103"/>
      <c r="G63" s="2407">
        <f t="shared" si="8"/>
        <v>1</v>
      </c>
      <c r="H63" s="3103"/>
      <c r="I63" s="2407">
        <f t="shared" si="9"/>
        <v>1</v>
      </c>
      <c r="J63" s="3103"/>
      <c r="K63" s="2407">
        <f t="shared" si="10"/>
        <v>1</v>
      </c>
      <c r="L63" s="3103"/>
      <c r="M63" s="2407">
        <f t="shared" si="11"/>
        <v>1</v>
      </c>
      <c r="N63" s="3103"/>
      <c r="O63" s="2407">
        <f t="shared" si="12"/>
        <v>1</v>
      </c>
      <c r="P63" s="3491"/>
      <c r="Q63" s="2407">
        <f t="shared" si="13"/>
        <v>0</v>
      </c>
      <c r="R63" s="2407">
        <f t="shared" si="14"/>
        <v>0</v>
      </c>
      <c r="S63" s="3098">
        <f t="shared" si="5"/>
        <v>0</v>
      </c>
    </row>
    <row r="64" spans="1:19">
      <c r="A64" s="2571"/>
      <c r="B64" s="3107"/>
      <c r="C64" s="2407">
        <f t="shared" si="6"/>
        <v>1</v>
      </c>
      <c r="D64" s="3103"/>
      <c r="E64" s="2407">
        <f t="shared" si="7"/>
        <v>0</v>
      </c>
      <c r="F64" s="3103"/>
      <c r="G64" s="2407">
        <f t="shared" si="8"/>
        <v>1</v>
      </c>
      <c r="H64" s="3103"/>
      <c r="I64" s="2407">
        <f t="shared" si="9"/>
        <v>1</v>
      </c>
      <c r="J64" s="3103"/>
      <c r="K64" s="2407">
        <f t="shared" si="10"/>
        <v>1</v>
      </c>
      <c r="L64" s="3103"/>
      <c r="M64" s="2407">
        <f t="shared" si="11"/>
        <v>1</v>
      </c>
      <c r="N64" s="3103"/>
      <c r="O64" s="2407">
        <f t="shared" si="12"/>
        <v>1</v>
      </c>
      <c r="P64" s="3491"/>
      <c r="Q64" s="2407">
        <f t="shared" si="13"/>
        <v>0</v>
      </c>
      <c r="R64" s="2407">
        <f t="shared" si="14"/>
        <v>0</v>
      </c>
      <c r="S64" s="3098">
        <f t="shared" si="5"/>
        <v>0</v>
      </c>
    </row>
    <row r="65" spans="1:19">
      <c r="A65" s="2571"/>
      <c r="B65" s="3107"/>
      <c r="C65" s="2407">
        <f t="shared" si="6"/>
        <v>1</v>
      </c>
      <c r="D65" s="3103"/>
      <c r="E65" s="2407">
        <f t="shared" si="7"/>
        <v>0</v>
      </c>
      <c r="F65" s="3103"/>
      <c r="G65" s="2407">
        <f t="shared" si="8"/>
        <v>1</v>
      </c>
      <c r="H65" s="3103"/>
      <c r="I65" s="2407">
        <f t="shared" si="9"/>
        <v>1</v>
      </c>
      <c r="J65" s="3103"/>
      <c r="K65" s="2407">
        <f t="shared" si="10"/>
        <v>1</v>
      </c>
      <c r="L65" s="3103"/>
      <c r="M65" s="2407">
        <f t="shared" si="11"/>
        <v>1</v>
      </c>
      <c r="N65" s="3103"/>
      <c r="O65" s="2407">
        <f t="shared" si="12"/>
        <v>1</v>
      </c>
      <c r="P65" s="3491"/>
      <c r="Q65" s="2407">
        <f t="shared" si="13"/>
        <v>0</v>
      </c>
      <c r="R65" s="2407">
        <f t="shared" si="14"/>
        <v>0</v>
      </c>
      <c r="S65" s="3098">
        <f t="shared" si="5"/>
        <v>0</v>
      </c>
    </row>
    <row r="66" spans="1:19">
      <c r="A66" s="2571"/>
      <c r="B66" s="3107"/>
      <c r="C66" s="2407">
        <f t="shared" si="6"/>
        <v>1</v>
      </c>
      <c r="D66" s="3103"/>
      <c r="E66" s="2407">
        <f t="shared" si="7"/>
        <v>0</v>
      </c>
      <c r="F66" s="3103"/>
      <c r="G66" s="2407">
        <f t="shared" si="8"/>
        <v>1</v>
      </c>
      <c r="H66" s="3103"/>
      <c r="I66" s="2407">
        <f t="shared" si="9"/>
        <v>1</v>
      </c>
      <c r="J66" s="3103"/>
      <c r="K66" s="2407">
        <f t="shared" si="10"/>
        <v>1</v>
      </c>
      <c r="L66" s="3103"/>
      <c r="M66" s="2407">
        <f t="shared" si="11"/>
        <v>1</v>
      </c>
      <c r="N66" s="3103"/>
      <c r="O66" s="2407">
        <f t="shared" si="12"/>
        <v>1</v>
      </c>
      <c r="P66" s="3491"/>
      <c r="Q66" s="2407">
        <f t="shared" si="13"/>
        <v>0</v>
      </c>
      <c r="R66" s="2407">
        <f t="shared" si="14"/>
        <v>0</v>
      </c>
      <c r="S66" s="3098">
        <f t="shared" si="5"/>
        <v>0</v>
      </c>
    </row>
    <row r="67" spans="1:19">
      <c r="A67" s="2571"/>
      <c r="B67" s="3107"/>
      <c r="C67" s="2407">
        <f t="shared" si="6"/>
        <v>1</v>
      </c>
      <c r="D67" s="3103"/>
      <c r="E67" s="2407">
        <f t="shared" si="7"/>
        <v>0</v>
      </c>
      <c r="F67" s="3103"/>
      <c r="G67" s="2407">
        <f t="shared" si="8"/>
        <v>1</v>
      </c>
      <c r="H67" s="3103"/>
      <c r="I67" s="2407">
        <f t="shared" si="9"/>
        <v>1</v>
      </c>
      <c r="J67" s="3103"/>
      <c r="K67" s="2407">
        <f t="shared" si="10"/>
        <v>1</v>
      </c>
      <c r="L67" s="3103"/>
      <c r="M67" s="2407">
        <f t="shared" si="11"/>
        <v>1</v>
      </c>
      <c r="N67" s="3103"/>
      <c r="O67" s="2407">
        <f t="shared" si="12"/>
        <v>1</v>
      </c>
      <c r="P67" s="3491"/>
      <c r="Q67" s="2407">
        <f t="shared" si="13"/>
        <v>0</v>
      </c>
      <c r="R67" s="2407">
        <f t="shared" si="14"/>
        <v>0</v>
      </c>
      <c r="S67" s="3098">
        <f t="shared" si="5"/>
        <v>0</v>
      </c>
    </row>
    <row r="68" spans="1:19">
      <c r="A68" s="2571"/>
      <c r="B68" s="3107"/>
      <c r="C68" s="2407">
        <f t="shared" si="6"/>
        <v>1</v>
      </c>
      <c r="D68" s="3103"/>
      <c r="E68" s="2407">
        <f t="shared" si="7"/>
        <v>0</v>
      </c>
      <c r="F68" s="3103"/>
      <c r="G68" s="2407">
        <f t="shared" si="8"/>
        <v>1</v>
      </c>
      <c r="H68" s="3103"/>
      <c r="I68" s="2407">
        <f t="shared" si="9"/>
        <v>1</v>
      </c>
      <c r="J68" s="3103"/>
      <c r="K68" s="2407">
        <f t="shared" si="10"/>
        <v>1</v>
      </c>
      <c r="L68" s="3103"/>
      <c r="M68" s="2407">
        <f t="shared" si="11"/>
        <v>1</v>
      </c>
      <c r="N68" s="3103"/>
      <c r="O68" s="2407">
        <f t="shared" si="12"/>
        <v>1</v>
      </c>
      <c r="P68" s="3491"/>
      <c r="Q68" s="2407">
        <f t="shared" si="13"/>
        <v>0</v>
      </c>
      <c r="R68" s="2407">
        <f t="shared" si="14"/>
        <v>0</v>
      </c>
      <c r="S68" s="3098">
        <f t="shared" si="5"/>
        <v>0</v>
      </c>
    </row>
    <row r="69" spans="1:19">
      <c r="A69" s="2571"/>
      <c r="B69" s="3107"/>
      <c r="C69" s="2407">
        <f t="shared" si="6"/>
        <v>1</v>
      </c>
      <c r="D69" s="3103"/>
      <c r="E69" s="2407">
        <f t="shared" si="7"/>
        <v>0</v>
      </c>
      <c r="F69" s="3103"/>
      <c r="G69" s="2407">
        <f t="shared" si="8"/>
        <v>1</v>
      </c>
      <c r="H69" s="3103"/>
      <c r="I69" s="2407">
        <f t="shared" si="9"/>
        <v>1</v>
      </c>
      <c r="J69" s="3103"/>
      <c r="K69" s="2407">
        <f t="shared" si="10"/>
        <v>1</v>
      </c>
      <c r="L69" s="3103"/>
      <c r="M69" s="2407">
        <f t="shared" si="11"/>
        <v>1</v>
      </c>
      <c r="N69" s="3103"/>
      <c r="O69" s="2407">
        <f t="shared" si="12"/>
        <v>1</v>
      </c>
      <c r="P69" s="3491"/>
      <c r="Q69" s="2407">
        <f t="shared" si="13"/>
        <v>0</v>
      </c>
      <c r="R69" s="2407">
        <f t="shared" si="14"/>
        <v>0</v>
      </c>
      <c r="S69" s="3098">
        <f t="shared" si="5"/>
        <v>0</v>
      </c>
    </row>
    <row r="70" spans="1:19">
      <c r="A70" s="2571"/>
      <c r="B70" s="3107"/>
      <c r="C70" s="2407">
        <f t="shared" si="6"/>
        <v>1</v>
      </c>
      <c r="D70" s="3103"/>
      <c r="E70" s="2407">
        <f t="shared" si="7"/>
        <v>0</v>
      </c>
      <c r="F70" s="3103"/>
      <c r="G70" s="2407">
        <f t="shared" si="8"/>
        <v>1</v>
      </c>
      <c r="H70" s="3103"/>
      <c r="I70" s="2407">
        <f t="shared" si="9"/>
        <v>1</v>
      </c>
      <c r="J70" s="3103"/>
      <c r="K70" s="2407">
        <f t="shared" si="10"/>
        <v>1</v>
      </c>
      <c r="L70" s="3103"/>
      <c r="M70" s="2407">
        <f t="shared" si="11"/>
        <v>1</v>
      </c>
      <c r="N70" s="3103"/>
      <c r="O70" s="2407">
        <f t="shared" si="12"/>
        <v>1</v>
      </c>
      <c r="P70" s="3491"/>
      <c r="Q70" s="2407">
        <f t="shared" si="13"/>
        <v>0</v>
      </c>
      <c r="R70" s="2407">
        <f t="shared" si="14"/>
        <v>0</v>
      </c>
      <c r="S70" s="3098">
        <f t="shared" si="5"/>
        <v>0</v>
      </c>
    </row>
    <row r="71" spans="1:19">
      <c r="A71" s="2571"/>
      <c r="B71" s="3107"/>
      <c r="C71" s="2407">
        <f t="shared" si="6"/>
        <v>1</v>
      </c>
      <c r="D71" s="3103"/>
      <c r="E71" s="2407">
        <f t="shared" si="7"/>
        <v>0</v>
      </c>
      <c r="F71" s="3103"/>
      <c r="G71" s="2407">
        <f t="shared" si="8"/>
        <v>1</v>
      </c>
      <c r="H71" s="3103"/>
      <c r="I71" s="2407">
        <f t="shared" si="9"/>
        <v>1</v>
      </c>
      <c r="J71" s="3103"/>
      <c r="K71" s="2407">
        <f t="shared" si="10"/>
        <v>1</v>
      </c>
      <c r="L71" s="3103"/>
      <c r="M71" s="2407">
        <f t="shared" si="11"/>
        <v>1</v>
      </c>
      <c r="N71" s="3103"/>
      <c r="O71" s="2407">
        <f t="shared" si="12"/>
        <v>1</v>
      </c>
      <c r="P71" s="3491"/>
      <c r="Q71" s="2407">
        <f t="shared" si="13"/>
        <v>0</v>
      </c>
      <c r="R71" s="2407">
        <f t="shared" si="14"/>
        <v>0</v>
      </c>
      <c r="S71" s="3098">
        <f t="shared" si="5"/>
        <v>0</v>
      </c>
    </row>
    <row r="72" spans="1:19">
      <c r="A72" s="2571"/>
      <c r="B72" s="3107"/>
      <c r="C72" s="2407">
        <f t="shared" si="6"/>
        <v>1</v>
      </c>
      <c r="D72" s="3103"/>
      <c r="E72" s="2407">
        <f t="shared" si="7"/>
        <v>0</v>
      </c>
      <c r="F72" s="3103"/>
      <c r="G72" s="2407">
        <f t="shared" si="8"/>
        <v>1</v>
      </c>
      <c r="H72" s="3103"/>
      <c r="I72" s="2407">
        <f t="shared" si="9"/>
        <v>1</v>
      </c>
      <c r="J72" s="3103"/>
      <c r="K72" s="2407">
        <f t="shared" si="10"/>
        <v>1</v>
      </c>
      <c r="L72" s="3103"/>
      <c r="M72" s="2407">
        <f t="shared" si="11"/>
        <v>1</v>
      </c>
      <c r="N72" s="3103"/>
      <c r="O72" s="2407">
        <f t="shared" si="12"/>
        <v>1</v>
      </c>
      <c r="P72" s="3491"/>
      <c r="Q72" s="2407">
        <f t="shared" si="13"/>
        <v>0</v>
      </c>
      <c r="R72" s="2407">
        <f t="shared" si="14"/>
        <v>0</v>
      </c>
      <c r="S72" s="3098">
        <f t="shared" si="5"/>
        <v>0</v>
      </c>
    </row>
    <row r="73" spans="1:19">
      <c r="A73" s="2571"/>
      <c r="B73" s="3107"/>
      <c r="C73" s="2407">
        <f t="shared" si="6"/>
        <v>1</v>
      </c>
      <c r="D73" s="3103"/>
      <c r="E73" s="2407">
        <f t="shared" si="7"/>
        <v>0</v>
      </c>
      <c r="F73" s="3103"/>
      <c r="G73" s="2407">
        <f t="shared" si="8"/>
        <v>1</v>
      </c>
      <c r="H73" s="3103"/>
      <c r="I73" s="2407">
        <f t="shared" si="9"/>
        <v>1</v>
      </c>
      <c r="J73" s="3103"/>
      <c r="K73" s="2407">
        <f t="shared" si="10"/>
        <v>1</v>
      </c>
      <c r="L73" s="3103"/>
      <c r="M73" s="2407">
        <f t="shared" si="11"/>
        <v>1</v>
      </c>
      <c r="N73" s="3103"/>
      <c r="O73" s="2407">
        <f t="shared" si="12"/>
        <v>1</v>
      </c>
      <c r="P73" s="3491"/>
      <c r="Q73" s="2407">
        <f t="shared" si="13"/>
        <v>0</v>
      </c>
      <c r="R73" s="2407">
        <f t="shared" si="14"/>
        <v>0</v>
      </c>
      <c r="S73" s="3098">
        <f t="shared" si="5"/>
        <v>0</v>
      </c>
    </row>
    <row r="74" spans="1:19">
      <c r="A74" s="2571"/>
      <c r="B74" s="3107"/>
      <c r="C74" s="2407">
        <f t="shared" si="6"/>
        <v>1</v>
      </c>
      <c r="D74" s="3103"/>
      <c r="E74" s="2407">
        <f t="shared" si="7"/>
        <v>0</v>
      </c>
      <c r="F74" s="3103"/>
      <c r="G74" s="2407">
        <f t="shared" si="8"/>
        <v>1</v>
      </c>
      <c r="H74" s="3103"/>
      <c r="I74" s="2407">
        <f t="shared" si="9"/>
        <v>1</v>
      </c>
      <c r="J74" s="3103"/>
      <c r="K74" s="2407">
        <f t="shared" si="10"/>
        <v>1</v>
      </c>
      <c r="L74" s="3103"/>
      <c r="M74" s="2407">
        <f t="shared" si="11"/>
        <v>1</v>
      </c>
      <c r="N74" s="3103"/>
      <c r="O74" s="2407">
        <f t="shared" si="12"/>
        <v>1</v>
      </c>
      <c r="P74" s="3491"/>
      <c r="Q74" s="2407">
        <f t="shared" si="13"/>
        <v>0</v>
      </c>
      <c r="R74" s="2407">
        <f t="shared" si="14"/>
        <v>0</v>
      </c>
      <c r="S74" s="3098">
        <f t="shared" si="5"/>
        <v>0</v>
      </c>
    </row>
    <row r="75" spans="1:19">
      <c r="A75" s="2571"/>
      <c r="B75" s="3107"/>
      <c r="C75" s="2407">
        <f t="shared" si="6"/>
        <v>1</v>
      </c>
      <c r="D75" s="3103"/>
      <c r="E75" s="2407">
        <f t="shared" si="7"/>
        <v>0</v>
      </c>
      <c r="F75" s="3103"/>
      <c r="G75" s="2407">
        <f t="shared" si="8"/>
        <v>1</v>
      </c>
      <c r="H75" s="3103"/>
      <c r="I75" s="2407">
        <f t="shared" si="9"/>
        <v>1</v>
      </c>
      <c r="J75" s="3103"/>
      <c r="K75" s="2407">
        <f t="shared" si="10"/>
        <v>1</v>
      </c>
      <c r="L75" s="3103"/>
      <c r="M75" s="2407">
        <f t="shared" si="11"/>
        <v>1</v>
      </c>
      <c r="N75" s="3103"/>
      <c r="O75" s="2407">
        <f t="shared" si="12"/>
        <v>1</v>
      </c>
      <c r="P75" s="3491"/>
      <c r="Q75" s="2407">
        <f t="shared" si="13"/>
        <v>0</v>
      </c>
      <c r="R75" s="2407">
        <f t="shared" si="14"/>
        <v>0</v>
      </c>
      <c r="S75" s="3098">
        <f t="shared" si="5"/>
        <v>0</v>
      </c>
    </row>
    <row r="76" spans="1:19">
      <c r="A76" s="2571"/>
      <c r="B76" s="3107"/>
      <c r="C76" s="2407">
        <f t="shared" si="6"/>
        <v>1</v>
      </c>
      <c r="D76" s="3103"/>
      <c r="E76" s="2407">
        <f t="shared" si="7"/>
        <v>0</v>
      </c>
      <c r="F76" s="3103"/>
      <c r="G76" s="2407">
        <f t="shared" si="8"/>
        <v>1</v>
      </c>
      <c r="H76" s="3103"/>
      <c r="I76" s="2407">
        <f t="shared" si="9"/>
        <v>1</v>
      </c>
      <c r="J76" s="3103"/>
      <c r="K76" s="2407">
        <f t="shared" si="10"/>
        <v>1</v>
      </c>
      <c r="L76" s="3103"/>
      <c r="M76" s="2407">
        <f t="shared" si="11"/>
        <v>1</v>
      </c>
      <c r="N76" s="3103"/>
      <c r="O76" s="2407">
        <f t="shared" si="12"/>
        <v>1</v>
      </c>
      <c r="P76" s="3491"/>
      <c r="Q76" s="2407">
        <f t="shared" si="13"/>
        <v>0</v>
      </c>
      <c r="R76" s="2407">
        <f t="shared" si="14"/>
        <v>0</v>
      </c>
      <c r="S76" s="3098">
        <f t="shared" si="5"/>
        <v>0</v>
      </c>
    </row>
    <row r="77" spans="1:19">
      <c r="A77" s="2571"/>
      <c r="B77" s="3107"/>
      <c r="C77" s="2407">
        <f t="shared" si="6"/>
        <v>1</v>
      </c>
      <c r="D77" s="3103"/>
      <c r="E77" s="2407">
        <f t="shared" si="7"/>
        <v>0</v>
      </c>
      <c r="F77" s="3103"/>
      <c r="G77" s="2407">
        <f t="shared" si="8"/>
        <v>1</v>
      </c>
      <c r="H77" s="3103"/>
      <c r="I77" s="2407">
        <f t="shared" si="9"/>
        <v>1</v>
      </c>
      <c r="J77" s="3103"/>
      <c r="K77" s="2407">
        <f t="shared" si="10"/>
        <v>1</v>
      </c>
      <c r="L77" s="3103"/>
      <c r="M77" s="2407">
        <f t="shared" si="11"/>
        <v>1</v>
      </c>
      <c r="N77" s="3103"/>
      <c r="O77" s="2407">
        <f t="shared" si="12"/>
        <v>1</v>
      </c>
      <c r="P77" s="3491"/>
      <c r="Q77" s="2407">
        <f t="shared" si="13"/>
        <v>0</v>
      </c>
      <c r="R77" s="2407">
        <f t="shared" si="14"/>
        <v>0</v>
      </c>
      <c r="S77" s="3098">
        <f t="shared" si="5"/>
        <v>0</v>
      </c>
    </row>
    <row r="78" spans="1:19">
      <c r="A78" s="2571"/>
      <c r="B78" s="3107"/>
      <c r="C78" s="2407">
        <f t="shared" si="6"/>
        <v>1</v>
      </c>
      <c r="D78" s="3103"/>
      <c r="E78" s="2407">
        <f t="shared" si="7"/>
        <v>0</v>
      </c>
      <c r="F78" s="3103"/>
      <c r="G78" s="2407">
        <f t="shared" si="8"/>
        <v>1</v>
      </c>
      <c r="H78" s="3103"/>
      <c r="I78" s="2407">
        <f t="shared" si="9"/>
        <v>1</v>
      </c>
      <c r="J78" s="3103"/>
      <c r="K78" s="2407">
        <f t="shared" si="10"/>
        <v>1</v>
      </c>
      <c r="L78" s="3103"/>
      <c r="M78" s="2407">
        <f t="shared" si="11"/>
        <v>1</v>
      </c>
      <c r="N78" s="3103"/>
      <c r="O78" s="2407">
        <f t="shared" si="12"/>
        <v>1</v>
      </c>
      <c r="P78" s="3491"/>
      <c r="Q78" s="2407">
        <f t="shared" si="13"/>
        <v>0</v>
      </c>
      <c r="R78" s="2407">
        <f t="shared" si="14"/>
        <v>0</v>
      </c>
      <c r="S78" s="3098">
        <f t="shared" si="5"/>
        <v>0</v>
      </c>
    </row>
    <row r="79" spans="1:19">
      <c r="A79" s="2571"/>
      <c r="B79" s="3107"/>
      <c r="C79" s="2407">
        <f t="shared" si="6"/>
        <v>1</v>
      </c>
      <c r="D79" s="3103"/>
      <c r="E79" s="2407">
        <f t="shared" si="7"/>
        <v>0</v>
      </c>
      <c r="F79" s="3103"/>
      <c r="G79" s="2407">
        <f t="shared" si="8"/>
        <v>1</v>
      </c>
      <c r="H79" s="3103"/>
      <c r="I79" s="2407">
        <f t="shared" si="9"/>
        <v>1</v>
      </c>
      <c r="J79" s="3103"/>
      <c r="K79" s="2407">
        <f t="shared" si="10"/>
        <v>1</v>
      </c>
      <c r="L79" s="3103"/>
      <c r="M79" s="2407">
        <f t="shared" si="11"/>
        <v>1</v>
      </c>
      <c r="N79" s="3103"/>
      <c r="O79" s="2407">
        <f t="shared" si="12"/>
        <v>1</v>
      </c>
      <c r="P79" s="3491"/>
      <c r="Q79" s="2407">
        <f t="shared" si="13"/>
        <v>0</v>
      </c>
      <c r="R79" s="2407">
        <f t="shared" si="14"/>
        <v>0</v>
      </c>
      <c r="S79" s="3098">
        <f t="shared" si="5"/>
        <v>0</v>
      </c>
    </row>
    <row r="80" spans="1:19">
      <c r="A80" s="2571"/>
      <c r="B80" s="3107"/>
      <c r="C80" s="2407">
        <f t="shared" si="6"/>
        <v>1</v>
      </c>
      <c r="D80" s="3103"/>
      <c r="E80" s="2407">
        <f t="shared" si="7"/>
        <v>0</v>
      </c>
      <c r="F80" s="3103"/>
      <c r="G80" s="2407">
        <f t="shared" si="8"/>
        <v>1</v>
      </c>
      <c r="H80" s="3103"/>
      <c r="I80" s="2407">
        <f t="shared" si="9"/>
        <v>1</v>
      </c>
      <c r="J80" s="3103"/>
      <c r="K80" s="2407">
        <f t="shared" si="10"/>
        <v>1</v>
      </c>
      <c r="L80" s="3103"/>
      <c r="M80" s="2407">
        <f t="shared" si="11"/>
        <v>1</v>
      </c>
      <c r="N80" s="3103"/>
      <c r="O80" s="2407">
        <f t="shared" si="12"/>
        <v>1</v>
      </c>
      <c r="P80" s="3491"/>
      <c r="Q80" s="2407">
        <f t="shared" si="13"/>
        <v>0</v>
      </c>
      <c r="R80" s="2407">
        <f t="shared" si="14"/>
        <v>0</v>
      </c>
      <c r="S80" s="3098">
        <f t="shared" si="5"/>
        <v>0</v>
      </c>
    </row>
    <row r="81" spans="1:19">
      <c r="A81" s="2571"/>
      <c r="B81" s="3107"/>
      <c r="C81" s="2407">
        <f t="shared" si="6"/>
        <v>1</v>
      </c>
      <c r="D81" s="3103"/>
      <c r="E81" s="2407">
        <f t="shared" si="7"/>
        <v>0</v>
      </c>
      <c r="F81" s="3103"/>
      <c r="G81" s="2407">
        <f t="shared" si="8"/>
        <v>1</v>
      </c>
      <c r="H81" s="3103"/>
      <c r="I81" s="2407">
        <f t="shared" si="9"/>
        <v>1</v>
      </c>
      <c r="J81" s="3103"/>
      <c r="K81" s="2407">
        <f t="shared" si="10"/>
        <v>1</v>
      </c>
      <c r="L81" s="3103"/>
      <c r="M81" s="2407">
        <f t="shared" si="11"/>
        <v>1</v>
      </c>
      <c r="N81" s="3103"/>
      <c r="O81" s="2407">
        <f t="shared" si="12"/>
        <v>1</v>
      </c>
      <c r="P81" s="3491"/>
      <c r="Q81" s="2407">
        <f t="shared" si="13"/>
        <v>0</v>
      </c>
      <c r="R81" s="2407">
        <f t="shared" si="14"/>
        <v>0</v>
      </c>
      <c r="S81" s="3098">
        <f t="shared" si="5"/>
        <v>0</v>
      </c>
    </row>
    <row r="82" spans="1:19">
      <c r="A82" s="2571"/>
      <c r="B82" s="3107"/>
      <c r="C82" s="2407">
        <f t="shared" si="6"/>
        <v>1</v>
      </c>
      <c r="D82" s="3103"/>
      <c r="E82" s="2407">
        <f t="shared" si="7"/>
        <v>0</v>
      </c>
      <c r="F82" s="3103"/>
      <c r="G82" s="2407">
        <f t="shared" si="8"/>
        <v>1</v>
      </c>
      <c r="H82" s="3103"/>
      <c r="I82" s="2407">
        <f t="shared" si="9"/>
        <v>1</v>
      </c>
      <c r="J82" s="3103"/>
      <c r="K82" s="2407">
        <f t="shared" si="10"/>
        <v>1</v>
      </c>
      <c r="L82" s="3103"/>
      <c r="M82" s="2407">
        <f t="shared" si="11"/>
        <v>1</v>
      </c>
      <c r="N82" s="3103"/>
      <c r="O82" s="2407">
        <f t="shared" si="12"/>
        <v>1</v>
      </c>
      <c r="P82" s="3491"/>
      <c r="Q82" s="2407">
        <f t="shared" si="13"/>
        <v>0</v>
      </c>
      <c r="R82" s="2407">
        <f t="shared" si="14"/>
        <v>0</v>
      </c>
      <c r="S82" s="3098">
        <f t="shared" si="5"/>
        <v>0</v>
      </c>
    </row>
    <row r="83" spans="1:19">
      <c r="A83" s="2571"/>
      <c r="B83" s="3107"/>
      <c r="C83" s="2407">
        <f t="shared" si="6"/>
        <v>1</v>
      </c>
      <c r="D83" s="3103"/>
      <c r="E83" s="2407">
        <f t="shared" si="7"/>
        <v>0</v>
      </c>
      <c r="F83" s="3103"/>
      <c r="G83" s="2407">
        <f t="shared" si="8"/>
        <v>1</v>
      </c>
      <c r="H83" s="3103"/>
      <c r="I83" s="2407">
        <f t="shared" si="9"/>
        <v>1</v>
      </c>
      <c r="J83" s="3103"/>
      <c r="K83" s="2407">
        <f t="shared" si="10"/>
        <v>1</v>
      </c>
      <c r="L83" s="3103"/>
      <c r="M83" s="2407">
        <f t="shared" si="11"/>
        <v>1</v>
      </c>
      <c r="N83" s="3103"/>
      <c r="O83" s="2407">
        <f t="shared" si="12"/>
        <v>1</v>
      </c>
      <c r="P83" s="3491"/>
      <c r="Q83" s="2407">
        <f t="shared" si="13"/>
        <v>0</v>
      </c>
      <c r="R83" s="2407">
        <f t="shared" si="14"/>
        <v>0</v>
      </c>
      <c r="S83" s="3098">
        <f t="shared" si="5"/>
        <v>0</v>
      </c>
    </row>
    <row r="84" spans="1:19">
      <c r="A84" s="2571"/>
      <c r="B84" s="3107"/>
      <c r="C84" s="2407">
        <f t="shared" si="6"/>
        <v>1</v>
      </c>
      <c r="D84" s="3103"/>
      <c r="E84" s="2407">
        <f t="shared" si="7"/>
        <v>0</v>
      </c>
      <c r="F84" s="3103"/>
      <c r="G84" s="2407">
        <f t="shared" si="8"/>
        <v>1</v>
      </c>
      <c r="H84" s="3103"/>
      <c r="I84" s="2407">
        <f t="shared" si="9"/>
        <v>1</v>
      </c>
      <c r="J84" s="3103"/>
      <c r="K84" s="2407">
        <f t="shared" si="10"/>
        <v>1</v>
      </c>
      <c r="L84" s="3103"/>
      <c r="M84" s="2407">
        <f t="shared" si="11"/>
        <v>1</v>
      </c>
      <c r="N84" s="3103"/>
      <c r="O84" s="2407">
        <f t="shared" si="12"/>
        <v>1</v>
      </c>
      <c r="P84" s="3491"/>
      <c r="Q84" s="2407">
        <f t="shared" si="13"/>
        <v>0</v>
      </c>
      <c r="R84" s="2407">
        <f t="shared" si="14"/>
        <v>0</v>
      </c>
      <c r="S84" s="3098">
        <f t="shared" si="5"/>
        <v>0</v>
      </c>
    </row>
    <row r="85" spans="1:19">
      <c r="A85" s="2571"/>
      <c r="B85" s="3107"/>
      <c r="C85" s="2407">
        <f t="shared" si="6"/>
        <v>1</v>
      </c>
      <c r="D85" s="3103"/>
      <c r="E85" s="2407">
        <f t="shared" si="7"/>
        <v>0</v>
      </c>
      <c r="F85" s="3103"/>
      <c r="G85" s="2407">
        <f t="shared" si="8"/>
        <v>1</v>
      </c>
      <c r="H85" s="3103"/>
      <c r="I85" s="2407">
        <f t="shared" si="9"/>
        <v>1</v>
      </c>
      <c r="J85" s="3103"/>
      <c r="K85" s="2407">
        <f t="shared" si="10"/>
        <v>1</v>
      </c>
      <c r="L85" s="3103"/>
      <c r="M85" s="2407">
        <f t="shared" si="11"/>
        <v>1</v>
      </c>
      <c r="N85" s="3103"/>
      <c r="O85" s="2407">
        <f t="shared" si="12"/>
        <v>1</v>
      </c>
      <c r="P85" s="3491"/>
      <c r="Q85" s="2407">
        <f t="shared" si="13"/>
        <v>0</v>
      </c>
      <c r="R85" s="2407">
        <f t="shared" si="14"/>
        <v>0</v>
      </c>
      <c r="S85" s="3098">
        <f t="shared" si="5"/>
        <v>0</v>
      </c>
    </row>
    <row r="86" spans="1:19">
      <c r="A86" s="2571"/>
      <c r="B86" s="3107"/>
      <c r="C86" s="2407">
        <f t="shared" si="6"/>
        <v>1</v>
      </c>
      <c r="D86" s="3103"/>
      <c r="E86" s="2407">
        <f t="shared" si="7"/>
        <v>0</v>
      </c>
      <c r="F86" s="3103"/>
      <c r="G86" s="2407">
        <f t="shared" si="8"/>
        <v>1</v>
      </c>
      <c r="H86" s="3103"/>
      <c r="I86" s="2407">
        <f t="shared" si="9"/>
        <v>1</v>
      </c>
      <c r="J86" s="3103"/>
      <c r="K86" s="2407">
        <f t="shared" si="10"/>
        <v>1</v>
      </c>
      <c r="L86" s="3103"/>
      <c r="M86" s="2407">
        <f t="shared" si="11"/>
        <v>1</v>
      </c>
      <c r="N86" s="3103"/>
      <c r="O86" s="2407">
        <f t="shared" si="12"/>
        <v>1</v>
      </c>
      <c r="P86" s="3491"/>
      <c r="Q86" s="2407">
        <f t="shared" si="13"/>
        <v>0</v>
      </c>
      <c r="R86" s="2407">
        <f t="shared" si="14"/>
        <v>0</v>
      </c>
      <c r="S86" s="3098">
        <f t="shared" si="5"/>
        <v>0</v>
      </c>
    </row>
    <row r="87" spans="1:19">
      <c r="A87" s="2571"/>
      <c r="B87" s="3107"/>
      <c r="C87" s="2407">
        <f t="shared" si="6"/>
        <v>1</v>
      </c>
      <c r="D87" s="3103"/>
      <c r="E87" s="2407">
        <f t="shared" si="7"/>
        <v>0</v>
      </c>
      <c r="F87" s="3103"/>
      <c r="G87" s="2407">
        <f t="shared" si="8"/>
        <v>1</v>
      </c>
      <c r="H87" s="3103"/>
      <c r="I87" s="2407">
        <f t="shared" si="9"/>
        <v>1</v>
      </c>
      <c r="J87" s="3103"/>
      <c r="K87" s="2407">
        <f t="shared" si="10"/>
        <v>1</v>
      </c>
      <c r="L87" s="3103"/>
      <c r="M87" s="2407">
        <f t="shared" si="11"/>
        <v>1</v>
      </c>
      <c r="N87" s="3103"/>
      <c r="O87" s="2407">
        <f t="shared" si="12"/>
        <v>1</v>
      </c>
      <c r="P87" s="3491"/>
      <c r="Q87" s="2407">
        <f t="shared" si="13"/>
        <v>0</v>
      </c>
      <c r="R87" s="2407">
        <f t="shared" si="14"/>
        <v>0</v>
      </c>
      <c r="S87" s="3098">
        <f t="shared" si="5"/>
        <v>0</v>
      </c>
    </row>
    <row r="88" spans="1:19">
      <c r="A88" s="2571"/>
      <c r="B88" s="3107"/>
      <c r="C88" s="2407">
        <f t="shared" si="6"/>
        <v>1</v>
      </c>
      <c r="D88" s="3103"/>
      <c r="E88" s="2407">
        <f t="shared" si="7"/>
        <v>0</v>
      </c>
      <c r="F88" s="3103"/>
      <c r="G88" s="2407">
        <f t="shared" si="8"/>
        <v>1</v>
      </c>
      <c r="H88" s="3103"/>
      <c r="I88" s="2407">
        <f t="shared" si="9"/>
        <v>1</v>
      </c>
      <c r="J88" s="3103"/>
      <c r="K88" s="2407">
        <f t="shared" si="10"/>
        <v>1</v>
      </c>
      <c r="L88" s="3103"/>
      <c r="M88" s="2407">
        <f t="shared" si="11"/>
        <v>1</v>
      </c>
      <c r="N88" s="3103"/>
      <c r="O88" s="2407">
        <f t="shared" si="12"/>
        <v>1</v>
      </c>
      <c r="P88" s="3491"/>
      <c r="Q88" s="2407">
        <f t="shared" si="13"/>
        <v>0</v>
      </c>
      <c r="R88" s="2407">
        <f t="shared" si="14"/>
        <v>0</v>
      </c>
      <c r="S88" s="3098">
        <f t="shared" ref="S88:S151" si="15">ROUND(R88*B88/10000,0)</f>
        <v>0</v>
      </c>
    </row>
    <row r="89" spans="1:19">
      <c r="A89" s="2571"/>
      <c r="B89" s="3107"/>
      <c r="C89" s="2407">
        <f t="shared" si="6"/>
        <v>1</v>
      </c>
      <c r="D89" s="3103"/>
      <c r="E89" s="2407">
        <f t="shared" si="7"/>
        <v>0</v>
      </c>
      <c r="F89" s="3103"/>
      <c r="G89" s="2407">
        <f t="shared" si="8"/>
        <v>1</v>
      </c>
      <c r="H89" s="3103"/>
      <c r="I89" s="2407">
        <f t="shared" si="9"/>
        <v>1</v>
      </c>
      <c r="J89" s="3103"/>
      <c r="K89" s="2407">
        <f t="shared" si="10"/>
        <v>1</v>
      </c>
      <c r="L89" s="3103"/>
      <c r="M89" s="2407">
        <f t="shared" si="11"/>
        <v>1</v>
      </c>
      <c r="N89" s="3103"/>
      <c r="O89" s="2407">
        <f t="shared" si="12"/>
        <v>1</v>
      </c>
      <c r="P89" s="3491"/>
      <c r="Q89" s="2407">
        <f t="shared" si="13"/>
        <v>0</v>
      </c>
      <c r="R89" s="2407">
        <f t="shared" si="14"/>
        <v>0</v>
      </c>
      <c r="S89" s="3098">
        <f t="shared" si="15"/>
        <v>0</v>
      </c>
    </row>
    <row r="90" spans="1:19">
      <c r="A90" s="2571"/>
      <c r="B90" s="3107"/>
      <c r="C90" s="2407">
        <f t="shared" ref="C90:C153" si="16">IF(B90="",1,(LOOKUP(B90,$3:$3,$4:$4)-LOOKUP($B$24,$3:$3,$4:$4)+100)/100)</f>
        <v>1</v>
      </c>
      <c r="D90" s="3103"/>
      <c r="E90" s="2407">
        <f t="shared" ref="E90:E153" si="17">(SUMIF($5:$5,D90,$6:$6)-SUMIF($5:$5,$D$24,$6:$6)+100)/100</f>
        <v>0</v>
      </c>
      <c r="F90" s="3103"/>
      <c r="G90" s="2407">
        <f t="shared" ref="G90:G153" si="18">(SUMIF($7:$7,F90,$8:$8)-SUMIF($7:$7,$F$24,$8:$8)+100)/100</f>
        <v>1</v>
      </c>
      <c r="H90" s="3103"/>
      <c r="I90" s="2407">
        <f t="shared" ref="I90:I153" si="19">(SUMIF($9:$9,H90,$10:$10)-SUMIF($9:$9,$H$24,$10:$10)+100)/100</f>
        <v>1</v>
      </c>
      <c r="J90" s="3103"/>
      <c r="K90" s="2407">
        <f t="shared" ref="K90:K153" si="20">(SUMIF($11:$11,J90,$12:$12)-SUMIF($11:$11,$J$24,$12:$12)+100)/100</f>
        <v>1</v>
      </c>
      <c r="L90" s="3103"/>
      <c r="M90" s="2407">
        <f t="shared" ref="M90:M153" si="21">(SUMIF($13:$13,L90,$14:$14)-SUMIF($13:$13,$L$24,$14:$14)+100)/100</f>
        <v>1</v>
      </c>
      <c r="N90" s="3103"/>
      <c r="O90" s="2407">
        <f t="shared" ref="O90:O153" si="22">(SUMIF($15:$15,N90,$16:$16)-SUMIF($15:$15,$N$24,$16:$16)+100)/100</f>
        <v>1</v>
      </c>
      <c r="P90" s="3491"/>
      <c r="Q90" s="2407">
        <f t="shared" ref="Q90:Q153" si="23">(SUMIF($17:$17,P90,$18:$18)-SUMIF($17:$17,$P$24,$18:$18)+100)/100</f>
        <v>0</v>
      </c>
      <c r="R90" s="2407">
        <f t="shared" ref="R90:R153" si="24">IF(B90="",0,ROUND($R$24*C90*E90*G90*I90*K90*M90*O90*Q90,0))</f>
        <v>0</v>
      </c>
      <c r="S90" s="3098">
        <f t="shared" si="15"/>
        <v>0</v>
      </c>
    </row>
    <row r="91" spans="1:19">
      <c r="A91" s="2571"/>
      <c r="B91" s="3107"/>
      <c r="C91" s="2407">
        <f t="shared" si="16"/>
        <v>1</v>
      </c>
      <c r="D91" s="3103"/>
      <c r="E91" s="2407">
        <f t="shared" si="17"/>
        <v>0</v>
      </c>
      <c r="F91" s="3103"/>
      <c r="G91" s="2407">
        <f t="shared" si="18"/>
        <v>1</v>
      </c>
      <c r="H91" s="3103"/>
      <c r="I91" s="2407">
        <f t="shared" si="19"/>
        <v>1</v>
      </c>
      <c r="J91" s="3103"/>
      <c r="K91" s="2407">
        <f t="shared" si="20"/>
        <v>1</v>
      </c>
      <c r="L91" s="3103"/>
      <c r="M91" s="2407">
        <f t="shared" si="21"/>
        <v>1</v>
      </c>
      <c r="N91" s="3103"/>
      <c r="O91" s="2407">
        <f t="shared" si="22"/>
        <v>1</v>
      </c>
      <c r="P91" s="3491"/>
      <c r="Q91" s="2407">
        <f t="shared" si="23"/>
        <v>0</v>
      </c>
      <c r="R91" s="2407">
        <f t="shared" si="24"/>
        <v>0</v>
      </c>
      <c r="S91" s="3098">
        <f t="shared" si="15"/>
        <v>0</v>
      </c>
    </row>
    <row r="92" spans="1:19">
      <c r="A92" s="2571"/>
      <c r="B92" s="3107"/>
      <c r="C92" s="2407">
        <f t="shared" si="16"/>
        <v>1</v>
      </c>
      <c r="D92" s="3103"/>
      <c r="E92" s="2407">
        <f t="shared" si="17"/>
        <v>0</v>
      </c>
      <c r="F92" s="3103"/>
      <c r="G92" s="2407">
        <f t="shared" si="18"/>
        <v>1</v>
      </c>
      <c r="H92" s="3103"/>
      <c r="I92" s="2407">
        <f t="shared" si="19"/>
        <v>1</v>
      </c>
      <c r="J92" s="3103"/>
      <c r="K92" s="2407">
        <f t="shared" si="20"/>
        <v>1</v>
      </c>
      <c r="L92" s="3103"/>
      <c r="M92" s="2407">
        <f t="shared" si="21"/>
        <v>1</v>
      </c>
      <c r="N92" s="3103"/>
      <c r="O92" s="2407">
        <f t="shared" si="22"/>
        <v>1</v>
      </c>
      <c r="P92" s="3491"/>
      <c r="Q92" s="2407">
        <f t="shared" si="23"/>
        <v>0</v>
      </c>
      <c r="R92" s="2407">
        <f t="shared" si="24"/>
        <v>0</v>
      </c>
      <c r="S92" s="3098">
        <f t="shared" si="15"/>
        <v>0</v>
      </c>
    </row>
    <row r="93" spans="1:19">
      <c r="A93" s="2571"/>
      <c r="B93" s="3107"/>
      <c r="C93" s="2407">
        <f t="shared" si="16"/>
        <v>1</v>
      </c>
      <c r="D93" s="3103"/>
      <c r="E93" s="2407">
        <f t="shared" si="17"/>
        <v>0</v>
      </c>
      <c r="F93" s="3103"/>
      <c r="G93" s="2407">
        <f t="shared" si="18"/>
        <v>1</v>
      </c>
      <c r="H93" s="3103"/>
      <c r="I93" s="2407">
        <f t="shared" si="19"/>
        <v>1</v>
      </c>
      <c r="J93" s="3103"/>
      <c r="K93" s="2407">
        <f t="shared" si="20"/>
        <v>1</v>
      </c>
      <c r="L93" s="3103"/>
      <c r="M93" s="2407">
        <f t="shared" si="21"/>
        <v>1</v>
      </c>
      <c r="N93" s="3103"/>
      <c r="O93" s="2407">
        <f t="shared" si="22"/>
        <v>1</v>
      </c>
      <c r="P93" s="3491"/>
      <c r="Q93" s="2407">
        <f t="shared" si="23"/>
        <v>0</v>
      </c>
      <c r="R93" s="2407">
        <f t="shared" si="24"/>
        <v>0</v>
      </c>
      <c r="S93" s="3098">
        <f t="shared" si="15"/>
        <v>0</v>
      </c>
    </row>
    <row r="94" spans="1:19">
      <c r="A94" s="2571"/>
      <c r="B94" s="3107"/>
      <c r="C94" s="2407">
        <f t="shared" si="16"/>
        <v>1</v>
      </c>
      <c r="D94" s="3103"/>
      <c r="E94" s="2407">
        <f t="shared" si="17"/>
        <v>0</v>
      </c>
      <c r="F94" s="3103"/>
      <c r="G94" s="2407">
        <f t="shared" si="18"/>
        <v>1</v>
      </c>
      <c r="H94" s="3103"/>
      <c r="I94" s="2407">
        <f t="shared" si="19"/>
        <v>1</v>
      </c>
      <c r="J94" s="3103"/>
      <c r="K94" s="2407">
        <f t="shared" si="20"/>
        <v>1</v>
      </c>
      <c r="L94" s="3103"/>
      <c r="M94" s="2407">
        <f t="shared" si="21"/>
        <v>1</v>
      </c>
      <c r="N94" s="3103"/>
      <c r="O94" s="2407">
        <f t="shared" si="22"/>
        <v>1</v>
      </c>
      <c r="P94" s="3491"/>
      <c r="Q94" s="2407">
        <f t="shared" si="23"/>
        <v>0</v>
      </c>
      <c r="R94" s="2407">
        <f t="shared" si="24"/>
        <v>0</v>
      </c>
      <c r="S94" s="3098">
        <f t="shared" si="15"/>
        <v>0</v>
      </c>
    </row>
    <row r="95" spans="1:19">
      <c r="A95" s="2571"/>
      <c r="B95" s="3107"/>
      <c r="C95" s="2407">
        <f t="shared" si="16"/>
        <v>1</v>
      </c>
      <c r="D95" s="3103"/>
      <c r="E95" s="2407">
        <f t="shared" si="17"/>
        <v>0</v>
      </c>
      <c r="F95" s="3103"/>
      <c r="G95" s="2407">
        <f t="shared" si="18"/>
        <v>1</v>
      </c>
      <c r="H95" s="3103"/>
      <c r="I95" s="2407">
        <f t="shared" si="19"/>
        <v>1</v>
      </c>
      <c r="J95" s="3103"/>
      <c r="K95" s="2407">
        <f t="shared" si="20"/>
        <v>1</v>
      </c>
      <c r="L95" s="3103"/>
      <c r="M95" s="2407">
        <f t="shared" si="21"/>
        <v>1</v>
      </c>
      <c r="N95" s="3103"/>
      <c r="O95" s="2407">
        <f t="shared" si="22"/>
        <v>1</v>
      </c>
      <c r="P95" s="3491"/>
      <c r="Q95" s="2407">
        <f t="shared" si="23"/>
        <v>0</v>
      </c>
      <c r="R95" s="2407">
        <f t="shared" si="24"/>
        <v>0</v>
      </c>
      <c r="S95" s="3098">
        <f t="shared" si="15"/>
        <v>0</v>
      </c>
    </row>
    <row r="96" spans="1:19">
      <c r="A96" s="2571"/>
      <c r="B96" s="3107"/>
      <c r="C96" s="2407">
        <f t="shared" si="16"/>
        <v>1</v>
      </c>
      <c r="D96" s="3103"/>
      <c r="E96" s="2407">
        <f t="shared" si="17"/>
        <v>0</v>
      </c>
      <c r="F96" s="3103"/>
      <c r="G96" s="2407">
        <f t="shared" si="18"/>
        <v>1</v>
      </c>
      <c r="H96" s="3103"/>
      <c r="I96" s="2407">
        <f t="shared" si="19"/>
        <v>1</v>
      </c>
      <c r="J96" s="3103"/>
      <c r="K96" s="2407">
        <f t="shared" si="20"/>
        <v>1</v>
      </c>
      <c r="L96" s="3103"/>
      <c r="M96" s="2407">
        <f t="shared" si="21"/>
        <v>1</v>
      </c>
      <c r="N96" s="3103"/>
      <c r="O96" s="2407">
        <f t="shared" si="22"/>
        <v>1</v>
      </c>
      <c r="P96" s="3491"/>
      <c r="Q96" s="2407">
        <f t="shared" si="23"/>
        <v>0</v>
      </c>
      <c r="R96" s="2407">
        <f t="shared" si="24"/>
        <v>0</v>
      </c>
      <c r="S96" s="3098">
        <f t="shared" si="15"/>
        <v>0</v>
      </c>
    </row>
    <row r="97" spans="1:19">
      <c r="A97" s="2571"/>
      <c r="B97" s="3107"/>
      <c r="C97" s="2407">
        <f t="shared" si="16"/>
        <v>1</v>
      </c>
      <c r="D97" s="3103"/>
      <c r="E97" s="2407">
        <f t="shared" si="17"/>
        <v>0</v>
      </c>
      <c r="F97" s="3103"/>
      <c r="G97" s="2407">
        <f t="shared" si="18"/>
        <v>1</v>
      </c>
      <c r="H97" s="3103"/>
      <c r="I97" s="2407">
        <f t="shared" si="19"/>
        <v>1</v>
      </c>
      <c r="J97" s="3103"/>
      <c r="K97" s="2407">
        <f t="shared" si="20"/>
        <v>1</v>
      </c>
      <c r="L97" s="3103"/>
      <c r="M97" s="2407">
        <f t="shared" si="21"/>
        <v>1</v>
      </c>
      <c r="N97" s="3103"/>
      <c r="O97" s="2407">
        <f t="shared" si="22"/>
        <v>1</v>
      </c>
      <c r="P97" s="3491"/>
      <c r="Q97" s="2407">
        <f t="shared" si="23"/>
        <v>0</v>
      </c>
      <c r="R97" s="2407">
        <f t="shared" si="24"/>
        <v>0</v>
      </c>
      <c r="S97" s="3098">
        <f t="shared" si="15"/>
        <v>0</v>
      </c>
    </row>
    <row r="98" spans="1:19">
      <c r="A98" s="2571"/>
      <c r="B98" s="3107"/>
      <c r="C98" s="2407">
        <f t="shared" si="16"/>
        <v>1</v>
      </c>
      <c r="D98" s="3103"/>
      <c r="E98" s="2407">
        <f t="shared" si="17"/>
        <v>0</v>
      </c>
      <c r="F98" s="3103"/>
      <c r="G98" s="2407">
        <f t="shared" si="18"/>
        <v>1</v>
      </c>
      <c r="H98" s="3103"/>
      <c r="I98" s="2407">
        <f t="shared" si="19"/>
        <v>1</v>
      </c>
      <c r="J98" s="3103"/>
      <c r="K98" s="2407">
        <f t="shared" si="20"/>
        <v>1</v>
      </c>
      <c r="L98" s="3103"/>
      <c r="M98" s="2407">
        <f t="shared" si="21"/>
        <v>1</v>
      </c>
      <c r="N98" s="3103"/>
      <c r="O98" s="2407">
        <f t="shared" si="22"/>
        <v>1</v>
      </c>
      <c r="P98" s="3491"/>
      <c r="Q98" s="2407">
        <f t="shared" si="23"/>
        <v>0</v>
      </c>
      <c r="R98" s="2407">
        <f t="shared" si="24"/>
        <v>0</v>
      </c>
      <c r="S98" s="3098">
        <f t="shared" si="15"/>
        <v>0</v>
      </c>
    </row>
    <row r="99" spans="1:19">
      <c r="A99" s="2571"/>
      <c r="B99" s="3107"/>
      <c r="C99" s="2407">
        <f t="shared" si="16"/>
        <v>1</v>
      </c>
      <c r="D99" s="3103"/>
      <c r="E99" s="2407">
        <f t="shared" si="17"/>
        <v>0</v>
      </c>
      <c r="F99" s="3103"/>
      <c r="G99" s="2407">
        <f t="shared" si="18"/>
        <v>1</v>
      </c>
      <c r="H99" s="3103"/>
      <c r="I99" s="2407">
        <f t="shared" si="19"/>
        <v>1</v>
      </c>
      <c r="J99" s="3103"/>
      <c r="K99" s="2407">
        <f t="shared" si="20"/>
        <v>1</v>
      </c>
      <c r="L99" s="3103"/>
      <c r="M99" s="2407">
        <f t="shared" si="21"/>
        <v>1</v>
      </c>
      <c r="N99" s="3103"/>
      <c r="O99" s="2407">
        <f t="shared" si="22"/>
        <v>1</v>
      </c>
      <c r="P99" s="3491"/>
      <c r="Q99" s="2407">
        <f t="shared" si="23"/>
        <v>0</v>
      </c>
      <c r="R99" s="2407">
        <f t="shared" si="24"/>
        <v>0</v>
      </c>
      <c r="S99" s="3098">
        <f t="shared" si="15"/>
        <v>0</v>
      </c>
    </row>
    <row r="100" spans="1:19">
      <c r="A100" s="2571"/>
      <c r="B100" s="3107"/>
      <c r="C100" s="2407">
        <f t="shared" si="16"/>
        <v>1</v>
      </c>
      <c r="D100" s="3103"/>
      <c r="E100" s="2407">
        <f t="shared" si="17"/>
        <v>0</v>
      </c>
      <c r="F100" s="3103"/>
      <c r="G100" s="2407">
        <f t="shared" si="18"/>
        <v>1</v>
      </c>
      <c r="H100" s="3103"/>
      <c r="I100" s="2407">
        <f t="shared" si="19"/>
        <v>1</v>
      </c>
      <c r="J100" s="3103"/>
      <c r="K100" s="2407">
        <f t="shared" si="20"/>
        <v>1</v>
      </c>
      <c r="L100" s="3103"/>
      <c r="M100" s="2407">
        <f t="shared" si="21"/>
        <v>1</v>
      </c>
      <c r="N100" s="3103"/>
      <c r="O100" s="2407">
        <f t="shared" si="22"/>
        <v>1</v>
      </c>
      <c r="P100" s="3491"/>
      <c r="Q100" s="2407">
        <f t="shared" si="23"/>
        <v>0</v>
      </c>
      <c r="R100" s="2407">
        <f t="shared" si="24"/>
        <v>0</v>
      </c>
      <c r="S100" s="3098">
        <f t="shared" si="15"/>
        <v>0</v>
      </c>
    </row>
    <row r="101" spans="1:19">
      <c r="A101" s="2571"/>
      <c r="B101" s="3107"/>
      <c r="C101" s="2407">
        <f t="shared" si="16"/>
        <v>1</v>
      </c>
      <c r="D101" s="3103"/>
      <c r="E101" s="2407">
        <f t="shared" si="17"/>
        <v>0</v>
      </c>
      <c r="F101" s="3103"/>
      <c r="G101" s="2407">
        <f t="shared" si="18"/>
        <v>1</v>
      </c>
      <c r="H101" s="3103"/>
      <c r="I101" s="2407">
        <f t="shared" si="19"/>
        <v>1</v>
      </c>
      <c r="J101" s="3103"/>
      <c r="K101" s="2407">
        <f t="shared" si="20"/>
        <v>1</v>
      </c>
      <c r="L101" s="3103"/>
      <c r="M101" s="2407">
        <f t="shared" si="21"/>
        <v>1</v>
      </c>
      <c r="N101" s="3103"/>
      <c r="O101" s="2407">
        <f t="shared" si="22"/>
        <v>1</v>
      </c>
      <c r="P101" s="3491"/>
      <c r="Q101" s="2407">
        <f t="shared" si="23"/>
        <v>0</v>
      </c>
      <c r="R101" s="2407">
        <f t="shared" si="24"/>
        <v>0</v>
      </c>
      <c r="S101" s="3098">
        <f t="shared" si="15"/>
        <v>0</v>
      </c>
    </row>
    <row r="102" spans="1:19">
      <c r="A102" s="2571"/>
      <c r="B102" s="3107"/>
      <c r="C102" s="2407">
        <f t="shared" si="16"/>
        <v>1</v>
      </c>
      <c r="D102" s="3103"/>
      <c r="E102" s="2407">
        <f t="shared" si="17"/>
        <v>0</v>
      </c>
      <c r="F102" s="3103"/>
      <c r="G102" s="2407">
        <f t="shared" si="18"/>
        <v>1</v>
      </c>
      <c r="H102" s="3103"/>
      <c r="I102" s="2407">
        <f t="shared" si="19"/>
        <v>1</v>
      </c>
      <c r="J102" s="3103"/>
      <c r="K102" s="2407">
        <f t="shared" si="20"/>
        <v>1</v>
      </c>
      <c r="L102" s="3103"/>
      <c r="M102" s="2407">
        <f t="shared" si="21"/>
        <v>1</v>
      </c>
      <c r="N102" s="3103"/>
      <c r="O102" s="2407">
        <f t="shared" si="22"/>
        <v>1</v>
      </c>
      <c r="P102" s="3491"/>
      <c r="Q102" s="2407">
        <f t="shared" si="23"/>
        <v>0</v>
      </c>
      <c r="R102" s="2407">
        <f t="shared" si="24"/>
        <v>0</v>
      </c>
      <c r="S102" s="3098">
        <f t="shared" si="15"/>
        <v>0</v>
      </c>
    </row>
    <row r="103" spans="1:19">
      <c r="A103" s="2571"/>
      <c r="B103" s="3107"/>
      <c r="C103" s="2407">
        <f t="shared" si="16"/>
        <v>1</v>
      </c>
      <c r="D103" s="3103"/>
      <c r="E103" s="2407">
        <f t="shared" si="17"/>
        <v>0</v>
      </c>
      <c r="F103" s="3103"/>
      <c r="G103" s="2407">
        <f t="shared" si="18"/>
        <v>1</v>
      </c>
      <c r="H103" s="3103"/>
      <c r="I103" s="2407">
        <f t="shared" si="19"/>
        <v>1</v>
      </c>
      <c r="J103" s="3103"/>
      <c r="K103" s="2407">
        <f t="shared" si="20"/>
        <v>1</v>
      </c>
      <c r="L103" s="3103"/>
      <c r="M103" s="2407">
        <f t="shared" si="21"/>
        <v>1</v>
      </c>
      <c r="N103" s="3103"/>
      <c r="O103" s="2407">
        <f t="shared" si="22"/>
        <v>1</v>
      </c>
      <c r="P103" s="3491"/>
      <c r="Q103" s="2407">
        <f t="shared" si="23"/>
        <v>0</v>
      </c>
      <c r="R103" s="2407">
        <f t="shared" si="24"/>
        <v>0</v>
      </c>
      <c r="S103" s="3098">
        <f t="shared" si="15"/>
        <v>0</v>
      </c>
    </row>
    <row r="104" spans="1:19">
      <c r="A104" s="2571"/>
      <c r="B104" s="3107"/>
      <c r="C104" s="2407">
        <f t="shared" si="16"/>
        <v>1</v>
      </c>
      <c r="D104" s="3103"/>
      <c r="E104" s="2407">
        <f t="shared" si="17"/>
        <v>0</v>
      </c>
      <c r="F104" s="3103"/>
      <c r="G104" s="2407">
        <f t="shared" si="18"/>
        <v>1</v>
      </c>
      <c r="H104" s="3103"/>
      <c r="I104" s="2407">
        <f t="shared" si="19"/>
        <v>1</v>
      </c>
      <c r="J104" s="3103"/>
      <c r="K104" s="2407">
        <f t="shared" si="20"/>
        <v>1</v>
      </c>
      <c r="L104" s="3103"/>
      <c r="M104" s="2407">
        <f t="shared" si="21"/>
        <v>1</v>
      </c>
      <c r="N104" s="3103"/>
      <c r="O104" s="2407">
        <f t="shared" si="22"/>
        <v>1</v>
      </c>
      <c r="P104" s="3491"/>
      <c r="Q104" s="2407">
        <f t="shared" si="23"/>
        <v>0</v>
      </c>
      <c r="R104" s="2407">
        <f t="shared" si="24"/>
        <v>0</v>
      </c>
      <c r="S104" s="3098">
        <f t="shared" si="15"/>
        <v>0</v>
      </c>
    </row>
    <row r="105" spans="1:19">
      <c r="A105" s="2571"/>
      <c r="B105" s="3107"/>
      <c r="C105" s="2407">
        <f t="shared" si="16"/>
        <v>1</v>
      </c>
      <c r="D105" s="3103"/>
      <c r="E105" s="2407">
        <f t="shared" si="17"/>
        <v>0</v>
      </c>
      <c r="F105" s="3103"/>
      <c r="G105" s="2407">
        <f t="shared" si="18"/>
        <v>1</v>
      </c>
      <c r="H105" s="3103"/>
      <c r="I105" s="2407">
        <f t="shared" si="19"/>
        <v>1</v>
      </c>
      <c r="J105" s="3103"/>
      <c r="K105" s="2407">
        <f t="shared" si="20"/>
        <v>1</v>
      </c>
      <c r="L105" s="3103"/>
      <c r="M105" s="2407">
        <f t="shared" si="21"/>
        <v>1</v>
      </c>
      <c r="N105" s="3103"/>
      <c r="O105" s="2407">
        <f t="shared" si="22"/>
        <v>1</v>
      </c>
      <c r="P105" s="3491"/>
      <c r="Q105" s="2407">
        <f t="shared" si="23"/>
        <v>0</v>
      </c>
      <c r="R105" s="2407">
        <f t="shared" si="24"/>
        <v>0</v>
      </c>
      <c r="S105" s="3098">
        <f t="shared" si="15"/>
        <v>0</v>
      </c>
    </row>
    <row r="106" spans="1:19">
      <c r="A106" s="2571"/>
      <c r="B106" s="3107"/>
      <c r="C106" s="2407">
        <f t="shared" si="16"/>
        <v>1</v>
      </c>
      <c r="D106" s="3103"/>
      <c r="E106" s="2407">
        <f t="shared" si="17"/>
        <v>0</v>
      </c>
      <c r="F106" s="3103"/>
      <c r="G106" s="2407">
        <f t="shared" si="18"/>
        <v>1</v>
      </c>
      <c r="H106" s="3103"/>
      <c r="I106" s="2407">
        <f t="shared" si="19"/>
        <v>1</v>
      </c>
      <c r="J106" s="3103"/>
      <c r="K106" s="2407">
        <f t="shared" si="20"/>
        <v>1</v>
      </c>
      <c r="L106" s="3103"/>
      <c r="M106" s="2407">
        <f t="shared" si="21"/>
        <v>1</v>
      </c>
      <c r="N106" s="3103"/>
      <c r="O106" s="2407">
        <f t="shared" si="22"/>
        <v>1</v>
      </c>
      <c r="P106" s="3491"/>
      <c r="Q106" s="2407">
        <f t="shared" si="23"/>
        <v>0</v>
      </c>
      <c r="R106" s="2407">
        <f t="shared" si="24"/>
        <v>0</v>
      </c>
      <c r="S106" s="3098">
        <f t="shared" si="15"/>
        <v>0</v>
      </c>
    </row>
    <row r="107" spans="1:19">
      <c r="A107" s="2571"/>
      <c r="B107" s="3107"/>
      <c r="C107" s="2407">
        <f t="shared" si="16"/>
        <v>1</v>
      </c>
      <c r="D107" s="3103"/>
      <c r="E107" s="2407">
        <f t="shared" si="17"/>
        <v>0</v>
      </c>
      <c r="F107" s="3103"/>
      <c r="G107" s="2407">
        <f t="shared" si="18"/>
        <v>1</v>
      </c>
      <c r="H107" s="3103"/>
      <c r="I107" s="2407">
        <f t="shared" si="19"/>
        <v>1</v>
      </c>
      <c r="J107" s="3103"/>
      <c r="K107" s="2407">
        <f t="shared" si="20"/>
        <v>1</v>
      </c>
      <c r="L107" s="3103"/>
      <c r="M107" s="2407">
        <f t="shared" si="21"/>
        <v>1</v>
      </c>
      <c r="N107" s="3103"/>
      <c r="O107" s="2407">
        <f t="shared" si="22"/>
        <v>1</v>
      </c>
      <c r="P107" s="3491"/>
      <c r="Q107" s="2407">
        <f t="shared" si="23"/>
        <v>0</v>
      </c>
      <c r="R107" s="2407">
        <f t="shared" si="24"/>
        <v>0</v>
      </c>
      <c r="S107" s="3098">
        <f t="shared" si="15"/>
        <v>0</v>
      </c>
    </row>
    <row r="108" spans="1:19">
      <c r="A108" s="2571"/>
      <c r="B108" s="3107"/>
      <c r="C108" s="2407">
        <f t="shared" si="16"/>
        <v>1</v>
      </c>
      <c r="D108" s="3103"/>
      <c r="E108" s="2407">
        <f t="shared" si="17"/>
        <v>0</v>
      </c>
      <c r="F108" s="3103"/>
      <c r="G108" s="2407">
        <f t="shared" si="18"/>
        <v>1</v>
      </c>
      <c r="H108" s="3103"/>
      <c r="I108" s="2407">
        <f t="shared" si="19"/>
        <v>1</v>
      </c>
      <c r="J108" s="3103"/>
      <c r="K108" s="2407">
        <f t="shared" si="20"/>
        <v>1</v>
      </c>
      <c r="L108" s="3103"/>
      <c r="M108" s="2407">
        <f t="shared" si="21"/>
        <v>1</v>
      </c>
      <c r="N108" s="3103"/>
      <c r="O108" s="2407">
        <f t="shared" si="22"/>
        <v>1</v>
      </c>
      <c r="P108" s="3491"/>
      <c r="Q108" s="2407">
        <f t="shared" si="23"/>
        <v>0</v>
      </c>
      <c r="R108" s="2407">
        <f t="shared" si="24"/>
        <v>0</v>
      </c>
      <c r="S108" s="3098">
        <f t="shared" si="15"/>
        <v>0</v>
      </c>
    </row>
    <row r="109" spans="1:19">
      <c r="A109" s="2571"/>
      <c r="B109" s="3107"/>
      <c r="C109" s="2407">
        <f t="shared" si="16"/>
        <v>1</v>
      </c>
      <c r="D109" s="3103"/>
      <c r="E109" s="2407">
        <f t="shared" si="17"/>
        <v>0</v>
      </c>
      <c r="F109" s="3103"/>
      <c r="G109" s="2407">
        <f t="shared" si="18"/>
        <v>1</v>
      </c>
      <c r="H109" s="3103"/>
      <c r="I109" s="2407">
        <f t="shared" si="19"/>
        <v>1</v>
      </c>
      <c r="J109" s="3103"/>
      <c r="K109" s="2407">
        <f t="shared" si="20"/>
        <v>1</v>
      </c>
      <c r="L109" s="3103"/>
      <c r="M109" s="2407">
        <f t="shared" si="21"/>
        <v>1</v>
      </c>
      <c r="N109" s="3103"/>
      <c r="O109" s="2407">
        <f t="shared" si="22"/>
        <v>1</v>
      </c>
      <c r="P109" s="3491"/>
      <c r="Q109" s="2407">
        <f t="shared" si="23"/>
        <v>0</v>
      </c>
      <c r="R109" s="2407">
        <f t="shared" si="24"/>
        <v>0</v>
      </c>
      <c r="S109" s="3098">
        <f t="shared" si="15"/>
        <v>0</v>
      </c>
    </row>
    <row r="110" spans="1:19">
      <c r="A110" s="2571"/>
      <c r="B110" s="3107"/>
      <c r="C110" s="2407">
        <f t="shared" si="16"/>
        <v>1</v>
      </c>
      <c r="D110" s="3103"/>
      <c r="E110" s="2407">
        <f t="shared" si="17"/>
        <v>0</v>
      </c>
      <c r="F110" s="3103"/>
      <c r="G110" s="2407">
        <f t="shared" si="18"/>
        <v>1</v>
      </c>
      <c r="H110" s="3103"/>
      <c r="I110" s="2407">
        <f t="shared" si="19"/>
        <v>1</v>
      </c>
      <c r="J110" s="3103"/>
      <c r="K110" s="2407">
        <f t="shared" si="20"/>
        <v>1</v>
      </c>
      <c r="L110" s="3103"/>
      <c r="M110" s="2407">
        <f t="shared" si="21"/>
        <v>1</v>
      </c>
      <c r="N110" s="3103"/>
      <c r="O110" s="2407">
        <f t="shared" si="22"/>
        <v>1</v>
      </c>
      <c r="P110" s="3491"/>
      <c r="Q110" s="2407">
        <f t="shared" si="23"/>
        <v>0</v>
      </c>
      <c r="R110" s="2407">
        <f t="shared" si="24"/>
        <v>0</v>
      </c>
      <c r="S110" s="3098">
        <f t="shared" si="15"/>
        <v>0</v>
      </c>
    </row>
    <row r="111" spans="1:19">
      <c r="A111" s="2571"/>
      <c r="B111" s="3107"/>
      <c r="C111" s="2407">
        <f t="shared" si="16"/>
        <v>1</v>
      </c>
      <c r="D111" s="3103"/>
      <c r="E111" s="2407">
        <f t="shared" si="17"/>
        <v>0</v>
      </c>
      <c r="F111" s="3103"/>
      <c r="G111" s="2407">
        <f t="shared" si="18"/>
        <v>1</v>
      </c>
      <c r="H111" s="3103"/>
      <c r="I111" s="2407">
        <f t="shared" si="19"/>
        <v>1</v>
      </c>
      <c r="J111" s="3103"/>
      <c r="K111" s="2407">
        <f t="shared" si="20"/>
        <v>1</v>
      </c>
      <c r="L111" s="3103"/>
      <c r="M111" s="2407">
        <f t="shared" si="21"/>
        <v>1</v>
      </c>
      <c r="N111" s="3103"/>
      <c r="O111" s="2407">
        <f t="shared" si="22"/>
        <v>1</v>
      </c>
      <c r="P111" s="3491"/>
      <c r="Q111" s="2407">
        <f t="shared" si="23"/>
        <v>0</v>
      </c>
      <c r="R111" s="2407">
        <f t="shared" si="24"/>
        <v>0</v>
      </c>
      <c r="S111" s="3098">
        <f t="shared" si="15"/>
        <v>0</v>
      </c>
    </row>
    <row r="112" spans="1:19">
      <c r="A112" s="2571"/>
      <c r="B112" s="3107"/>
      <c r="C112" s="2407">
        <f t="shared" si="16"/>
        <v>1</v>
      </c>
      <c r="D112" s="3103"/>
      <c r="E112" s="2407">
        <f t="shared" si="17"/>
        <v>0</v>
      </c>
      <c r="F112" s="3103"/>
      <c r="G112" s="2407">
        <f t="shared" si="18"/>
        <v>1</v>
      </c>
      <c r="H112" s="3103"/>
      <c r="I112" s="2407">
        <f t="shared" si="19"/>
        <v>1</v>
      </c>
      <c r="J112" s="3103"/>
      <c r="K112" s="2407">
        <f t="shared" si="20"/>
        <v>1</v>
      </c>
      <c r="L112" s="3103"/>
      <c r="M112" s="2407">
        <f t="shared" si="21"/>
        <v>1</v>
      </c>
      <c r="N112" s="3103"/>
      <c r="O112" s="2407">
        <f t="shared" si="22"/>
        <v>1</v>
      </c>
      <c r="P112" s="3491"/>
      <c r="Q112" s="2407">
        <f t="shared" si="23"/>
        <v>0</v>
      </c>
      <c r="R112" s="2407">
        <f t="shared" si="24"/>
        <v>0</v>
      </c>
      <c r="S112" s="3098">
        <f t="shared" si="15"/>
        <v>0</v>
      </c>
    </row>
    <row r="113" spans="1:19">
      <c r="A113" s="2571"/>
      <c r="B113" s="3107"/>
      <c r="C113" s="2407">
        <f t="shared" si="16"/>
        <v>1</v>
      </c>
      <c r="D113" s="3103"/>
      <c r="E113" s="2407">
        <f t="shared" si="17"/>
        <v>0</v>
      </c>
      <c r="F113" s="3103"/>
      <c r="G113" s="2407">
        <f t="shared" si="18"/>
        <v>1</v>
      </c>
      <c r="H113" s="3103"/>
      <c r="I113" s="2407">
        <f t="shared" si="19"/>
        <v>1</v>
      </c>
      <c r="J113" s="3103"/>
      <c r="K113" s="2407">
        <f t="shared" si="20"/>
        <v>1</v>
      </c>
      <c r="L113" s="3103"/>
      <c r="M113" s="2407">
        <f t="shared" si="21"/>
        <v>1</v>
      </c>
      <c r="N113" s="3103"/>
      <c r="O113" s="2407">
        <f t="shared" si="22"/>
        <v>1</v>
      </c>
      <c r="P113" s="3491"/>
      <c r="Q113" s="2407">
        <f t="shared" si="23"/>
        <v>0</v>
      </c>
      <c r="R113" s="2407">
        <f t="shared" si="24"/>
        <v>0</v>
      </c>
      <c r="S113" s="3098">
        <f t="shared" si="15"/>
        <v>0</v>
      </c>
    </row>
    <row r="114" spans="1:19">
      <c r="A114" s="2571"/>
      <c r="B114" s="3107"/>
      <c r="C114" s="2407">
        <f t="shared" si="16"/>
        <v>1</v>
      </c>
      <c r="D114" s="3103"/>
      <c r="E114" s="2407">
        <f t="shared" si="17"/>
        <v>0</v>
      </c>
      <c r="F114" s="3103"/>
      <c r="G114" s="2407">
        <f t="shared" si="18"/>
        <v>1</v>
      </c>
      <c r="H114" s="3103"/>
      <c r="I114" s="2407">
        <f t="shared" si="19"/>
        <v>1</v>
      </c>
      <c r="J114" s="3103"/>
      <c r="K114" s="2407">
        <f t="shared" si="20"/>
        <v>1</v>
      </c>
      <c r="L114" s="3103"/>
      <c r="M114" s="2407">
        <f t="shared" si="21"/>
        <v>1</v>
      </c>
      <c r="N114" s="3103"/>
      <c r="O114" s="2407">
        <f t="shared" si="22"/>
        <v>1</v>
      </c>
      <c r="P114" s="3491"/>
      <c r="Q114" s="2407">
        <f t="shared" si="23"/>
        <v>0</v>
      </c>
      <c r="R114" s="2407">
        <f t="shared" si="24"/>
        <v>0</v>
      </c>
      <c r="S114" s="3098">
        <f t="shared" si="15"/>
        <v>0</v>
      </c>
    </row>
    <row r="115" spans="1:19">
      <c r="A115" s="2571"/>
      <c r="B115" s="3107"/>
      <c r="C115" s="2407">
        <f t="shared" si="16"/>
        <v>1</v>
      </c>
      <c r="D115" s="3103"/>
      <c r="E115" s="2407">
        <f t="shared" si="17"/>
        <v>0</v>
      </c>
      <c r="F115" s="3103"/>
      <c r="G115" s="2407">
        <f t="shared" si="18"/>
        <v>1</v>
      </c>
      <c r="H115" s="3103"/>
      <c r="I115" s="2407">
        <f t="shared" si="19"/>
        <v>1</v>
      </c>
      <c r="J115" s="3103"/>
      <c r="K115" s="2407">
        <f t="shared" si="20"/>
        <v>1</v>
      </c>
      <c r="L115" s="3103"/>
      <c r="M115" s="2407">
        <f t="shared" si="21"/>
        <v>1</v>
      </c>
      <c r="N115" s="3103"/>
      <c r="O115" s="2407">
        <f t="shared" si="22"/>
        <v>1</v>
      </c>
      <c r="P115" s="3491"/>
      <c r="Q115" s="2407">
        <f t="shared" si="23"/>
        <v>0</v>
      </c>
      <c r="R115" s="2407">
        <f t="shared" si="24"/>
        <v>0</v>
      </c>
      <c r="S115" s="3098">
        <f t="shared" si="15"/>
        <v>0</v>
      </c>
    </row>
    <row r="116" spans="1:19">
      <c r="A116" s="2571"/>
      <c r="B116" s="3107"/>
      <c r="C116" s="2407">
        <f t="shared" si="16"/>
        <v>1</v>
      </c>
      <c r="D116" s="3103"/>
      <c r="E116" s="2407">
        <f t="shared" si="17"/>
        <v>0</v>
      </c>
      <c r="F116" s="3103"/>
      <c r="G116" s="2407">
        <f t="shared" si="18"/>
        <v>1</v>
      </c>
      <c r="H116" s="3103"/>
      <c r="I116" s="2407">
        <f t="shared" si="19"/>
        <v>1</v>
      </c>
      <c r="J116" s="3103"/>
      <c r="K116" s="2407">
        <f t="shared" si="20"/>
        <v>1</v>
      </c>
      <c r="L116" s="3103"/>
      <c r="M116" s="2407">
        <f t="shared" si="21"/>
        <v>1</v>
      </c>
      <c r="N116" s="3103"/>
      <c r="O116" s="2407">
        <f t="shared" si="22"/>
        <v>1</v>
      </c>
      <c r="P116" s="3491"/>
      <c r="Q116" s="2407">
        <f t="shared" si="23"/>
        <v>0</v>
      </c>
      <c r="R116" s="2407">
        <f t="shared" si="24"/>
        <v>0</v>
      </c>
      <c r="S116" s="3098">
        <f t="shared" si="15"/>
        <v>0</v>
      </c>
    </row>
    <row r="117" spans="1:19">
      <c r="A117" s="2571"/>
      <c r="B117" s="3107"/>
      <c r="C117" s="2407">
        <f t="shared" si="16"/>
        <v>1</v>
      </c>
      <c r="D117" s="3103"/>
      <c r="E117" s="2407">
        <f t="shared" si="17"/>
        <v>0</v>
      </c>
      <c r="F117" s="3103"/>
      <c r="G117" s="2407">
        <f t="shared" si="18"/>
        <v>1</v>
      </c>
      <c r="H117" s="3103"/>
      <c r="I117" s="2407">
        <f t="shared" si="19"/>
        <v>1</v>
      </c>
      <c r="J117" s="3103"/>
      <c r="K117" s="2407">
        <f t="shared" si="20"/>
        <v>1</v>
      </c>
      <c r="L117" s="3103"/>
      <c r="M117" s="2407">
        <f t="shared" si="21"/>
        <v>1</v>
      </c>
      <c r="N117" s="3103"/>
      <c r="O117" s="2407">
        <f t="shared" si="22"/>
        <v>1</v>
      </c>
      <c r="P117" s="3491"/>
      <c r="Q117" s="2407">
        <f t="shared" si="23"/>
        <v>0</v>
      </c>
      <c r="R117" s="2407">
        <f t="shared" si="24"/>
        <v>0</v>
      </c>
      <c r="S117" s="3098">
        <f t="shared" si="15"/>
        <v>0</v>
      </c>
    </row>
    <row r="118" spans="1:19">
      <c r="A118" s="2571"/>
      <c r="B118" s="3107"/>
      <c r="C118" s="2407">
        <f t="shared" si="16"/>
        <v>1</v>
      </c>
      <c r="D118" s="3103"/>
      <c r="E118" s="2407">
        <f t="shared" si="17"/>
        <v>0</v>
      </c>
      <c r="F118" s="3103"/>
      <c r="G118" s="2407">
        <f t="shared" si="18"/>
        <v>1</v>
      </c>
      <c r="H118" s="3103"/>
      <c r="I118" s="2407">
        <f t="shared" si="19"/>
        <v>1</v>
      </c>
      <c r="J118" s="3103"/>
      <c r="K118" s="2407">
        <f t="shared" si="20"/>
        <v>1</v>
      </c>
      <c r="L118" s="3103"/>
      <c r="M118" s="2407">
        <f t="shared" si="21"/>
        <v>1</v>
      </c>
      <c r="N118" s="3103"/>
      <c r="O118" s="2407">
        <f t="shared" si="22"/>
        <v>1</v>
      </c>
      <c r="P118" s="3491"/>
      <c r="Q118" s="2407">
        <f t="shared" si="23"/>
        <v>0</v>
      </c>
      <c r="R118" s="2407">
        <f t="shared" si="24"/>
        <v>0</v>
      </c>
      <c r="S118" s="3098">
        <f t="shared" si="15"/>
        <v>0</v>
      </c>
    </row>
    <row r="119" spans="1:19">
      <c r="A119" s="2571"/>
      <c r="B119" s="3107"/>
      <c r="C119" s="2407">
        <f t="shared" si="16"/>
        <v>1</v>
      </c>
      <c r="D119" s="3103"/>
      <c r="E119" s="2407">
        <f t="shared" si="17"/>
        <v>0</v>
      </c>
      <c r="F119" s="3103"/>
      <c r="G119" s="2407">
        <f t="shared" si="18"/>
        <v>1</v>
      </c>
      <c r="H119" s="3103"/>
      <c r="I119" s="2407">
        <f t="shared" si="19"/>
        <v>1</v>
      </c>
      <c r="J119" s="3103"/>
      <c r="K119" s="2407">
        <f t="shared" si="20"/>
        <v>1</v>
      </c>
      <c r="L119" s="3103"/>
      <c r="M119" s="2407">
        <f t="shared" si="21"/>
        <v>1</v>
      </c>
      <c r="N119" s="3103"/>
      <c r="O119" s="2407">
        <f t="shared" si="22"/>
        <v>1</v>
      </c>
      <c r="P119" s="3491"/>
      <c r="Q119" s="2407">
        <f t="shared" si="23"/>
        <v>0</v>
      </c>
      <c r="R119" s="2407">
        <f t="shared" si="24"/>
        <v>0</v>
      </c>
      <c r="S119" s="3098">
        <f t="shared" si="15"/>
        <v>0</v>
      </c>
    </row>
    <row r="120" spans="1:19">
      <c r="A120" s="2571"/>
      <c r="B120" s="3107"/>
      <c r="C120" s="2407">
        <f t="shared" si="16"/>
        <v>1</v>
      </c>
      <c r="D120" s="3103"/>
      <c r="E120" s="2407">
        <f t="shared" si="17"/>
        <v>0</v>
      </c>
      <c r="F120" s="3103"/>
      <c r="G120" s="2407">
        <f t="shared" si="18"/>
        <v>1</v>
      </c>
      <c r="H120" s="3103"/>
      <c r="I120" s="2407">
        <f t="shared" si="19"/>
        <v>1</v>
      </c>
      <c r="J120" s="3103"/>
      <c r="K120" s="2407">
        <f t="shared" si="20"/>
        <v>1</v>
      </c>
      <c r="L120" s="3103"/>
      <c r="M120" s="2407">
        <f t="shared" si="21"/>
        <v>1</v>
      </c>
      <c r="N120" s="3103"/>
      <c r="O120" s="2407">
        <f t="shared" si="22"/>
        <v>1</v>
      </c>
      <c r="P120" s="3491"/>
      <c r="Q120" s="2407">
        <f t="shared" si="23"/>
        <v>0</v>
      </c>
      <c r="R120" s="2407">
        <f t="shared" si="24"/>
        <v>0</v>
      </c>
      <c r="S120" s="3098">
        <f t="shared" si="15"/>
        <v>0</v>
      </c>
    </row>
    <row r="121" spans="1:19">
      <c r="A121" s="2571"/>
      <c r="B121" s="3107"/>
      <c r="C121" s="2407">
        <f t="shared" si="16"/>
        <v>1</v>
      </c>
      <c r="D121" s="3103"/>
      <c r="E121" s="2407">
        <f t="shared" si="17"/>
        <v>0</v>
      </c>
      <c r="F121" s="3103"/>
      <c r="G121" s="2407">
        <f t="shared" si="18"/>
        <v>1</v>
      </c>
      <c r="H121" s="3103"/>
      <c r="I121" s="2407">
        <f t="shared" si="19"/>
        <v>1</v>
      </c>
      <c r="J121" s="3103"/>
      <c r="K121" s="2407">
        <f t="shared" si="20"/>
        <v>1</v>
      </c>
      <c r="L121" s="3103"/>
      <c r="M121" s="2407">
        <f t="shared" si="21"/>
        <v>1</v>
      </c>
      <c r="N121" s="3103"/>
      <c r="O121" s="2407">
        <f t="shared" si="22"/>
        <v>1</v>
      </c>
      <c r="P121" s="3491"/>
      <c r="Q121" s="2407">
        <f t="shared" si="23"/>
        <v>0</v>
      </c>
      <c r="R121" s="2407">
        <f t="shared" si="24"/>
        <v>0</v>
      </c>
      <c r="S121" s="3098">
        <f t="shared" si="15"/>
        <v>0</v>
      </c>
    </row>
    <row r="122" spans="1:19">
      <c r="A122" s="2571"/>
      <c r="B122" s="3107"/>
      <c r="C122" s="2407">
        <f t="shared" si="16"/>
        <v>1</v>
      </c>
      <c r="D122" s="3103"/>
      <c r="E122" s="2407">
        <f t="shared" si="17"/>
        <v>0</v>
      </c>
      <c r="F122" s="3103"/>
      <c r="G122" s="2407">
        <f t="shared" si="18"/>
        <v>1</v>
      </c>
      <c r="H122" s="3103"/>
      <c r="I122" s="2407">
        <f t="shared" si="19"/>
        <v>1</v>
      </c>
      <c r="J122" s="3103"/>
      <c r="K122" s="2407">
        <f t="shared" si="20"/>
        <v>1</v>
      </c>
      <c r="L122" s="3103"/>
      <c r="M122" s="2407">
        <f t="shared" si="21"/>
        <v>1</v>
      </c>
      <c r="N122" s="3103"/>
      <c r="O122" s="2407">
        <f t="shared" si="22"/>
        <v>1</v>
      </c>
      <c r="P122" s="3491"/>
      <c r="Q122" s="2407">
        <f t="shared" si="23"/>
        <v>0</v>
      </c>
      <c r="R122" s="2407">
        <f t="shared" si="24"/>
        <v>0</v>
      </c>
      <c r="S122" s="3098">
        <f t="shared" si="15"/>
        <v>0</v>
      </c>
    </row>
    <row r="123" spans="1:19">
      <c r="A123" s="2571"/>
      <c r="B123" s="3107"/>
      <c r="C123" s="2407">
        <f t="shared" si="16"/>
        <v>1</v>
      </c>
      <c r="D123" s="3103"/>
      <c r="E123" s="2407">
        <f t="shared" si="17"/>
        <v>0</v>
      </c>
      <c r="F123" s="3103"/>
      <c r="G123" s="2407">
        <f t="shared" si="18"/>
        <v>1</v>
      </c>
      <c r="H123" s="3103"/>
      <c r="I123" s="2407">
        <f t="shared" si="19"/>
        <v>1</v>
      </c>
      <c r="J123" s="3103"/>
      <c r="K123" s="2407">
        <f t="shared" si="20"/>
        <v>1</v>
      </c>
      <c r="L123" s="3103"/>
      <c r="M123" s="2407">
        <f t="shared" si="21"/>
        <v>1</v>
      </c>
      <c r="N123" s="3103"/>
      <c r="O123" s="2407">
        <f t="shared" si="22"/>
        <v>1</v>
      </c>
      <c r="P123" s="3491"/>
      <c r="Q123" s="2407">
        <f t="shared" si="23"/>
        <v>0</v>
      </c>
      <c r="R123" s="2407">
        <f t="shared" si="24"/>
        <v>0</v>
      </c>
      <c r="S123" s="3098">
        <f t="shared" si="15"/>
        <v>0</v>
      </c>
    </row>
    <row r="124" spans="1:19">
      <c r="A124" s="2571"/>
      <c r="B124" s="3107"/>
      <c r="C124" s="2407">
        <f t="shared" si="16"/>
        <v>1</v>
      </c>
      <c r="D124" s="3103"/>
      <c r="E124" s="2407">
        <f t="shared" si="17"/>
        <v>0</v>
      </c>
      <c r="F124" s="3103"/>
      <c r="G124" s="2407">
        <f t="shared" si="18"/>
        <v>1</v>
      </c>
      <c r="H124" s="3103"/>
      <c r="I124" s="2407">
        <f t="shared" si="19"/>
        <v>1</v>
      </c>
      <c r="J124" s="3103"/>
      <c r="K124" s="2407">
        <f t="shared" si="20"/>
        <v>1</v>
      </c>
      <c r="L124" s="3103"/>
      <c r="M124" s="2407">
        <f t="shared" si="21"/>
        <v>1</v>
      </c>
      <c r="N124" s="3103"/>
      <c r="O124" s="2407">
        <f t="shared" si="22"/>
        <v>1</v>
      </c>
      <c r="P124" s="3491"/>
      <c r="Q124" s="2407">
        <f t="shared" si="23"/>
        <v>0</v>
      </c>
      <c r="R124" s="2407">
        <f t="shared" si="24"/>
        <v>0</v>
      </c>
      <c r="S124" s="3098">
        <f t="shared" si="15"/>
        <v>0</v>
      </c>
    </row>
    <row r="125" spans="1:19">
      <c r="A125" s="2571"/>
      <c r="B125" s="3107"/>
      <c r="C125" s="2407">
        <f t="shared" si="16"/>
        <v>1</v>
      </c>
      <c r="D125" s="3103"/>
      <c r="E125" s="2407">
        <f t="shared" si="17"/>
        <v>0</v>
      </c>
      <c r="F125" s="3103"/>
      <c r="G125" s="2407">
        <f t="shared" si="18"/>
        <v>1</v>
      </c>
      <c r="H125" s="3103"/>
      <c r="I125" s="2407">
        <f t="shared" si="19"/>
        <v>1</v>
      </c>
      <c r="J125" s="3103"/>
      <c r="K125" s="2407">
        <f t="shared" si="20"/>
        <v>1</v>
      </c>
      <c r="L125" s="3103"/>
      <c r="M125" s="2407">
        <f t="shared" si="21"/>
        <v>1</v>
      </c>
      <c r="N125" s="3103"/>
      <c r="O125" s="2407">
        <f t="shared" si="22"/>
        <v>1</v>
      </c>
      <c r="P125" s="3491"/>
      <c r="Q125" s="2407">
        <f t="shared" si="23"/>
        <v>0</v>
      </c>
      <c r="R125" s="2407">
        <f t="shared" si="24"/>
        <v>0</v>
      </c>
      <c r="S125" s="3098">
        <f t="shared" si="15"/>
        <v>0</v>
      </c>
    </row>
    <row r="126" spans="1:19">
      <c r="A126" s="2571"/>
      <c r="B126" s="3107"/>
      <c r="C126" s="2407">
        <f t="shared" si="16"/>
        <v>1</v>
      </c>
      <c r="D126" s="3103"/>
      <c r="E126" s="2407">
        <f t="shared" si="17"/>
        <v>0</v>
      </c>
      <c r="F126" s="3103"/>
      <c r="G126" s="2407">
        <f t="shared" si="18"/>
        <v>1</v>
      </c>
      <c r="H126" s="3103"/>
      <c r="I126" s="2407">
        <f t="shared" si="19"/>
        <v>1</v>
      </c>
      <c r="J126" s="3103"/>
      <c r="K126" s="2407">
        <f t="shared" si="20"/>
        <v>1</v>
      </c>
      <c r="L126" s="3103"/>
      <c r="M126" s="2407">
        <f t="shared" si="21"/>
        <v>1</v>
      </c>
      <c r="N126" s="3103"/>
      <c r="O126" s="2407">
        <f t="shared" si="22"/>
        <v>1</v>
      </c>
      <c r="P126" s="3491"/>
      <c r="Q126" s="2407">
        <f t="shared" si="23"/>
        <v>0</v>
      </c>
      <c r="R126" s="2407">
        <f t="shared" si="24"/>
        <v>0</v>
      </c>
      <c r="S126" s="3098">
        <f t="shared" si="15"/>
        <v>0</v>
      </c>
    </row>
    <row r="127" spans="1:19">
      <c r="A127" s="2571"/>
      <c r="B127" s="3107"/>
      <c r="C127" s="2407">
        <f t="shared" si="16"/>
        <v>1</v>
      </c>
      <c r="D127" s="3103"/>
      <c r="E127" s="2407">
        <f t="shared" si="17"/>
        <v>0</v>
      </c>
      <c r="F127" s="3103"/>
      <c r="G127" s="2407">
        <f t="shared" si="18"/>
        <v>1</v>
      </c>
      <c r="H127" s="3103"/>
      <c r="I127" s="2407">
        <f t="shared" si="19"/>
        <v>1</v>
      </c>
      <c r="J127" s="3103"/>
      <c r="K127" s="2407">
        <f t="shared" si="20"/>
        <v>1</v>
      </c>
      <c r="L127" s="3103"/>
      <c r="M127" s="2407">
        <f t="shared" si="21"/>
        <v>1</v>
      </c>
      <c r="N127" s="3103"/>
      <c r="O127" s="2407">
        <f t="shared" si="22"/>
        <v>1</v>
      </c>
      <c r="P127" s="3491"/>
      <c r="Q127" s="2407">
        <f t="shared" si="23"/>
        <v>0</v>
      </c>
      <c r="R127" s="2407">
        <f t="shared" si="24"/>
        <v>0</v>
      </c>
      <c r="S127" s="3098">
        <f t="shared" si="15"/>
        <v>0</v>
      </c>
    </row>
    <row r="128" spans="1:19">
      <c r="A128" s="2571"/>
      <c r="B128" s="3107"/>
      <c r="C128" s="2407">
        <f t="shared" si="16"/>
        <v>1</v>
      </c>
      <c r="D128" s="3103"/>
      <c r="E128" s="2407">
        <f t="shared" si="17"/>
        <v>0</v>
      </c>
      <c r="F128" s="3103"/>
      <c r="G128" s="2407">
        <f t="shared" si="18"/>
        <v>1</v>
      </c>
      <c r="H128" s="3103"/>
      <c r="I128" s="2407">
        <f t="shared" si="19"/>
        <v>1</v>
      </c>
      <c r="J128" s="3103"/>
      <c r="K128" s="2407">
        <f t="shared" si="20"/>
        <v>1</v>
      </c>
      <c r="L128" s="3103"/>
      <c r="M128" s="2407">
        <f t="shared" si="21"/>
        <v>1</v>
      </c>
      <c r="N128" s="3103"/>
      <c r="O128" s="2407">
        <f t="shared" si="22"/>
        <v>1</v>
      </c>
      <c r="P128" s="3491"/>
      <c r="Q128" s="2407">
        <f t="shared" si="23"/>
        <v>0</v>
      </c>
      <c r="R128" s="2407">
        <f t="shared" si="24"/>
        <v>0</v>
      </c>
      <c r="S128" s="3098">
        <f t="shared" si="15"/>
        <v>0</v>
      </c>
    </row>
    <row r="129" spans="1:19">
      <c r="A129" s="2571"/>
      <c r="B129" s="3107"/>
      <c r="C129" s="2407">
        <f t="shared" si="16"/>
        <v>1</v>
      </c>
      <c r="D129" s="3103"/>
      <c r="E129" s="2407">
        <f t="shared" si="17"/>
        <v>0</v>
      </c>
      <c r="F129" s="3103"/>
      <c r="G129" s="2407">
        <f t="shared" si="18"/>
        <v>1</v>
      </c>
      <c r="H129" s="3103"/>
      <c r="I129" s="2407">
        <f t="shared" si="19"/>
        <v>1</v>
      </c>
      <c r="J129" s="3103"/>
      <c r="K129" s="2407">
        <f t="shared" si="20"/>
        <v>1</v>
      </c>
      <c r="L129" s="3103"/>
      <c r="M129" s="2407">
        <f t="shared" si="21"/>
        <v>1</v>
      </c>
      <c r="N129" s="3103"/>
      <c r="O129" s="2407">
        <f t="shared" si="22"/>
        <v>1</v>
      </c>
      <c r="P129" s="3491"/>
      <c r="Q129" s="2407">
        <f t="shared" si="23"/>
        <v>0</v>
      </c>
      <c r="R129" s="2407">
        <f t="shared" si="24"/>
        <v>0</v>
      </c>
      <c r="S129" s="3098">
        <f t="shared" si="15"/>
        <v>0</v>
      </c>
    </row>
    <row r="130" spans="1:19">
      <c r="A130" s="2571"/>
      <c r="B130" s="3107"/>
      <c r="C130" s="2407">
        <f t="shared" si="16"/>
        <v>1</v>
      </c>
      <c r="D130" s="3103"/>
      <c r="E130" s="2407">
        <f t="shared" si="17"/>
        <v>0</v>
      </c>
      <c r="F130" s="3103"/>
      <c r="G130" s="2407">
        <f t="shared" si="18"/>
        <v>1</v>
      </c>
      <c r="H130" s="3103"/>
      <c r="I130" s="2407">
        <f t="shared" si="19"/>
        <v>1</v>
      </c>
      <c r="J130" s="3103"/>
      <c r="K130" s="2407">
        <f t="shared" si="20"/>
        <v>1</v>
      </c>
      <c r="L130" s="3103"/>
      <c r="M130" s="2407">
        <f t="shared" si="21"/>
        <v>1</v>
      </c>
      <c r="N130" s="3103"/>
      <c r="O130" s="2407">
        <f t="shared" si="22"/>
        <v>1</v>
      </c>
      <c r="P130" s="3491"/>
      <c r="Q130" s="2407">
        <f t="shared" si="23"/>
        <v>0</v>
      </c>
      <c r="R130" s="2407">
        <f t="shared" si="24"/>
        <v>0</v>
      </c>
      <c r="S130" s="3098">
        <f t="shared" si="15"/>
        <v>0</v>
      </c>
    </row>
    <row r="131" spans="1:19">
      <c r="A131" s="2571"/>
      <c r="B131" s="3107"/>
      <c r="C131" s="2407">
        <f t="shared" si="16"/>
        <v>1</v>
      </c>
      <c r="D131" s="3103"/>
      <c r="E131" s="2407">
        <f t="shared" si="17"/>
        <v>0</v>
      </c>
      <c r="F131" s="3103"/>
      <c r="G131" s="2407">
        <f t="shared" si="18"/>
        <v>1</v>
      </c>
      <c r="H131" s="3103"/>
      <c r="I131" s="2407">
        <f t="shared" si="19"/>
        <v>1</v>
      </c>
      <c r="J131" s="3103"/>
      <c r="K131" s="2407">
        <f t="shared" si="20"/>
        <v>1</v>
      </c>
      <c r="L131" s="3103"/>
      <c r="M131" s="2407">
        <f t="shared" si="21"/>
        <v>1</v>
      </c>
      <c r="N131" s="3103"/>
      <c r="O131" s="2407">
        <f t="shared" si="22"/>
        <v>1</v>
      </c>
      <c r="P131" s="3491"/>
      <c r="Q131" s="2407">
        <f t="shared" si="23"/>
        <v>0</v>
      </c>
      <c r="R131" s="2407">
        <f t="shared" si="24"/>
        <v>0</v>
      </c>
      <c r="S131" s="3098">
        <f t="shared" si="15"/>
        <v>0</v>
      </c>
    </row>
    <row r="132" spans="1:19">
      <c r="A132" s="2571"/>
      <c r="B132" s="3107"/>
      <c r="C132" s="2407">
        <f t="shared" si="16"/>
        <v>1</v>
      </c>
      <c r="D132" s="3103"/>
      <c r="E132" s="2407">
        <f t="shared" si="17"/>
        <v>0</v>
      </c>
      <c r="F132" s="3103"/>
      <c r="G132" s="2407">
        <f t="shared" si="18"/>
        <v>1</v>
      </c>
      <c r="H132" s="3103"/>
      <c r="I132" s="2407">
        <f t="shared" si="19"/>
        <v>1</v>
      </c>
      <c r="J132" s="3103"/>
      <c r="K132" s="2407">
        <f t="shared" si="20"/>
        <v>1</v>
      </c>
      <c r="L132" s="3103"/>
      <c r="M132" s="2407">
        <f t="shared" si="21"/>
        <v>1</v>
      </c>
      <c r="N132" s="3103"/>
      <c r="O132" s="2407">
        <f t="shared" si="22"/>
        <v>1</v>
      </c>
      <c r="P132" s="3491"/>
      <c r="Q132" s="2407">
        <f t="shared" si="23"/>
        <v>0</v>
      </c>
      <c r="R132" s="2407">
        <f t="shared" si="24"/>
        <v>0</v>
      </c>
      <c r="S132" s="3098">
        <f t="shared" si="15"/>
        <v>0</v>
      </c>
    </row>
    <row r="133" spans="1:19">
      <c r="A133" s="2571"/>
      <c r="B133" s="3107"/>
      <c r="C133" s="2407">
        <f t="shared" si="16"/>
        <v>1</v>
      </c>
      <c r="D133" s="3103"/>
      <c r="E133" s="2407">
        <f t="shared" si="17"/>
        <v>0</v>
      </c>
      <c r="F133" s="3103"/>
      <c r="G133" s="2407">
        <f t="shared" si="18"/>
        <v>1</v>
      </c>
      <c r="H133" s="3103"/>
      <c r="I133" s="2407">
        <f t="shared" si="19"/>
        <v>1</v>
      </c>
      <c r="J133" s="3103"/>
      <c r="K133" s="2407">
        <f t="shared" si="20"/>
        <v>1</v>
      </c>
      <c r="L133" s="3103"/>
      <c r="M133" s="2407">
        <f t="shared" si="21"/>
        <v>1</v>
      </c>
      <c r="N133" s="3103"/>
      <c r="O133" s="2407">
        <f t="shared" si="22"/>
        <v>1</v>
      </c>
      <c r="P133" s="3491"/>
      <c r="Q133" s="2407">
        <f t="shared" si="23"/>
        <v>0</v>
      </c>
      <c r="R133" s="2407">
        <f t="shared" si="24"/>
        <v>0</v>
      </c>
      <c r="S133" s="3098">
        <f t="shared" si="15"/>
        <v>0</v>
      </c>
    </row>
    <row r="134" spans="1:19">
      <c r="A134" s="2571"/>
      <c r="B134" s="3107"/>
      <c r="C134" s="2407">
        <f t="shared" si="16"/>
        <v>1</v>
      </c>
      <c r="D134" s="3103"/>
      <c r="E134" s="2407">
        <f t="shared" si="17"/>
        <v>0</v>
      </c>
      <c r="F134" s="3103"/>
      <c r="G134" s="2407">
        <f t="shared" si="18"/>
        <v>1</v>
      </c>
      <c r="H134" s="3103"/>
      <c r="I134" s="2407">
        <f t="shared" si="19"/>
        <v>1</v>
      </c>
      <c r="J134" s="3103"/>
      <c r="K134" s="2407">
        <f t="shared" si="20"/>
        <v>1</v>
      </c>
      <c r="L134" s="3103"/>
      <c r="M134" s="2407">
        <f t="shared" si="21"/>
        <v>1</v>
      </c>
      <c r="N134" s="3103"/>
      <c r="O134" s="2407">
        <f t="shared" si="22"/>
        <v>1</v>
      </c>
      <c r="P134" s="3491"/>
      <c r="Q134" s="2407">
        <f t="shared" si="23"/>
        <v>0</v>
      </c>
      <c r="R134" s="2407">
        <f t="shared" si="24"/>
        <v>0</v>
      </c>
      <c r="S134" s="3098">
        <f t="shared" si="15"/>
        <v>0</v>
      </c>
    </row>
    <row r="135" spans="1:19">
      <c r="A135" s="2571"/>
      <c r="B135" s="3107"/>
      <c r="C135" s="2407">
        <f t="shared" si="16"/>
        <v>1</v>
      </c>
      <c r="D135" s="3103"/>
      <c r="E135" s="2407">
        <f t="shared" si="17"/>
        <v>0</v>
      </c>
      <c r="F135" s="3103"/>
      <c r="G135" s="2407">
        <f t="shared" si="18"/>
        <v>1</v>
      </c>
      <c r="H135" s="3103"/>
      <c r="I135" s="2407">
        <f t="shared" si="19"/>
        <v>1</v>
      </c>
      <c r="J135" s="3103"/>
      <c r="K135" s="2407">
        <f t="shared" si="20"/>
        <v>1</v>
      </c>
      <c r="L135" s="3103"/>
      <c r="M135" s="2407">
        <f t="shared" si="21"/>
        <v>1</v>
      </c>
      <c r="N135" s="3103"/>
      <c r="O135" s="2407">
        <f t="shared" si="22"/>
        <v>1</v>
      </c>
      <c r="P135" s="3491"/>
      <c r="Q135" s="2407">
        <f t="shared" si="23"/>
        <v>0</v>
      </c>
      <c r="R135" s="2407">
        <f t="shared" si="24"/>
        <v>0</v>
      </c>
      <c r="S135" s="3098">
        <f t="shared" si="15"/>
        <v>0</v>
      </c>
    </row>
    <row r="136" spans="1:19">
      <c r="A136" s="2571"/>
      <c r="B136" s="3107"/>
      <c r="C136" s="2407">
        <f t="shared" si="16"/>
        <v>1</v>
      </c>
      <c r="D136" s="3103"/>
      <c r="E136" s="2407">
        <f t="shared" si="17"/>
        <v>0</v>
      </c>
      <c r="F136" s="3103"/>
      <c r="G136" s="2407">
        <f t="shared" si="18"/>
        <v>1</v>
      </c>
      <c r="H136" s="3103"/>
      <c r="I136" s="2407">
        <f t="shared" si="19"/>
        <v>1</v>
      </c>
      <c r="J136" s="3103"/>
      <c r="K136" s="2407">
        <f t="shared" si="20"/>
        <v>1</v>
      </c>
      <c r="L136" s="3103"/>
      <c r="M136" s="2407">
        <f t="shared" si="21"/>
        <v>1</v>
      </c>
      <c r="N136" s="3103"/>
      <c r="O136" s="2407">
        <f t="shared" si="22"/>
        <v>1</v>
      </c>
      <c r="P136" s="3491"/>
      <c r="Q136" s="2407">
        <f t="shared" si="23"/>
        <v>0</v>
      </c>
      <c r="R136" s="2407">
        <f t="shared" si="24"/>
        <v>0</v>
      </c>
      <c r="S136" s="3098">
        <f t="shared" si="15"/>
        <v>0</v>
      </c>
    </row>
    <row r="137" spans="1:19">
      <c r="A137" s="2571"/>
      <c r="B137" s="3107"/>
      <c r="C137" s="2407">
        <f t="shared" si="16"/>
        <v>1</v>
      </c>
      <c r="D137" s="3103"/>
      <c r="E137" s="2407">
        <f t="shared" si="17"/>
        <v>0</v>
      </c>
      <c r="F137" s="3103"/>
      <c r="G137" s="2407">
        <f t="shared" si="18"/>
        <v>1</v>
      </c>
      <c r="H137" s="3103"/>
      <c r="I137" s="2407">
        <f t="shared" si="19"/>
        <v>1</v>
      </c>
      <c r="J137" s="3103"/>
      <c r="K137" s="2407">
        <f t="shared" si="20"/>
        <v>1</v>
      </c>
      <c r="L137" s="3103"/>
      <c r="M137" s="2407">
        <f t="shared" si="21"/>
        <v>1</v>
      </c>
      <c r="N137" s="3103"/>
      <c r="O137" s="2407">
        <f t="shared" si="22"/>
        <v>1</v>
      </c>
      <c r="P137" s="3491"/>
      <c r="Q137" s="2407">
        <f t="shared" si="23"/>
        <v>0</v>
      </c>
      <c r="R137" s="2407">
        <f t="shared" si="24"/>
        <v>0</v>
      </c>
      <c r="S137" s="3098">
        <f t="shared" si="15"/>
        <v>0</v>
      </c>
    </row>
    <row r="138" spans="1:19">
      <c r="A138" s="2571"/>
      <c r="B138" s="3107"/>
      <c r="C138" s="2407">
        <f t="shared" si="16"/>
        <v>1</v>
      </c>
      <c r="D138" s="3103"/>
      <c r="E138" s="2407">
        <f t="shared" si="17"/>
        <v>0</v>
      </c>
      <c r="F138" s="3103"/>
      <c r="G138" s="2407">
        <f t="shared" si="18"/>
        <v>1</v>
      </c>
      <c r="H138" s="3103"/>
      <c r="I138" s="2407">
        <f t="shared" si="19"/>
        <v>1</v>
      </c>
      <c r="J138" s="3103"/>
      <c r="K138" s="2407">
        <f t="shared" si="20"/>
        <v>1</v>
      </c>
      <c r="L138" s="3103"/>
      <c r="M138" s="2407">
        <f t="shared" si="21"/>
        <v>1</v>
      </c>
      <c r="N138" s="3103"/>
      <c r="O138" s="2407">
        <f t="shared" si="22"/>
        <v>1</v>
      </c>
      <c r="P138" s="3491"/>
      <c r="Q138" s="2407">
        <f t="shared" si="23"/>
        <v>0</v>
      </c>
      <c r="R138" s="2407">
        <f t="shared" si="24"/>
        <v>0</v>
      </c>
      <c r="S138" s="3098">
        <f t="shared" si="15"/>
        <v>0</v>
      </c>
    </row>
    <row r="139" spans="1:19">
      <c r="A139" s="2571"/>
      <c r="B139" s="3107"/>
      <c r="C139" s="2407">
        <f t="shared" si="16"/>
        <v>1</v>
      </c>
      <c r="D139" s="3103"/>
      <c r="E139" s="2407">
        <f t="shared" si="17"/>
        <v>0</v>
      </c>
      <c r="F139" s="3103"/>
      <c r="G139" s="2407">
        <f t="shared" si="18"/>
        <v>1</v>
      </c>
      <c r="H139" s="3103"/>
      <c r="I139" s="2407">
        <f t="shared" si="19"/>
        <v>1</v>
      </c>
      <c r="J139" s="3103"/>
      <c r="K139" s="2407">
        <f t="shared" si="20"/>
        <v>1</v>
      </c>
      <c r="L139" s="3103"/>
      <c r="M139" s="2407">
        <f t="shared" si="21"/>
        <v>1</v>
      </c>
      <c r="N139" s="3103"/>
      <c r="O139" s="2407">
        <f t="shared" si="22"/>
        <v>1</v>
      </c>
      <c r="P139" s="3491"/>
      <c r="Q139" s="2407">
        <f t="shared" si="23"/>
        <v>0</v>
      </c>
      <c r="R139" s="2407">
        <f t="shared" si="24"/>
        <v>0</v>
      </c>
      <c r="S139" s="3098">
        <f t="shared" si="15"/>
        <v>0</v>
      </c>
    </row>
    <row r="140" spans="1:19">
      <c r="A140" s="2571"/>
      <c r="B140" s="3107"/>
      <c r="C140" s="2407">
        <f t="shared" si="16"/>
        <v>1</v>
      </c>
      <c r="D140" s="3103"/>
      <c r="E140" s="2407">
        <f t="shared" si="17"/>
        <v>0</v>
      </c>
      <c r="F140" s="3103"/>
      <c r="G140" s="2407">
        <f t="shared" si="18"/>
        <v>1</v>
      </c>
      <c r="H140" s="3103"/>
      <c r="I140" s="2407">
        <f t="shared" si="19"/>
        <v>1</v>
      </c>
      <c r="J140" s="3103"/>
      <c r="K140" s="2407">
        <f t="shared" si="20"/>
        <v>1</v>
      </c>
      <c r="L140" s="3103"/>
      <c r="M140" s="2407">
        <f t="shared" si="21"/>
        <v>1</v>
      </c>
      <c r="N140" s="3103"/>
      <c r="O140" s="2407">
        <f t="shared" si="22"/>
        <v>1</v>
      </c>
      <c r="P140" s="3491"/>
      <c r="Q140" s="2407">
        <f t="shared" si="23"/>
        <v>0</v>
      </c>
      <c r="R140" s="2407">
        <f t="shared" si="24"/>
        <v>0</v>
      </c>
      <c r="S140" s="3098">
        <f t="shared" si="15"/>
        <v>0</v>
      </c>
    </row>
    <row r="141" spans="1:19">
      <c r="A141" s="2571"/>
      <c r="B141" s="3107"/>
      <c r="C141" s="2407">
        <f t="shared" si="16"/>
        <v>1</v>
      </c>
      <c r="D141" s="3103"/>
      <c r="E141" s="2407">
        <f t="shared" si="17"/>
        <v>0</v>
      </c>
      <c r="F141" s="3103"/>
      <c r="G141" s="2407">
        <f t="shared" si="18"/>
        <v>1</v>
      </c>
      <c r="H141" s="3103"/>
      <c r="I141" s="2407">
        <f t="shared" si="19"/>
        <v>1</v>
      </c>
      <c r="J141" s="3103"/>
      <c r="K141" s="2407">
        <f t="shared" si="20"/>
        <v>1</v>
      </c>
      <c r="L141" s="3103"/>
      <c r="M141" s="2407">
        <f t="shared" si="21"/>
        <v>1</v>
      </c>
      <c r="N141" s="3103"/>
      <c r="O141" s="2407">
        <f t="shared" si="22"/>
        <v>1</v>
      </c>
      <c r="P141" s="3491"/>
      <c r="Q141" s="2407">
        <f t="shared" si="23"/>
        <v>0</v>
      </c>
      <c r="R141" s="2407">
        <f t="shared" si="24"/>
        <v>0</v>
      </c>
      <c r="S141" s="3098">
        <f t="shared" si="15"/>
        <v>0</v>
      </c>
    </row>
    <row r="142" spans="1:19">
      <c r="A142" s="2571"/>
      <c r="B142" s="3107"/>
      <c r="C142" s="2407">
        <f t="shared" si="16"/>
        <v>1</v>
      </c>
      <c r="D142" s="3103"/>
      <c r="E142" s="2407">
        <f t="shared" si="17"/>
        <v>0</v>
      </c>
      <c r="F142" s="3103"/>
      <c r="G142" s="2407">
        <f t="shared" si="18"/>
        <v>1</v>
      </c>
      <c r="H142" s="3103"/>
      <c r="I142" s="2407">
        <f t="shared" si="19"/>
        <v>1</v>
      </c>
      <c r="J142" s="3103"/>
      <c r="K142" s="2407">
        <f t="shared" si="20"/>
        <v>1</v>
      </c>
      <c r="L142" s="3103"/>
      <c r="M142" s="2407">
        <f t="shared" si="21"/>
        <v>1</v>
      </c>
      <c r="N142" s="3103"/>
      <c r="O142" s="2407">
        <f t="shared" si="22"/>
        <v>1</v>
      </c>
      <c r="P142" s="3491"/>
      <c r="Q142" s="2407">
        <f t="shared" si="23"/>
        <v>0</v>
      </c>
      <c r="R142" s="2407">
        <f t="shared" si="24"/>
        <v>0</v>
      </c>
      <c r="S142" s="3098">
        <f t="shared" si="15"/>
        <v>0</v>
      </c>
    </row>
    <row r="143" spans="1:19">
      <c r="A143" s="2571"/>
      <c r="B143" s="3107"/>
      <c r="C143" s="2407">
        <f t="shared" si="16"/>
        <v>1</v>
      </c>
      <c r="D143" s="3103"/>
      <c r="E143" s="2407">
        <f t="shared" si="17"/>
        <v>0</v>
      </c>
      <c r="F143" s="3103"/>
      <c r="G143" s="2407">
        <f t="shared" si="18"/>
        <v>1</v>
      </c>
      <c r="H143" s="3103"/>
      <c r="I143" s="2407">
        <f t="shared" si="19"/>
        <v>1</v>
      </c>
      <c r="J143" s="3103"/>
      <c r="K143" s="2407">
        <f t="shared" si="20"/>
        <v>1</v>
      </c>
      <c r="L143" s="3103"/>
      <c r="M143" s="2407">
        <f t="shared" si="21"/>
        <v>1</v>
      </c>
      <c r="N143" s="3103"/>
      <c r="O143" s="2407">
        <f t="shared" si="22"/>
        <v>1</v>
      </c>
      <c r="P143" s="3491"/>
      <c r="Q143" s="2407">
        <f t="shared" si="23"/>
        <v>0</v>
      </c>
      <c r="R143" s="2407">
        <f t="shared" si="24"/>
        <v>0</v>
      </c>
      <c r="S143" s="3098">
        <f t="shared" si="15"/>
        <v>0</v>
      </c>
    </row>
    <row r="144" spans="1:19">
      <c r="A144" s="2571"/>
      <c r="B144" s="3107"/>
      <c r="C144" s="2407">
        <f t="shared" si="16"/>
        <v>1</v>
      </c>
      <c r="D144" s="3103"/>
      <c r="E144" s="2407">
        <f t="shared" si="17"/>
        <v>0</v>
      </c>
      <c r="F144" s="3103"/>
      <c r="G144" s="2407">
        <f t="shared" si="18"/>
        <v>1</v>
      </c>
      <c r="H144" s="3103"/>
      <c r="I144" s="2407">
        <f t="shared" si="19"/>
        <v>1</v>
      </c>
      <c r="J144" s="3103"/>
      <c r="K144" s="2407">
        <f t="shared" si="20"/>
        <v>1</v>
      </c>
      <c r="L144" s="3103"/>
      <c r="M144" s="2407">
        <f t="shared" si="21"/>
        <v>1</v>
      </c>
      <c r="N144" s="3103"/>
      <c r="O144" s="2407">
        <f t="shared" si="22"/>
        <v>1</v>
      </c>
      <c r="P144" s="3491"/>
      <c r="Q144" s="2407">
        <f t="shared" si="23"/>
        <v>0</v>
      </c>
      <c r="R144" s="2407">
        <f t="shared" si="24"/>
        <v>0</v>
      </c>
      <c r="S144" s="3098">
        <f t="shared" si="15"/>
        <v>0</v>
      </c>
    </row>
    <row r="145" spans="1:19">
      <c r="A145" s="2571"/>
      <c r="B145" s="3107"/>
      <c r="C145" s="2407">
        <f t="shared" si="16"/>
        <v>1</v>
      </c>
      <c r="D145" s="3103"/>
      <c r="E145" s="2407">
        <f t="shared" si="17"/>
        <v>0</v>
      </c>
      <c r="F145" s="3103"/>
      <c r="G145" s="2407">
        <f t="shared" si="18"/>
        <v>1</v>
      </c>
      <c r="H145" s="3103"/>
      <c r="I145" s="2407">
        <f t="shared" si="19"/>
        <v>1</v>
      </c>
      <c r="J145" s="3103"/>
      <c r="K145" s="2407">
        <f t="shared" si="20"/>
        <v>1</v>
      </c>
      <c r="L145" s="3103"/>
      <c r="M145" s="2407">
        <f t="shared" si="21"/>
        <v>1</v>
      </c>
      <c r="N145" s="3103"/>
      <c r="O145" s="2407">
        <f t="shared" si="22"/>
        <v>1</v>
      </c>
      <c r="P145" s="3491"/>
      <c r="Q145" s="2407">
        <f t="shared" si="23"/>
        <v>0</v>
      </c>
      <c r="R145" s="2407">
        <f t="shared" si="24"/>
        <v>0</v>
      </c>
      <c r="S145" s="3098">
        <f t="shared" si="15"/>
        <v>0</v>
      </c>
    </row>
    <row r="146" spans="1:19">
      <c r="A146" s="2571"/>
      <c r="B146" s="3107"/>
      <c r="C146" s="2407">
        <f t="shared" si="16"/>
        <v>1</v>
      </c>
      <c r="D146" s="3103"/>
      <c r="E146" s="2407">
        <f t="shared" si="17"/>
        <v>0</v>
      </c>
      <c r="F146" s="3103"/>
      <c r="G146" s="2407">
        <f t="shared" si="18"/>
        <v>1</v>
      </c>
      <c r="H146" s="3103"/>
      <c r="I146" s="2407">
        <f t="shared" si="19"/>
        <v>1</v>
      </c>
      <c r="J146" s="3103"/>
      <c r="K146" s="2407">
        <f t="shared" si="20"/>
        <v>1</v>
      </c>
      <c r="L146" s="3103"/>
      <c r="M146" s="2407">
        <f t="shared" si="21"/>
        <v>1</v>
      </c>
      <c r="N146" s="3103"/>
      <c r="O146" s="2407">
        <f t="shared" si="22"/>
        <v>1</v>
      </c>
      <c r="P146" s="3491"/>
      <c r="Q146" s="2407">
        <f t="shared" si="23"/>
        <v>0</v>
      </c>
      <c r="R146" s="2407">
        <f t="shared" si="24"/>
        <v>0</v>
      </c>
      <c r="S146" s="3098">
        <f t="shared" si="15"/>
        <v>0</v>
      </c>
    </row>
    <row r="147" spans="1:19">
      <c r="A147" s="2571"/>
      <c r="B147" s="3107"/>
      <c r="C147" s="2407">
        <f t="shared" si="16"/>
        <v>1</v>
      </c>
      <c r="D147" s="3103"/>
      <c r="E147" s="2407">
        <f t="shared" si="17"/>
        <v>0</v>
      </c>
      <c r="F147" s="3103"/>
      <c r="G147" s="2407">
        <f t="shared" si="18"/>
        <v>1</v>
      </c>
      <c r="H147" s="3103"/>
      <c r="I147" s="2407">
        <f t="shared" si="19"/>
        <v>1</v>
      </c>
      <c r="J147" s="3103"/>
      <c r="K147" s="2407">
        <f t="shared" si="20"/>
        <v>1</v>
      </c>
      <c r="L147" s="3103"/>
      <c r="M147" s="2407">
        <f t="shared" si="21"/>
        <v>1</v>
      </c>
      <c r="N147" s="3103"/>
      <c r="O147" s="2407">
        <f t="shared" si="22"/>
        <v>1</v>
      </c>
      <c r="P147" s="3491"/>
      <c r="Q147" s="2407">
        <f t="shared" si="23"/>
        <v>0</v>
      </c>
      <c r="R147" s="2407">
        <f t="shared" si="24"/>
        <v>0</v>
      </c>
      <c r="S147" s="3098">
        <f t="shared" si="15"/>
        <v>0</v>
      </c>
    </row>
    <row r="148" spans="1:19">
      <c r="A148" s="2571"/>
      <c r="B148" s="3107"/>
      <c r="C148" s="2407">
        <f t="shared" si="16"/>
        <v>1</v>
      </c>
      <c r="D148" s="3103"/>
      <c r="E148" s="2407">
        <f t="shared" si="17"/>
        <v>0</v>
      </c>
      <c r="F148" s="3103"/>
      <c r="G148" s="2407">
        <f t="shared" si="18"/>
        <v>1</v>
      </c>
      <c r="H148" s="3103"/>
      <c r="I148" s="2407">
        <f t="shared" si="19"/>
        <v>1</v>
      </c>
      <c r="J148" s="3103"/>
      <c r="K148" s="2407">
        <f t="shared" si="20"/>
        <v>1</v>
      </c>
      <c r="L148" s="3103"/>
      <c r="M148" s="2407">
        <f t="shared" si="21"/>
        <v>1</v>
      </c>
      <c r="N148" s="3103"/>
      <c r="O148" s="2407">
        <f t="shared" si="22"/>
        <v>1</v>
      </c>
      <c r="P148" s="3491"/>
      <c r="Q148" s="2407">
        <f t="shared" si="23"/>
        <v>0</v>
      </c>
      <c r="R148" s="2407">
        <f t="shared" si="24"/>
        <v>0</v>
      </c>
      <c r="S148" s="3098">
        <f t="shared" si="15"/>
        <v>0</v>
      </c>
    </row>
    <row r="149" spans="1:19">
      <c r="A149" s="2571"/>
      <c r="B149" s="3107"/>
      <c r="C149" s="2407">
        <f t="shared" si="16"/>
        <v>1</v>
      </c>
      <c r="D149" s="3103"/>
      <c r="E149" s="2407">
        <f t="shared" si="17"/>
        <v>0</v>
      </c>
      <c r="F149" s="3103"/>
      <c r="G149" s="2407">
        <f t="shared" si="18"/>
        <v>1</v>
      </c>
      <c r="H149" s="3103"/>
      <c r="I149" s="2407">
        <f t="shared" si="19"/>
        <v>1</v>
      </c>
      <c r="J149" s="3103"/>
      <c r="K149" s="2407">
        <f t="shared" si="20"/>
        <v>1</v>
      </c>
      <c r="L149" s="3103"/>
      <c r="M149" s="2407">
        <f t="shared" si="21"/>
        <v>1</v>
      </c>
      <c r="N149" s="3103"/>
      <c r="O149" s="2407">
        <f t="shared" si="22"/>
        <v>1</v>
      </c>
      <c r="P149" s="3491"/>
      <c r="Q149" s="2407">
        <f t="shared" si="23"/>
        <v>0</v>
      </c>
      <c r="R149" s="2407">
        <f t="shared" si="24"/>
        <v>0</v>
      </c>
      <c r="S149" s="3098">
        <f t="shared" si="15"/>
        <v>0</v>
      </c>
    </row>
    <row r="150" spans="1:19">
      <c r="A150" s="2571"/>
      <c r="B150" s="3107"/>
      <c r="C150" s="2407">
        <f t="shared" si="16"/>
        <v>1</v>
      </c>
      <c r="D150" s="3103"/>
      <c r="E150" s="2407">
        <f t="shared" si="17"/>
        <v>0</v>
      </c>
      <c r="F150" s="3103"/>
      <c r="G150" s="2407">
        <f t="shared" si="18"/>
        <v>1</v>
      </c>
      <c r="H150" s="3103"/>
      <c r="I150" s="2407">
        <f t="shared" si="19"/>
        <v>1</v>
      </c>
      <c r="J150" s="3103"/>
      <c r="K150" s="2407">
        <f t="shared" si="20"/>
        <v>1</v>
      </c>
      <c r="L150" s="3103"/>
      <c r="M150" s="2407">
        <f t="shared" si="21"/>
        <v>1</v>
      </c>
      <c r="N150" s="3103"/>
      <c r="O150" s="2407">
        <f t="shared" si="22"/>
        <v>1</v>
      </c>
      <c r="P150" s="3491"/>
      <c r="Q150" s="2407">
        <f t="shared" si="23"/>
        <v>0</v>
      </c>
      <c r="R150" s="2407">
        <f t="shared" si="24"/>
        <v>0</v>
      </c>
      <c r="S150" s="3098">
        <f t="shared" si="15"/>
        <v>0</v>
      </c>
    </row>
    <row r="151" spans="1:19">
      <c r="A151" s="2571"/>
      <c r="B151" s="3107"/>
      <c r="C151" s="2407">
        <f t="shared" si="16"/>
        <v>1</v>
      </c>
      <c r="D151" s="3103"/>
      <c r="E151" s="2407">
        <f t="shared" si="17"/>
        <v>0</v>
      </c>
      <c r="F151" s="3103"/>
      <c r="G151" s="2407">
        <f t="shared" si="18"/>
        <v>1</v>
      </c>
      <c r="H151" s="3103"/>
      <c r="I151" s="2407">
        <f t="shared" si="19"/>
        <v>1</v>
      </c>
      <c r="J151" s="3103"/>
      <c r="K151" s="2407">
        <f t="shared" si="20"/>
        <v>1</v>
      </c>
      <c r="L151" s="3103"/>
      <c r="M151" s="2407">
        <f t="shared" si="21"/>
        <v>1</v>
      </c>
      <c r="N151" s="3103"/>
      <c r="O151" s="2407">
        <f t="shared" si="22"/>
        <v>1</v>
      </c>
      <c r="P151" s="3491"/>
      <c r="Q151" s="2407">
        <f t="shared" si="23"/>
        <v>0</v>
      </c>
      <c r="R151" s="2407">
        <f t="shared" si="24"/>
        <v>0</v>
      </c>
      <c r="S151" s="3098">
        <f t="shared" si="15"/>
        <v>0</v>
      </c>
    </row>
    <row r="152" spans="1:19">
      <c r="A152" s="2571"/>
      <c r="B152" s="3107"/>
      <c r="C152" s="2407">
        <f t="shared" si="16"/>
        <v>1</v>
      </c>
      <c r="D152" s="3103"/>
      <c r="E152" s="2407">
        <f t="shared" si="17"/>
        <v>0</v>
      </c>
      <c r="F152" s="3103"/>
      <c r="G152" s="2407">
        <f t="shared" si="18"/>
        <v>1</v>
      </c>
      <c r="H152" s="3103"/>
      <c r="I152" s="2407">
        <f t="shared" si="19"/>
        <v>1</v>
      </c>
      <c r="J152" s="3103"/>
      <c r="K152" s="2407">
        <f t="shared" si="20"/>
        <v>1</v>
      </c>
      <c r="L152" s="3103"/>
      <c r="M152" s="2407">
        <f t="shared" si="21"/>
        <v>1</v>
      </c>
      <c r="N152" s="3103"/>
      <c r="O152" s="2407">
        <f t="shared" si="22"/>
        <v>1</v>
      </c>
      <c r="P152" s="3491"/>
      <c r="Q152" s="2407">
        <f t="shared" si="23"/>
        <v>0</v>
      </c>
      <c r="R152" s="2407">
        <f t="shared" si="24"/>
        <v>0</v>
      </c>
      <c r="S152" s="3098">
        <f t="shared" ref="S152:S215" si="25">ROUND(R152*B152/10000,0)</f>
        <v>0</v>
      </c>
    </row>
    <row r="153" spans="1:19">
      <c r="A153" s="2571"/>
      <c r="B153" s="3107"/>
      <c r="C153" s="2407">
        <f t="shared" si="16"/>
        <v>1</v>
      </c>
      <c r="D153" s="3103"/>
      <c r="E153" s="2407">
        <f t="shared" si="17"/>
        <v>0</v>
      </c>
      <c r="F153" s="3103"/>
      <c r="G153" s="2407">
        <f t="shared" si="18"/>
        <v>1</v>
      </c>
      <c r="H153" s="3103"/>
      <c r="I153" s="2407">
        <f t="shared" si="19"/>
        <v>1</v>
      </c>
      <c r="J153" s="3103"/>
      <c r="K153" s="2407">
        <f t="shared" si="20"/>
        <v>1</v>
      </c>
      <c r="L153" s="3103"/>
      <c r="M153" s="2407">
        <f t="shared" si="21"/>
        <v>1</v>
      </c>
      <c r="N153" s="3103"/>
      <c r="O153" s="2407">
        <f t="shared" si="22"/>
        <v>1</v>
      </c>
      <c r="P153" s="3491"/>
      <c r="Q153" s="2407">
        <f t="shared" si="23"/>
        <v>0</v>
      </c>
      <c r="R153" s="2407">
        <f t="shared" si="24"/>
        <v>0</v>
      </c>
      <c r="S153" s="3098">
        <f t="shared" si="25"/>
        <v>0</v>
      </c>
    </row>
    <row r="154" spans="1:19">
      <c r="A154" s="2571"/>
      <c r="B154" s="3107"/>
      <c r="C154" s="2407">
        <f t="shared" ref="C154:C217" si="26">IF(B154="",1,(LOOKUP(B154,$3:$3,$4:$4)-LOOKUP($B$24,$3:$3,$4:$4)+100)/100)</f>
        <v>1</v>
      </c>
      <c r="D154" s="3103"/>
      <c r="E154" s="2407">
        <f t="shared" ref="E154:E217" si="27">(SUMIF($5:$5,D154,$6:$6)-SUMIF($5:$5,$D$24,$6:$6)+100)/100</f>
        <v>0</v>
      </c>
      <c r="F154" s="3103"/>
      <c r="G154" s="2407">
        <f t="shared" ref="G154:G217" si="28">(SUMIF($7:$7,F154,$8:$8)-SUMIF($7:$7,$F$24,$8:$8)+100)/100</f>
        <v>1</v>
      </c>
      <c r="H154" s="3103"/>
      <c r="I154" s="2407">
        <f t="shared" ref="I154:I217" si="29">(SUMIF($9:$9,H154,$10:$10)-SUMIF($9:$9,$H$24,$10:$10)+100)/100</f>
        <v>1</v>
      </c>
      <c r="J154" s="3103"/>
      <c r="K154" s="2407">
        <f t="shared" ref="K154:K217" si="30">(SUMIF($11:$11,J154,$12:$12)-SUMIF($11:$11,$J$24,$12:$12)+100)/100</f>
        <v>1</v>
      </c>
      <c r="L154" s="3103"/>
      <c r="M154" s="2407">
        <f t="shared" ref="M154:M217" si="31">(SUMIF($13:$13,L154,$14:$14)-SUMIF($13:$13,$L$24,$14:$14)+100)/100</f>
        <v>1</v>
      </c>
      <c r="N154" s="3103"/>
      <c r="O154" s="2407">
        <f t="shared" ref="O154:O217" si="32">(SUMIF($15:$15,N154,$16:$16)-SUMIF($15:$15,$N$24,$16:$16)+100)/100</f>
        <v>1</v>
      </c>
      <c r="P154" s="3491"/>
      <c r="Q154" s="2407">
        <f t="shared" ref="Q154:Q217" si="33">(SUMIF($17:$17,P154,$18:$18)-SUMIF($17:$17,$P$24,$18:$18)+100)/100</f>
        <v>0</v>
      </c>
      <c r="R154" s="2407">
        <f t="shared" ref="R154:R217" si="34">IF(B154="",0,ROUND($R$24*C154*E154*G154*I154*K154*M154*O154*Q154,0))</f>
        <v>0</v>
      </c>
      <c r="S154" s="3098">
        <f t="shared" si="25"/>
        <v>0</v>
      </c>
    </row>
    <row r="155" spans="1:19">
      <c r="A155" s="2571"/>
      <c r="B155" s="3107"/>
      <c r="C155" s="2407">
        <f t="shared" si="26"/>
        <v>1</v>
      </c>
      <c r="D155" s="3103"/>
      <c r="E155" s="2407">
        <f t="shared" si="27"/>
        <v>0</v>
      </c>
      <c r="F155" s="3103"/>
      <c r="G155" s="2407">
        <f t="shared" si="28"/>
        <v>1</v>
      </c>
      <c r="H155" s="3103"/>
      <c r="I155" s="2407">
        <f t="shared" si="29"/>
        <v>1</v>
      </c>
      <c r="J155" s="3103"/>
      <c r="K155" s="2407">
        <f t="shared" si="30"/>
        <v>1</v>
      </c>
      <c r="L155" s="3103"/>
      <c r="M155" s="2407">
        <f t="shared" si="31"/>
        <v>1</v>
      </c>
      <c r="N155" s="3103"/>
      <c r="O155" s="2407">
        <f t="shared" si="32"/>
        <v>1</v>
      </c>
      <c r="P155" s="3491"/>
      <c r="Q155" s="2407">
        <f t="shared" si="33"/>
        <v>0</v>
      </c>
      <c r="R155" s="2407">
        <f t="shared" si="34"/>
        <v>0</v>
      </c>
      <c r="S155" s="3098">
        <f t="shared" si="25"/>
        <v>0</v>
      </c>
    </row>
    <row r="156" spans="1:19">
      <c r="A156" s="2571"/>
      <c r="B156" s="3107"/>
      <c r="C156" s="2407">
        <f t="shared" si="26"/>
        <v>1</v>
      </c>
      <c r="D156" s="3103"/>
      <c r="E156" s="2407">
        <f t="shared" si="27"/>
        <v>0</v>
      </c>
      <c r="F156" s="3103"/>
      <c r="G156" s="2407">
        <f t="shared" si="28"/>
        <v>1</v>
      </c>
      <c r="H156" s="3103"/>
      <c r="I156" s="2407">
        <f t="shared" si="29"/>
        <v>1</v>
      </c>
      <c r="J156" s="3103"/>
      <c r="K156" s="2407">
        <f t="shared" si="30"/>
        <v>1</v>
      </c>
      <c r="L156" s="3103"/>
      <c r="M156" s="2407">
        <f t="shared" si="31"/>
        <v>1</v>
      </c>
      <c r="N156" s="3103"/>
      <c r="O156" s="2407">
        <f t="shared" si="32"/>
        <v>1</v>
      </c>
      <c r="P156" s="3491"/>
      <c r="Q156" s="2407">
        <f t="shared" si="33"/>
        <v>0</v>
      </c>
      <c r="R156" s="2407">
        <f t="shared" si="34"/>
        <v>0</v>
      </c>
      <c r="S156" s="3098">
        <f t="shared" si="25"/>
        <v>0</v>
      </c>
    </row>
    <row r="157" spans="1:19">
      <c r="A157" s="2571"/>
      <c r="B157" s="3107"/>
      <c r="C157" s="2407">
        <f t="shared" si="26"/>
        <v>1</v>
      </c>
      <c r="D157" s="3103"/>
      <c r="E157" s="2407">
        <f t="shared" si="27"/>
        <v>0</v>
      </c>
      <c r="F157" s="3103"/>
      <c r="G157" s="2407">
        <f t="shared" si="28"/>
        <v>1</v>
      </c>
      <c r="H157" s="3103"/>
      <c r="I157" s="2407">
        <f t="shared" si="29"/>
        <v>1</v>
      </c>
      <c r="J157" s="3103"/>
      <c r="K157" s="2407">
        <f t="shared" si="30"/>
        <v>1</v>
      </c>
      <c r="L157" s="3103"/>
      <c r="M157" s="2407">
        <f t="shared" si="31"/>
        <v>1</v>
      </c>
      <c r="N157" s="3103"/>
      <c r="O157" s="2407">
        <f t="shared" si="32"/>
        <v>1</v>
      </c>
      <c r="P157" s="3491"/>
      <c r="Q157" s="2407">
        <f t="shared" si="33"/>
        <v>0</v>
      </c>
      <c r="R157" s="2407">
        <f t="shared" si="34"/>
        <v>0</v>
      </c>
      <c r="S157" s="3098">
        <f t="shared" si="25"/>
        <v>0</v>
      </c>
    </row>
    <row r="158" spans="1:19">
      <c r="A158" s="2571"/>
      <c r="B158" s="3107"/>
      <c r="C158" s="2407">
        <f t="shared" si="26"/>
        <v>1</v>
      </c>
      <c r="D158" s="3103"/>
      <c r="E158" s="2407">
        <f t="shared" si="27"/>
        <v>0</v>
      </c>
      <c r="F158" s="3103"/>
      <c r="G158" s="2407">
        <f t="shared" si="28"/>
        <v>1</v>
      </c>
      <c r="H158" s="3103"/>
      <c r="I158" s="2407">
        <f t="shared" si="29"/>
        <v>1</v>
      </c>
      <c r="J158" s="3103"/>
      <c r="K158" s="2407">
        <f t="shared" si="30"/>
        <v>1</v>
      </c>
      <c r="L158" s="3103"/>
      <c r="M158" s="2407">
        <f t="shared" si="31"/>
        <v>1</v>
      </c>
      <c r="N158" s="3103"/>
      <c r="O158" s="2407">
        <f t="shared" si="32"/>
        <v>1</v>
      </c>
      <c r="P158" s="3491"/>
      <c r="Q158" s="2407">
        <f t="shared" si="33"/>
        <v>0</v>
      </c>
      <c r="R158" s="2407">
        <f t="shared" si="34"/>
        <v>0</v>
      </c>
      <c r="S158" s="3098">
        <f t="shared" si="25"/>
        <v>0</v>
      </c>
    </row>
    <row r="159" spans="1:19">
      <c r="A159" s="2571"/>
      <c r="B159" s="3107"/>
      <c r="C159" s="2407">
        <f t="shared" si="26"/>
        <v>1</v>
      </c>
      <c r="D159" s="3103"/>
      <c r="E159" s="2407">
        <f t="shared" si="27"/>
        <v>0</v>
      </c>
      <c r="F159" s="3103"/>
      <c r="G159" s="2407">
        <f t="shared" si="28"/>
        <v>1</v>
      </c>
      <c r="H159" s="3103"/>
      <c r="I159" s="2407">
        <f t="shared" si="29"/>
        <v>1</v>
      </c>
      <c r="J159" s="3103"/>
      <c r="K159" s="2407">
        <f t="shared" si="30"/>
        <v>1</v>
      </c>
      <c r="L159" s="3103"/>
      <c r="M159" s="2407">
        <f t="shared" si="31"/>
        <v>1</v>
      </c>
      <c r="N159" s="3103"/>
      <c r="O159" s="2407">
        <f t="shared" si="32"/>
        <v>1</v>
      </c>
      <c r="P159" s="3491"/>
      <c r="Q159" s="2407">
        <f t="shared" si="33"/>
        <v>0</v>
      </c>
      <c r="R159" s="2407">
        <f t="shared" si="34"/>
        <v>0</v>
      </c>
      <c r="S159" s="3098">
        <f t="shared" si="25"/>
        <v>0</v>
      </c>
    </row>
    <row r="160" spans="1:19">
      <c r="A160" s="2571"/>
      <c r="B160" s="3107"/>
      <c r="C160" s="2407">
        <f t="shared" si="26"/>
        <v>1</v>
      </c>
      <c r="D160" s="3103"/>
      <c r="E160" s="2407">
        <f t="shared" si="27"/>
        <v>0</v>
      </c>
      <c r="F160" s="3103"/>
      <c r="G160" s="2407">
        <f t="shared" si="28"/>
        <v>1</v>
      </c>
      <c r="H160" s="3103"/>
      <c r="I160" s="2407">
        <f t="shared" si="29"/>
        <v>1</v>
      </c>
      <c r="J160" s="3103"/>
      <c r="K160" s="2407">
        <f t="shared" si="30"/>
        <v>1</v>
      </c>
      <c r="L160" s="3103"/>
      <c r="M160" s="2407">
        <f t="shared" si="31"/>
        <v>1</v>
      </c>
      <c r="N160" s="3103"/>
      <c r="O160" s="2407">
        <f t="shared" si="32"/>
        <v>1</v>
      </c>
      <c r="P160" s="3491"/>
      <c r="Q160" s="2407">
        <f t="shared" si="33"/>
        <v>0</v>
      </c>
      <c r="R160" s="2407">
        <f t="shared" si="34"/>
        <v>0</v>
      </c>
      <c r="S160" s="3098">
        <f t="shared" si="25"/>
        <v>0</v>
      </c>
    </row>
    <row r="161" spans="1:19">
      <c r="A161" s="2571"/>
      <c r="B161" s="3107"/>
      <c r="C161" s="2407">
        <f t="shared" si="26"/>
        <v>1</v>
      </c>
      <c r="D161" s="3103"/>
      <c r="E161" s="2407">
        <f t="shared" si="27"/>
        <v>0</v>
      </c>
      <c r="F161" s="3103"/>
      <c r="G161" s="2407">
        <f t="shared" si="28"/>
        <v>1</v>
      </c>
      <c r="H161" s="3103"/>
      <c r="I161" s="2407">
        <f t="shared" si="29"/>
        <v>1</v>
      </c>
      <c r="J161" s="3103"/>
      <c r="K161" s="2407">
        <f t="shared" si="30"/>
        <v>1</v>
      </c>
      <c r="L161" s="3103"/>
      <c r="M161" s="2407">
        <f t="shared" si="31"/>
        <v>1</v>
      </c>
      <c r="N161" s="3103"/>
      <c r="O161" s="2407">
        <f t="shared" si="32"/>
        <v>1</v>
      </c>
      <c r="P161" s="3491"/>
      <c r="Q161" s="2407">
        <f t="shared" si="33"/>
        <v>0</v>
      </c>
      <c r="R161" s="2407">
        <f t="shared" si="34"/>
        <v>0</v>
      </c>
      <c r="S161" s="3098">
        <f t="shared" si="25"/>
        <v>0</v>
      </c>
    </row>
    <row r="162" spans="1:19">
      <c r="A162" s="2571"/>
      <c r="B162" s="3107"/>
      <c r="C162" s="2407">
        <f t="shared" si="26"/>
        <v>1</v>
      </c>
      <c r="D162" s="3103"/>
      <c r="E162" s="2407">
        <f t="shared" si="27"/>
        <v>0</v>
      </c>
      <c r="F162" s="3103"/>
      <c r="G162" s="2407">
        <f t="shared" si="28"/>
        <v>1</v>
      </c>
      <c r="H162" s="3103"/>
      <c r="I162" s="2407">
        <f t="shared" si="29"/>
        <v>1</v>
      </c>
      <c r="J162" s="3103"/>
      <c r="K162" s="2407">
        <f t="shared" si="30"/>
        <v>1</v>
      </c>
      <c r="L162" s="3103"/>
      <c r="M162" s="2407">
        <f t="shared" si="31"/>
        <v>1</v>
      </c>
      <c r="N162" s="3103"/>
      <c r="O162" s="2407">
        <f t="shared" si="32"/>
        <v>1</v>
      </c>
      <c r="P162" s="3491"/>
      <c r="Q162" s="2407">
        <f t="shared" si="33"/>
        <v>0</v>
      </c>
      <c r="R162" s="2407">
        <f t="shared" si="34"/>
        <v>0</v>
      </c>
      <c r="S162" s="3098">
        <f t="shared" si="25"/>
        <v>0</v>
      </c>
    </row>
    <row r="163" spans="1:19">
      <c r="A163" s="2571"/>
      <c r="B163" s="3107"/>
      <c r="C163" s="2407">
        <f t="shared" si="26"/>
        <v>1</v>
      </c>
      <c r="D163" s="3103"/>
      <c r="E163" s="2407">
        <f t="shared" si="27"/>
        <v>0</v>
      </c>
      <c r="F163" s="3103"/>
      <c r="G163" s="2407">
        <f t="shared" si="28"/>
        <v>1</v>
      </c>
      <c r="H163" s="3103"/>
      <c r="I163" s="2407">
        <f t="shared" si="29"/>
        <v>1</v>
      </c>
      <c r="J163" s="3103"/>
      <c r="K163" s="2407">
        <f t="shared" si="30"/>
        <v>1</v>
      </c>
      <c r="L163" s="3103"/>
      <c r="M163" s="2407">
        <f t="shared" si="31"/>
        <v>1</v>
      </c>
      <c r="N163" s="3103"/>
      <c r="O163" s="2407">
        <f t="shared" si="32"/>
        <v>1</v>
      </c>
      <c r="P163" s="3491"/>
      <c r="Q163" s="2407">
        <f t="shared" si="33"/>
        <v>0</v>
      </c>
      <c r="R163" s="2407">
        <f t="shared" si="34"/>
        <v>0</v>
      </c>
      <c r="S163" s="3098">
        <f t="shared" si="25"/>
        <v>0</v>
      </c>
    </row>
    <row r="164" spans="1:19">
      <c r="A164" s="2571"/>
      <c r="B164" s="3107"/>
      <c r="C164" s="2407">
        <f t="shared" si="26"/>
        <v>1</v>
      </c>
      <c r="D164" s="3103"/>
      <c r="E164" s="2407">
        <f t="shared" si="27"/>
        <v>0</v>
      </c>
      <c r="F164" s="3103"/>
      <c r="G164" s="2407">
        <f t="shared" si="28"/>
        <v>1</v>
      </c>
      <c r="H164" s="3103"/>
      <c r="I164" s="2407">
        <f t="shared" si="29"/>
        <v>1</v>
      </c>
      <c r="J164" s="3103"/>
      <c r="K164" s="2407">
        <f t="shared" si="30"/>
        <v>1</v>
      </c>
      <c r="L164" s="3103"/>
      <c r="M164" s="2407">
        <f t="shared" si="31"/>
        <v>1</v>
      </c>
      <c r="N164" s="3103"/>
      <c r="O164" s="2407">
        <f t="shared" si="32"/>
        <v>1</v>
      </c>
      <c r="P164" s="3491"/>
      <c r="Q164" s="2407">
        <f t="shared" si="33"/>
        <v>0</v>
      </c>
      <c r="R164" s="2407">
        <f t="shared" si="34"/>
        <v>0</v>
      </c>
      <c r="S164" s="3098">
        <f t="shared" si="25"/>
        <v>0</v>
      </c>
    </row>
    <row r="165" spans="1:19">
      <c r="A165" s="2571"/>
      <c r="B165" s="3107"/>
      <c r="C165" s="2407">
        <f t="shared" si="26"/>
        <v>1</v>
      </c>
      <c r="D165" s="3103"/>
      <c r="E165" s="2407">
        <f t="shared" si="27"/>
        <v>0</v>
      </c>
      <c r="F165" s="3103"/>
      <c r="G165" s="2407">
        <f t="shared" si="28"/>
        <v>1</v>
      </c>
      <c r="H165" s="3103"/>
      <c r="I165" s="2407">
        <f t="shared" si="29"/>
        <v>1</v>
      </c>
      <c r="J165" s="3103"/>
      <c r="K165" s="2407">
        <f t="shared" si="30"/>
        <v>1</v>
      </c>
      <c r="L165" s="3103"/>
      <c r="M165" s="2407">
        <f t="shared" si="31"/>
        <v>1</v>
      </c>
      <c r="N165" s="3103"/>
      <c r="O165" s="2407">
        <f t="shared" si="32"/>
        <v>1</v>
      </c>
      <c r="P165" s="3491"/>
      <c r="Q165" s="2407">
        <f t="shared" si="33"/>
        <v>0</v>
      </c>
      <c r="R165" s="2407">
        <f t="shared" si="34"/>
        <v>0</v>
      </c>
      <c r="S165" s="3098">
        <f t="shared" si="25"/>
        <v>0</v>
      </c>
    </row>
    <row r="166" spans="1:19">
      <c r="A166" s="2571"/>
      <c r="B166" s="3107"/>
      <c r="C166" s="2407">
        <f t="shared" si="26"/>
        <v>1</v>
      </c>
      <c r="D166" s="3103"/>
      <c r="E166" s="2407">
        <f t="shared" si="27"/>
        <v>0</v>
      </c>
      <c r="F166" s="3103"/>
      <c r="G166" s="2407">
        <f t="shared" si="28"/>
        <v>1</v>
      </c>
      <c r="H166" s="3103"/>
      <c r="I166" s="2407">
        <f t="shared" si="29"/>
        <v>1</v>
      </c>
      <c r="J166" s="3103"/>
      <c r="K166" s="2407">
        <f t="shared" si="30"/>
        <v>1</v>
      </c>
      <c r="L166" s="3103"/>
      <c r="M166" s="2407">
        <f t="shared" si="31"/>
        <v>1</v>
      </c>
      <c r="N166" s="3103"/>
      <c r="O166" s="2407">
        <f t="shared" si="32"/>
        <v>1</v>
      </c>
      <c r="P166" s="3491"/>
      <c r="Q166" s="2407">
        <f t="shared" si="33"/>
        <v>0</v>
      </c>
      <c r="R166" s="2407">
        <f t="shared" si="34"/>
        <v>0</v>
      </c>
      <c r="S166" s="3098">
        <f t="shared" si="25"/>
        <v>0</v>
      </c>
    </row>
    <row r="167" spans="1:19">
      <c r="A167" s="2571"/>
      <c r="B167" s="3107"/>
      <c r="C167" s="2407">
        <f t="shared" si="26"/>
        <v>1</v>
      </c>
      <c r="D167" s="3103"/>
      <c r="E167" s="2407">
        <f t="shared" si="27"/>
        <v>0</v>
      </c>
      <c r="F167" s="3103"/>
      <c r="G167" s="2407">
        <f t="shared" si="28"/>
        <v>1</v>
      </c>
      <c r="H167" s="3103"/>
      <c r="I167" s="2407">
        <f t="shared" si="29"/>
        <v>1</v>
      </c>
      <c r="J167" s="3103"/>
      <c r="K167" s="2407">
        <f t="shared" si="30"/>
        <v>1</v>
      </c>
      <c r="L167" s="3103"/>
      <c r="M167" s="2407">
        <f t="shared" si="31"/>
        <v>1</v>
      </c>
      <c r="N167" s="3103"/>
      <c r="O167" s="2407">
        <f t="shared" si="32"/>
        <v>1</v>
      </c>
      <c r="P167" s="3491"/>
      <c r="Q167" s="2407">
        <f t="shared" si="33"/>
        <v>0</v>
      </c>
      <c r="R167" s="2407">
        <f t="shared" si="34"/>
        <v>0</v>
      </c>
      <c r="S167" s="3098">
        <f t="shared" si="25"/>
        <v>0</v>
      </c>
    </row>
    <row r="168" spans="1:19">
      <c r="A168" s="2571"/>
      <c r="B168" s="3107"/>
      <c r="C168" s="2407">
        <f t="shared" si="26"/>
        <v>1</v>
      </c>
      <c r="D168" s="3103"/>
      <c r="E168" s="2407">
        <f t="shared" si="27"/>
        <v>0</v>
      </c>
      <c r="F168" s="3103"/>
      <c r="G168" s="2407">
        <f t="shared" si="28"/>
        <v>1</v>
      </c>
      <c r="H168" s="3103"/>
      <c r="I168" s="2407">
        <f t="shared" si="29"/>
        <v>1</v>
      </c>
      <c r="J168" s="3103"/>
      <c r="K168" s="2407">
        <f t="shared" si="30"/>
        <v>1</v>
      </c>
      <c r="L168" s="3103"/>
      <c r="M168" s="2407">
        <f t="shared" si="31"/>
        <v>1</v>
      </c>
      <c r="N168" s="3103"/>
      <c r="O168" s="2407">
        <f t="shared" si="32"/>
        <v>1</v>
      </c>
      <c r="P168" s="3491"/>
      <c r="Q168" s="2407">
        <f t="shared" si="33"/>
        <v>0</v>
      </c>
      <c r="R168" s="2407">
        <f t="shared" si="34"/>
        <v>0</v>
      </c>
      <c r="S168" s="3098">
        <f t="shared" si="25"/>
        <v>0</v>
      </c>
    </row>
    <row r="169" spans="1:19">
      <c r="A169" s="2571"/>
      <c r="B169" s="3107"/>
      <c r="C169" s="2407">
        <f t="shared" si="26"/>
        <v>1</v>
      </c>
      <c r="D169" s="3103"/>
      <c r="E169" s="2407">
        <f t="shared" si="27"/>
        <v>0</v>
      </c>
      <c r="F169" s="3103"/>
      <c r="G169" s="2407">
        <f t="shared" si="28"/>
        <v>1</v>
      </c>
      <c r="H169" s="3103"/>
      <c r="I169" s="2407">
        <f t="shared" si="29"/>
        <v>1</v>
      </c>
      <c r="J169" s="3103"/>
      <c r="K169" s="2407">
        <f t="shared" si="30"/>
        <v>1</v>
      </c>
      <c r="L169" s="3103"/>
      <c r="M169" s="2407">
        <f t="shared" si="31"/>
        <v>1</v>
      </c>
      <c r="N169" s="3103"/>
      <c r="O169" s="2407">
        <f t="shared" si="32"/>
        <v>1</v>
      </c>
      <c r="P169" s="3491"/>
      <c r="Q169" s="2407">
        <f t="shared" si="33"/>
        <v>0</v>
      </c>
      <c r="R169" s="2407">
        <f t="shared" si="34"/>
        <v>0</v>
      </c>
      <c r="S169" s="3098">
        <f t="shared" si="25"/>
        <v>0</v>
      </c>
    </row>
    <row r="170" spans="1:19">
      <c r="A170" s="2571"/>
      <c r="B170" s="3107"/>
      <c r="C170" s="2407">
        <f t="shared" si="26"/>
        <v>1</v>
      </c>
      <c r="D170" s="3103"/>
      <c r="E170" s="2407">
        <f t="shared" si="27"/>
        <v>0</v>
      </c>
      <c r="F170" s="3103"/>
      <c r="G170" s="2407">
        <f t="shared" si="28"/>
        <v>1</v>
      </c>
      <c r="H170" s="3103"/>
      <c r="I170" s="2407">
        <f t="shared" si="29"/>
        <v>1</v>
      </c>
      <c r="J170" s="3103"/>
      <c r="K170" s="2407">
        <f t="shared" si="30"/>
        <v>1</v>
      </c>
      <c r="L170" s="3103"/>
      <c r="M170" s="2407">
        <f t="shared" si="31"/>
        <v>1</v>
      </c>
      <c r="N170" s="3103"/>
      <c r="O170" s="2407">
        <f t="shared" si="32"/>
        <v>1</v>
      </c>
      <c r="P170" s="3491"/>
      <c r="Q170" s="2407">
        <f t="shared" si="33"/>
        <v>0</v>
      </c>
      <c r="R170" s="2407">
        <f t="shared" si="34"/>
        <v>0</v>
      </c>
      <c r="S170" s="3098">
        <f t="shared" si="25"/>
        <v>0</v>
      </c>
    </row>
    <row r="171" spans="1:19">
      <c r="A171" s="2571"/>
      <c r="B171" s="3107"/>
      <c r="C171" s="2407">
        <f t="shared" si="26"/>
        <v>1</v>
      </c>
      <c r="D171" s="3103"/>
      <c r="E171" s="2407">
        <f t="shared" si="27"/>
        <v>0</v>
      </c>
      <c r="F171" s="3103"/>
      <c r="G171" s="2407">
        <f t="shared" si="28"/>
        <v>1</v>
      </c>
      <c r="H171" s="3103"/>
      <c r="I171" s="2407">
        <f t="shared" si="29"/>
        <v>1</v>
      </c>
      <c r="J171" s="3103"/>
      <c r="K171" s="2407">
        <f t="shared" si="30"/>
        <v>1</v>
      </c>
      <c r="L171" s="3103"/>
      <c r="M171" s="2407">
        <f t="shared" si="31"/>
        <v>1</v>
      </c>
      <c r="N171" s="3103"/>
      <c r="O171" s="2407">
        <f t="shared" si="32"/>
        <v>1</v>
      </c>
      <c r="P171" s="3491"/>
      <c r="Q171" s="2407">
        <f t="shared" si="33"/>
        <v>0</v>
      </c>
      <c r="R171" s="2407">
        <f t="shared" si="34"/>
        <v>0</v>
      </c>
      <c r="S171" s="3098">
        <f t="shared" si="25"/>
        <v>0</v>
      </c>
    </row>
    <row r="172" spans="1:19">
      <c r="A172" s="2571"/>
      <c r="B172" s="3107"/>
      <c r="C172" s="2407">
        <f t="shared" si="26"/>
        <v>1</v>
      </c>
      <c r="D172" s="3103"/>
      <c r="E172" s="2407">
        <f t="shared" si="27"/>
        <v>0</v>
      </c>
      <c r="F172" s="3103"/>
      <c r="G172" s="2407">
        <f t="shared" si="28"/>
        <v>1</v>
      </c>
      <c r="H172" s="3103"/>
      <c r="I172" s="2407">
        <f t="shared" si="29"/>
        <v>1</v>
      </c>
      <c r="J172" s="3103"/>
      <c r="K172" s="2407">
        <f t="shared" si="30"/>
        <v>1</v>
      </c>
      <c r="L172" s="3103"/>
      <c r="M172" s="2407">
        <f t="shared" si="31"/>
        <v>1</v>
      </c>
      <c r="N172" s="3103"/>
      <c r="O172" s="2407">
        <f t="shared" si="32"/>
        <v>1</v>
      </c>
      <c r="P172" s="3491"/>
      <c r="Q172" s="2407">
        <f t="shared" si="33"/>
        <v>0</v>
      </c>
      <c r="R172" s="2407">
        <f t="shared" si="34"/>
        <v>0</v>
      </c>
      <c r="S172" s="3098">
        <f t="shared" si="25"/>
        <v>0</v>
      </c>
    </row>
    <row r="173" spans="1:19">
      <c r="A173" s="2571"/>
      <c r="B173" s="3107"/>
      <c r="C173" s="2407">
        <f t="shared" si="26"/>
        <v>1</v>
      </c>
      <c r="D173" s="3103"/>
      <c r="E173" s="2407">
        <f t="shared" si="27"/>
        <v>0</v>
      </c>
      <c r="F173" s="3103"/>
      <c r="G173" s="2407">
        <f t="shared" si="28"/>
        <v>1</v>
      </c>
      <c r="H173" s="3103"/>
      <c r="I173" s="2407">
        <f t="shared" si="29"/>
        <v>1</v>
      </c>
      <c r="J173" s="3103"/>
      <c r="K173" s="2407">
        <f t="shared" si="30"/>
        <v>1</v>
      </c>
      <c r="L173" s="3103"/>
      <c r="M173" s="2407">
        <f t="shared" si="31"/>
        <v>1</v>
      </c>
      <c r="N173" s="3103"/>
      <c r="O173" s="2407">
        <f t="shared" si="32"/>
        <v>1</v>
      </c>
      <c r="P173" s="3491"/>
      <c r="Q173" s="2407">
        <f t="shared" si="33"/>
        <v>0</v>
      </c>
      <c r="R173" s="2407">
        <f t="shared" si="34"/>
        <v>0</v>
      </c>
      <c r="S173" s="3098">
        <f t="shared" si="25"/>
        <v>0</v>
      </c>
    </row>
    <row r="174" spans="1:19">
      <c r="A174" s="2571"/>
      <c r="B174" s="3107"/>
      <c r="C174" s="2407">
        <f t="shared" si="26"/>
        <v>1</v>
      </c>
      <c r="D174" s="3103"/>
      <c r="E174" s="2407">
        <f t="shared" si="27"/>
        <v>0</v>
      </c>
      <c r="F174" s="3103"/>
      <c r="G174" s="2407">
        <f t="shared" si="28"/>
        <v>1</v>
      </c>
      <c r="H174" s="3103"/>
      <c r="I174" s="2407">
        <f t="shared" si="29"/>
        <v>1</v>
      </c>
      <c r="J174" s="3103"/>
      <c r="K174" s="2407">
        <f t="shared" si="30"/>
        <v>1</v>
      </c>
      <c r="L174" s="3103"/>
      <c r="M174" s="2407">
        <f t="shared" si="31"/>
        <v>1</v>
      </c>
      <c r="N174" s="3103"/>
      <c r="O174" s="2407">
        <f t="shared" si="32"/>
        <v>1</v>
      </c>
      <c r="P174" s="3491"/>
      <c r="Q174" s="2407">
        <f t="shared" si="33"/>
        <v>0</v>
      </c>
      <c r="R174" s="2407">
        <f t="shared" si="34"/>
        <v>0</v>
      </c>
      <c r="S174" s="3098">
        <f t="shared" si="25"/>
        <v>0</v>
      </c>
    </row>
    <row r="175" spans="1:19">
      <c r="A175" s="2571"/>
      <c r="B175" s="3107"/>
      <c r="C175" s="2407">
        <f t="shared" si="26"/>
        <v>1</v>
      </c>
      <c r="D175" s="3103"/>
      <c r="E175" s="2407">
        <f t="shared" si="27"/>
        <v>0</v>
      </c>
      <c r="F175" s="3103"/>
      <c r="G175" s="2407">
        <f t="shared" si="28"/>
        <v>1</v>
      </c>
      <c r="H175" s="3103"/>
      <c r="I175" s="2407">
        <f t="shared" si="29"/>
        <v>1</v>
      </c>
      <c r="J175" s="3103"/>
      <c r="K175" s="2407">
        <f t="shared" si="30"/>
        <v>1</v>
      </c>
      <c r="L175" s="3103"/>
      <c r="M175" s="2407">
        <f t="shared" si="31"/>
        <v>1</v>
      </c>
      <c r="N175" s="3103"/>
      <c r="O175" s="2407">
        <f t="shared" si="32"/>
        <v>1</v>
      </c>
      <c r="P175" s="3491"/>
      <c r="Q175" s="2407">
        <f t="shared" si="33"/>
        <v>0</v>
      </c>
      <c r="R175" s="2407">
        <f t="shared" si="34"/>
        <v>0</v>
      </c>
      <c r="S175" s="3098">
        <f t="shared" si="25"/>
        <v>0</v>
      </c>
    </row>
    <row r="176" spans="1:19">
      <c r="A176" s="2571"/>
      <c r="B176" s="3107"/>
      <c r="C176" s="2407">
        <f t="shared" si="26"/>
        <v>1</v>
      </c>
      <c r="D176" s="3103"/>
      <c r="E176" s="2407">
        <f t="shared" si="27"/>
        <v>0</v>
      </c>
      <c r="F176" s="3103"/>
      <c r="G176" s="2407">
        <f t="shared" si="28"/>
        <v>1</v>
      </c>
      <c r="H176" s="3103"/>
      <c r="I176" s="2407">
        <f t="shared" si="29"/>
        <v>1</v>
      </c>
      <c r="J176" s="3103"/>
      <c r="K176" s="2407">
        <f t="shared" si="30"/>
        <v>1</v>
      </c>
      <c r="L176" s="3103"/>
      <c r="M176" s="2407">
        <f t="shared" si="31"/>
        <v>1</v>
      </c>
      <c r="N176" s="3103"/>
      <c r="O176" s="2407">
        <f t="shared" si="32"/>
        <v>1</v>
      </c>
      <c r="P176" s="3491"/>
      <c r="Q176" s="2407">
        <f t="shared" si="33"/>
        <v>0</v>
      </c>
      <c r="R176" s="2407">
        <f t="shared" si="34"/>
        <v>0</v>
      </c>
      <c r="S176" s="3098">
        <f t="shared" si="25"/>
        <v>0</v>
      </c>
    </row>
    <row r="177" spans="1:19">
      <c r="A177" s="2571"/>
      <c r="B177" s="3107"/>
      <c r="C177" s="2407">
        <f t="shared" si="26"/>
        <v>1</v>
      </c>
      <c r="D177" s="3103"/>
      <c r="E177" s="2407">
        <f t="shared" si="27"/>
        <v>0</v>
      </c>
      <c r="F177" s="3103"/>
      <c r="G177" s="2407">
        <f t="shared" si="28"/>
        <v>1</v>
      </c>
      <c r="H177" s="3103"/>
      <c r="I177" s="2407">
        <f t="shared" si="29"/>
        <v>1</v>
      </c>
      <c r="J177" s="3103"/>
      <c r="K177" s="2407">
        <f t="shared" si="30"/>
        <v>1</v>
      </c>
      <c r="L177" s="3103"/>
      <c r="M177" s="2407">
        <f t="shared" si="31"/>
        <v>1</v>
      </c>
      <c r="N177" s="3103"/>
      <c r="O177" s="2407">
        <f t="shared" si="32"/>
        <v>1</v>
      </c>
      <c r="P177" s="3491"/>
      <c r="Q177" s="2407">
        <f t="shared" si="33"/>
        <v>0</v>
      </c>
      <c r="R177" s="2407">
        <f t="shared" si="34"/>
        <v>0</v>
      </c>
      <c r="S177" s="3098">
        <f t="shared" si="25"/>
        <v>0</v>
      </c>
    </row>
    <row r="178" spans="1:19">
      <c r="A178" s="2571"/>
      <c r="B178" s="3107"/>
      <c r="C178" s="2407">
        <f t="shared" si="26"/>
        <v>1</v>
      </c>
      <c r="D178" s="3103"/>
      <c r="E178" s="2407">
        <f t="shared" si="27"/>
        <v>0</v>
      </c>
      <c r="F178" s="3103"/>
      <c r="G178" s="2407">
        <f t="shared" si="28"/>
        <v>1</v>
      </c>
      <c r="H178" s="3103"/>
      <c r="I178" s="2407">
        <f t="shared" si="29"/>
        <v>1</v>
      </c>
      <c r="J178" s="3103"/>
      <c r="K178" s="2407">
        <f t="shared" si="30"/>
        <v>1</v>
      </c>
      <c r="L178" s="3103"/>
      <c r="M178" s="2407">
        <f t="shared" si="31"/>
        <v>1</v>
      </c>
      <c r="N178" s="3103"/>
      <c r="O178" s="2407">
        <f t="shared" si="32"/>
        <v>1</v>
      </c>
      <c r="P178" s="3491"/>
      <c r="Q178" s="2407">
        <f t="shared" si="33"/>
        <v>0</v>
      </c>
      <c r="R178" s="2407">
        <f t="shared" si="34"/>
        <v>0</v>
      </c>
      <c r="S178" s="3098">
        <f t="shared" si="25"/>
        <v>0</v>
      </c>
    </row>
    <row r="179" spans="1:19">
      <c r="A179" s="2571"/>
      <c r="B179" s="3107"/>
      <c r="C179" s="2407">
        <f t="shared" si="26"/>
        <v>1</v>
      </c>
      <c r="D179" s="3103"/>
      <c r="E179" s="2407">
        <f t="shared" si="27"/>
        <v>0</v>
      </c>
      <c r="F179" s="3103"/>
      <c r="G179" s="2407">
        <f t="shared" si="28"/>
        <v>1</v>
      </c>
      <c r="H179" s="3103"/>
      <c r="I179" s="2407">
        <f t="shared" si="29"/>
        <v>1</v>
      </c>
      <c r="J179" s="3103"/>
      <c r="K179" s="2407">
        <f t="shared" si="30"/>
        <v>1</v>
      </c>
      <c r="L179" s="3103"/>
      <c r="M179" s="2407">
        <f t="shared" si="31"/>
        <v>1</v>
      </c>
      <c r="N179" s="3103"/>
      <c r="O179" s="2407">
        <f t="shared" si="32"/>
        <v>1</v>
      </c>
      <c r="P179" s="3491"/>
      <c r="Q179" s="2407">
        <f t="shared" si="33"/>
        <v>0</v>
      </c>
      <c r="R179" s="2407">
        <f t="shared" si="34"/>
        <v>0</v>
      </c>
      <c r="S179" s="3098">
        <f t="shared" si="25"/>
        <v>0</v>
      </c>
    </row>
    <row r="180" spans="1:19">
      <c r="A180" s="2571"/>
      <c r="B180" s="3107"/>
      <c r="C180" s="2407">
        <f t="shared" si="26"/>
        <v>1</v>
      </c>
      <c r="D180" s="3103"/>
      <c r="E180" s="2407">
        <f t="shared" si="27"/>
        <v>0</v>
      </c>
      <c r="F180" s="3103"/>
      <c r="G180" s="2407">
        <f t="shared" si="28"/>
        <v>1</v>
      </c>
      <c r="H180" s="3103"/>
      <c r="I180" s="2407">
        <f t="shared" si="29"/>
        <v>1</v>
      </c>
      <c r="J180" s="3103"/>
      <c r="K180" s="2407">
        <f t="shared" si="30"/>
        <v>1</v>
      </c>
      <c r="L180" s="3103"/>
      <c r="M180" s="2407">
        <f t="shared" si="31"/>
        <v>1</v>
      </c>
      <c r="N180" s="3103"/>
      <c r="O180" s="2407">
        <f t="shared" si="32"/>
        <v>1</v>
      </c>
      <c r="P180" s="3491"/>
      <c r="Q180" s="2407">
        <f t="shared" si="33"/>
        <v>0</v>
      </c>
      <c r="R180" s="2407">
        <f t="shared" si="34"/>
        <v>0</v>
      </c>
      <c r="S180" s="3098">
        <f t="shared" si="25"/>
        <v>0</v>
      </c>
    </row>
    <row r="181" spans="1:19">
      <c r="A181" s="2571"/>
      <c r="B181" s="3107"/>
      <c r="C181" s="2407">
        <f t="shared" si="26"/>
        <v>1</v>
      </c>
      <c r="D181" s="3103"/>
      <c r="E181" s="2407">
        <f t="shared" si="27"/>
        <v>0</v>
      </c>
      <c r="F181" s="3103"/>
      <c r="G181" s="2407">
        <f t="shared" si="28"/>
        <v>1</v>
      </c>
      <c r="H181" s="3103"/>
      <c r="I181" s="2407">
        <f t="shared" si="29"/>
        <v>1</v>
      </c>
      <c r="J181" s="3103"/>
      <c r="K181" s="2407">
        <f t="shared" si="30"/>
        <v>1</v>
      </c>
      <c r="L181" s="3103"/>
      <c r="M181" s="2407">
        <f t="shared" si="31"/>
        <v>1</v>
      </c>
      <c r="N181" s="3103"/>
      <c r="O181" s="2407">
        <f t="shared" si="32"/>
        <v>1</v>
      </c>
      <c r="P181" s="3491"/>
      <c r="Q181" s="2407">
        <f t="shared" si="33"/>
        <v>0</v>
      </c>
      <c r="R181" s="2407">
        <f t="shared" si="34"/>
        <v>0</v>
      </c>
      <c r="S181" s="3098">
        <f t="shared" si="25"/>
        <v>0</v>
      </c>
    </row>
    <row r="182" spans="1:19">
      <c r="A182" s="2571"/>
      <c r="B182" s="3107"/>
      <c r="C182" s="2407">
        <f t="shared" si="26"/>
        <v>1</v>
      </c>
      <c r="D182" s="3103"/>
      <c r="E182" s="2407">
        <f t="shared" si="27"/>
        <v>0</v>
      </c>
      <c r="F182" s="3103"/>
      <c r="G182" s="2407">
        <f t="shared" si="28"/>
        <v>1</v>
      </c>
      <c r="H182" s="3103"/>
      <c r="I182" s="2407">
        <f t="shared" si="29"/>
        <v>1</v>
      </c>
      <c r="J182" s="3103"/>
      <c r="K182" s="2407">
        <f t="shared" si="30"/>
        <v>1</v>
      </c>
      <c r="L182" s="3103"/>
      <c r="M182" s="2407">
        <f t="shared" si="31"/>
        <v>1</v>
      </c>
      <c r="N182" s="3103"/>
      <c r="O182" s="2407">
        <f t="shared" si="32"/>
        <v>1</v>
      </c>
      <c r="P182" s="3491"/>
      <c r="Q182" s="2407">
        <f t="shared" si="33"/>
        <v>0</v>
      </c>
      <c r="R182" s="2407">
        <f t="shared" si="34"/>
        <v>0</v>
      </c>
      <c r="S182" s="3098">
        <f t="shared" si="25"/>
        <v>0</v>
      </c>
    </row>
    <row r="183" spans="1:19">
      <c r="A183" s="2571"/>
      <c r="B183" s="3107"/>
      <c r="C183" s="2407">
        <f t="shared" si="26"/>
        <v>1</v>
      </c>
      <c r="D183" s="3103"/>
      <c r="E183" s="2407">
        <f t="shared" si="27"/>
        <v>0</v>
      </c>
      <c r="F183" s="3103"/>
      <c r="G183" s="2407">
        <f t="shared" si="28"/>
        <v>1</v>
      </c>
      <c r="H183" s="3103"/>
      <c r="I183" s="2407">
        <f t="shared" si="29"/>
        <v>1</v>
      </c>
      <c r="J183" s="3103"/>
      <c r="K183" s="2407">
        <f t="shared" si="30"/>
        <v>1</v>
      </c>
      <c r="L183" s="3103"/>
      <c r="M183" s="2407">
        <f t="shared" si="31"/>
        <v>1</v>
      </c>
      <c r="N183" s="3103"/>
      <c r="O183" s="2407">
        <f t="shared" si="32"/>
        <v>1</v>
      </c>
      <c r="P183" s="3491"/>
      <c r="Q183" s="2407">
        <f t="shared" si="33"/>
        <v>0</v>
      </c>
      <c r="R183" s="2407">
        <f t="shared" si="34"/>
        <v>0</v>
      </c>
      <c r="S183" s="3098">
        <f t="shared" si="25"/>
        <v>0</v>
      </c>
    </row>
    <row r="184" spans="1:19">
      <c r="A184" s="2571"/>
      <c r="B184" s="3107"/>
      <c r="C184" s="2407">
        <f t="shared" si="26"/>
        <v>1</v>
      </c>
      <c r="D184" s="3103"/>
      <c r="E184" s="2407">
        <f t="shared" si="27"/>
        <v>0</v>
      </c>
      <c r="F184" s="3103"/>
      <c r="G184" s="2407">
        <f t="shared" si="28"/>
        <v>1</v>
      </c>
      <c r="H184" s="3103"/>
      <c r="I184" s="2407">
        <f t="shared" si="29"/>
        <v>1</v>
      </c>
      <c r="J184" s="3103"/>
      <c r="K184" s="2407">
        <f t="shared" si="30"/>
        <v>1</v>
      </c>
      <c r="L184" s="3103"/>
      <c r="M184" s="2407">
        <f t="shared" si="31"/>
        <v>1</v>
      </c>
      <c r="N184" s="3103"/>
      <c r="O184" s="2407">
        <f t="shared" si="32"/>
        <v>1</v>
      </c>
      <c r="P184" s="3491"/>
      <c r="Q184" s="2407">
        <f t="shared" si="33"/>
        <v>0</v>
      </c>
      <c r="R184" s="2407">
        <f t="shared" si="34"/>
        <v>0</v>
      </c>
      <c r="S184" s="3098">
        <f t="shared" si="25"/>
        <v>0</v>
      </c>
    </row>
    <row r="185" spans="1:19">
      <c r="A185" s="2571"/>
      <c r="B185" s="3107"/>
      <c r="C185" s="2407">
        <f t="shared" si="26"/>
        <v>1</v>
      </c>
      <c r="D185" s="3103"/>
      <c r="E185" s="2407">
        <f t="shared" si="27"/>
        <v>0</v>
      </c>
      <c r="F185" s="3103"/>
      <c r="G185" s="2407">
        <f t="shared" si="28"/>
        <v>1</v>
      </c>
      <c r="H185" s="3103"/>
      <c r="I185" s="2407">
        <f t="shared" si="29"/>
        <v>1</v>
      </c>
      <c r="J185" s="3103"/>
      <c r="K185" s="2407">
        <f t="shared" si="30"/>
        <v>1</v>
      </c>
      <c r="L185" s="3103"/>
      <c r="M185" s="2407">
        <f t="shared" si="31"/>
        <v>1</v>
      </c>
      <c r="N185" s="3103"/>
      <c r="O185" s="2407">
        <f t="shared" si="32"/>
        <v>1</v>
      </c>
      <c r="P185" s="3491"/>
      <c r="Q185" s="2407">
        <f t="shared" si="33"/>
        <v>0</v>
      </c>
      <c r="R185" s="2407">
        <f t="shared" si="34"/>
        <v>0</v>
      </c>
      <c r="S185" s="3098">
        <f t="shared" si="25"/>
        <v>0</v>
      </c>
    </row>
    <row r="186" spans="1:19">
      <c r="A186" s="2571"/>
      <c r="B186" s="3107"/>
      <c r="C186" s="2407">
        <f t="shared" si="26"/>
        <v>1</v>
      </c>
      <c r="D186" s="3103"/>
      <c r="E186" s="2407">
        <f t="shared" si="27"/>
        <v>0</v>
      </c>
      <c r="F186" s="3103"/>
      <c r="G186" s="2407">
        <f t="shared" si="28"/>
        <v>1</v>
      </c>
      <c r="H186" s="3103"/>
      <c r="I186" s="2407">
        <f t="shared" si="29"/>
        <v>1</v>
      </c>
      <c r="J186" s="3103"/>
      <c r="K186" s="2407">
        <f t="shared" si="30"/>
        <v>1</v>
      </c>
      <c r="L186" s="3103"/>
      <c r="M186" s="2407">
        <f t="shared" si="31"/>
        <v>1</v>
      </c>
      <c r="N186" s="3103"/>
      <c r="O186" s="2407">
        <f t="shared" si="32"/>
        <v>1</v>
      </c>
      <c r="P186" s="3491"/>
      <c r="Q186" s="2407">
        <f t="shared" si="33"/>
        <v>0</v>
      </c>
      <c r="R186" s="2407">
        <f t="shared" si="34"/>
        <v>0</v>
      </c>
      <c r="S186" s="3098">
        <f t="shared" si="25"/>
        <v>0</v>
      </c>
    </row>
    <row r="187" spans="1:19">
      <c r="A187" s="2571"/>
      <c r="B187" s="3107"/>
      <c r="C187" s="2407">
        <f t="shared" si="26"/>
        <v>1</v>
      </c>
      <c r="D187" s="3103"/>
      <c r="E187" s="2407">
        <f t="shared" si="27"/>
        <v>0</v>
      </c>
      <c r="F187" s="3103"/>
      <c r="G187" s="2407">
        <f t="shared" si="28"/>
        <v>1</v>
      </c>
      <c r="H187" s="3103"/>
      <c r="I187" s="2407">
        <f t="shared" si="29"/>
        <v>1</v>
      </c>
      <c r="J187" s="3103"/>
      <c r="K187" s="2407">
        <f t="shared" si="30"/>
        <v>1</v>
      </c>
      <c r="L187" s="3103"/>
      <c r="M187" s="2407">
        <f t="shared" si="31"/>
        <v>1</v>
      </c>
      <c r="N187" s="3103"/>
      <c r="O187" s="2407">
        <f t="shared" si="32"/>
        <v>1</v>
      </c>
      <c r="P187" s="3491"/>
      <c r="Q187" s="2407">
        <f t="shared" si="33"/>
        <v>0</v>
      </c>
      <c r="R187" s="2407">
        <f t="shared" si="34"/>
        <v>0</v>
      </c>
      <c r="S187" s="3098">
        <f t="shared" si="25"/>
        <v>0</v>
      </c>
    </row>
    <row r="188" spans="1:19">
      <c r="A188" s="2571"/>
      <c r="B188" s="3107"/>
      <c r="C188" s="2407">
        <f t="shared" si="26"/>
        <v>1</v>
      </c>
      <c r="D188" s="3103"/>
      <c r="E188" s="2407">
        <f t="shared" si="27"/>
        <v>0</v>
      </c>
      <c r="F188" s="3103"/>
      <c r="G188" s="2407">
        <f t="shared" si="28"/>
        <v>1</v>
      </c>
      <c r="H188" s="3103"/>
      <c r="I188" s="2407">
        <f t="shared" si="29"/>
        <v>1</v>
      </c>
      <c r="J188" s="3103"/>
      <c r="K188" s="2407">
        <f t="shared" si="30"/>
        <v>1</v>
      </c>
      <c r="L188" s="3103"/>
      <c r="M188" s="2407">
        <f t="shared" si="31"/>
        <v>1</v>
      </c>
      <c r="N188" s="3103"/>
      <c r="O188" s="2407">
        <f t="shared" si="32"/>
        <v>1</v>
      </c>
      <c r="P188" s="3491"/>
      <c r="Q188" s="2407">
        <f t="shared" si="33"/>
        <v>0</v>
      </c>
      <c r="R188" s="2407">
        <f t="shared" si="34"/>
        <v>0</v>
      </c>
      <c r="S188" s="3098">
        <f t="shared" si="25"/>
        <v>0</v>
      </c>
    </row>
    <row r="189" spans="1:19">
      <c r="A189" s="2571"/>
      <c r="B189" s="3107"/>
      <c r="C189" s="2407">
        <f t="shared" si="26"/>
        <v>1</v>
      </c>
      <c r="D189" s="3103"/>
      <c r="E189" s="2407">
        <f t="shared" si="27"/>
        <v>0</v>
      </c>
      <c r="F189" s="3103"/>
      <c r="G189" s="2407">
        <f t="shared" si="28"/>
        <v>1</v>
      </c>
      <c r="H189" s="3103"/>
      <c r="I189" s="2407">
        <f t="shared" si="29"/>
        <v>1</v>
      </c>
      <c r="J189" s="3103"/>
      <c r="K189" s="2407">
        <f t="shared" si="30"/>
        <v>1</v>
      </c>
      <c r="L189" s="3103"/>
      <c r="M189" s="2407">
        <f t="shared" si="31"/>
        <v>1</v>
      </c>
      <c r="N189" s="3103"/>
      <c r="O189" s="2407">
        <f t="shared" si="32"/>
        <v>1</v>
      </c>
      <c r="P189" s="3491"/>
      <c r="Q189" s="2407">
        <f t="shared" si="33"/>
        <v>0</v>
      </c>
      <c r="R189" s="2407">
        <f t="shared" si="34"/>
        <v>0</v>
      </c>
      <c r="S189" s="3098">
        <f t="shared" si="25"/>
        <v>0</v>
      </c>
    </row>
    <row r="190" spans="1:19">
      <c r="A190" s="2571"/>
      <c r="B190" s="3107"/>
      <c r="C190" s="2407">
        <f t="shared" si="26"/>
        <v>1</v>
      </c>
      <c r="D190" s="3103"/>
      <c r="E190" s="2407">
        <f t="shared" si="27"/>
        <v>0</v>
      </c>
      <c r="F190" s="3103"/>
      <c r="G190" s="2407">
        <f t="shared" si="28"/>
        <v>1</v>
      </c>
      <c r="H190" s="3103"/>
      <c r="I190" s="2407">
        <f t="shared" si="29"/>
        <v>1</v>
      </c>
      <c r="J190" s="3103"/>
      <c r="K190" s="2407">
        <f t="shared" si="30"/>
        <v>1</v>
      </c>
      <c r="L190" s="3103"/>
      <c r="M190" s="2407">
        <f t="shared" si="31"/>
        <v>1</v>
      </c>
      <c r="N190" s="3103"/>
      <c r="O190" s="2407">
        <f t="shared" si="32"/>
        <v>1</v>
      </c>
      <c r="P190" s="3491"/>
      <c r="Q190" s="2407">
        <f t="shared" si="33"/>
        <v>0</v>
      </c>
      <c r="R190" s="2407">
        <f t="shared" si="34"/>
        <v>0</v>
      </c>
      <c r="S190" s="3098">
        <f t="shared" si="25"/>
        <v>0</v>
      </c>
    </row>
    <row r="191" spans="1:19">
      <c r="A191" s="2571"/>
      <c r="B191" s="3107"/>
      <c r="C191" s="2407">
        <f t="shared" si="26"/>
        <v>1</v>
      </c>
      <c r="D191" s="3103"/>
      <c r="E191" s="2407">
        <f t="shared" si="27"/>
        <v>0</v>
      </c>
      <c r="F191" s="3103"/>
      <c r="G191" s="2407">
        <f t="shared" si="28"/>
        <v>1</v>
      </c>
      <c r="H191" s="3103"/>
      <c r="I191" s="2407">
        <f t="shared" si="29"/>
        <v>1</v>
      </c>
      <c r="J191" s="3103"/>
      <c r="K191" s="2407">
        <f t="shared" si="30"/>
        <v>1</v>
      </c>
      <c r="L191" s="3103"/>
      <c r="M191" s="2407">
        <f t="shared" si="31"/>
        <v>1</v>
      </c>
      <c r="N191" s="3103"/>
      <c r="O191" s="2407">
        <f t="shared" si="32"/>
        <v>1</v>
      </c>
      <c r="P191" s="3491"/>
      <c r="Q191" s="2407">
        <f t="shared" si="33"/>
        <v>0</v>
      </c>
      <c r="R191" s="2407">
        <f t="shared" si="34"/>
        <v>0</v>
      </c>
      <c r="S191" s="3098">
        <f t="shared" si="25"/>
        <v>0</v>
      </c>
    </row>
    <row r="192" spans="1:19">
      <c r="A192" s="2571"/>
      <c r="B192" s="3107"/>
      <c r="C192" s="2407">
        <f t="shared" si="26"/>
        <v>1</v>
      </c>
      <c r="D192" s="3103"/>
      <c r="E192" s="2407">
        <f t="shared" si="27"/>
        <v>0</v>
      </c>
      <c r="F192" s="3103"/>
      <c r="G192" s="2407">
        <f t="shared" si="28"/>
        <v>1</v>
      </c>
      <c r="H192" s="3103"/>
      <c r="I192" s="2407">
        <f t="shared" si="29"/>
        <v>1</v>
      </c>
      <c r="J192" s="3103"/>
      <c r="K192" s="2407">
        <f t="shared" si="30"/>
        <v>1</v>
      </c>
      <c r="L192" s="3103"/>
      <c r="M192" s="2407">
        <f t="shared" si="31"/>
        <v>1</v>
      </c>
      <c r="N192" s="3103"/>
      <c r="O192" s="2407">
        <f t="shared" si="32"/>
        <v>1</v>
      </c>
      <c r="P192" s="3491"/>
      <c r="Q192" s="2407">
        <f t="shared" si="33"/>
        <v>0</v>
      </c>
      <c r="R192" s="2407">
        <f t="shared" si="34"/>
        <v>0</v>
      </c>
      <c r="S192" s="3098">
        <f t="shared" si="25"/>
        <v>0</v>
      </c>
    </row>
    <row r="193" spans="1:19">
      <c r="A193" s="2571"/>
      <c r="B193" s="3107"/>
      <c r="C193" s="2407">
        <f t="shared" si="26"/>
        <v>1</v>
      </c>
      <c r="D193" s="3103"/>
      <c r="E193" s="2407">
        <f t="shared" si="27"/>
        <v>0</v>
      </c>
      <c r="F193" s="3103"/>
      <c r="G193" s="2407">
        <f t="shared" si="28"/>
        <v>1</v>
      </c>
      <c r="H193" s="3103"/>
      <c r="I193" s="2407">
        <f t="shared" si="29"/>
        <v>1</v>
      </c>
      <c r="J193" s="3103"/>
      <c r="K193" s="2407">
        <f t="shared" si="30"/>
        <v>1</v>
      </c>
      <c r="L193" s="3103"/>
      <c r="M193" s="2407">
        <f t="shared" si="31"/>
        <v>1</v>
      </c>
      <c r="N193" s="3103"/>
      <c r="O193" s="2407">
        <f t="shared" si="32"/>
        <v>1</v>
      </c>
      <c r="P193" s="3491"/>
      <c r="Q193" s="2407">
        <f t="shared" si="33"/>
        <v>0</v>
      </c>
      <c r="R193" s="2407">
        <f t="shared" si="34"/>
        <v>0</v>
      </c>
      <c r="S193" s="3098">
        <f t="shared" si="25"/>
        <v>0</v>
      </c>
    </row>
    <row r="194" spans="1:19">
      <c r="A194" s="2571"/>
      <c r="B194" s="3107"/>
      <c r="C194" s="2407">
        <f t="shared" si="26"/>
        <v>1</v>
      </c>
      <c r="D194" s="3103"/>
      <c r="E194" s="2407">
        <f t="shared" si="27"/>
        <v>0</v>
      </c>
      <c r="F194" s="3103"/>
      <c r="G194" s="2407">
        <f t="shared" si="28"/>
        <v>1</v>
      </c>
      <c r="H194" s="3103"/>
      <c r="I194" s="2407">
        <f t="shared" si="29"/>
        <v>1</v>
      </c>
      <c r="J194" s="3103"/>
      <c r="K194" s="2407">
        <f t="shared" si="30"/>
        <v>1</v>
      </c>
      <c r="L194" s="3103"/>
      <c r="M194" s="2407">
        <f t="shared" si="31"/>
        <v>1</v>
      </c>
      <c r="N194" s="3103"/>
      <c r="O194" s="2407">
        <f t="shared" si="32"/>
        <v>1</v>
      </c>
      <c r="P194" s="3491"/>
      <c r="Q194" s="2407">
        <f t="shared" si="33"/>
        <v>0</v>
      </c>
      <c r="R194" s="2407">
        <f t="shared" si="34"/>
        <v>0</v>
      </c>
      <c r="S194" s="3098">
        <f t="shared" si="25"/>
        <v>0</v>
      </c>
    </row>
    <row r="195" spans="1:19">
      <c r="A195" s="2571"/>
      <c r="B195" s="3107"/>
      <c r="C195" s="2407">
        <f t="shared" si="26"/>
        <v>1</v>
      </c>
      <c r="D195" s="3103"/>
      <c r="E195" s="2407">
        <f t="shared" si="27"/>
        <v>0</v>
      </c>
      <c r="F195" s="3103"/>
      <c r="G195" s="2407">
        <f t="shared" si="28"/>
        <v>1</v>
      </c>
      <c r="H195" s="3103"/>
      <c r="I195" s="2407">
        <f t="shared" si="29"/>
        <v>1</v>
      </c>
      <c r="J195" s="3103"/>
      <c r="K195" s="2407">
        <f t="shared" si="30"/>
        <v>1</v>
      </c>
      <c r="L195" s="3103"/>
      <c r="M195" s="2407">
        <f t="shared" si="31"/>
        <v>1</v>
      </c>
      <c r="N195" s="3103"/>
      <c r="O195" s="2407">
        <f t="shared" si="32"/>
        <v>1</v>
      </c>
      <c r="P195" s="3491"/>
      <c r="Q195" s="2407">
        <f t="shared" si="33"/>
        <v>0</v>
      </c>
      <c r="R195" s="2407">
        <f t="shared" si="34"/>
        <v>0</v>
      </c>
      <c r="S195" s="3098">
        <f t="shared" si="25"/>
        <v>0</v>
      </c>
    </row>
    <row r="196" spans="1:19">
      <c r="A196" s="2571"/>
      <c r="B196" s="3107"/>
      <c r="C196" s="2407">
        <f t="shared" si="26"/>
        <v>1</v>
      </c>
      <c r="D196" s="3103"/>
      <c r="E196" s="2407">
        <f t="shared" si="27"/>
        <v>0</v>
      </c>
      <c r="F196" s="3103"/>
      <c r="G196" s="2407">
        <f t="shared" si="28"/>
        <v>1</v>
      </c>
      <c r="H196" s="3103"/>
      <c r="I196" s="2407">
        <f t="shared" si="29"/>
        <v>1</v>
      </c>
      <c r="J196" s="3103"/>
      <c r="K196" s="2407">
        <f t="shared" si="30"/>
        <v>1</v>
      </c>
      <c r="L196" s="3103"/>
      <c r="M196" s="2407">
        <f t="shared" si="31"/>
        <v>1</v>
      </c>
      <c r="N196" s="3103"/>
      <c r="O196" s="2407">
        <f t="shared" si="32"/>
        <v>1</v>
      </c>
      <c r="P196" s="3491"/>
      <c r="Q196" s="2407">
        <f t="shared" si="33"/>
        <v>0</v>
      </c>
      <c r="R196" s="2407">
        <f t="shared" si="34"/>
        <v>0</v>
      </c>
      <c r="S196" s="3098">
        <f t="shared" si="25"/>
        <v>0</v>
      </c>
    </row>
    <row r="197" spans="1:19">
      <c r="A197" s="2571"/>
      <c r="B197" s="3107"/>
      <c r="C197" s="2407">
        <f t="shared" si="26"/>
        <v>1</v>
      </c>
      <c r="D197" s="3103"/>
      <c r="E197" s="2407">
        <f t="shared" si="27"/>
        <v>0</v>
      </c>
      <c r="F197" s="3103"/>
      <c r="G197" s="2407">
        <f t="shared" si="28"/>
        <v>1</v>
      </c>
      <c r="H197" s="3103"/>
      <c r="I197" s="2407">
        <f t="shared" si="29"/>
        <v>1</v>
      </c>
      <c r="J197" s="3103"/>
      <c r="K197" s="2407">
        <f t="shared" si="30"/>
        <v>1</v>
      </c>
      <c r="L197" s="3103"/>
      <c r="M197" s="2407">
        <f t="shared" si="31"/>
        <v>1</v>
      </c>
      <c r="N197" s="3103"/>
      <c r="O197" s="2407">
        <f t="shared" si="32"/>
        <v>1</v>
      </c>
      <c r="P197" s="3491"/>
      <c r="Q197" s="2407">
        <f t="shared" si="33"/>
        <v>0</v>
      </c>
      <c r="R197" s="2407">
        <f t="shared" si="34"/>
        <v>0</v>
      </c>
      <c r="S197" s="3098">
        <f t="shared" si="25"/>
        <v>0</v>
      </c>
    </row>
    <row r="198" spans="1:19">
      <c r="A198" s="2571"/>
      <c r="B198" s="3107"/>
      <c r="C198" s="2407">
        <f t="shared" si="26"/>
        <v>1</v>
      </c>
      <c r="D198" s="3103"/>
      <c r="E198" s="2407">
        <f t="shared" si="27"/>
        <v>0</v>
      </c>
      <c r="F198" s="3103"/>
      <c r="G198" s="2407">
        <f t="shared" si="28"/>
        <v>1</v>
      </c>
      <c r="H198" s="3103"/>
      <c r="I198" s="2407">
        <f t="shared" si="29"/>
        <v>1</v>
      </c>
      <c r="J198" s="3103"/>
      <c r="K198" s="2407">
        <f t="shared" si="30"/>
        <v>1</v>
      </c>
      <c r="L198" s="3103"/>
      <c r="M198" s="2407">
        <f t="shared" si="31"/>
        <v>1</v>
      </c>
      <c r="N198" s="3103"/>
      <c r="O198" s="2407">
        <f t="shared" si="32"/>
        <v>1</v>
      </c>
      <c r="P198" s="3491"/>
      <c r="Q198" s="2407">
        <f t="shared" si="33"/>
        <v>0</v>
      </c>
      <c r="R198" s="2407">
        <f t="shared" si="34"/>
        <v>0</v>
      </c>
      <c r="S198" s="3098">
        <f t="shared" si="25"/>
        <v>0</v>
      </c>
    </row>
    <row r="199" spans="1:19">
      <c r="A199" s="2571"/>
      <c r="B199" s="3107"/>
      <c r="C199" s="2407">
        <f t="shared" si="26"/>
        <v>1</v>
      </c>
      <c r="D199" s="3103"/>
      <c r="E199" s="2407">
        <f t="shared" si="27"/>
        <v>0</v>
      </c>
      <c r="F199" s="3103"/>
      <c r="G199" s="2407">
        <f t="shared" si="28"/>
        <v>1</v>
      </c>
      <c r="H199" s="3103"/>
      <c r="I199" s="2407">
        <f t="shared" si="29"/>
        <v>1</v>
      </c>
      <c r="J199" s="3103"/>
      <c r="K199" s="2407">
        <f t="shared" si="30"/>
        <v>1</v>
      </c>
      <c r="L199" s="3103"/>
      <c r="M199" s="2407">
        <f t="shared" si="31"/>
        <v>1</v>
      </c>
      <c r="N199" s="3103"/>
      <c r="O199" s="2407">
        <f t="shared" si="32"/>
        <v>1</v>
      </c>
      <c r="P199" s="3491"/>
      <c r="Q199" s="2407">
        <f t="shared" si="33"/>
        <v>0</v>
      </c>
      <c r="R199" s="2407">
        <f t="shared" si="34"/>
        <v>0</v>
      </c>
      <c r="S199" s="3098">
        <f t="shared" si="25"/>
        <v>0</v>
      </c>
    </row>
    <row r="200" spans="1:19">
      <c r="A200" s="2571"/>
      <c r="B200" s="3107"/>
      <c r="C200" s="2407">
        <f t="shared" si="26"/>
        <v>1</v>
      </c>
      <c r="D200" s="3103"/>
      <c r="E200" s="2407">
        <f t="shared" si="27"/>
        <v>0</v>
      </c>
      <c r="F200" s="3103"/>
      <c r="G200" s="2407">
        <f t="shared" si="28"/>
        <v>1</v>
      </c>
      <c r="H200" s="3103"/>
      <c r="I200" s="2407">
        <f t="shared" si="29"/>
        <v>1</v>
      </c>
      <c r="J200" s="3103"/>
      <c r="K200" s="2407">
        <f t="shared" si="30"/>
        <v>1</v>
      </c>
      <c r="L200" s="3103"/>
      <c r="M200" s="2407">
        <f t="shared" si="31"/>
        <v>1</v>
      </c>
      <c r="N200" s="3103"/>
      <c r="O200" s="2407">
        <f t="shared" si="32"/>
        <v>1</v>
      </c>
      <c r="P200" s="3491"/>
      <c r="Q200" s="2407">
        <f t="shared" si="33"/>
        <v>0</v>
      </c>
      <c r="R200" s="2407">
        <f t="shared" si="34"/>
        <v>0</v>
      </c>
      <c r="S200" s="3098">
        <f t="shared" si="25"/>
        <v>0</v>
      </c>
    </row>
    <row r="201" spans="1:19">
      <c r="A201" s="2571"/>
      <c r="B201" s="3107"/>
      <c r="C201" s="2407">
        <f t="shared" si="26"/>
        <v>1</v>
      </c>
      <c r="D201" s="3103"/>
      <c r="E201" s="2407">
        <f t="shared" si="27"/>
        <v>0</v>
      </c>
      <c r="F201" s="3103"/>
      <c r="G201" s="2407">
        <f t="shared" si="28"/>
        <v>1</v>
      </c>
      <c r="H201" s="3103"/>
      <c r="I201" s="2407">
        <f t="shared" si="29"/>
        <v>1</v>
      </c>
      <c r="J201" s="3103"/>
      <c r="K201" s="2407">
        <f t="shared" si="30"/>
        <v>1</v>
      </c>
      <c r="L201" s="3103"/>
      <c r="M201" s="2407">
        <f t="shared" si="31"/>
        <v>1</v>
      </c>
      <c r="N201" s="3103"/>
      <c r="O201" s="2407">
        <f t="shared" si="32"/>
        <v>1</v>
      </c>
      <c r="P201" s="3491"/>
      <c r="Q201" s="2407">
        <f t="shared" si="33"/>
        <v>0</v>
      </c>
      <c r="R201" s="2407">
        <f t="shared" si="34"/>
        <v>0</v>
      </c>
      <c r="S201" s="3098">
        <f t="shared" si="25"/>
        <v>0</v>
      </c>
    </row>
    <row r="202" spans="1:19">
      <c r="A202" s="2571"/>
      <c r="B202" s="3107"/>
      <c r="C202" s="2407">
        <f t="shared" si="26"/>
        <v>1</v>
      </c>
      <c r="D202" s="3103"/>
      <c r="E202" s="2407">
        <f t="shared" si="27"/>
        <v>0</v>
      </c>
      <c r="F202" s="3103"/>
      <c r="G202" s="2407">
        <f t="shared" si="28"/>
        <v>1</v>
      </c>
      <c r="H202" s="3103"/>
      <c r="I202" s="2407">
        <f t="shared" si="29"/>
        <v>1</v>
      </c>
      <c r="J202" s="3103"/>
      <c r="K202" s="2407">
        <f t="shared" si="30"/>
        <v>1</v>
      </c>
      <c r="L202" s="3103"/>
      <c r="M202" s="2407">
        <f t="shared" si="31"/>
        <v>1</v>
      </c>
      <c r="N202" s="3103"/>
      <c r="O202" s="2407">
        <f t="shared" si="32"/>
        <v>1</v>
      </c>
      <c r="P202" s="3491"/>
      <c r="Q202" s="2407">
        <f t="shared" si="33"/>
        <v>0</v>
      </c>
      <c r="R202" s="2407">
        <f t="shared" si="34"/>
        <v>0</v>
      </c>
      <c r="S202" s="3098">
        <f t="shared" si="25"/>
        <v>0</v>
      </c>
    </row>
    <row r="203" spans="1:19">
      <c r="A203" s="2571"/>
      <c r="B203" s="3107"/>
      <c r="C203" s="2407">
        <f t="shared" si="26"/>
        <v>1</v>
      </c>
      <c r="D203" s="3103"/>
      <c r="E203" s="2407">
        <f t="shared" si="27"/>
        <v>0</v>
      </c>
      <c r="F203" s="3103"/>
      <c r="G203" s="2407">
        <f t="shared" si="28"/>
        <v>1</v>
      </c>
      <c r="H203" s="3103"/>
      <c r="I203" s="2407">
        <f t="shared" si="29"/>
        <v>1</v>
      </c>
      <c r="J203" s="3103"/>
      <c r="K203" s="2407">
        <f t="shared" si="30"/>
        <v>1</v>
      </c>
      <c r="L203" s="3103"/>
      <c r="M203" s="2407">
        <f t="shared" si="31"/>
        <v>1</v>
      </c>
      <c r="N203" s="3103"/>
      <c r="O203" s="2407">
        <f t="shared" si="32"/>
        <v>1</v>
      </c>
      <c r="P203" s="3491"/>
      <c r="Q203" s="2407">
        <f t="shared" si="33"/>
        <v>0</v>
      </c>
      <c r="R203" s="2407">
        <f t="shared" si="34"/>
        <v>0</v>
      </c>
      <c r="S203" s="3098">
        <f t="shared" si="25"/>
        <v>0</v>
      </c>
    </row>
    <row r="204" spans="1:19">
      <c r="A204" s="2571"/>
      <c r="B204" s="3107"/>
      <c r="C204" s="2407">
        <f t="shared" si="26"/>
        <v>1</v>
      </c>
      <c r="D204" s="3103"/>
      <c r="E204" s="2407">
        <f t="shared" si="27"/>
        <v>0</v>
      </c>
      <c r="F204" s="3103"/>
      <c r="G204" s="2407">
        <f t="shared" si="28"/>
        <v>1</v>
      </c>
      <c r="H204" s="3103"/>
      <c r="I204" s="2407">
        <f t="shared" si="29"/>
        <v>1</v>
      </c>
      <c r="J204" s="3103"/>
      <c r="K204" s="2407">
        <f t="shared" si="30"/>
        <v>1</v>
      </c>
      <c r="L204" s="3103"/>
      <c r="M204" s="2407">
        <f t="shared" si="31"/>
        <v>1</v>
      </c>
      <c r="N204" s="3103"/>
      <c r="O204" s="2407">
        <f t="shared" si="32"/>
        <v>1</v>
      </c>
      <c r="P204" s="3491"/>
      <c r="Q204" s="2407">
        <f t="shared" si="33"/>
        <v>0</v>
      </c>
      <c r="R204" s="2407">
        <f t="shared" si="34"/>
        <v>0</v>
      </c>
      <c r="S204" s="3098">
        <f t="shared" si="25"/>
        <v>0</v>
      </c>
    </row>
    <row r="205" spans="1:19">
      <c r="A205" s="2571"/>
      <c r="B205" s="3107"/>
      <c r="C205" s="2407">
        <f t="shared" si="26"/>
        <v>1</v>
      </c>
      <c r="D205" s="3103"/>
      <c r="E205" s="2407">
        <f t="shared" si="27"/>
        <v>0</v>
      </c>
      <c r="F205" s="3103"/>
      <c r="G205" s="2407">
        <f t="shared" si="28"/>
        <v>1</v>
      </c>
      <c r="H205" s="3103"/>
      <c r="I205" s="2407">
        <f t="shared" si="29"/>
        <v>1</v>
      </c>
      <c r="J205" s="3103"/>
      <c r="K205" s="2407">
        <f t="shared" si="30"/>
        <v>1</v>
      </c>
      <c r="L205" s="3103"/>
      <c r="M205" s="2407">
        <f t="shared" si="31"/>
        <v>1</v>
      </c>
      <c r="N205" s="3103"/>
      <c r="O205" s="2407">
        <f t="shared" si="32"/>
        <v>1</v>
      </c>
      <c r="P205" s="3491"/>
      <c r="Q205" s="2407">
        <f t="shared" si="33"/>
        <v>0</v>
      </c>
      <c r="R205" s="2407">
        <f t="shared" si="34"/>
        <v>0</v>
      </c>
      <c r="S205" s="3098">
        <f t="shared" si="25"/>
        <v>0</v>
      </c>
    </row>
    <row r="206" spans="1:19">
      <c r="A206" s="2571"/>
      <c r="B206" s="3107"/>
      <c r="C206" s="2407">
        <f t="shared" si="26"/>
        <v>1</v>
      </c>
      <c r="D206" s="3103"/>
      <c r="E206" s="2407">
        <f t="shared" si="27"/>
        <v>0</v>
      </c>
      <c r="F206" s="3103"/>
      <c r="G206" s="2407">
        <f t="shared" si="28"/>
        <v>1</v>
      </c>
      <c r="H206" s="3103"/>
      <c r="I206" s="2407">
        <f t="shared" si="29"/>
        <v>1</v>
      </c>
      <c r="J206" s="3103"/>
      <c r="K206" s="2407">
        <f t="shared" si="30"/>
        <v>1</v>
      </c>
      <c r="L206" s="3103"/>
      <c r="M206" s="2407">
        <f t="shared" si="31"/>
        <v>1</v>
      </c>
      <c r="N206" s="3103"/>
      <c r="O206" s="2407">
        <f t="shared" si="32"/>
        <v>1</v>
      </c>
      <c r="P206" s="3491"/>
      <c r="Q206" s="2407">
        <f t="shared" si="33"/>
        <v>0</v>
      </c>
      <c r="R206" s="2407">
        <f t="shared" si="34"/>
        <v>0</v>
      </c>
      <c r="S206" s="3098">
        <f t="shared" si="25"/>
        <v>0</v>
      </c>
    </row>
    <row r="207" spans="1:19">
      <c r="A207" s="2571"/>
      <c r="B207" s="3107"/>
      <c r="C207" s="2407">
        <f t="shared" si="26"/>
        <v>1</v>
      </c>
      <c r="D207" s="3103"/>
      <c r="E207" s="2407">
        <f t="shared" si="27"/>
        <v>0</v>
      </c>
      <c r="F207" s="3103"/>
      <c r="G207" s="2407">
        <f t="shared" si="28"/>
        <v>1</v>
      </c>
      <c r="H207" s="3103"/>
      <c r="I207" s="2407">
        <f t="shared" si="29"/>
        <v>1</v>
      </c>
      <c r="J207" s="3103"/>
      <c r="K207" s="2407">
        <f t="shared" si="30"/>
        <v>1</v>
      </c>
      <c r="L207" s="3103"/>
      <c r="M207" s="2407">
        <f t="shared" si="31"/>
        <v>1</v>
      </c>
      <c r="N207" s="3103"/>
      <c r="O207" s="2407">
        <f t="shared" si="32"/>
        <v>1</v>
      </c>
      <c r="P207" s="3491"/>
      <c r="Q207" s="2407">
        <f t="shared" si="33"/>
        <v>0</v>
      </c>
      <c r="R207" s="2407">
        <f t="shared" si="34"/>
        <v>0</v>
      </c>
      <c r="S207" s="3098">
        <f t="shared" si="25"/>
        <v>0</v>
      </c>
    </row>
    <row r="208" spans="1:19">
      <c r="A208" s="2571"/>
      <c r="B208" s="3107"/>
      <c r="C208" s="2407">
        <f t="shared" si="26"/>
        <v>1</v>
      </c>
      <c r="D208" s="3103"/>
      <c r="E208" s="2407">
        <f t="shared" si="27"/>
        <v>0</v>
      </c>
      <c r="F208" s="3103"/>
      <c r="G208" s="2407">
        <f t="shared" si="28"/>
        <v>1</v>
      </c>
      <c r="H208" s="3103"/>
      <c r="I208" s="2407">
        <f t="shared" si="29"/>
        <v>1</v>
      </c>
      <c r="J208" s="3103"/>
      <c r="K208" s="2407">
        <f t="shared" si="30"/>
        <v>1</v>
      </c>
      <c r="L208" s="3103"/>
      <c r="M208" s="2407">
        <f t="shared" si="31"/>
        <v>1</v>
      </c>
      <c r="N208" s="3103"/>
      <c r="O208" s="2407">
        <f t="shared" si="32"/>
        <v>1</v>
      </c>
      <c r="P208" s="3491"/>
      <c r="Q208" s="2407">
        <f t="shared" si="33"/>
        <v>0</v>
      </c>
      <c r="R208" s="2407">
        <f t="shared" si="34"/>
        <v>0</v>
      </c>
      <c r="S208" s="3098">
        <f t="shared" si="25"/>
        <v>0</v>
      </c>
    </row>
    <row r="209" spans="1:19">
      <c r="A209" s="2571"/>
      <c r="B209" s="3107"/>
      <c r="C209" s="2407">
        <f t="shared" si="26"/>
        <v>1</v>
      </c>
      <c r="D209" s="3103"/>
      <c r="E209" s="2407">
        <f t="shared" si="27"/>
        <v>0</v>
      </c>
      <c r="F209" s="3103"/>
      <c r="G209" s="2407">
        <f t="shared" si="28"/>
        <v>1</v>
      </c>
      <c r="H209" s="3103"/>
      <c r="I209" s="2407">
        <f t="shared" si="29"/>
        <v>1</v>
      </c>
      <c r="J209" s="3103"/>
      <c r="K209" s="2407">
        <f t="shared" si="30"/>
        <v>1</v>
      </c>
      <c r="L209" s="3103"/>
      <c r="M209" s="2407">
        <f t="shared" si="31"/>
        <v>1</v>
      </c>
      <c r="N209" s="3103"/>
      <c r="O209" s="2407">
        <f t="shared" si="32"/>
        <v>1</v>
      </c>
      <c r="P209" s="3491"/>
      <c r="Q209" s="2407">
        <f t="shared" si="33"/>
        <v>0</v>
      </c>
      <c r="R209" s="2407">
        <f t="shared" si="34"/>
        <v>0</v>
      </c>
      <c r="S209" s="3098">
        <f t="shared" si="25"/>
        <v>0</v>
      </c>
    </row>
    <row r="210" spans="1:19">
      <c r="A210" s="2571"/>
      <c r="B210" s="3107"/>
      <c r="C210" s="2407">
        <f t="shared" si="26"/>
        <v>1</v>
      </c>
      <c r="D210" s="3103"/>
      <c r="E210" s="2407">
        <f t="shared" si="27"/>
        <v>0</v>
      </c>
      <c r="F210" s="3103"/>
      <c r="G210" s="2407">
        <f t="shared" si="28"/>
        <v>1</v>
      </c>
      <c r="H210" s="3103"/>
      <c r="I210" s="2407">
        <f t="shared" si="29"/>
        <v>1</v>
      </c>
      <c r="J210" s="3103"/>
      <c r="K210" s="2407">
        <f t="shared" si="30"/>
        <v>1</v>
      </c>
      <c r="L210" s="3103"/>
      <c r="M210" s="2407">
        <f t="shared" si="31"/>
        <v>1</v>
      </c>
      <c r="N210" s="3103"/>
      <c r="O210" s="2407">
        <f t="shared" si="32"/>
        <v>1</v>
      </c>
      <c r="P210" s="3491"/>
      <c r="Q210" s="2407">
        <f t="shared" si="33"/>
        <v>0</v>
      </c>
      <c r="R210" s="2407">
        <f t="shared" si="34"/>
        <v>0</v>
      </c>
      <c r="S210" s="3098">
        <f t="shared" si="25"/>
        <v>0</v>
      </c>
    </row>
    <row r="211" spans="1:19">
      <c r="A211" s="2571"/>
      <c r="B211" s="3107"/>
      <c r="C211" s="2407">
        <f t="shared" si="26"/>
        <v>1</v>
      </c>
      <c r="D211" s="3103"/>
      <c r="E211" s="2407">
        <f t="shared" si="27"/>
        <v>0</v>
      </c>
      <c r="F211" s="3103"/>
      <c r="G211" s="2407">
        <f t="shared" si="28"/>
        <v>1</v>
      </c>
      <c r="H211" s="3103"/>
      <c r="I211" s="2407">
        <f t="shared" si="29"/>
        <v>1</v>
      </c>
      <c r="J211" s="3103"/>
      <c r="K211" s="2407">
        <f t="shared" si="30"/>
        <v>1</v>
      </c>
      <c r="L211" s="3103"/>
      <c r="M211" s="2407">
        <f t="shared" si="31"/>
        <v>1</v>
      </c>
      <c r="N211" s="3103"/>
      <c r="O211" s="2407">
        <f t="shared" si="32"/>
        <v>1</v>
      </c>
      <c r="P211" s="3491"/>
      <c r="Q211" s="2407">
        <f t="shared" si="33"/>
        <v>0</v>
      </c>
      <c r="R211" s="2407">
        <f t="shared" si="34"/>
        <v>0</v>
      </c>
      <c r="S211" s="3098">
        <f t="shared" si="25"/>
        <v>0</v>
      </c>
    </row>
    <row r="212" spans="1:19">
      <c r="A212" s="2571"/>
      <c r="B212" s="3107"/>
      <c r="C212" s="2407">
        <f t="shared" si="26"/>
        <v>1</v>
      </c>
      <c r="D212" s="3103"/>
      <c r="E212" s="2407">
        <f t="shared" si="27"/>
        <v>0</v>
      </c>
      <c r="F212" s="3103"/>
      <c r="G212" s="2407">
        <f t="shared" si="28"/>
        <v>1</v>
      </c>
      <c r="H212" s="3103"/>
      <c r="I212" s="2407">
        <f t="shared" si="29"/>
        <v>1</v>
      </c>
      <c r="J212" s="3103"/>
      <c r="K212" s="2407">
        <f t="shared" si="30"/>
        <v>1</v>
      </c>
      <c r="L212" s="3103"/>
      <c r="M212" s="2407">
        <f t="shared" si="31"/>
        <v>1</v>
      </c>
      <c r="N212" s="3103"/>
      <c r="O212" s="2407">
        <f t="shared" si="32"/>
        <v>1</v>
      </c>
      <c r="P212" s="3491"/>
      <c r="Q212" s="2407">
        <f t="shared" si="33"/>
        <v>0</v>
      </c>
      <c r="R212" s="2407">
        <f t="shared" si="34"/>
        <v>0</v>
      </c>
      <c r="S212" s="3098">
        <f t="shared" si="25"/>
        <v>0</v>
      </c>
    </row>
    <row r="213" spans="1:19">
      <c r="A213" s="2571"/>
      <c r="B213" s="3107"/>
      <c r="C213" s="2407">
        <f t="shared" si="26"/>
        <v>1</v>
      </c>
      <c r="D213" s="3103"/>
      <c r="E213" s="2407">
        <f t="shared" si="27"/>
        <v>0</v>
      </c>
      <c r="F213" s="3103"/>
      <c r="G213" s="2407">
        <f t="shared" si="28"/>
        <v>1</v>
      </c>
      <c r="H213" s="3103"/>
      <c r="I213" s="2407">
        <f t="shared" si="29"/>
        <v>1</v>
      </c>
      <c r="J213" s="3103"/>
      <c r="K213" s="2407">
        <f t="shared" si="30"/>
        <v>1</v>
      </c>
      <c r="L213" s="3103"/>
      <c r="M213" s="2407">
        <f t="shared" si="31"/>
        <v>1</v>
      </c>
      <c r="N213" s="3103"/>
      <c r="O213" s="2407">
        <f t="shared" si="32"/>
        <v>1</v>
      </c>
      <c r="P213" s="3491"/>
      <c r="Q213" s="2407">
        <f t="shared" si="33"/>
        <v>0</v>
      </c>
      <c r="R213" s="2407">
        <f t="shared" si="34"/>
        <v>0</v>
      </c>
      <c r="S213" s="3098">
        <f t="shared" si="25"/>
        <v>0</v>
      </c>
    </row>
    <row r="214" spans="1:19">
      <c r="A214" s="2571"/>
      <c r="B214" s="3107"/>
      <c r="C214" s="2407">
        <f t="shared" si="26"/>
        <v>1</v>
      </c>
      <c r="D214" s="3103"/>
      <c r="E214" s="2407">
        <f t="shared" si="27"/>
        <v>0</v>
      </c>
      <c r="F214" s="3103"/>
      <c r="G214" s="2407">
        <f t="shared" si="28"/>
        <v>1</v>
      </c>
      <c r="H214" s="3103"/>
      <c r="I214" s="2407">
        <f t="shared" si="29"/>
        <v>1</v>
      </c>
      <c r="J214" s="3103"/>
      <c r="K214" s="2407">
        <f t="shared" si="30"/>
        <v>1</v>
      </c>
      <c r="L214" s="3103"/>
      <c r="M214" s="2407">
        <f t="shared" si="31"/>
        <v>1</v>
      </c>
      <c r="N214" s="3103"/>
      <c r="O214" s="2407">
        <f t="shared" si="32"/>
        <v>1</v>
      </c>
      <c r="P214" s="3491"/>
      <c r="Q214" s="2407">
        <f t="shared" si="33"/>
        <v>0</v>
      </c>
      <c r="R214" s="2407">
        <f t="shared" si="34"/>
        <v>0</v>
      </c>
      <c r="S214" s="3098">
        <f t="shared" si="25"/>
        <v>0</v>
      </c>
    </row>
    <row r="215" spans="1:19">
      <c r="A215" s="2571"/>
      <c r="B215" s="3107"/>
      <c r="C215" s="2407">
        <f t="shared" si="26"/>
        <v>1</v>
      </c>
      <c r="D215" s="3103"/>
      <c r="E215" s="2407">
        <f t="shared" si="27"/>
        <v>0</v>
      </c>
      <c r="F215" s="3103"/>
      <c r="G215" s="2407">
        <f t="shared" si="28"/>
        <v>1</v>
      </c>
      <c r="H215" s="3103"/>
      <c r="I215" s="2407">
        <f t="shared" si="29"/>
        <v>1</v>
      </c>
      <c r="J215" s="3103"/>
      <c r="K215" s="2407">
        <f t="shared" si="30"/>
        <v>1</v>
      </c>
      <c r="L215" s="3103"/>
      <c r="M215" s="2407">
        <f t="shared" si="31"/>
        <v>1</v>
      </c>
      <c r="N215" s="3103"/>
      <c r="O215" s="2407">
        <f t="shared" si="32"/>
        <v>1</v>
      </c>
      <c r="P215" s="3491"/>
      <c r="Q215" s="2407">
        <f t="shared" si="33"/>
        <v>0</v>
      </c>
      <c r="R215" s="2407">
        <f t="shared" si="34"/>
        <v>0</v>
      </c>
      <c r="S215" s="3098">
        <f t="shared" si="25"/>
        <v>0</v>
      </c>
    </row>
    <row r="216" spans="1:19">
      <c r="A216" s="2571"/>
      <c r="B216" s="3107"/>
      <c r="C216" s="2407">
        <f t="shared" si="26"/>
        <v>1</v>
      </c>
      <c r="D216" s="3103"/>
      <c r="E216" s="2407">
        <f t="shared" si="27"/>
        <v>0</v>
      </c>
      <c r="F216" s="3103"/>
      <c r="G216" s="2407">
        <f t="shared" si="28"/>
        <v>1</v>
      </c>
      <c r="H216" s="3103"/>
      <c r="I216" s="2407">
        <f t="shared" si="29"/>
        <v>1</v>
      </c>
      <c r="J216" s="3103"/>
      <c r="K216" s="2407">
        <f t="shared" si="30"/>
        <v>1</v>
      </c>
      <c r="L216" s="3103"/>
      <c r="M216" s="2407">
        <f t="shared" si="31"/>
        <v>1</v>
      </c>
      <c r="N216" s="3103"/>
      <c r="O216" s="2407">
        <f t="shared" si="32"/>
        <v>1</v>
      </c>
      <c r="P216" s="3491"/>
      <c r="Q216" s="2407">
        <f t="shared" si="33"/>
        <v>0</v>
      </c>
      <c r="R216" s="2407">
        <f t="shared" si="34"/>
        <v>0</v>
      </c>
      <c r="S216" s="3098">
        <f t="shared" ref="S216:S279" si="35">ROUND(R216*B216/10000,0)</f>
        <v>0</v>
      </c>
    </row>
    <row r="217" spans="1:19">
      <c r="A217" s="2571"/>
      <c r="B217" s="3107"/>
      <c r="C217" s="2407">
        <f t="shared" si="26"/>
        <v>1</v>
      </c>
      <c r="D217" s="3103"/>
      <c r="E217" s="2407">
        <f t="shared" si="27"/>
        <v>0</v>
      </c>
      <c r="F217" s="3103"/>
      <c r="G217" s="2407">
        <f t="shared" si="28"/>
        <v>1</v>
      </c>
      <c r="H217" s="3103"/>
      <c r="I217" s="2407">
        <f t="shared" si="29"/>
        <v>1</v>
      </c>
      <c r="J217" s="3103"/>
      <c r="K217" s="2407">
        <f t="shared" si="30"/>
        <v>1</v>
      </c>
      <c r="L217" s="3103"/>
      <c r="M217" s="2407">
        <f t="shared" si="31"/>
        <v>1</v>
      </c>
      <c r="N217" s="3103"/>
      <c r="O217" s="2407">
        <f t="shared" si="32"/>
        <v>1</v>
      </c>
      <c r="P217" s="3491"/>
      <c r="Q217" s="2407">
        <f t="shared" si="33"/>
        <v>0</v>
      </c>
      <c r="R217" s="2407">
        <f t="shared" si="34"/>
        <v>0</v>
      </c>
      <c r="S217" s="3098">
        <f t="shared" si="35"/>
        <v>0</v>
      </c>
    </row>
    <row r="218" spans="1:19">
      <c r="A218" s="2571"/>
      <c r="B218" s="3107"/>
      <c r="C218" s="2407">
        <f t="shared" ref="C218:C281" si="36">IF(B218="",1,(LOOKUP(B218,$3:$3,$4:$4)-LOOKUP($B$24,$3:$3,$4:$4)+100)/100)</f>
        <v>1</v>
      </c>
      <c r="D218" s="3103"/>
      <c r="E218" s="2407">
        <f t="shared" ref="E218:E281" si="37">(SUMIF($5:$5,D218,$6:$6)-SUMIF($5:$5,$D$24,$6:$6)+100)/100</f>
        <v>0</v>
      </c>
      <c r="F218" s="3103"/>
      <c r="G218" s="2407">
        <f t="shared" ref="G218:G281" si="38">(SUMIF($7:$7,F218,$8:$8)-SUMIF($7:$7,$F$24,$8:$8)+100)/100</f>
        <v>1</v>
      </c>
      <c r="H218" s="3103"/>
      <c r="I218" s="2407">
        <f t="shared" ref="I218:I281" si="39">(SUMIF($9:$9,H218,$10:$10)-SUMIF($9:$9,$H$24,$10:$10)+100)/100</f>
        <v>1</v>
      </c>
      <c r="J218" s="3103"/>
      <c r="K218" s="2407">
        <f t="shared" ref="K218:K281" si="40">(SUMIF($11:$11,J218,$12:$12)-SUMIF($11:$11,$J$24,$12:$12)+100)/100</f>
        <v>1</v>
      </c>
      <c r="L218" s="3103"/>
      <c r="M218" s="2407">
        <f t="shared" ref="M218:M281" si="41">(SUMIF($13:$13,L218,$14:$14)-SUMIF($13:$13,$L$24,$14:$14)+100)/100</f>
        <v>1</v>
      </c>
      <c r="N218" s="3103"/>
      <c r="O218" s="2407">
        <f t="shared" ref="O218:O281" si="42">(SUMIF($15:$15,N218,$16:$16)-SUMIF($15:$15,$N$24,$16:$16)+100)/100</f>
        <v>1</v>
      </c>
      <c r="P218" s="3491"/>
      <c r="Q218" s="2407">
        <f t="shared" ref="Q218:Q281" si="43">(SUMIF($17:$17,P218,$18:$18)-SUMIF($17:$17,$P$24,$18:$18)+100)/100</f>
        <v>0</v>
      </c>
      <c r="R218" s="2407">
        <f t="shared" ref="R218:R281" si="44">IF(B218="",0,ROUND($R$24*C218*E218*G218*I218*K218*M218*O218*Q218,0))</f>
        <v>0</v>
      </c>
      <c r="S218" s="3098">
        <f t="shared" si="35"/>
        <v>0</v>
      </c>
    </row>
    <row r="219" spans="1:19">
      <c r="A219" s="2571"/>
      <c r="B219" s="3107"/>
      <c r="C219" s="2407">
        <f t="shared" si="36"/>
        <v>1</v>
      </c>
      <c r="D219" s="3103"/>
      <c r="E219" s="2407">
        <f t="shared" si="37"/>
        <v>0</v>
      </c>
      <c r="F219" s="3103"/>
      <c r="G219" s="2407">
        <f t="shared" si="38"/>
        <v>1</v>
      </c>
      <c r="H219" s="3103"/>
      <c r="I219" s="2407">
        <f t="shared" si="39"/>
        <v>1</v>
      </c>
      <c r="J219" s="3103"/>
      <c r="K219" s="2407">
        <f t="shared" si="40"/>
        <v>1</v>
      </c>
      <c r="L219" s="3103"/>
      <c r="M219" s="2407">
        <f t="shared" si="41"/>
        <v>1</v>
      </c>
      <c r="N219" s="3103"/>
      <c r="O219" s="2407">
        <f t="shared" si="42"/>
        <v>1</v>
      </c>
      <c r="P219" s="3491"/>
      <c r="Q219" s="2407">
        <f t="shared" si="43"/>
        <v>0</v>
      </c>
      <c r="R219" s="2407">
        <f t="shared" si="44"/>
        <v>0</v>
      </c>
      <c r="S219" s="3098">
        <f t="shared" si="35"/>
        <v>0</v>
      </c>
    </row>
    <row r="220" spans="1:19">
      <c r="A220" s="2571"/>
      <c r="B220" s="3107"/>
      <c r="C220" s="2407">
        <f t="shared" si="36"/>
        <v>1</v>
      </c>
      <c r="D220" s="3103"/>
      <c r="E220" s="2407">
        <f t="shared" si="37"/>
        <v>0</v>
      </c>
      <c r="F220" s="3103"/>
      <c r="G220" s="2407">
        <f t="shared" si="38"/>
        <v>1</v>
      </c>
      <c r="H220" s="3103"/>
      <c r="I220" s="2407">
        <f t="shared" si="39"/>
        <v>1</v>
      </c>
      <c r="J220" s="3103"/>
      <c r="K220" s="2407">
        <f t="shared" si="40"/>
        <v>1</v>
      </c>
      <c r="L220" s="3103"/>
      <c r="M220" s="2407">
        <f t="shared" si="41"/>
        <v>1</v>
      </c>
      <c r="N220" s="3103"/>
      <c r="O220" s="2407">
        <f t="shared" si="42"/>
        <v>1</v>
      </c>
      <c r="P220" s="3491"/>
      <c r="Q220" s="2407">
        <f t="shared" si="43"/>
        <v>0</v>
      </c>
      <c r="R220" s="2407">
        <f t="shared" si="44"/>
        <v>0</v>
      </c>
      <c r="S220" s="3098">
        <f t="shared" si="35"/>
        <v>0</v>
      </c>
    </row>
    <row r="221" spans="1:19">
      <c r="A221" s="2571"/>
      <c r="B221" s="3107"/>
      <c r="C221" s="2407">
        <f t="shared" si="36"/>
        <v>1</v>
      </c>
      <c r="D221" s="3103"/>
      <c r="E221" s="2407">
        <f t="shared" si="37"/>
        <v>0</v>
      </c>
      <c r="F221" s="3103"/>
      <c r="G221" s="2407">
        <f t="shared" si="38"/>
        <v>1</v>
      </c>
      <c r="H221" s="3103"/>
      <c r="I221" s="2407">
        <f t="shared" si="39"/>
        <v>1</v>
      </c>
      <c r="J221" s="3103"/>
      <c r="K221" s="2407">
        <f t="shared" si="40"/>
        <v>1</v>
      </c>
      <c r="L221" s="3103"/>
      <c r="M221" s="2407">
        <f t="shared" si="41"/>
        <v>1</v>
      </c>
      <c r="N221" s="3103"/>
      <c r="O221" s="2407">
        <f t="shared" si="42"/>
        <v>1</v>
      </c>
      <c r="P221" s="3491"/>
      <c r="Q221" s="2407">
        <f t="shared" si="43"/>
        <v>0</v>
      </c>
      <c r="R221" s="2407">
        <f t="shared" si="44"/>
        <v>0</v>
      </c>
      <c r="S221" s="3098">
        <f t="shared" si="35"/>
        <v>0</v>
      </c>
    </row>
    <row r="222" spans="1:19">
      <c r="A222" s="2571"/>
      <c r="B222" s="3107"/>
      <c r="C222" s="2407">
        <f t="shared" si="36"/>
        <v>1</v>
      </c>
      <c r="D222" s="3103"/>
      <c r="E222" s="2407">
        <f t="shared" si="37"/>
        <v>0</v>
      </c>
      <c r="F222" s="3103"/>
      <c r="G222" s="2407">
        <f t="shared" si="38"/>
        <v>1</v>
      </c>
      <c r="H222" s="3103"/>
      <c r="I222" s="2407">
        <f t="shared" si="39"/>
        <v>1</v>
      </c>
      <c r="J222" s="3103"/>
      <c r="K222" s="2407">
        <f t="shared" si="40"/>
        <v>1</v>
      </c>
      <c r="L222" s="3103"/>
      <c r="M222" s="2407">
        <f t="shared" si="41"/>
        <v>1</v>
      </c>
      <c r="N222" s="3103"/>
      <c r="O222" s="2407">
        <f t="shared" si="42"/>
        <v>1</v>
      </c>
      <c r="P222" s="3491"/>
      <c r="Q222" s="2407">
        <f t="shared" si="43"/>
        <v>0</v>
      </c>
      <c r="R222" s="2407">
        <f t="shared" si="44"/>
        <v>0</v>
      </c>
      <c r="S222" s="3098">
        <f t="shared" si="35"/>
        <v>0</v>
      </c>
    </row>
    <row r="223" spans="1:19">
      <c r="A223" s="2571"/>
      <c r="B223" s="3107"/>
      <c r="C223" s="2407">
        <f t="shared" si="36"/>
        <v>1</v>
      </c>
      <c r="D223" s="3103"/>
      <c r="E223" s="2407">
        <f t="shared" si="37"/>
        <v>0</v>
      </c>
      <c r="F223" s="3103"/>
      <c r="G223" s="2407">
        <f t="shared" si="38"/>
        <v>1</v>
      </c>
      <c r="H223" s="3103"/>
      <c r="I223" s="2407">
        <f t="shared" si="39"/>
        <v>1</v>
      </c>
      <c r="J223" s="3103"/>
      <c r="K223" s="2407">
        <f t="shared" si="40"/>
        <v>1</v>
      </c>
      <c r="L223" s="3103"/>
      <c r="M223" s="2407">
        <f t="shared" si="41"/>
        <v>1</v>
      </c>
      <c r="N223" s="3103"/>
      <c r="O223" s="2407">
        <f t="shared" si="42"/>
        <v>1</v>
      </c>
      <c r="P223" s="3491"/>
      <c r="Q223" s="2407">
        <f t="shared" si="43"/>
        <v>0</v>
      </c>
      <c r="R223" s="2407">
        <f t="shared" si="44"/>
        <v>0</v>
      </c>
      <c r="S223" s="3098">
        <f t="shared" si="35"/>
        <v>0</v>
      </c>
    </row>
    <row r="224" spans="1:19">
      <c r="A224" s="2571"/>
      <c r="B224" s="3107"/>
      <c r="C224" s="2407">
        <f t="shared" si="36"/>
        <v>1</v>
      </c>
      <c r="D224" s="3103"/>
      <c r="E224" s="2407">
        <f t="shared" si="37"/>
        <v>0</v>
      </c>
      <c r="F224" s="3103"/>
      <c r="G224" s="2407">
        <f t="shared" si="38"/>
        <v>1</v>
      </c>
      <c r="H224" s="3103"/>
      <c r="I224" s="2407">
        <f t="shared" si="39"/>
        <v>1</v>
      </c>
      <c r="J224" s="3103"/>
      <c r="K224" s="2407">
        <f t="shared" si="40"/>
        <v>1</v>
      </c>
      <c r="L224" s="3103"/>
      <c r="M224" s="2407">
        <f t="shared" si="41"/>
        <v>1</v>
      </c>
      <c r="N224" s="3103"/>
      <c r="O224" s="2407">
        <f t="shared" si="42"/>
        <v>1</v>
      </c>
      <c r="P224" s="3491"/>
      <c r="Q224" s="2407">
        <f t="shared" si="43"/>
        <v>0</v>
      </c>
      <c r="R224" s="2407">
        <f t="shared" si="44"/>
        <v>0</v>
      </c>
      <c r="S224" s="3098">
        <f t="shared" si="35"/>
        <v>0</v>
      </c>
    </row>
    <row r="225" spans="1:19">
      <c r="A225" s="2571"/>
      <c r="B225" s="3107"/>
      <c r="C225" s="2407">
        <f t="shared" si="36"/>
        <v>1</v>
      </c>
      <c r="D225" s="3103"/>
      <c r="E225" s="2407">
        <f t="shared" si="37"/>
        <v>0</v>
      </c>
      <c r="F225" s="3103"/>
      <c r="G225" s="2407">
        <f t="shared" si="38"/>
        <v>1</v>
      </c>
      <c r="H225" s="3103"/>
      <c r="I225" s="2407">
        <f t="shared" si="39"/>
        <v>1</v>
      </c>
      <c r="J225" s="3103"/>
      <c r="K225" s="2407">
        <f t="shared" si="40"/>
        <v>1</v>
      </c>
      <c r="L225" s="3103"/>
      <c r="M225" s="2407">
        <f t="shared" si="41"/>
        <v>1</v>
      </c>
      <c r="N225" s="3103"/>
      <c r="O225" s="2407">
        <f t="shared" si="42"/>
        <v>1</v>
      </c>
      <c r="P225" s="3491"/>
      <c r="Q225" s="2407">
        <f t="shared" si="43"/>
        <v>0</v>
      </c>
      <c r="R225" s="2407">
        <f t="shared" si="44"/>
        <v>0</v>
      </c>
      <c r="S225" s="3098">
        <f t="shared" si="35"/>
        <v>0</v>
      </c>
    </row>
    <row r="226" spans="1:19">
      <c r="A226" s="2571"/>
      <c r="B226" s="3107"/>
      <c r="C226" s="2407">
        <f t="shared" si="36"/>
        <v>1</v>
      </c>
      <c r="D226" s="3103"/>
      <c r="E226" s="2407">
        <f t="shared" si="37"/>
        <v>0</v>
      </c>
      <c r="F226" s="3103"/>
      <c r="G226" s="2407">
        <f t="shared" si="38"/>
        <v>1</v>
      </c>
      <c r="H226" s="3103"/>
      <c r="I226" s="2407">
        <f t="shared" si="39"/>
        <v>1</v>
      </c>
      <c r="J226" s="3103"/>
      <c r="K226" s="2407">
        <f t="shared" si="40"/>
        <v>1</v>
      </c>
      <c r="L226" s="3103"/>
      <c r="M226" s="2407">
        <f t="shared" si="41"/>
        <v>1</v>
      </c>
      <c r="N226" s="3103"/>
      <c r="O226" s="2407">
        <f t="shared" si="42"/>
        <v>1</v>
      </c>
      <c r="P226" s="3491"/>
      <c r="Q226" s="2407">
        <f t="shared" si="43"/>
        <v>0</v>
      </c>
      <c r="R226" s="2407">
        <f t="shared" si="44"/>
        <v>0</v>
      </c>
      <c r="S226" s="3098">
        <f t="shared" si="35"/>
        <v>0</v>
      </c>
    </row>
    <row r="227" spans="1:19">
      <c r="A227" s="2571"/>
      <c r="B227" s="3107"/>
      <c r="C227" s="2407">
        <f t="shared" si="36"/>
        <v>1</v>
      </c>
      <c r="D227" s="3103"/>
      <c r="E227" s="2407">
        <f t="shared" si="37"/>
        <v>0</v>
      </c>
      <c r="F227" s="3103"/>
      <c r="G227" s="2407">
        <f t="shared" si="38"/>
        <v>1</v>
      </c>
      <c r="H227" s="3103"/>
      <c r="I227" s="2407">
        <f t="shared" si="39"/>
        <v>1</v>
      </c>
      <c r="J227" s="3103"/>
      <c r="K227" s="2407">
        <f t="shared" si="40"/>
        <v>1</v>
      </c>
      <c r="L227" s="3103"/>
      <c r="M227" s="2407">
        <f t="shared" si="41"/>
        <v>1</v>
      </c>
      <c r="N227" s="3103"/>
      <c r="O227" s="2407">
        <f t="shared" si="42"/>
        <v>1</v>
      </c>
      <c r="P227" s="3491"/>
      <c r="Q227" s="2407">
        <f t="shared" si="43"/>
        <v>0</v>
      </c>
      <c r="R227" s="2407">
        <f t="shared" si="44"/>
        <v>0</v>
      </c>
      <c r="S227" s="3098">
        <f t="shared" si="35"/>
        <v>0</v>
      </c>
    </row>
    <row r="228" spans="1:19">
      <c r="A228" s="2571"/>
      <c r="B228" s="3107"/>
      <c r="C228" s="2407">
        <f t="shared" si="36"/>
        <v>1</v>
      </c>
      <c r="D228" s="3103"/>
      <c r="E228" s="2407">
        <f t="shared" si="37"/>
        <v>0</v>
      </c>
      <c r="F228" s="3103"/>
      <c r="G228" s="2407">
        <f t="shared" si="38"/>
        <v>1</v>
      </c>
      <c r="H228" s="3103"/>
      <c r="I228" s="2407">
        <f t="shared" si="39"/>
        <v>1</v>
      </c>
      <c r="J228" s="3103"/>
      <c r="K228" s="2407">
        <f t="shared" si="40"/>
        <v>1</v>
      </c>
      <c r="L228" s="3103"/>
      <c r="M228" s="2407">
        <f t="shared" si="41"/>
        <v>1</v>
      </c>
      <c r="N228" s="3103"/>
      <c r="O228" s="2407">
        <f t="shared" si="42"/>
        <v>1</v>
      </c>
      <c r="P228" s="3491"/>
      <c r="Q228" s="2407">
        <f t="shared" si="43"/>
        <v>0</v>
      </c>
      <c r="R228" s="2407">
        <f t="shared" si="44"/>
        <v>0</v>
      </c>
      <c r="S228" s="3098">
        <f t="shared" si="35"/>
        <v>0</v>
      </c>
    </row>
    <row r="229" spans="1:19">
      <c r="A229" s="2571"/>
      <c r="B229" s="3107"/>
      <c r="C229" s="2407">
        <f t="shared" si="36"/>
        <v>1</v>
      </c>
      <c r="D229" s="3103"/>
      <c r="E229" s="2407">
        <f t="shared" si="37"/>
        <v>0</v>
      </c>
      <c r="F229" s="3103"/>
      <c r="G229" s="2407">
        <f t="shared" si="38"/>
        <v>1</v>
      </c>
      <c r="H229" s="3103"/>
      <c r="I229" s="2407">
        <f t="shared" si="39"/>
        <v>1</v>
      </c>
      <c r="J229" s="3103"/>
      <c r="K229" s="2407">
        <f t="shared" si="40"/>
        <v>1</v>
      </c>
      <c r="L229" s="3103"/>
      <c r="M229" s="2407">
        <f t="shared" si="41"/>
        <v>1</v>
      </c>
      <c r="N229" s="3103"/>
      <c r="O229" s="2407">
        <f t="shared" si="42"/>
        <v>1</v>
      </c>
      <c r="P229" s="3491"/>
      <c r="Q229" s="2407">
        <f t="shared" si="43"/>
        <v>0</v>
      </c>
      <c r="R229" s="2407">
        <f t="shared" si="44"/>
        <v>0</v>
      </c>
      <c r="S229" s="3098">
        <f t="shared" si="35"/>
        <v>0</v>
      </c>
    </row>
    <row r="230" spans="1:19">
      <c r="A230" s="2571"/>
      <c r="B230" s="3107"/>
      <c r="C230" s="2407">
        <f t="shared" si="36"/>
        <v>1</v>
      </c>
      <c r="D230" s="3103"/>
      <c r="E230" s="2407">
        <f t="shared" si="37"/>
        <v>0</v>
      </c>
      <c r="F230" s="3103"/>
      <c r="G230" s="2407">
        <f t="shared" si="38"/>
        <v>1</v>
      </c>
      <c r="H230" s="3103"/>
      <c r="I230" s="2407">
        <f t="shared" si="39"/>
        <v>1</v>
      </c>
      <c r="J230" s="3103"/>
      <c r="K230" s="2407">
        <f t="shared" si="40"/>
        <v>1</v>
      </c>
      <c r="L230" s="3103"/>
      <c r="M230" s="2407">
        <f t="shared" si="41"/>
        <v>1</v>
      </c>
      <c r="N230" s="3103"/>
      <c r="O230" s="2407">
        <f t="shared" si="42"/>
        <v>1</v>
      </c>
      <c r="P230" s="3491"/>
      <c r="Q230" s="2407">
        <f t="shared" si="43"/>
        <v>0</v>
      </c>
      <c r="R230" s="2407">
        <f t="shared" si="44"/>
        <v>0</v>
      </c>
      <c r="S230" s="3098">
        <f t="shared" si="35"/>
        <v>0</v>
      </c>
    </row>
    <row r="231" spans="1:19">
      <c r="A231" s="2571"/>
      <c r="B231" s="3107"/>
      <c r="C231" s="2407">
        <f t="shared" si="36"/>
        <v>1</v>
      </c>
      <c r="D231" s="3103"/>
      <c r="E231" s="2407">
        <f t="shared" si="37"/>
        <v>0</v>
      </c>
      <c r="F231" s="3103"/>
      <c r="G231" s="2407">
        <f t="shared" si="38"/>
        <v>1</v>
      </c>
      <c r="H231" s="3103"/>
      <c r="I231" s="2407">
        <f t="shared" si="39"/>
        <v>1</v>
      </c>
      <c r="J231" s="3103"/>
      <c r="K231" s="2407">
        <f t="shared" si="40"/>
        <v>1</v>
      </c>
      <c r="L231" s="3103"/>
      <c r="M231" s="2407">
        <f t="shared" si="41"/>
        <v>1</v>
      </c>
      <c r="N231" s="3103"/>
      <c r="O231" s="2407">
        <f t="shared" si="42"/>
        <v>1</v>
      </c>
      <c r="P231" s="3491"/>
      <c r="Q231" s="2407">
        <f t="shared" si="43"/>
        <v>0</v>
      </c>
      <c r="R231" s="2407">
        <f t="shared" si="44"/>
        <v>0</v>
      </c>
      <c r="S231" s="3098">
        <f t="shared" si="35"/>
        <v>0</v>
      </c>
    </row>
    <row r="232" spans="1:19">
      <c r="A232" s="2571"/>
      <c r="B232" s="3107"/>
      <c r="C232" s="2407">
        <f t="shared" si="36"/>
        <v>1</v>
      </c>
      <c r="D232" s="3103"/>
      <c r="E232" s="2407">
        <f t="shared" si="37"/>
        <v>0</v>
      </c>
      <c r="F232" s="3103"/>
      <c r="G232" s="2407">
        <f t="shared" si="38"/>
        <v>1</v>
      </c>
      <c r="H232" s="3103"/>
      <c r="I232" s="2407">
        <f t="shared" si="39"/>
        <v>1</v>
      </c>
      <c r="J232" s="3103"/>
      <c r="K232" s="2407">
        <f t="shared" si="40"/>
        <v>1</v>
      </c>
      <c r="L232" s="3103"/>
      <c r="M232" s="2407">
        <f t="shared" si="41"/>
        <v>1</v>
      </c>
      <c r="N232" s="3103"/>
      <c r="O232" s="2407">
        <f t="shared" si="42"/>
        <v>1</v>
      </c>
      <c r="P232" s="3491"/>
      <c r="Q232" s="2407">
        <f t="shared" si="43"/>
        <v>0</v>
      </c>
      <c r="R232" s="2407">
        <f t="shared" si="44"/>
        <v>0</v>
      </c>
      <c r="S232" s="3098">
        <f t="shared" si="35"/>
        <v>0</v>
      </c>
    </row>
    <row r="233" spans="1:19">
      <c r="A233" s="2571"/>
      <c r="B233" s="3107"/>
      <c r="C233" s="2407">
        <f t="shared" si="36"/>
        <v>1</v>
      </c>
      <c r="D233" s="3103"/>
      <c r="E233" s="2407">
        <f t="shared" si="37"/>
        <v>0</v>
      </c>
      <c r="F233" s="3103"/>
      <c r="G233" s="2407">
        <f t="shared" si="38"/>
        <v>1</v>
      </c>
      <c r="H233" s="3103"/>
      <c r="I233" s="2407">
        <f t="shared" si="39"/>
        <v>1</v>
      </c>
      <c r="J233" s="3103"/>
      <c r="K233" s="2407">
        <f t="shared" si="40"/>
        <v>1</v>
      </c>
      <c r="L233" s="3103"/>
      <c r="M233" s="2407">
        <f t="shared" si="41"/>
        <v>1</v>
      </c>
      <c r="N233" s="3103"/>
      <c r="O233" s="2407">
        <f t="shared" si="42"/>
        <v>1</v>
      </c>
      <c r="P233" s="3491"/>
      <c r="Q233" s="2407">
        <f t="shared" si="43"/>
        <v>0</v>
      </c>
      <c r="R233" s="2407">
        <f t="shared" si="44"/>
        <v>0</v>
      </c>
      <c r="S233" s="3098">
        <f t="shared" si="35"/>
        <v>0</v>
      </c>
    </row>
    <row r="234" spans="1:19">
      <c r="A234" s="2571"/>
      <c r="B234" s="3107"/>
      <c r="C234" s="2407">
        <f t="shared" si="36"/>
        <v>1</v>
      </c>
      <c r="D234" s="3103"/>
      <c r="E234" s="2407">
        <f t="shared" si="37"/>
        <v>0</v>
      </c>
      <c r="F234" s="3103"/>
      <c r="G234" s="2407">
        <f t="shared" si="38"/>
        <v>1</v>
      </c>
      <c r="H234" s="3103"/>
      <c r="I234" s="2407">
        <f t="shared" si="39"/>
        <v>1</v>
      </c>
      <c r="J234" s="3103"/>
      <c r="K234" s="2407">
        <f t="shared" si="40"/>
        <v>1</v>
      </c>
      <c r="L234" s="3103"/>
      <c r="M234" s="2407">
        <f t="shared" si="41"/>
        <v>1</v>
      </c>
      <c r="N234" s="3103"/>
      <c r="O234" s="2407">
        <f t="shared" si="42"/>
        <v>1</v>
      </c>
      <c r="P234" s="3491"/>
      <c r="Q234" s="2407">
        <f t="shared" si="43"/>
        <v>0</v>
      </c>
      <c r="R234" s="2407">
        <f t="shared" si="44"/>
        <v>0</v>
      </c>
      <c r="S234" s="3098">
        <f t="shared" si="35"/>
        <v>0</v>
      </c>
    </row>
    <row r="235" spans="1:19">
      <c r="A235" s="2571"/>
      <c r="B235" s="3107"/>
      <c r="C235" s="2407">
        <f t="shared" si="36"/>
        <v>1</v>
      </c>
      <c r="D235" s="3103"/>
      <c r="E235" s="2407">
        <f t="shared" si="37"/>
        <v>0</v>
      </c>
      <c r="F235" s="3103"/>
      <c r="G235" s="2407">
        <f t="shared" si="38"/>
        <v>1</v>
      </c>
      <c r="H235" s="3103"/>
      <c r="I235" s="2407">
        <f t="shared" si="39"/>
        <v>1</v>
      </c>
      <c r="J235" s="3103"/>
      <c r="K235" s="2407">
        <f t="shared" si="40"/>
        <v>1</v>
      </c>
      <c r="L235" s="3103"/>
      <c r="M235" s="2407">
        <f t="shared" si="41"/>
        <v>1</v>
      </c>
      <c r="N235" s="3103"/>
      <c r="O235" s="2407">
        <f t="shared" si="42"/>
        <v>1</v>
      </c>
      <c r="P235" s="3491"/>
      <c r="Q235" s="2407">
        <f t="shared" si="43"/>
        <v>0</v>
      </c>
      <c r="R235" s="2407">
        <f t="shared" si="44"/>
        <v>0</v>
      </c>
      <c r="S235" s="3098">
        <f t="shared" si="35"/>
        <v>0</v>
      </c>
    </row>
    <row r="236" spans="1:19">
      <c r="A236" s="2571"/>
      <c r="B236" s="3107"/>
      <c r="C236" s="2407">
        <f t="shared" si="36"/>
        <v>1</v>
      </c>
      <c r="D236" s="3103"/>
      <c r="E236" s="2407">
        <f t="shared" si="37"/>
        <v>0</v>
      </c>
      <c r="F236" s="3103"/>
      <c r="G236" s="2407">
        <f t="shared" si="38"/>
        <v>1</v>
      </c>
      <c r="H236" s="3103"/>
      <c r="I236" s="2407">
        <f t="shared" si="39"/>
        <v>1</v>
      </c>
      <c r="J236" s="3103"/>
      <c r="K236" s="2407">
        <f t="shared" si="40"/>
        <v>1</v>
      </c>
      <c r="L236" s="3103"/>
      <c r="M236" s="2407">
        <f t="shared" si="41"/>
        <v>1</v>
      </c>
      <c r="N236" s="3103"/>
      <c r="O236" s="2407">
        <f t="shared" si="42"/>
        <v>1</v>
      </c>
      <c r="P236" s="3491"/>
      <c r="Q236" s="2407">
        <f t="shared" si="43"/>
        <v>0</v>
      </c>
      <c r="R236" s="2407">
        <f t="shared" si="44"/>
        <v>0</v>
      </c>
      <c r="S236" s="3098">
        <f t="shared" si="35"/>
        <v>0</v>
      </c>
    </row>
    <row r="237" spans="1:19">
      <c r="A237" s="2571"/>
      <c r="B237" s="3107"/>
      <c r="C237" s="2407">
        <f t="shared" si="36"/>
        <v>1</v>
      </c>
      <c r="D237" s="3103"/>
      <c r="E237" s="2407">
        <f t="shared" si="37"/>
        <v>0</v>
      </c>
      <c r="F237" s="3103"/>
      <c r="G237" s="2407">
        <f t="shared" si="38"/>
        <v>1</v>
      </c>
      <c r="H237" s="3103"/>
      <c r="I237" s="2407">
        <f t="shared" si="39"/>
        <v>1</v>
      </c>
      <c r="J237" s="3103"/>
      <c r="K237" s="2407">
        <f t="shared" si="40"/>
        <v>1</v>
      </c>
      <c r="L237" s="3103"/>
      <c r="M237" s="2407">
        <f t="shared" si="41"/>
        <v>1</v>
      </c>
      <c r="N237" s="3103"/>
      <c r="O237" s="2407">
        <f t="shared" si="42"/>
        <v>1</v>
      </c>
      <c r="P237" s="3491"/>
      <c r="Q237" s="2407">
        <f t="shared" si="43"/>
        <v>0</v>
      </c>
      <c r="R237" s="2407">
        <f t="shared" si="44"/>
        <v>0</v>
      </c>
      <c r="S237" s="3098">
        <f t="shared" si="35"/>
        <v>0</v>
      </c>
    </row>
    <row r="238" spans="1:19">
      <c r="A238" s="2571"/>
      <c r="B238" s="3107"/>
      <c r="C238" s="2407">
        <f t="shared" si="36"/>
        <v>1</v>
      </c>
      <c r="D238" s="3103"/>
      <c r="E238" s="2407">
        <f t="shared" si="37"/>
        <v>0</v>
      </c>
      <c r="F238" s="3103"/>
      <c r="G238" s="2407">
        <f t="shared" si="38"/>
        <v>1</v>
      </c>
      <c r="H238" s="3103"/>
      <c r="I238" s="2407">
        <f t="shared" si="39"/>
        <v>1</v>
      </c>
      <c r="J238" s="3103"/>
      <c r="K238" s="2407">
        <f t="shared" si="40"/>
        <v>1</v>
      </c>
      <c r="L238" s="3103"/>
      <c r="M238" s="2407">
        <f t="shared" si="41"/>
        <v>1</v>
      </c>
      <c r="N238" s="3103"/>
      <c r="O238" s="2407">
        <f t="shared" si="42"/>
        <v>1</v>
      </c>
      <c r="P238" s="3491"/>
      <c r="Q238" s="2407">
        <f t="shared" si="43"/>
        <v>0</v>
      </c>
      <c r="R238" s="2407">
        <f t="shared" si="44"/>
        <v>0</v>
      </c>
      <c r="S238" s="3098">
        <f t="shared" si="35"/>
        <v>0</v>
      </c>
    </row>
    <row r="239" spans="1:19">
      <c r="A239" s="2571"/>
      <c r="B239" s="3107"/>
      <c r="C239" s="2407">
        <f t="shared" si="36"/>
        <v>1</v>
      </c>
      <c r="D239" s="3103"/>
      <c r="E239" s="2407">
        <f t="shared" si="37"/>
        <v>0</v>
      </c>
      <c r="F239" s="3103"/>
      <c r="G239" s="2407">
        <f t="shared" si="38"/>
        <v>1</v>
      </c>
      <c r="H239" s="3103"/>
      <c r="I239" s="2407">
        <f t="shared" si="39"/>
        <v>1</v>
      </c>
      <c r="J239" s="3103"/>
      <c r="K239" s="2407">
        <f t="shared" si="40"/>
        <v>1</v>
      </c>
      <c r="L239" s="3103"/>
      <c r="M239" s="2407">
        <f t="shared" si="41"/>
        <v>1</v>
      </c>
      <c r="N239" s="3103"/>
      <c r="O239" s="2407">
        <f t="shared" si="42"/>
        <v>1</v>
      </c>
      <c r="P239" s="3491"/>
      <c r="Q239" s="2407">
        <f t="shared" si="43"/>
        <v>0</v>
      </c>
      <c r="R239" s="2407">
        <f t="shared" si="44"/>
        <v>0</v>
      </c>
      <c r="S239" s="3098">
        <f t="shared" si="35"/>
        <v>0</v>
      </c>
    </row>
    <row r="240" spans="1:19">
      <c r="A240" s="2571"/>
      <c r="B240" s="3107"/>
      <c r="C240" s="2407">
        <f t="shared" si="36"/>
        <v>1</v>
      </c>
      <c r="D240" s="3103"/>
      <c r="E240" s="2407">
        <f t="shared" si="37"/>
        <v>0</v>
      </c>
      <c r="F240" s="3103"/>
      <c r="G240" s="2407">
        <f t="shared" si="38"/>
        <v>1</v>
      </c>
      <c r="H240" s="3103"/>
      <c r="I240" s="2407">
        <f t="shared" si="39"/>
        <v>1</v>
      </c>
      <c r="J240" s="3103"/>
      <c r="K240" s="2407">
        <f t="shared" si="40"/>
        <v>1</v>
      </c>
      <c r="L240" s="3103"/>
      <c r="M240" s="2407">
        <f t="shared" si="41"/>
        <v>1</v>
      </c>
      <c r="N240" s="3103"/>
      <c r="O240" s="2407">
        <f t="shared" si="42"/>
        <v>1</v>
      </c>
      <c r="P240" s="3491"/>
      <c r="Q240" s="2407">
        <f t="shared" si="43"/>
        <v>0</v>
      </c>
      <c r="R240" s="2407">
        <f t="shared" si="44"/>
        <v>0</v>
      </c>
      <c r="S240" s="3098">
        <f t="shared" si="35"/>
        <v>0</v>
      </c>
    </row>
    <row r="241" spans="1:19">
      <c r="A241" s="2571"/>
      <c r="B241" s="3107"/>
      <c r="C241" s="2407">
        <f t="shared" si="36"/>
        <v>1</v>
      </c>
      <c r="D241" s="3103"/>
      <c r="E241" s="2407">
        <f t="shared" si="37"/>
        <v>0</v>
      </c>
      <c r="F241" s="3103"/>
      <c r="G241" s="2407">
        <f t="shared" si="38"/>
        <v>1</v>
      </c>
      <c r="H241" s="3103"/>
      <c r="I241" s="2407">
        <f t="shared" si="39"/>
        <v>1</v>
      </c>
      <c r="J241" s="3103"/>
      <c r="K241" s="2407">
        <f t="shared" si="40"/>
        <v>1</v>
      </c>
      <c r="L241" s="3103"/>
      <c r="M241" s="2407">
        <f t="shared" si="41"/>
        <v>1</v>
      </c>
      <c r="N241" s="3103"/>
      <c r="O241" s="2407">
        <f t="shared" si="42"/>
        <v>1</v>
      </c>
      <c r="P241" s="3491"/>
      <c r="Q241" s="2407">
        <f t="shared" si="43"/>
        <v>0</v>
      </c>
      <c r="R241" s="2407">
        <f t="shared" si="44"/>
        <v>0</v>
      </c>
      <c r="S241" s="3098">
        <f t="shared" si="35"/>
        <v>0</v>
      </c>
    </row>
    <row r="242" spans="1:19">
      <c r="A242" s="2571"/>
      <c r="B242" s="3107"/>
      <c r="C242" s="2407">
        <f t="shared" si="36"/>
        <v>1</v>
      </c>
      <c r="D242" s="3103"/>
      <c r="E242" s="2407">
        <f t="shared" si="37"/>
        <v>0</v>
      </c>
      <c r="F242" s="3103"/>
      <c r="G242" s="2407">
        <f t="shared" si="38"/>
        <v>1</v>
      </c>
      <c r="H242" s="3103"/>
      <c r="I242" s="2407">
        <f t="shared" si="39"/>
        <v>1</v>
      </c>
      <c r="J242" s="3103"/>
      <c r="K242" s="2407">
        <f t="shared" si="40"/>
        <v>1</v>
      </c>
      <c r="L242" s="3103"/>
      <c r="M242" s="2407">
        <f t="shared" si="41"/>
        <v>1</v>
      </c>
      <c r="N242" s="3103"/>
      <c r="O242" s="2407">
        <f t="shared" si="42"/>
        <v>1</v>
      </c>
      <c r="P242" s="3491"/>
      <c r="Q242" s="2407">
        <f t="shared" si="43"/>
        <v>0</v>
      </c>
      <c r="R242" s="2407">
        <f t="shared" si="44"/>
        <v>0</v>
      </c>
      <c r="S242" s="3098">
        <f t="shared" si="35"/>
        <v>0</v>
      </c>
    </row>
    <row r="243" spans="1:19">
      <c r="A243" s="2571"/>
      <c r="B243" s="3107"/>
      <c r="C243" s="2407">
        <f t="shared" si="36"/>
        <v>1</v>
      </c>
      <c r="D243" s="3103"/>
      <c r="E243" s="2407">
        <f t="shared" si="37"/>
        <v>0</v>
      </c>
      <c r="F243" s="3103"/>
      <c r="G243" s="2407">
        <f t="shared" si="38"/>
        <v>1</v>
      </c>
      <c r="H243" s="3103"/>
      <c r="I243" s="2407">
        <f t="shared" si="39"/>
        <v>1</v>
      </c>
      <c r="J243" s="3103"/>
      <c r="K243" s="2407">
        <f t="shared" si="40"/>
        <v>1</v>
      </c>
      <c r="L243" s="3103"/>
      <c r="M243" s="2407">
        <f t="shared" si="41"/>
        <v>1</v>
      </c>
      <c r="N243" s="3103"/>
      <c r="O243" s="2407">
        <f t="shared" si="42"/>
        <v>1</v>
      </c>
      <c r="P243" s="3491"/>
      <c r="Q243" s="2407">
        <f t="shared" si="43"/>
        <v>0</v>
      </c>
      <c r="R243" s="2407">
        <f t="shared" si="44"/>
        <v>0</v>
      </c>
      <c r="S243" s="3098">
        <f t="shared" si="35"/>
        <v>0</v>
      </c>
    </row>
    <row r="244" spans="1:19">
      <c r="A244" s="2571"/>
      <c r="B244" s="3107"/>
      <c r="C244" s="2407">
        <f t="shared" si="36"/>
        <v>1</v>
      </c>
      <c r="D244" s="3103"/>
      <c r="E244" s="2407">
        <f t="shared" si="37"/>
        <v>0</v>
      </c>
      <c r="F244" s="3103"/>
      <c r="G244" s="2407">
        <f t="shared" si="38"/>
        <v>1</v>
      </c>
      <c r="H244" s="3103"/>
      <c r="I244" s="2407">
        <f t="shared" si="39"/>
        <v>1</v>
      </c>
      <c r="J244" s="3103"/>
      <c r="K244" s="2407">
        <f t="shared" si="40"/>
        <v>1</v>
      </c>
      <c r="L244" s="3103"/>
      <c r="M244" s="2407">
        <f t="shared" si="41"/>
        <v>1</v>
      </c>
      <c r="N244" s="3103"/>
      <c r="O244" s="2407">
        <f t="shared" si="42"/>
        <v>1</v>
      </c>
      <c r="P244" s="3491"/>
      <c r="Q244" s="2407">
        <f t="shared" si="43"/>
        <v>0</v>
      </c>
      <c r="R244" s="2407">
        <f t="shared" si="44"/>
        <v>0</v>
      </c>
      <c r="S244" s="3098">
        <f t="shared" si="35"/>
        <v>0</v>
      </c>
    </row>
    <row r="245" spans="1:19">
      <c r="A245" s="2571"/>
      <c r="B245" s="3107"/>
      <c r="C245" s="2407">
        <f t="shared" si="36"/>
        <v>1</v>
      </c>
      <c r="D245" s="3103"/>
      <c r="E245" s="2407">
        <f t="shared" si="37"/>
        <v>0</v>
      </c>
      <c r="F245" s="3103"/>
      <c r="G245" s="2407">
        <f t="shared" si="38"/>
        <v>1</v>
      </c>
      <c r="H245" s="3103"/>
      <c r="I245" s="2407">
        <f t="shared" si="39"/>
        <v>1</v>
      </c>
      <c r="J245" s="3103"/>
      <c r="K245" s="2407">
        <f t="shared" si="40"/>
        <v>1</v>
      </c>
      <c r="L245" s="3103"/>
      <c r="M245" s="2407">
        <f t="shared" si="41"/>
        <v>1</v>
      </c>
      <c r="N245" s="3103"/>
      <c r="O245" s="2407">
        <f t="shared" si="42"/>
        <v>1</v>
      </c>
      <c r="P245" s="3491"/>
      <c r="Q245" s="2407">
        <f t="shared" si="43"/>
        <v>0</v>
      </c>
      <c r="R245" s="2407">
        <f t="shared" si="44"/>
        <v>0</v>
      </c>
      <c r="S245" s="3098">
        <f t="shared" si="35"/>
        <v>0</v>
      </c>
    </row>
    <row r="246" spans="1:19">
      <c r="A246" s="2571"/>
      <c r="B246" s="3107"/>
      <c r="C246" s="2407">
        <f t="shared" si="36"/>
        <v>1</v>
      </c>
      <c r="D246" s="3103"/>
      <c r="E246" s="2407">
        <f t="shared" si="37"/>
        <v>0</v>
      </c>
      <c r="F246" s="3103"/>
      <c r="G246" s="2407">
        <f t="shared" si="38"/>
        <v>1</v>
      </c>
      <c r="H246" s="3103"/>
      <c r="I246" s="2407">
        <f t="shared" si="39"/>
        <v>1</v>
      </c>
      <c r="J246" s="3103"/>
      <c r="K246" s="2407">
        <f t="shared" si="40"/>
        <v>1</v>
      </c>
      <c r="L246" s="3103"/>
      <c r="M246" s="2407">
        <f t="shared" si="41"/>
        <v>1</v>
      </c>
      <c r="N246" s="3103"/>
      <c r="O246" s="2407">
        <f t="shared" si="42"/>
        <v>1</v>
      </c>
      <c r="P246" s="3491"/>
      <c r="Q246" s="2407">
        <f t="shared" si="43"/>
        <v>0</v>
      </c>
      <c r="R246" s="2407">
        <f t="shared" si="44"/>
        <v>0</v>
      </c>
      <c r="S246" s="3098">
        <f t="shared" si="35"/>
        <v>0</v>
      </c>
    </row>
    <row r="247" spans="1:19">
      <c r="A247" s="2571"/>
      <c r="B247" s="3107"/>
      <c r="C247" s="2407">
        <f t="shared" si="36"/>
        <v>1</v>
      </c>
      <c r="D247" s="3103"/>
      <c r="E247" s="2407">
        <f t="shared" si="37"/>
        <v>0</v>
      </c>
      <c r="F247" s="3103"/>
      <c r="G247" s="2407">
        <f t="shared" si="38"/>
        <v>1</v>
      </c>
      <c r="H247" s="3103"/>
      <c r="I247" s="2407">
        <f t="shared" si="39"/>
        <v>1</v>
      </c>
      <c r="J247" s="3103"/>
      <c r="K247" s="2407">
        <f t="shared" si="40"/>
        <v>1</v>
      </c>
      <c r="L247" s="3103"/>
      <c r="M247" s="2407">
        <f t="shared" si="41"/>
        <v>1</v>
      </c>
      <c r="N247" s="3103"/>
      <c r="O247" s="2407">
        <f t="shared" si="42"/>
        <v>1</v>
      </c>
      <c r="P247" s="3491"/>
      <c r="Q247" s="2407">
        <f t="shared" si="43"/>
        <v>0</v>
      </c>
      <c r="R247" s="2407">
        <f t="shared" si="44"/>
        <v>0</v>
      </c>
      <c r="S247" s="3098">
        <f t="shared" si="35"/>
        <v>0</v>
      </c>
    </row>
    <row r="248" spans="1:19">
      <c r="A248" s="2571"/>
      <c r="B248" s="3107"/>
      <c r="C248" s="2407">
        <f t="shared" si="36"/>
        <v>1</v>
      </c>
      <c r="D248" s="3103"/>
      <c r="E248" s="2407">
        <f t="shared" si="37"/>
        <v>0</v>
      </c>
      <c r="F248" s="3103"/>
      <c r="G248" s="2407">
        <f t="shared" si="38"/>
        <v>1</v>
      </c>
      <c r="H248" s="3103"/>
      <c r="I248" s="2407">
        <f t="shared" si="39"/>
        <v>1</v>
      </c>
      <c r="J248" s="3103"/>
      <c r="K248" s="2407">
        <f t="shared" si="40"/>
        <v>1</v>
      </c>
      <c r="L248" s="3103"/>
      <c r="M248" s="2407">
        <f t="shared" si="41"/>
        <v>1</v>
      </c>
      <c r="N248" s="3103"/>
      <c r="O248" s="2407">
        <f t="shared" si="42"/>
        <v>1</v>
      </c>
      <c r="P248" s="3491"/>
      <c r="Q248" s="2407">
        <f t="shared" si="43"/>
        <v>0</v>
      </c>
      <c r="R248" s="2407">
        <f t="shared" si="44"/>
        <v>0</v>
      </c>
      <c r="S248" s="3098">
        <f t="shared" si="35"/>
        <v>0</v>
      </c>
    </row>
    <row r="249" spans="1:19">
      <c r="A249" s="2571"/>
      <c r="B249" s="3107"/>
      <c r="C249" s="2407">
        <f t="shared" si="36"/>
        <v>1</v>
      </c>
      <c r="D249" s="3103"/>
      <c r="E249" s="2407">
        <f t="shared" si="37"/>
        <v>0</v>
      </c>
      <c r="F249" s="3103"/>
      <c r="G249" s="2407">
        <f t="shared" si="38"/>
        <v>1</v>
      </c>
      <c r="H249" s="3103"/>
      <c r="I249" s="2407">
        <f t="shared" si="39"/>
        <v>1</v>
      </c>
      <c r="J249" s="3103"/>
      <c r="K249" s="2407">
        <f t="shared" si="40"/>
        <v>1</v>
      </c>
      <c r="L249" s="3103"/>
      <c r="M249" s="2407">
        <f t="shared" si="41"/>
        <v>1</v>
      </c>
      <c r="N249" s="3103"/>
      <c r="O249" s="2407">
        <f t="shared" si="42"/>
        <v>1</v>
      </c>
      <c r="P249" s="3491"/>
      <c r="Q249" s="2407">
        <f t="shared" si="43"/>
        <v>0</v>
      </c>
      <c r="R249" s="2407">
        <f t="shared" si="44"/>
        <v>0</v>
      </c>
      <c r="S249" s="3098">
        <f t="shared" si="35"/>
        <v>0</v>
      </c>
    </row>
    <row r="250" spans="1:19">
      <c r="A250" s="2571"/>
      <c r="B250" s="3107"/>
      <c r="C250" s="2407">
        <f t="shared" si="36"/>
        <v>1</v>
      </c>
      <c r="D250" s="3103"/>
      <c r="E250" s="2407">
        <f t="shared" si="37"/>
        <v>0</v>
      </c>
      <c r="F250" s="3103"/>
      <c r="G250" s="2407">
        <f t="shared" si="38"/>
        <v>1</v>
      </c>
      <c r="H250" s="3103"/>
      <c r="I250" s="2407">
        <f t="shared" si="39"/>
        <v>1</v>
      </c>
      <c r="J250" s="3103"/>
      <c r="K250" s="2407">
        <f t="shared" si="40"/>
        <v>1</v>
      </c>
      <c r="L250" s="3103"/>
      <c r="M250" s="2407">
        <f t="shared" si="41"/>
        <v>1</v>
      </c>
      <c r="N250" s="3103"/>
      <c r="O250" s="2407">
        <f t="shared" si="42"/>
        <v>1</v>
      </c>
      <c r="P250" s="3491"/>
      <c r="Q250" s="2407">
        <f t="shared" si="43"/>
        <v>0</v>
      </c>
      <c r="R250" s="2407">
        <f t="shared" si="44"/>
        <v>0</v>
      </c>
      <c r="S250" s="3098">
        <f t="shared" si="35"/>
        <v>0</v>
      </c>
    </row>
    <row r="251" spans="1:19">
      <c r="A251" s="2571"/>
      <c r="B251" s="3107"/>
      <c r="C251" s="2407">
        <f t="shared" si="36"/>
        <v>1</v>
      </c>
      <c r="D251" s="3103"/>
      <c r="E251" s="2407">
        <f t="shared" si="37"/>
        <v>0</v>
      </c>
      <c r="F251" s="3103"/>
      <c r="G251" s="2407">
        <f t="shared" si="38"/>
        <v>1</v>
      </c>
      <c r="H251" s="3103"/>
      <c r="I251" s="2407">
        <f t="shared" si="39"/>
        <v>1</v>
      </c>
      <c r="J251" s="3103"/>
      <c r="K251" s="2407">
        <f t="shared" si="40"/>
        <v>1</v>
      </c>
      <c r="L251" s="3103"/>
      <c r="M251" s="2407">
        <f t="shared" si="41"/>
        <v>1</v>
      </c>
      <c r="N251" s="3103"/>
      <c r="O251" s="2407">
        <f t="shared" si="42"/>
        <v>1</v>
      </c>
      <c r="P251" s="3491"/>
      <c r="Q251" s="2407">
        <f t="shared" si="43"/>
        <v>0</v>
      </c>
      <c r="R251" s="2407">
        <f t="shared" si="44"/>
        <v>0</v>
      </c>
      <c r="S251" s="3098">
        <f t="shared" si="35"/>
        <v>0</v>
      </c>
    </row>
    <row r="252" spans="1:19">
      <c r="A252" s="2571"/>
      <c r="B252" s="3107"/>
      <c r="C252" s="2407">
        <f t="shared" si="36"/>
        <v>1</v>
      </c>
      <c r="D252" s="3103"/>
      <c r="E252" s="2407">
        <f t="shared" si="37"/>
        <v>0</v>
      </c>
      <c r="F252" s="3103"/>
      <c r="G252" s="2407">
        <f t="shared" si="38"/>
        <v>1</v>
      </c>
      <c r="H252" s="3103"/>
      <c r="I252" s="2407">
        <f t="shared" si="39"/>
        <v>1</v>
      </c>
      <c r="J252" s="3103"/>
      <c r="K252" s="2407">
        <f t="shared" si="40"/>
        <v>1</v>
      </c>
      <c r="L252" s="3103"/>
      <c r="M252" s="2407">
        <f t="shared" si="41"/>
        <v>1</v>
      </c>
      <c r="N252" s="3103"/>
      <c r="O252" s="2407">
        <f t="shared" si="42"/>
        <v>1</v>
      </c>
      <c r="P252" s="3491"/>
      <c r="Q252" s="2407">
        <f t="shared" si="43"/>
        <v>0</v>
      </c>
      <c r="R252" s="2407">
        <f t="shared" si="44"/>
        <v>0</v>
      </c>
      <c r="S252" s="3098">
        <f t="shared" si="35"/>
        <v>0</v>
      </c>
    </row>
    <row r="253" spans="1:19">
      <c r="A253" s="2571"/>
      <c r="B253" s="3107"/>
      <c r="C253" s="2407">
        <f t="shared" si="36"/>
        <v>1</v>
      </c>
      <c r="D253" s="3103"/>
      <c r="E253" s="2407">
        <f t="shared" si="37"/>
        <v>0</v>
      </c>
      <c r="F253" s="3103"/>
      <c r="G253" s="2407">
        <f t="shared" si="38"/>
        <v>1</v>
      </c>
      <c r="H253" s="3103"/>
      <c r="I253" s="2407">
        <f t="shared" si="39"/>
        <v>1</v>
      </c>
      <c r="J253" s="3103"/>
      <c r="K253" s="2407">
        <f t="shared" si="40"/>
        <v>1</v>
      </c>
      <c r="L253" s="3103"/>
      <c r="M253" s="2407">
        <f t="shared" si="41"/>
        <v>1</v>
      </c>
      <c r="N253" s="3103"/>
      <c r="O253" s="2407">
        <f t="shared" si="42"/>
        <v>1</v>
      </c>
      <c r="P253" s="3491"/>
      <c r="Q253" s="2407">
        <f t="shared" si="43"/>
        <v>0</v>
      </c>
      <c r="R253" s="2407">
        <f t="shared" si="44"/>
        <v>0</v>
      </c>
      <c r="S253" s="3098">
        <f t="shared" si="35"/>
        <v>0</v>
      </c>
    </row>
    <row r="254" spans="1:19">
      <c r="A254" s="2571"/>
      <c r="B254" s="3107"/>
      <c r="C254" s="2407">
        <f t="shared" si="36"/>
        <v>1</v>
      </c>
      <c r="D254" s="3103"/>
      <c r="E254" s="2407">
        <f t="shared" si="37"/>
        <v>0</v>
      </c>
      <c r="F254" s="3103"/>
      <c r="G254" s="2407">
        <f t="shared" si="38"/>
        <v>1</v>
      </c>
      <c r="H254" s="3103"/>
      <c r="I254" s="2407">
        <f t="shared" si="39"/>
        <v>1</v>
      </c>
      <c r="J254" s="3103"/>
      <c r="K254" s="2407">
        <f t="shared" si="40"/>
        <v>1</v>
      </c>
      <c r="L254" s="3103"/>
      <c r="M254" s="2407">
        <f t="shared" si="41"/>
        <v>1</v>
      </c>
      <c r="N254" s="3103"/>
      <c r="O254" s="2407">
        <f t="shared" si="42"/>
        <v>1</v>
      </c>
      <c r="P254" s="3491"/>
      <c r="Q254" s="2407">
        <f t="shared" si="43"/>
        <v>0</v>
      </c>
      <c r="R254" s="2407">
        <f t="shared" si="44"/>
        <v>0</v>
      </c>
      <c r="S254" s="3098">
        <f t="shared" si="35"/>
        <v>0</v>
      </c>
    </row>
    <row r="255" spans="1:19">
      <c r="A255" s="2571"/>
      <c r="B255" s="3107"/>
      <c r="C255" s="2407">
        <f t="shared" si="36"/>
        <v>1</v>
      </c>
      <c r="D255" s="3103"/>
      <c r="E255" s="2407">
        <f t="shared" si="37"/>
        <v>0</v>
      </c>
      <c r="F255" s="3103"/>
      <c r="G255" s="2407">
        <f t="shared" si="38"/>
        <v>1</v>
      </c>
      <c r="H255" s="3103"/>
      <c r="I255" s="2407">
        <f t="shared" si="39"/>
        <v>1</v>
      </c>
      <c r="J255" s="3103"/>
      <c r="K255" s="2407">
        <f t="shared" si="40"/>
        <v>1</v>
      </c>
      <c r="L255" s="3103"/>
      <c r="M255" s="2407">
        <f t="shared" si="41"/>
        <v>1</v>
      </c>
      <c r="N255" s="3103"/>
      <c r="O255" s="2407">
        <f t="shared" si="42"/>
        <v>1</v>
      </c>
      <c r="P255" s="3491"/>
      <c r="Q255" s="2407">
        <f t="shared" si="43"/>
        <v>0</v>
      </c>
      <c r="R255" s="2407">
        <f t="shared" si="44"/>
        <v>0</v>
      </c>
      <c r="S255" s="3098">
        <f t="shared" si="35"/>
        <v>0</v>
      </c>
    </row>
    <row r="256" spans="1:19">
      <c r="A256" s="2571"/>
      <c r="B256" s="3107"/>
      <c r="C256" s="2407">
        <f t="shared" si="36"/>
        <v>1</v>
      </c>
      <c r="D256" s="3103"/>
      <c r="E256" s="2407">
        <f t="shared" si="37"/>
        <v>0</v>
      </c>
      <c r="F256" s="3103"/>
      <c r="G256" s="2407">
        <f t="shared" si="38"/>
        <v>1</v>
      </c>
      <c r="H256" s="3103"/>
      <c r="I256" s="2407">
        <f t="shared" si="39"/>
        <v>1</v>
      </c>
      <c r="J256" s="3103"/>
      <c r="K256" s="2407">
        <f t="shared" si="40"/>
        <v>1</v>
      </c>
      <c r="L256" s="3103"/>
      <c r="M256" s="2407">
        <f t="shared" si="41"/>
        <v>1</v>
      </c>
      <c r="N256" s="3103"/>
      <c r="O256" s="2407">
        <f t="shared" si="42"/>
        <v>1</v>
      </c>
      <c r="P256" s="3491"/>
      <c r="Q256" s="2407">
        <f t="shared" si="43"/>
        <v>0</v>
      </c>
      <c r="R256" s="2407">
        <f t="shared" si="44"/>
        <v>0</v>
      </c>
      <c r="S256" s="3098">
        <f t="shared" si="35"/>
        <v>0</v>
      </c>
    </row>
    <row r="257" spans="1:19">
      <c r="A257" s="2571"/>
      <c r="B257" s="3107"/>
      <c r="C257" s="2407">
        <f t="shared" si="36"/>
        <v>1</v>
      </c>
      <c r="D257" s="3103"/>
      <c r="E257" s="2407">
        <f t="shared" si="37"/>
        <v>0</v>
      </c>
      <c r="F257" s="3103"/>
      <c r="G257" s="2407">
        <f t="shared" si="38"/>
        <v>1</v>
      </c>
      <c r="H257" s="3103"/>
      <c r="I257" s="2407">
        <f t="shared" si="39"/>
        <v>1</v>
      </c>
      <c r="J257" s="3103"/>
      <c r="K257" s="2407">
        <f t="shared" si="40"/>
        <v>1</v>
      </c>
      <c r="L257" s="3103"/>
      <c r="M257" s="2407">
        <f t="shared" si="41"/>
        <v>1</v>
      </c>
      <c r="N257" s="3103"/>
      <c r="O257" s="2407">
        <f t="shared" si="42"/>
        <v>1</v>
      </c>
      <c r="P257" s="3491"/>
      <c r="Q257" s="2407">
        <f t="shared" si="43"/>
        <v>0</v>
      </c>
      <c r="R257" s="2407">
        <f t="shared" si="44"/>
        <v>0</v>
      </c>
      <c r="S257" s="3098">
        <f t="shared" si="35"/>
        <v>0</v>
      </c>
    </row>
    <row r="258" spans="1:19">
      <c r="A258" s="2571"/>
      <c r="B258" s="3107"/>
      <c r="C258" s="2407">
        <f t="shared" si="36"/>
        <v>1</v>
      </c>
      <c r="D258" s="3103"/>
      <c r="E258" s="2407">
        <f t="shared" si="37"/>
        <v>0</v>
      </c>
      <c r="F258" s="3103"/>
      <c r="G258" s="2407">
        <f t="shared" si="38"/>
        <v>1</v>
      </c>
      <c r="H258" s="3103"/>
      <c r="I258" s="2407">
        <f t="shared" si="39"/>
        <v>1</v>
      </c>
      <c r="J258" s="3103"/>
      <c r="K258" s="2407">
        <f t="shared" si="40"/>
        <v>1</v>
      </c>
      <c r="L258" s="3103"/>
      <c r="M258" s="2407">
        <f t="shared" si="41"/>
        <v>1</v>
      </c>
      <c r="N258" s="3103"/>
      <c r="O258" s="2407">
        <f t="shared" si="42"/>
        <v>1</v>
      </c>
      <c r="P258" s="3491"/>
      <c r="Q258" s="2407">
        <f t="shared" si="43"/>
        <v>0</v>
      </c>
      <c r="R258" s="2407">
        <f t="shared" si="44"/>
        <v>0</v>
      </c>
      <c r="S258" s="3098">
        <f t="shared" si="35"/>
        <v>0</v>
      </c>
    </row>
    <row r="259" spans="1:19">
      <c r="A259" s="2571"/>
      <c r="B259" s="3107"/>
      <c r="C259" s="2407">
        <f t="shared" si="36"/>
        <v>1</v>
      </c>
      <c r="D259" s="3103"/>
      <c r="E259" s="2407">
        <f t="shared" si="37"/>
        <v>0</v>
      </c>
      <c r="F259" s="3103"/>
      <c r="G259" s="2407">
        <f t="shared" si="38"/>
        <v>1</v>
      </c>
      <c r="H259" s="3103"/>
      <c r="I259" s="2407">
        <f t="shared" si="39"/>
        <v>1</v>
      </c>
      <c r="J259" s="3103"/>
      <c r="K259" s="2407">
        <f t="shared" si="40"/>
        <v>1</v>
      </c>
      <c r="L259" s="3103"/>
      <c r="M259" s="2407">
        <f t="shared" si="41"/>
        <v>1</v>
      </c>
      <c r="N259" s="3103"/>
      <c r="O259" s="2407">
        <f t="shared" si="42"/>
        <v>1</v>
      </c>
      <c r="P259" s="3491"/>
      <c r="Q259" s="2407">
        <f t="shared" si="43"/>
        <v>0</v>
      </c>
      <c r="R259" s="2407">
        <f t="shared" si="44"/>
        <v>0</v>
      </c>
      <c r="S259" s="3098">
        <f t="shared" si="35"/>
        <v>0</v>
      </c>
    </row>
    <row r="260" spans="1:19">
      <c r="A260" s="2571"/>
      <c r="B260" s="3107"/>
      <c r="C260" s="2407">
        <f t="shared" si="36"/>
        <v>1</v>
      </c>
      <c r="D260" s="3103"/>
      <c r="E260" s="2407">
        <f t="shared" si="37"/>
        <v>0</v>
      </c>
      <c r="F260" s="3103"/>
      <c r="G260" s="2407">
        <f t="shared" si="38"/>
        <v>1</v>
      </c>
      <c r="H260" s="3103"/>
      <c r="I260" s="2407">
        <f t="shared" si="39"/>
        <v>1</v>
      </c>
      <c r="J260" s="3103"/>
      <c r="K260" s="2407">
        <f t="shared" si="40"/>
        <v>1</v>
      </c>
      <c r="L260" s="3103"/>
      <c r="M260" s="2407">
        <f t="shared" si="41"/>
        <v>1</v>
      </c>
      <c r="N260" s="3103"/>
      <c r="O260" s="2407">
        <f t="shared" si="42"/>
        <v>1</v>
      </c>
      <c r="P260" s="3491"/>
      <c r="Q260" s="2407">
        <f t="shared" si="43"/>
        <v>0</v>
      </c>
      <c r="R260" s="2407">
        <f t="shared" si="44"/>
        <v>0</v>
      </c>
      <c r="S260" s="3098">
        <f t="shared" si="35"/>
        <v>0</v>
      </c>
    </row>
    <row r="261" spans="1:19">
      <c r="A261" s="2571"/>
      <c r="B261" s="3107"/>
      <c r="C261" s="2407">
        <f t="shared" si="36"/>
        <v>1</v>
      </c>
      <c r="D261" s="3103"/>
      <c r="E261" s="2407">
        <f t="shared" si="37"/>
        <v>0</v>
      </c>
      <c r="F261" s="3103"/>
      <c r="G261" s="2407">
        <f t="shared" si="38"/>
        <v>1</v>
      </c>
      <c r="H261" s="3103"/>
      <c r="I261" s="2407">
        <f t="shared" si="39"/>
        <v>1</v>
      </c>
      <c r="J261" s="3103"/>
      <c r="K261" s="2407">
        <f t="shared" si="40"/>
        <v>1</v>
      </c>
      <c r="L261" s="3103"/>
      <c r="M261" s="2407">
        <f t="shared" si="41"/>
        <v>1</v>
      </c>
      <c r="N261" s="3103"/>
      <c r="O261" s="2407">
        <f t="shared" si="42"/>
        <v>1</v>
      </c>
      <c r="P261" s="3491"/>
      <c r="Q261" s="2407">
        <f t="shared" si="43"/>
        <v>0</v>
      </c>
      <c r="R261" s="2407">
        <f t="shared" si="44"/>
        <v>0</v>
      </c>
      <c r="S261" s="3098">
        <f t="shared" si="35"/>
        <v>0</v>
      </c>
    </row>
    <row r="262" spans="1:19">
      <c r="A262" s="2571"/>
      <c r="B262" s="3107"/>
      <c r="C262" s="2407">
        <f t="shared" si="36"/>
        <v>1</v>
      </c>
      <c r="D262" s="3103"/>
      <c r="E262" s="2407">
        <f t="shared" si="37"/>
        <v>0</v>
      </c>
      <c r="F262" s="3103"/>
      <c r="G262" s="2407">
        <f t="shared" si="38"/>
        <v>1</v>
      </c>
      <c r="H262" s="3103"/>
      <c r="I262" s="2407">
        <f t="shared" si="39"/>
        <v>1</v>
      </c>
      <c r="J262" s="3103"/>
      <c r="K262" s="2407">
        <f t="shared" si="40"/>
        <v>1</v>
      </c>
      <c r="L262" s="3103"/>
      <c r="M262" s="2407">
        <f t="shared" si="41"/>
        <v>1</v>
      </c>
      <c r="N262" s="3103"/>
      <c r="O262" s="2407">
        <f t="shared" si="42"/>
        <v>1</v>
      </c>
      <c r="P262" s="3491"/>
      <c r="Q262" s="2407">
        <f t="shared" si="43"/>
        <v>0</v>
      </c>
      <c r="R262" s="2407">
        <f t="shared" si="44"/>
        <v>0</v>
      </c>
      <c r="S262" s="3098">
        <f t="shared" si="35"/>
        <v>0</v>
      </c>
    </row>
    <row r="263" spans="1:19">
      <c r="A263" s="2571"/>
      <c r="B263" s="3107"/>
      <c r="C263" s="2407">
        <f t="shared" si="36"/>
        <v>1</v>
      </c>
      <c r="D263" s="3103"/>
      <c r="E263" s="2407">
        <f t="shared" si="37"/>
        <v>0</v>
      </c>
      <c r="F263" s="3103"/>
      <c r="G263" s="2407">
        <f t="shared" si="38"/>
        <v>1</v>
      </c>
      <c r="H263" s="3103"/>
      <c r="I263" s="2407">
        <f t="shared" si="39"/>
        <v>1</v>
      </c>
      <c r="J263" s="3103"/>
      <c r="K263" s="2407">
        <f t="shared" si="40"/>
        <v>1</v>
      </c>
      <c r="L263" s="3103"/>
      <c r="M263" s="2407">
        <f t="shared" si="41"/>
        <v>1</v>
      </c>
      <c r="N263" s="3103"/>
      <c r="O263" s="2407">
        <f t="shared" si="42"/>
        <v>1</v>
      </c>
      <c r="P263" s="3491"/>
      <c r="Q263" s="2407">
        <f t="shared" si="43"/>
        <v>0</v>
      </c>
      <c r="R263" s="2407">
        <f t="shared" si="44"/>
        <v>0</v>
      </c>
      <c r="S263" s="3098">
        <f t="shared" si="35"/>
        <v>0</v>
      </c>
    </row>
    <row r="264" spans="1:19">
      <c r="A264" s="2571"/>
      <c r="B264" s="3107"/>
      <c r="C264" s="2407">
        <f t="shared" si="36"/>
        <v>1</v>
      </c>
      <c r="D264" s="3103"/>
      <c r="E264" s="2407">
        <f t="shared" si="37"/>
        <v>0</v>
      </c>
      <c r="F264" s="3103"/>
      <c r="G264" s="2407">
        <f t="shared" si="38"/>
        <v>1</v>
      </c>
      <c r="H264" s="3103"/>
      <c r="I264" s="2407">
        <f t="shared" si="39"/>
        <v>1</v>
      </c>
      <c r="J264" s="3103"/>
      <c r="K264" s="2407">
        <f t="shared" si="40"/>
        <v>1</v>
      </c>
      <c r="L264" s="3103"/>
      <c r="M264" s="2407">
        <f t="shared" si="41"/>
        <v>1</v>
      </c>
      <c r="N264" s="3103"/>
      <c r="O264" s="2407">
        <f t="shared" si="42"/>
        <v>1</v>
      </c>
      <c r="P264" s="3491"/>
      <c r="Q264" s="2407">
        <f t="shared" si="43"/>
        <v>0</v>
      </c>
      <c r="R264" s="2407">
        <f t="shared" si="44"/>
        <v>0</v>
      </c>
      <c r="S264" s="3098">
        <f t="shared" si="35"/>
        <v>0</v>
      </c>
    </row>
    <row r="265" spans="1:19">
      <c r="A265" s="2571"/>
      <c r="B265" s="3107"/>
      <c r="C265" s="2407">
        <f t="shared" si="36"/>
        <v>1</v>
      </c>
      <c r="D265" s="3103"/>
      <c r="E265" s="2407">
        <f t="shared" si="37"/>
        <v>0</v>
      </c>
      <c r="F265" s="3103"/>
      <c r="G265" s="2407">
        <f t="shared" si="38"/>
        <v>1</v>
      </c>
      <c r="H265" s="3103"/>
      <c r="I265" s="2407">
        <f t="shared" si="39"/>
        <v>1</v>
      </c>
      <c r="J265" s="3103"/>
      <c r="K265" s="2407">
        <f t="shared" si="40"/>
        <v>1</v>
      </c>
      <c r="L265" s="3103"/>
      <c r="M265" s="2407">
        <f t="shared" si="41"/>
        <v>1</v>
      </c>
      <c r="N265" s="3103"/>
      <c r="O265" s="2407">
        <f t="shared" si="42"/>
        <v>1</v>
      </c>
      <c r="P265" s="3491"/>
      <c r="Q265" s="2407">
        <f t="shared" si="43"/>
        <v>0</v>
      </c>
      <c r="R265" s="2407">
        <f t="shared" si="44"/>
        <v>0</v>
      </c>
      <c r="S265" s="3098">
        <f t="shared" si="35"/>
        <v>0</v>
      </c>
    </row>
    <row r="266" spans="1:19">
      <c r="A266" s="2571"/>
      <c r="B266" s="3107"/>
      <c r="C266" s="2407">
        <f t="shared" si="36"/>
        <v>1</v>
      </c>
      <c r="D266" s="3103"/>
      <c r="E266" s="2407">
        <f t="shared" si="37"/>
        <v>0</v>
      </c>
      <c r="F266" s="3103"/>
      <c r="G266" s="2407">
        <f t="shared" si="38"/>
        <v>1</v>
      </c>
      <c r="H266" s="3103"/>
      <c r="I266" s="2407">
        <f t="shared" si="39"/>
        <v>1</v>
      </c>
      <c r="J266" s="3103"/>
      <c r="K266" s="2407">
        <f t="shared" si="40"/>
        <v>1</v>
      </c>
      <c r="L266" s="3103"/>
      <c r="M266" s="2407">
        <f t="shared" si="41"/>
        <v>1</v>
      </c>
      <c r="N266" s="3103"/>
      <c r="O266" s="2407">
        <f t="shared" si="42"/>
        <v>1</v>
      </c>
      <c r="P266" s="3491"/>
      <c r="Q266" s="2407">
        <f t="shared" si="43"/>
        <v>0</v>
      </c>
      <c r="R266" s="2407">
        <f t="shared" si="44"/>
        <v>0</v>
      </c>
      <c r="S266" s="3098">
        <f t="shared" si="35"/>
        <v>0</v>
      </c>
    </row>
    <row r="267" spans="1:19">
      <c r="A267" s="2571"/>
      <c r="B267" s="3107"/>
      <c r="C267" s="2407">
        <f t="shared" si="36"/>
        <v>1</v>
      </c>
      <c r="D267" s="3103"/>
      <c r="E267" s="2407">
        <f t="shared" si="37"/>
        <v>0</v>
      </c>
      <c r="F267" s="3103"/>
      <c r="G267" s="2407">
        <f t="shared" si="38"/>
        <v>1</v>
      </c>
      <c r="H267" s="3103"/>
      <c r="I267" s="2407">
        <f t="shared" si="39"/>
        <v>1</v>
      </c>
      <c r="J267" s="3103"/>
      <c r="K267" s="2407">
        <f t="shared" si="40"/>
        <v>1</v>
      </c>
      <c r="L267" s="3103"/>
      <c r="M267" s="2407">
        <f t="shared" si="41"/>
        <v>1</v>
      </c>
      <c r="N267" s="3103"/>
      <c r="O267" s="2407">
        <f t="shared" si="42"/>
        <v>1</v>
      </c>
      <c r="P267" s="3491"/>
      <c r="Q267" s="2407">
        <f t="shared" si="43"/>
        <v>0</v>
      </c>
      <c r="R267" s="2407">
        <f t="shared" si="44"/>
        <v>0</v>
      </c>
      <c r="S267" s="3098">
        <f t="shared" si="35"/>
        <v>0</v>
      </c>
    </row>
    <row r="268" spans="1:19">
      <c r="A268" s="2571"/>
      <c r="B268" s="3107"/>
      <c r="C268" s="2407">
        <f t="shared" si="36"/>
        <v>1</v>
      </c>
      <c r="D268" s="3103"/>
      <c r="E268" s="2407">
        <f t="shared" si="37"/>
        <v>0</v>
      </c>
      <c r="F268" s="3103"/>
      <c r="G268" s="2407">
        <f t="shared" si="38"/>
        <v>1</v>
      </c>
      <c r="H268" s="3103"/>
      <c r="I268" s="2407">
        <f t="shared" si="39"/>
        <v>1</v>
      </c>
      <c r="J268" s="3103"/>
      <c r="K268" s="2407">
        <f t="shared" si="40"/>
        <v>1</v>
      </c>
      <c r="L268" s="3103"/>
      <c r="M268" s="2407">
        <f t="shared" si="41"/>
        <v>1</v>
      </c>
      <c r="N268" s="3103"/>
      <c r="O268" s="2407">
        <f t="shared" si="42"/>
        <v>1</v>
      </c>
      <c r="P268" s="3491"/>
      <c r="Q268" s="2407">
        <f t="shared" si="43"/>
        <v>0</v>
      </c>
      <c r="R268" s="2407">
        <f t="shared" si="44"/>
        <v>0</v>
      </c>
      <c r="S268" s="3098">
        <f t="shared" si="35"/>
        <v>0</v>
      </c>
    </row>
    <row r="269" spans="1:19">
      <c r="A269" s="2571"/>
      <c r="B269" s="3107"/>
      <c r="C269" s="2407">
        <f t="shared" si="36"/>
        <v>1</v>
      </c>
      <c r="D269" s="3103"/>
      <c r="E269" s="2407">
        <f t="shared" si="37"/>
        <v>0</v>
      </c>
      <c r="F269" s="3103"/>
      <c r="G269" s="2407">
        <f t="shared" si="38"/>
        <v>1</v>
      </c>
      <c r="H269" s="3103"/>
      <c r="I269" s="2407">
        <f t="shared" si="39"/>
        <v>1</v>
      </c>
      <c r="J269" s="3103"/>
      <c r="K269" s="2407">
        <f t="shared" si="40"/>
        <v>1</v>
      </c>
      <c r="L269" s="3103"/>
      <c r="M269" s="2407">
        <f t="shared" si="41"/>
        <v>1</v>
      </c>
      <c r="N269" s="3103"/>
      <c r="O269" s="2407">
        <f t="shared" si="42"/>
        <v>1</v>
      </c>
      <c r="P269" s="3491"/>
      <c r="Q269" s="2407">
        <f t="shared" si="43"/>
        <v>0</v>
      </c>
      <c r="R269" s="2407">
        <f t="shared" si="44"/>
        <v>0</v>
      </c>
      <c r="S269" s="3098">
        <f t="shared" si="35"/>
        <v>0</v>
      </c>
    </row>
    <row r="270" spans="1:19">
      <c r="A270" s="2571"/>
      <c r="B270" s="3107"/>
      <c r="C270" s="2407">
        <f t="shared" si="36"/>
        <v>1</v>
      </c>
      <c r="D270" s="3103"/>
      <c r="E270" s="2407">
        <f t="shared" si="37"/>
        <v>0</v>
      </c>
      <c r="F270" s="3103"/>
      <c r="G270" s="2407">
        <f t="shared" si="38"/>
        <v>1</v>
      </c>
      <c r="H270" s="3103"/>
      <c r="I270" s="2407">
        <f t="shared" si="39"/>
        <v>1</v>
      </c>
      <c r="J270" s="3103"/>
      <c r="K270" s="2407">
        <f t="shared" si="40"/>
        <v>1</v>
      </c>
      <c r="L270" s="3103"/>
      <c r="M270" s="2407">
        <f t="shared" si="41"/>
        <v>1</v>
      </c>
      <c r="N270" s="3103"/>
      <c r="O270" s="2407">
        <f t="shared" si="42"/>
        <v>1</v>
      </c>
      <c r="P270" s="3491"/>
      <c r="Q270" s="2407">
        <f t="shared" si="43"/>
        <v>0</v>
      </c>
      <c r="R270" s="2407">
        <f t="shared" si="44"/>
        <v>0</v>
      </c>
      <c r="S270" s="3098">
        <f t="shared" si="35"/>
        <v>0</v>
      </c>
    </row>
    <row r="271" spans="1:19">
      <c r="A271" s="2571"/>
      <c r="B271" s="3107"/>
      <c r="C271" s="2407">
        <f t="shared" si="36"/>
        <v>1</v>
      </c>
      <c r="D271" s="3103"/>
      <c r="E271" s="2407">
        <f t="shared" si="37"/>
        <v>0</v>
      </c>
      <c r="F271" s="3103"/>
      <c r="G271" s="2407">
        <f t="shared" si="38"/>
        <v>1</v>
      </c>
      <c r="H271" s="3103"/>
      <c r="I271" s="2407">
        <f t="shared" si="39"/>
        <v>1</v>
      </c>
      <c r="J271" s="3103"/>
      <c r="K271" s="2407">
        <f t="shared" si="40"/>
        <v>1</v>
      </c>
      <c r="L271" s="3103"/>
      <c r="M271" s="2407">
        <f t="shared" si="41"/>
        <v>1</v>
      </c>
      <c r="N271" s="3103"/>
      <c r="O271" s="2407">
        <f t="shared" si="42"/>
        <v>1</v>
      </c>
      <c r="P271" s="3491"/>
      <c r="Q271" s="2407">
        <f t="shared" si="43"/>
        <v>0</v>
      </c>
      <c r="R271" s="2407">
        <f t="shared" si="44"/>
        <v>0</v>
      </c>
      <c r="S271" s="3098">
        <f t="shared" si="35"/>
        <v>0</v>
      </c>
    </row>
    <row r="272" spans="1:19">
      <c r="A272" s="2571"/>
      <c r="B272" s="3107"/>
      <c r="C272" s="2407">
        <f t="shared" si="36"/>
        <v>1</v>
      </c>
      <c r="D272" s="3103"/>
      <c r="E272" s="2407">
        <f t="shared" si="37"/>
        <v>0</v>
      </c>
      <c r="F272" s="3103"/>
      <c r="G272" s="2407">
        <f t="shared" si="38"/>
        <v>1</v>
      </c>
      <c r="H272" s="3103"/>
      <c r="I272" s="2407">
        <f t="shared" si="39"/>
        <v>1</v>
      </c>
      <c r="J272" s="3103"/>
      <c r="K272" s="2407">
        <f t="shared" si="40"/>
        <v>1</v>
      </c>
      <c r="L272" s="3103"/>
      <c r="M272" s="2407">
        <f t="shared" si="41"/>
        <v>1</v>
      </c>
      <c r="N272" s="3103"/>
      <c r="O272" s="2407">
        <f t="shared" si="42"/>
        <v>1</v>
      </c>
      <c r="P272" s="3491"/>
      <c r="Q272" s="2407">
        <f t="shared" si="43"/>
        <v>0</v>
      </c>
      <c r="R272" s="2407">
        <f t="shared" si="44"/>
        <v>0</v>
      </c>
      <c r="S272" s="3098">
        <f t="shared" si="35"/>
        <v>0</v>
      </c>
    </row>
    <row r="273" spans="1:19">
      <c r="A273" s="2571"/>
      <c r="B273" s="3107"/>
      <c r="C273" s="2407">
        <f t="shared" si="36"/>
        <v>1</v>
      </c>
      <c r="D273" s="3103"/>
      <c r="E273" s="2407">
        <f t="shared" si="37"/>
        <v>0</v>
      </c>
      <c r="F273" s="3103"/>
      <c r="G273" s="2407">
        <f t="shared" si="38"/>
        <v>1</v>
      </c>
      <c r="H273" s="3103"/>
      <c r="I273" s="2407">
        <f t="shared" si="39"/>
        <v>1</v>
      </c>
      <c r="J273" s="3103"/>
      <c r="K273" s="2407">
        <f t="shared" si="40"/>
        <v>1</v>
      </c>
      <c r="L273" s="3103"/>
      <c r="M273" s="2407">
        <f t="shared" si="41"/>
        <v>1</v>
      </c>
      <c r="N273" s="3103"/>
      <c r="O273" s="2407">
        <f t="shared" si="42"/>
        <v>1</v>
      </c>
      <c r="P273" s="3491"/>
      <c r="Q273" s="2407">
        <f t="shared" si="43"/>
        <v>0</v>
      </c>
      <c r="R273" s="2407">
        <f t="shared" si="44"/>
        <v>0</v>
      </c>
      <c r="S273" s="3098">
        <f t="shared" si="35"/>
        <v>0</v>
      </c>
    </row>
    <row r="274" spans="1:19">
      <c r="A274" s="2571"/>
      <c r="B274" s="3107"/>
      <c r="C274" s="2407">
        <f t="shared" si="36"/>
        <v>1</v>
      </c>
      <c r="D274" s="3103"/>
      <c r="E274" s="2407">
        <f t="shared" si="37"/>
        <v>0</v>
      </c>
      <c r="F274" s="3103"/>
      <c r="G274" s="2407">
        <f t="shared" si="38"/>
        <v>1</v>
      </c>
      <c r="H274" s="3103"/>
      <c r="I274" s="2407">
        <f t="shared" si="39"/>
        <v>1</v>
      </c>
      <c r="J274" s="3103"/>
      <c r="K274" s="2407">
        <f t="shared" si="40"/>
        <v>1</v>
      </c>
      <c r="L274" s="3103"/>
      <c r="M274" s="2407">
        <f t="shared" si="41"/>
        <v>1</v>
      </c>
      <c r="N274" s="3103"/>
      <c r="O274" s="2407">
        <f t="shared" si="42"/>
        <v>1</v>
      </c>
      <c r="P274" s="3491"/>
      <c r="Q274" s="2407">
        <f t="shared" si="43"/>
        <v>0</v>
      </c>
      <c r="R274" s="2407">
        <f t="shared" si="44"/>
        <v>0</v>
      </c>
      <c r="S274" s="3098">
        <f t="shared" si="35"/>
        <v>0</v>
      </c>
    </row>
    <row r="275" spans="1:19">
      <c r="A275" s="2571"/>
      <c r="B275" s="3107"/>
      <c r="C275" s="2407">
        <f t="shared" si="36"/>
        <v>1</v>
      </c>
      <c r="D275" s="3103"/>
      <c r="E275" s="2407">
        <f t="shared" si="37"/>
        <v>0</v>
      </c>
      <c r="F275" s="3103"/>
      <c r="G275" s="2407">
        <f t="shared" si="38"/>
        <v>1</v>
      </c>
      <c r="H275" s="3103"/>
      <c r="I275" s="2407">
        <f t="shared" si="39"/>
        <v>1</v>
      </c>
      <c r="J275" s="3103"/>
      <c r="K275" s="2407">
        <f t="shared" si="40"/>
        <v>1</v>
      </c>
      <c r="L275" s="3103"/>
      <c r="M275" s="2407">
        <f t="shared" si="41"/>
        <v>1</v>
      </c>
      <c r="N275" s="3103"/>
      <c r="O275" s="2407">
        <f t="shared" si="42"/>
        <v>1</v>
      </c>
      <c r="P275" s="3491"/>
      <c r="Q275" s="2407">
        <f t="shared" si="43"/>
        <v>0</v>
      </c>
      <c r="R275" s="2407">
        <f t="shared" si="44"/>
        <v>0</v>
      </c>
      <c r="S275" s="3098">
        <f t="shared" si="35"/>
        <v>0</v>
      </c>
    </row>
    <row r="276" spans="1:19">
      <c r="A276" s="2571"/>
      <c r="B276" s="3107"/>
      <c r="C276" s="2407">
        <f t="shared" si="36"/>
        <v>1</v>
      </c>
      <c r="D276" s="3103"/>
      <c r="E276" s="2407">
        <f t="shared" si="37"/>
        <v>0</v>
      </c>
      <c r="F276" s="3103"/>
      <c r="G276" s="2407">
        <f t="shared" si="38"/>
        <v>1</v>
      </c>
      <c r="H276" s="3103"/>
      <c r="I276" s="2407">
        <f t="shared" si="39"/>
        <v>1</v>
      </c>
      <c r="J276" s="3103"/>
      <c r="K276" s="2407">
        <f t="shared" si="40"/>
        <v>1</v>
      </c>
      <c r="L276" s="3103"/>
      <c r="M276" s="2407">
        <f t="shared" si="41"/>
        <v>1</v>
      </c>
      <c r="N276" s="3103"/>
      <c r="O276" s="2407">
        <f t="shared" si="42"/>
        <v>1</v>
      </c>
      <c r="P276" s="3491"/>
      <c r="Q276" s="2407">
        <f t="shared" si="43"/>
        <v>0</v>
      </c>
      <c r="R276" s="2407">
        <f t="shared" si="44"/>
        <v>0</v>
      </c>
      <c r="S276" s="3098">
        <f t="shared" si="35"/>
        <v>0</v>
      </c>
    </row>
    <row r="277" spans="1:19">
      <c r="A277" s="2571"/>
      <c r="B277" s="3107"/>
      <c r="C277" s="2407">
        <f t="shared" si="36"/>
        <v>1</v>
      </c>
      <c r="D277" s="3103"/>
      <c r="E277" s="2407">
        <f t="shared" si="37"/>
        <v>0</v>
      </c>
      <c r="F277" s="3103"/>
      <c r="G277" s="2407">
        <f t="shared" si="38"/>
        <v>1</v>
      </c>
      <c r="H277" s="3103"/>
      <c r="I277" s="2407">
        <f t="shared" si="39"/>
        <v>1</v>
      </c>
      <c r="J277" s="3103"/>
      <c r="K277" s="2407">
        <f t="shared" si="40"/>
        <v>1</v>
      </c>
      <c r="L277" s="3103"/>
      <c r="M277" s="2407">
        <f t="shared" si="41"/>
        <v>1</v>
      </c>
      <c r="N277" s="3103"/>
      <c r="O277" s="2407">
        <f t="shared" si="42"/>
        <v>1</v>
      </c>
      <c r="P277" s="3491"/>
      <c r="Q277" s="2407">
        <f t="shared" si="43"/>
        <v>0</v>
      </c>
      <c r="R277" s="2407">
        <f t="shared" si="44"/>
        <v>0</v>
      </c>
      <c r="S277" s="3098">
        <f t="shared" si="35"/>
        <v>0</v>
      </c>
    </row>
    <row r="278" spans="1:19">
      <c r="A278" s="2571"/>
      <c r="B278" s="3107"/>
      <c r="C278" s="2407">
        <f t="shared" si="36"/>
        <v>1</v>
      </c>
      <c r="D278" s="3103"/>
      <c r="E278" s="2407">
        <f t="shared" si="37"/>
        <v>0</v>
      </c>
      <c r="F278" s="3103"/>
      <c r="G278" s="2407">
        <f t="shared" si="38"/>
        <v>1</v>
      </c>
      <c r="H278" s="3103"/>
      <c r="I278" s="2407">
        <f t="shared" si="39"/>
        <v>1</v>
      </c>
      <c r="J278" s="3103"/>
      <c r="K278" s="2407">
        <f t="shared" si="40"/>
        <v>1</v>
      </c>
      <c r="L278" s="3103"/>
      <c r="M278" s="2407">
        <f t="shared" si="41"/>
        <v>1</v>
      </c>
      <c r="N278" s="3103"/>
      <c r="O278" s="2407">
        <f t="shared" si="42"/>
        <v>1</v>
      </c>
      <c r="P278" s="3491"/>
      <c r="Q278" s="2407">
        <f t="shared" si="43"/>
        <v>0</v>
      </c>
      <c r="R278" s="2407">
        <f t="shared" si="44"/>
        <v>0</v>
      </c>
      <c r="S278" s="3098">
        <f t="shared" si="35"/>
        <v>0</v>
      </c>
    </row>
    <row r="279" spans="1:19">
      <c r="A279" s="2571"/>
      <c r="B279" s="3107"/>
      <c r="C279" s="2407">
        <f t="shared" si="36"/>
        <v>1</v>
      </c>
      <c r="D279" s="3103"/>
      <c r="E279" s="2407">
        <f t="shared" si="37"/>
        <v>0</v>
      </c>
      <c r="F279" s="3103"/>
      <c r="G279" s="2407">
        <f t="shared" si="38"/>
        <v>1</v>
      </c>
      <c r="H279" s="3103"/>
      <c r="I279" s="2407">
        <f t="shared" si="39"/>
        <v>1</v>
      </c>
      <c r="J279" s="3103"/>
      <c r="K279" s="2407">
        <f t="shared" si="40"/>
        <v>1</v>
      </c>
      <c r="L279" s="3103"/>
      <c r="M279" s="2407">
        <f t="shared" si="41"/>
        <v>1</v>
      </c>
      <c r="N279" s="3103"/>
      <c r="O279" s="2407">
        <f t="shared" si="42"/>
        <v>1</v>
      </c>
      <c r="P279" s="3491"/>
      <c r="Q279" s="2407">
        <f t="shared" si="43"/>
        <v>0</v>
      </c>
      <c r="R279" s="2407">
        <f t="shared" si="44"/>
        <v>0</v>
      </c>
      <c r="S279" s="3098">
        <f t="shared" si="35"/>
        <v>0</v>
      </c>
    </row>
    <row r="280" spans="1:19">
      <c r="A280" s="2571"/>
      <c r="B280" s="3107"/>
      <c r="C280" s="2407">
        <f t="shared" si="36"/>
        <v>1</v>
      </c>
      <c r="D280" s="3103"/>
      <c r="E280" s="2407">
        <f t="shared" si="37"/>
        <v>0</v>
      </c>
      <c r="F280" s="3103"/>
      <c r="G280" s="2407">
        <f t="shared" si="38"/>
        <v>1</v>
      </c>
      <c r="H280" s="3103"/>
      <c r="I280" s="2407">
        <f t="shared" si="39"/>
        <v>1</v>
      </c>
      <c r="J280" s="3103"/>
      <c r="K280" s="2407">
        <f t="shared" si="40"/>
        <v>1</v>
      </c>
      <c r="L280" s="3103"/>
      <c r="M280" s="2407">
        <f t="shared" si="41"/>
        <v>1</v>
      </c>
      <c r="N280" s="3103"/>
      <c r="O280" s="2407">
        <f t="shared" si="42"/>
        <v>1</v>
      </c>
      <c r="P280" s="3491"/>
      <c r="Q280" s="2407">
        <f t="shared" si="43"/>
        <v>0</v>
      </c>
      <c r="R280" s="2407">
        <f t="shared" si="44"/>
        <v>0</v>
      </c>
      <c r="S280" s="3098">
        <f t="shared" ref="S280:S343" si="45">ROUND(R280*B280/10000,0)</f>
        <v>0</v>
      </c>
    </row>
    <row r="281" spans="1:19">
      <c r="A281" s="2571"/>
      <c r="B281" s="3107"/>
      <c r="C281" s="2407">
        <f t="shared" si="36"/>
        <v>1</v>
      </c>
      <c r="D281" s="3103"/>
      <c r="E281" s="2407">
        <f t="shared" si="37"/>
        <v>0</v>
      </c>
      <c r="F281" s="3103"/>
      <c r="G281" s="2407">
        <f t="shared" si="38"/>
        <v>1</v>
      </c>
      <c r="H281" s="3103"/>
      <c r="I281" s="2407">
        <f t="shared" si="39"/>
        <v>1</v>
      </c>
      <c r="J281" s="3103"/>
      <c r="K281" s="2407">
        <f t="shared" si="40"/>
        <v>1</v>
      </c>
      <c r="L281" s="3103"/>
      <c r="M281" s="2407">
        <f t="shared" si="41"/>
        <v>1</v>
      </c>
      <c r="N281" s="3103"/>
      <c r="O281" s="2407">
        <f t="shared" si="42"/>
        <v>1</v>
      </c>
      <c r="P281" s="3491"/>
      <c r="Q281" s="2407">
        <f t="shared" si="43"/>
        <v>0</v>
      </c>
      <c r="R281" s="2407">
        <f t="shared" si="44"/>
        <v>0</v>
      </c>
      <c r="S281" s="3098">
        <f t="shared" si="45"/>
        <v>0</v>
      </c>
    </row>
    <row r="282" spans="1:19">
      <c r="A282" s="2571"/>
      <c r="B282" s="3107"/>
      <c r="C282" s="2407">
        <f t="shared" ref="C282:C345" si="46">IF(B282="",1,(LOOKUP(B282,$3:$3,$4:$4)-LOOKUP($B$24,$3:$3,$4:$4)+100)/100)</f>
        <v>1</v>
      </c>
      <c r="D282" s="3103"/>
      <c r="E282" s="2407">
        <f t="shared" ref="E282:E345" si="47">(SUMIF($5:$5,D282,$6:$6)-SUMIF($5:$5,$D$24,$6:$6)+100)/100</f>
        <v>0</v>
      </c>
      <c r="F282" s="3103"/>
      <c r="G282" s="2407">
        <f t="shared" ref="G282:G345" si="48">(SUMIF($7:$7,F282,$8:$8)-SUMIF($7:$7,$F$24,$8:$8)+100)/100</f>
        <v>1</v>
      </c>
      <c r="H282" s="3103"/>
      <c r="I282" s="2407">
        <f t="shared" ref="I282:I345" si="49">(SUMIF($9:$9,H282,$10:$10)-SUMIF($9:$9,$H$24,$10:$10)+100)/100</f>
        <v>1</v>
      </c>
      <c r="J282" s="3103"/>
      <c r="K282" s="2407">
        <f t="shared" ref="K282:K345" si="50">(SUMIF($11:$11,J282,$12:$12)-SUMIF($11:$11,$J$24,$12:$12)+100)/100</f>
        <v>1</v>
      </c>
      <c r="L282" s="3103"/>
      <c r="M282" s="2407">
        <f t="shared" ref="M282:M345" si="51">(SUMIF($13:$13,L282,$14:$14)-SUMIF($13:$13,$L$24,$14:$14)+100)/100</f>
        <v>1</v>
      </c>
      <c r="N282" s="3103"/>
      <c r="O282" s="2407">
        <f t="shared" ref="O282:O345" si="52">(SUMIF($15:$15,N282,$16:$16)-SUMIF($15:$15,$N$24,$16:$16)+100)/100</f>
        <v>1</v>
      </c>
      <c r="P282" s="3491"/>
      <c r="Q282" s="2407">
        <f t="shared" ref="Q282:Q345" si="53">(SUMIF($17:$17,P282,$18:$18)-SUMIF($17:$17,$P$24,$18:$18)+100)/100</f>
        <v>0</v>
      </c>
      <c r="R282" s="2407">
        <f t="shared" ref="R282:R345" si="54">IF(B282="",0,ROUND($R$24*C282*E282*G282*I282*K282*M282*O282*Q282,0))</f>
        <v>0</v>
      </c>
      <c r="S282" s="3098">
        <f t="shared" si="45"/>
        <v>0</v>
      </c>
    </row>
    <row r="283" spans="1:19">
      <c r="A283" s="2571"/>
      <c r="B283" s="3107"/>
      <c r="C283" s="2407">
        <f t="shared" si="46"/>
        <v>1</v>
      </c>
      <c r="D283" s="3103"/>
      <c r="E283" s="2407">
        <f t="shared" si="47"/>
        <v>0</v>
      </c>
      <c r="F283" s="3103"/>
      <c r="G283" s="2407">
        <f t="shared" si="48"/>
        <v>1</v>
      </c>
      <c r="H283" s="3103"/>
      <c r="I283" s="2407">
        <f t="shared" si="49"/>
        <v>1</v>
      </c>
      <c r="J283" s="3103"/>
      <c r="K283" s="2407">
        <f t="shared" si="50"/>
        <v>1</v>
      </c>
      <c r="L283" s="3103"/>
      <c r="M283" s="2407">
        <f t="shared" si="51"/>
        <v>1</v>
      </c>
      <c r="N283" s="3103"/>
      <c r="O283" s="2407">
        <f t="shared" si="52"/>
        <v>1</v>
      </c>
      <c r="P283" s="3491"/>
      <c r="Q283" s="2407">
        <f t="shared" si="53"/>
        <v>0</v>
      </c>
      <c r="R283" s="2407">
        <f t="shared" si="54"/>
        <v>0</v>
      </c>
      <c r="S283" s="3098">
        <f t="shared" si="45"/>
        <v>0</v>
      </c>
    </row>
    <row r="284" spans="1:19">
      <c r="A284" s="2571"/>
      <c r="B284" s="3107"/>
      <c r="C284" s="2407">
        <f t="shared" si="46"/>
        <v>1</v>
      </c>
      <c r="D284" s="3103"/>
      <c r="E284" s="2407">
        <f t="shared" si="47"/>
        <v>0</v>
      </c>
      <c r="F284" s="3103"/>
      <c r="G284" s="2407">
        <f t="shared" si="48"/>
        <v>1</v>
      </c>
      <c r="H284" s="3103"/>
      <c r="I284" s="2407">
        <f t="shared" si="49"/>
        <v>1</v>
      </c>
      <c r="J284" s="3103"/>
      <c r="K284" s="2407">
        <f t="shared" si="50"/>
        <v>1</v>
      </c>
      <c r="L284" s="3103"/>
      <c r="M284" s="2407">
        <f t="shared" si="51"/>
        <v>1</v>
      </c>
      <c r="N284" s="3103"/>
      <c r="O284" s="2407">
        <f t="shared" si="52"/>
        <v>1</v>
      </c>
      <c r="P284" s="3491"/>
      <c r="Q284" s="2407">
        <f t="shared" si="53"/>
        <v>0</v>
      </c>
      <c r="R284" s="2407">
        <f t="shared" si="54"/>
        <v>0</v>
      </c>
      <c r="S284" s="3098">
        <f t="shared" si="45"/>
        <v>0</v>
      </c>
    </row>
    <row r="285" spans="1:19">
      <c r="A285" s="2571"/>
      <c r="B285" s="3107"/>
      <c r="C285" s="2407">
        <f t="shared" si="46"/>
        <v>1</v>
      </c>
      <c r="D285" s="3103"/>
      <c r="E285" s="2407">
        <f t="shared" si="47"/>
        <v>0</v>
      </c>
      <c r="F285" s="3103"/>
      <c r="G285" s="2407">
        <f t="shared" si="48"/>
        <v>1</v>
      </c>
      <c r="H285" s="3103"/>
      <c r="I285" s="2407">
        <f t="shared" si="49"/>
        <v>1</v>
      </c>
      <c r="J285" s="3103"/>
      <c r="K285" s="2407">
        <f t="shared" si="50"/>
        <v>1</v>
      </c>
      <c r="L285" s="3103"/>
      <c r="M285" s="2407">
        <f t="shared" si="51"/>
        <v>1</v>
      </c>
      <c r="N285" s="3103"/>
      <c r="O285" s="2407">
        <f t="shared" si="52"/>
        <v>1</v>
      </c>
      <c r="P285" s="3491"/>
      <c r="Q285" s="2407">
        <f t="shared" si="53"/>
        <v>0</v>
      </c>
      <c r="R285" s="2407">
        <f t="shared" si="54"/>
        <v>0</v>
      </c>
      <c r="S285" s="3098">
        <f t="shared" si="45"/>
        <v>0</v>
      </c>
    </row>
    <row r="286" spans="1:19">
      <c r="A286" s="2571"/>
      <c r="B286" s="3107"/>
      <c r="C286" s="2407">
        <f t="shared" si="46"/>
        <v>1</v>
      </c>
      <c r="D286" s="3103"/>
      <c r="E286" s="2407">
        <f t="shared" si="47"/>
        <v>0</v>
      </c>
      <c r="F286" s="3103"/>
      <c r="G286" s="2407">
        <f t="shared" si="48"/>
        <v>1</v>
      </c>
      <c r="H286" s="3103"/>
      <c r="I286" s="2407">
        <f t="shared" si="49"/>
        <v>1</v>
      </c>
      <c r="J286" s="3103"/>
      <c r="K286" s="2407">
        <f t="shared" si="50"/>
        <v>1</v>
      </c>
      <c r="L286" s="3103"/>
      <c r="M286" s="2407">
        <f t="shared" si="51"/>
        <v>1</v>
      </c>
      <c r="N286" s="3103"/>
      <c r="O286" s="2407">
        <f t="shared" si="52"/>
        <v>1</v>
      </c>
      <c r="P286" s="3491"/>
      <c r="Q286" s="2407">
        <f t="shared" si="53"/>
        <v>0</v>
      </c>
      <c r="R286" s="2407">
        <f t="shared" si="54"/>
        <v>0</v>
      </c>
      <c r="S286" s="3098">
        <f t="shared" si="45"/>
        <v>0</v>
      </c>
    </row>
    <row r="287" spans="1:19">
      <c r="A287" s="2571"/>
      <c r="B287" s="3107"/>
      <c r="C287" s="2407">
        <f t="shared" si="46"/>
        <v>1</v>
      </c>
      <c r="D287" s="3103"/>
      <c r="E287" s="2407">
        <f t="shared" si="47"/>
        <v>0</v>
      </c>
      <c r="F287" s="3103"/>
      <c r="G287" s="2407">
        <f t="shared" si="48"/>
        <v>1</v>
      </c>
      <c r="H287" s="3103"/>
      <c r="I287" s="2407">
        <f t="shared" si="49"/>
        <v>1</v>
      </c>
      <c r="J287" s="3103"/>
      <c r="K287" s="2407">
        <f t="shared" si="50"/>
        <v>1</v>
      </c>
      <c r="L287" s="3103"/>
      <c r="M287" s="2407">
        <f t="shared" si="51"/>
        <v>1</v>
      </c>
      <c r="N287" s="3103"/>
      <c r="O287" s="2407">
        <f t="shared" si="52"/>
        <v>1</v>
      </c>
      <c r="P287" s="3491"/>
      <c r="Q287" s="2407">
        <f t="shared" si="53"/>
        <v>0</v>
      </c>
      <c r="R287" s="2407">
        <f t="shared" si="54"/>
        <v>0</v>
      </c>
      <c r="S287" s="3098">
        <f t="shared" si="45"/>
        <v>0</v>
      </c>
    </row>
    <row r="288" spans="1:19">
      <c r="A288" s="2571"/>
      <c r="B288" s="3107"/>
      <c r="C288" s="2407">
        <f t="shared" si="46"/>
        <v>1</v>
      </c>
      <c r="D288" s="3103"/>
      <c r="E288" s="2407">
        <f t="shared" si="47"/>
        <v>0</v>
      </c>
      <c r="F288" s="3103"/>
      <c r="G288" s="2407">
        <f t="shared" si="48"/>
        <v>1</v>
      </c>
      <c r="H288" s="3103"/>
      <c r="I288" s="2407">
        <f t="shared" si="49"/>
        <v>1</v>
      </c>
      <c r="J288" s="3103"/>
      <c r="K288" s="2407">
        <f t="shared" si="50"/>
        <v>1</v>
      </c>
      <c r="L288" s="3103"/>
      <c r="M288" s="2407">
        <f t="shared" si="51"/>
        <v>1</v>
      </c>
      <c r="N288" s="3103"/>
      <c r="O288" s="2407">
        <f t="shared" si="52"/>
        <v>1</v>
      </c>
      <c r="P288" s="3491"/>
      <c r="Q288" s="2407">
        <f t="shared" si="53"/>
        <v>0</v>
      </c>
      <c r="R288" s="2407">
        <f t="shared" si="54"/>
        <v>0</v>
      </c>
      <c r="S288" s="3098">
        <f t="shared" si="45"/>
        <v>0</v>
      </c>
    </row>
    <row r="289" spans="1:19">
      <c r="A289" s="2571"/>
      <c r="B289" s="3107"/>
      <c r="C289" s="2407">
        <f t="shared" si="46"/>
        <v>1</v>
      </c>
      <c r="D289" s="3103"/>
      <c r="E289" s="2407">
        <f t="shared" si="47"/>
        <v>0</v>
      </c>
      <c r="F289" s="3103"/>
      <c r="G289" s="2407">
        <f t="shared" si="48"/>
        <v>1</v>
      </c>
      <c r="H289" s="3103"/>
      <c r="I289" s="2407">
        <f t="shared" si="49"/>
        <v>1</v>
      </c>
      <c r="J289" s="3103"/>
      <c r="K289" s="2407">
        <f t="shared" si="50"/>
        <v>1</v>
      </c>
      <c r="L289" s="3103"/>
      <c r="M289" s="2407">
        <f t="shared" si="51"/>
        <v>1</v>
      </c>
      <c r="N289" s="3103"/>
      <c r="O289" s="2407">
        <f t="shared" si="52"/>
        <v>1</v>
      </c>
      <c r="P289" s="3491"/>
      <c r="Q289" s="2407">
        <f t="shared" si="53"/>
        <v>0</v>
      </c>
      <c r="R289" s="2407">
        <f t="shared" si="54"/>
        <v>0</v>
      </c>
      <c r="S289" s="3098">
        <f t="shared" si="45"/>
        <v>0</v>
      </c>
    </row>
    <row r="290" spans="1:19">
      <c r="A290" s="2571"/>
      <c r="B290" s="3107"/>
      <c r="C290" s="2407">
        <f t="shared" si="46"/>
        <v>1</v>
      </c>
      <c r="D290" s="3103"/>
      <c r="E290" s="2407">
        <f t="shared" si="47"/>
        <v>0</v>
      </c>
      <c r="F290" s="3103"/>
      <c r="G290" s="2407">
        <f t="shared" si="48"/>
        <v>1</v>
      </c>
      <c r="H290" s="3103"/>
      <c r="I290" s="2407">
        <f t="shared" si="49"/>
        <v>1</v>
      </c>
      <c r="J290" s="3103"/>
      <c r="K290" s="2407">
        <f t="shared" si="50"/>
        <v>1</v>
      </c>
      <c r="L290" s="3103"/>
      <c r="M290" s="2407">
        <f t="shared" si="51"/>
        <v>1</v>
      </c>
      <c r="N290" s="3103"/>
      <c r="O290" s="2407">
        <f t="shared" si="52"/>
        <v>1</v>
      </c>
      <c r="P290" s="3491"/>
      <c r="Q290" s="2407">
        <f t="shared" si="53"/>
        <v>0</v>
      </c>
      <c r="R290" s="2407">
        <f t="shared" si="54"/>
        <v>0</v>
      </c>
      <c r="S290" s="3098">
        <f t="shared" si="45"/>
        <v>0</v>
      </c>
    </row>
    <row r="291" spans="1:19">
      <c r="A291" s="2571"/>
      <c r="B291" s="3107"/>
      <c r="C291" s="2407">
        <f t="shared" si="46"/>
        <v>1</v>
      </c>
      <c r="D291" s="3103"/>
      <c r="E291" s="2407">
        <f t="shared" si="47"/>
        <v>0</v>
      </c>
      <c r="F291" s="3103"/>
      <c r="G291" s="2407">
        <f t="shared" si="48"/>
        <v>1</v>
      </c>
      <c r="H291" s="3103"/>
      <c r="I291" s="2407">
        <f t="shared" si="49"/>
        <v>1</v>
      </c>
      <c r="J291" s="3103"/>
      <c r="K291" s="2407">
        <f t="shared" si="50"/>
        <v>1</v>
      </c>
      <c r="L291" s="3103"/>
      <c r="M291" s="2407">
        <f t="shared" si="51"/>
        <v>1</v>
      </c>
      <c r="N291" s="3103"/>
      <c r="O291" s="2407">
        <f t="shared" si="52"/>
        <v>1</v>
      </c>
      <c r="P291" s="3491"/>
      <c r="Q291" s="2407">
        <f t="shared" si="53"/>
        <v>0</v>
      </c>
      <c r="R291" s="2407">
        <f t="shared" si="54"/>
        <v>0</v>
      </c>
      <c r="S291" s="3098">
        <f t="shared" si="45"/>
        <v>0</v>
      </c>
    </row>
    <row r="292" spans="1:19">
      <c r="A292" s="2571"/>
      <c r="B292" s="3107"/>
      <c r="C292" s="2407">
        <f t="shared" si="46"/>
        <v>1</v>
      </c>
      <c r="D292" s="3103"/>
      <c r="E292" s="2407">
        <f t="shared" si="47"/>
        <v>0</v>
      </c>
      <c r="F292" s="3103"/>
      <c r="G292" s="2407">
        <f t="shared" si="48"/>
        <v>1</v>
      </c>
      <c r="H292" s="3103"/>
      <c r="I292" s="2407">
        <f t="shared" si="49"/>
        <v>1</v>
      </c>
      <c r="J292" s="3103"/>
      <c r="K292" s="2407">
        <f t="shared" si="50"/>
        <v>1</v>
      </c>
      <c r="L292" s="3103"/>
      <c r="M292" s="2407">
        <f t="shared" si="51"/>
        <v>1</v>
      </c>
      <c r="N292" s="3103"/>
      <c r="O292" s="2407">
        <f t="shared" si="52"/>
        <v>1</v>
      </c>
      <c r="P292" s="3491"/>
      <c r="Q292" s="2407">
        <f t="shared" si="53"/>
        <v>0</v>
      </c>
      <c r="R292" s="2407">
        <f t="shared" si="54"/>
        <v>0</v>
      </c>
      <c r="S292" s="3098">
        <f t="shared" si="45"/>
        <v>0</v>
      </c>
    </row>
    <row r="293" spans="1:19">
      <c r="A293" s="2571"/>
      <c r="B293" s="3107"/>
      <c r="C293" s="2407">
        <f t="shared" si="46"/>
        <v>1</v>
      </c>
      <c r="D293" s="3103"/>
      <c r="E293" s="2407">
        <f t="shared" si="47"/>
        <v>0</v>
      </c>
      <c r="F293" s="3103"/>
      <c r="G293" s="2407">
        <f t="shared" si="48"/>
        <v>1</v>
      </c>
      <c r="H293" s="3103"/>
      <c r="I293" s="2407">
        <f t="shared" si="49"/>
        <v>1</v>
      </c>
      <c r="J293" s="3103"/>
      <c r="K293" s="2407">
        <f t="shared" si="50"/>
        <v>1</v>
      </c>
      <c r="L293" s="3103"/>
      <c r="M293" s="2407">
        <f t="shared" si="51"/>
        <v>1</v>
      </c>
      <c r="N293" s="3103"/>
      <c r="O293" s="2407">
        <f t="shared" si="52"/>
        <v>1</v>
      </c>
      <c r="P293" s="3491"/>
      <c r="Q293" s="2407">
        <f t="shared" si="53"/>
        <v>0</v>
      </c>
      <c r="R293" s="2407">
        <f t="shared" si="54"/>
        <v>0</v>
      </c>
      <c r="S293" s="3098">
        <f t="shared" si="45"/>
        <v>0</v>
      </c>
    </row>
    <row r="294" spans="1:19">
      <c r="A294" s="2571"/>
      <c r="B294" s="3107"/>
      <c r="C294" s="2407">
        <f t="shared" si="46"/>
        <v>1</v>
      </c>
      <c r="D294" s="3103"/>
      <c r="E294" s="2407">
        <f t="shared" si="47"/>
        <v>0</v>
      </c>
      <c r="F294" s="3103"/>
      <c r="G294" s="2407">
        <f t="shared" si="48"/>
        <v>1</v>
      </c>
      <c r="H294" s="3103"/>
      <c r="I294" s="2407">
        <f t="shared" si="49"/>
        <v>1</v>
      </c>
      <c r="J294" s="3103"/>
      <c r="K294" s="2407">
        <f t="shared" si="50"/>
        <v>1</v>
      </c>
      <c r="L294" s="3103"/>
      <c r="M294" s="2407">
        <f t="shared" si="51"/>
        <v>1</v>
      </c>
      <c r="N294" s="3103"/>
      <c r="O294" s="2407">
        <f t="shared" si="52"/>
        <v>1</v>
      </c>
      <c r="P294" s="3491"/>
      <c r="Q294" s="2407">
        <f t="shared" si="53"/>
        <v>0</v>
      </c>
      <c r="R294" s="2407">
        <f t="shared" si="54"/>
        <v>0</v>
      </c>
      <c r="S294" s="3098">
        <f t="shared" si="45"/>
        <v>0</v>
      </c>
    </row>
    <row r="295" spans="1:19">
      <c r="A295" s="2571"/>
      <c r="B295" s="3107"/>
      <c r="C295" s="2407">
        <f t="shared" si="46"/>
        <v>1</v>
      </c>
      <c r="D295" s="3103"/>
      <c r="E295" s="2407">
        <f t="shared" si="47"/>
        <v>0</v>
      </c>
      <c r="F295" s="3103"/>
      <c r="G295" s="2407">
        <f t="shared" si="48"/>
        <v>1</v>
      </c>
      <c r="H295" s="3103"/>
      <c r="I295" s="2407">
        <f t="shared" si="49"/>
        <v>1</v>
      </c>
      <c r="J295" s="3103"/>
      <c r="K295" s="2407">
        <f t="shared" si="50"/>
        <v>1</v>
      </c>
      <c r="L295" s="3103"/>
      <c r="M295" s="2407">
        <f t="shared" si="51"/>
        <v>1</v>
      </c>
      <c r="N295" s="3103"/>
      <c r="O295" s="2407">
        <f t="shared" si="52"/>
        <v>1</v>
      </c>
      <c r="P295" s="3491"/>
      <c r="Q295" s="2407">
        <f t="shared" si="53"/>
        <v>0</v>
      </c>
      <c r="R295" s="2407">
        <f t="shared" si="54"/>
        <v>0</v>
      </c>
      <c r="S295" s="3098">
        <f t="shared" si="45"/>
        <v>0</v>
      </c>
    </row>
    <row r="296" spans="1:19">
      <c r="A296" s="2571"/>
      <c r="B296" s="3107"/>
      <c r="C296" s="2407">
        <f t="shared" si="46"/>
        <v>1</v>
      </c>
      <c r="D296" s="3103"/>
      <c r="E296" s="2407">
        <f t="shared" si="47"/>
        <v>0</v>
      </c>
      <c r="F296" s="3103"/>
      <c r="G296" s="2407">
        <f t="shared" si="48"/>
        <v>1</v>
      </c>
      <c r="H296" s="3103"/>
      <c r="I296" s="2407">
        <f t="shared" si="49"/>
        <v>1</v>
      </c>
      <c r="J296" s="3103"/>
      <c r="K296" s="2407">
        <f t="shared" si="50"/>
        <v>1</v>
      </c>
      <c r="L296" s="3103"/>
      <c r="M296" s="2407">
        <f t="shared" si="51"/>
        <v>1</v>
      </c>
      <c r="N296" s="3103"/>
      <c r="O296" s="2407">
        <f t="shared" si="52"/>
        <v>1</v>
      </c>
      <c r="P296" s="3491"/>
      <c r="Q296" s="2407">
        <f t="shared" si="53"/>
        <v>0</v>
      </c>
      <c r="R296" s="2407">
        <f t="shared" si="54"/>
        <v>0</v>
      </c>
      <c r="S296" s="3098">
        <f t="shared" si="45"/>
        <v>0</v>
      </c>
    </row>
    <row r="297" spans="1:19">
      <c r="A297" s="2571"/>
      <c r="B297" s="3107"/>
      <c r="C297" s="2407">
        <f t="shared" si="46"/>
        <v>1</v>
      </c>
      <c r="D297" s="3103"/>
      <c r="E297" s="2407">
        <f t="shared" si="47"/>
        <v>0</v>
      </c>
      <c r="F297" s="3103"/>
      <c r="G297" s="2407">
        <f t="shared" si="48"/>
        <v>1</v>
      </c>
      <c r="H297" s="3103"/>
      <c r="I297" s="2407">
        <f t="shared" si="49"/>
        <v>1</v>
      </c>
      <c r="J297" s="3103"/>
      <c r="K297" s="2407">
        <f t="shared" si="50"/>
        <v>1</v>
      </c>
      <c r="L297" s="3103"/>
      <c r="M297" s="2407">
        <f t="shared" si="51"/>
        <v>1</v>
      </c>
      <c r="N297" s="3103"/>
      <c r="O297" s="2407">
        <f t="shared" si="52"/>
        <v>1</v>
      </c>
      <c r="P297" s="3491"/>
      <c r="Q297" s="2407">
        <f t="shared" si="53"/>
        <v>0</v>
      </c>
      <c r="R297" s="2407">
        <f t="shared" si="54"/>
        <v>0</v>
      </c>
      <c r="S297" s="3098">
        <f t="shared" si="45"/>
        <v>0</v>
      </c>
    </row>
    <row r="298" spans="1:19">
      <c r="A298" s="2571"/>
      <c r="B298" s="3107"/>
      <c r="C298" s="2407">
        <f t="shared" si="46"/>
        <v>1</v>
      </c>
      <c r="D298" s="3103"/>
      <c r="E298" s="2407">
        <f t="shared" si="47"/>
        <v>0</v>
      </c>
      <c r="F298" s="3103"/>
      <c r="G298" s="2407">
        <f t="shared" si="48"/>
        <v>1</v>
      </c>
      <c r="H298" s="3103"/>
      <c r="I298" s="2407">
        <f t="shared" si="49"/>
        <v>1</v>
      </c>
      <c r="J298" s="3103"/>
      <c r="K298" s="2407">
        <f t="shared" si="50"/>
        <v>1</v>
      </c>
      <c r="L298" s="3103"/>
      <c r="M298" s="2407">
        <f t="shared" si="51"/>
        <v>1</v>
      </c>
      <c r="N298" s="3103"/>
      <c r="O298" s="2407">
        <f t="shared" si="52"/>
        <v>1</v>
      </c>
      <c r="P298" s="3491"/>
      <c r="Q298" s="2407">
        <f t="shared" si="53"/>
        <v>0</v>
      </c>
      <c r="R298" s="2407">
        <f t="shared" si="54"/>
        <v>0</v>
      </c>
      <c r="S298" s="3098">
        <f t="shared" si="45"/>
        <v>0</v>
      </c>
    </row>
    <row r="299" spans="1:19">
      <c r="A299" s="2571"/>
      <c r="B299" s="3107"/>
      <c r="C299" s="2407">
        <f t="shared" si="46"/>
        <v>1</v>
      </c>
      <c r="D299" s="3103"/>
      <c r="E299" s="2407">
        <f t="shared" si="47"/>
        <v>0</v>
      </c>
      <c r="F299" s="3103"/>
      <c r="G299" s="2407">
        <f t="shared" si="48"/>
        <v>1</v>
      </c>
      <c r="H299" s="3103"/>
      <c r="I299" s="2407">
        <f t="shared" si="49"/>
        <v>1</v>
      </c>
      <c r="J299" s="3103"/>
      <c r="K299" s="2407">
        <f t="shared" si="50"/>
        <v>1</v>
      </c>
      <c r="L299" s="3103"/>
      <c r="M299" s="2407">
        <f t="shared" si="51"/>
        <v>1</v>
      </c>
      <c r="N299" s="3103"/>
      <c r="O299" s="2407">
        <f t="shared" si="52"/>
        <v>1</v>
      </c>
      <c r="P299" s="3491"/>
      <c r="Q299" s="2407">
        <f t="shared" si="53"/>
        <v>0</v>
      </c>
      <c r="R299" s="2407">
        <f t="shared" si="54"/>
        <v>0</v>
      </c>
      <c r="S299" s="3098">
        <f t="shared" si="45"/>
        <v>0</v>
      </c>
    </row>
    <row r="300" spans="1:19">
      <c r="A300" s="2571"/>
      <c r="B300" s="3107"/>
      <c r="C300" s="2407">
        <f t="shared" si="46"/>
        <v>1</v>
      </c>
      <c r="D300" s="3103"/>
      <c r="E300" s="2407">
        <f t="shared" si="47"/>
        <v>0</v>
      </c>
      <c r="F300" s="3103"/>
      <c r="G300" s="2407">
        <f t="shared" si="48"/>
        <v>1</v>
      </c>
      <c r="H300" s="3103"/>
      <c r="I300" s="2407">
        <f t="shared" si="49"/>
        <v>1</v>
      </c>
      <c r="J300" s="3103"/>
      <c r="K300" s="2407">
        <f t="shared" si="50"/>
        <v>1</v>
      </c>
      <c r="L300" s="3103"/>
      <c r="M300" s="2407">
        <f t="shared" si="51"/>
        <v>1</v>
      </c>
      <c r="N300" s="3103"/>
      <c r="O300" s="2407">
        <f t="shared" si="52"/>
        <v>1</v>
      </c>
      <c r="P300" s="3491"/>
      <c r="Q300" s="2407">
        <f t="shared" si="53"/>
        <v>0</v>
      </c>
      <c r="R300" s="2407">
        <f t="shared" si="54"/>
        <v>0</v>
      </c>
      <c r="S300" s="3098">
        <f t="shared" si="45"/>
        <v>0</v>
      </c>
    </row>
    <row r="301" spans="1:19">
      <c r="A301" s="2571"/>
      <c r="B301" s="3107"/>
      <c r="C301" s="2407">
        <f t="shared" si="46"/>
        <v>1</v>
      </c>
      <c r="D301" s="3103"/>
      <c r="E301" s="2407">
        <f t="shared" si="47"/>
        <v>0</v>
      </c>
      <c r="F301" s="3103"/>
      <c r="G301" s="2407">
        <f t="shared" si="48"/>
        <v>1</v>
      </c>
      <c r="H301" s="3103"/>
      <c r="I301" s="2407">
        <f t="shared" si="49"/>
        <v>1</v>
      </c>
      <c r="J301" s="3103"/>
      <c r="K301" s="2407">
        <f t="shared" si="50"/>
        <v>1</v>
      </c>
      <c r="L301" s="3103"/>
      <c r="M301" s="2407">
        <f t="shared" si="51"/>
        <v>1</v>
      </c>
      <c r="N301" s="3103"/>
      <c r="O301" s="2407">
        <f t="shared" si="52"/>
        <v>1</v>
      </c>
      <c r="P301" s="3491"/>
      <c r="Q301" s="2407">
        <f t="shared" si="53"/>
        <v>0</v>
      </c>
      <c r="R301" s="2407">
        <f t="shared" si="54"/>
        <v>0</v>
      </c>
      <c r="S301" s="3098">
        <f t="shared" si="45"/>
        <v>0</v>
      </c>
    </row>
    <row r="302" spans="1:19">
      <c r="A302" s="2571"/>
      <c r="B302" s="3107"/>
      <c r="C302" s="2407">
        <f t="shared" si="46"/>
        <v>1</v>
      </c>
      <c r="D302" s="3103"/>
      <c r="E302" s="2407">
        <f t="shared" si="47"/>
        <v>0</v>
      </c>
      <c r="F302" s="3103"/>
      <c r="G302" s="2407">
        <f t="shared" si="48"/>
        <v>1</v>
      </c>
      <c r="H302" s="3103"/>
      <c r="I302" s="2407">
        <f t="shared" si="49"/>
        <v>1</v>
      </c>
      <c r="J302" s="3103"/>
      <c r="K302" s="2407">
        <f t="shared" si="50"/>
        <v>1</v>
      </c>
      <c r="L302" s="3103"/>
      <c r="M302" s="2407">
        <f t="shared" si="51"/>
        <v>1</v>
      </c>
      <c r="N302" s="3103"/>
      <c r="O302" s="2407">
        <f t="shared" si="52"/>
        <v>1</v>
      </c>
      <c r="P302" s="3491"/>
      <c r="Q302" s="2407">
        <f t="shared" si="53"/>
        <v>0</v>
      </c>
      <c r="R302" s="2407">
        <f t="shared" si="54"/>
        <v>0</v>
      </c>
      <c r="S302" s="3098">
        <f t="shared" si="45"/>
        <v>0</v>
      </c>
    </row>
    <row r="303" spans="1:19">
      <c r="A303" s="2571"/>
      <c r="B303" s="3107"/>
      <c r="C303" s="2407">
        <f t="shared" si="46"/>
        <v>1</v>
      </c>
      <c r="D303" s="3103"/>
      <c r="E303" s="2407">
        <f t="shared" si="47"/>
        <v>0</v>
      </c>
      <c r="F303" s="3103"/>
      <c r="G303" s="2407">
        <f t="shared" si="48"/>
        <v>1</v>
      </c>
      <c r="H303" s="3103"/>
      <c r="I303" s="2407">
        <f t="shared" si="49"/>
        <v>1</v>
      </c>
      <c r="J303" s="3103"/>
      <c r="K303" s="2407">
        <f t="shared" si="50"/>
        <v>1</v>
      </c>
      <c r="L303" s="3103"/>
      <c r="M303" s="2407">
        <f t="shared" si="51"/>
        <v>1</v>
      </c>
      <c r="N303" s="3103"/>
      <c r="O303" s="2407">
        <f t="shared" si="52"/>
        <v>1</v>
      </c>
      <c r="P303" s="3491"/>
      <c r="Q303" s="2407">
        <f t="shared" si="53"/>
        <v>0</v>
      </c>
      <c r="R303" s="2407">
        <f t="shared" si="54"/>
        <v>0</v>
      </c>
      <c r="S303" s="3098">
        <f t="shared" si="45"/>
        <v>0</v>
      </c>
    </row>
    <row r="304" spans="1:19">
      <c r="A304" s="2571"/>
      <c r="B304" s="3107"/>
      <c r="C304" s="2407">
        <f t="shared" si="46"/>
        <v>1</v>
      </c>
      <c r="D304" s="3103"/>
      <c r="E304" s="2407">
        <f t="shared" si="47"/>
        <v>0</v>
      </c>
      <c r="F304" s="3103"/>
      <c r="G304" s="2407">
        <f t="shared" si="48"/>
        <v>1</v>
      </c>
      <c r="H304" s="3103"/>
      <c r="I304" s="2407">
        <f t="shared" si="49"/>
        <v>1</v>
      </c>
      <c r="J304" s="3103"/>
      <c r="K304" s="2407">
        <f t="shared" si="50"/>
        <v>1</v>
      </c>
      <c r="L304" s="3103"/>
      <c r="M304" s="2407">
        <f t="shared" si="51"/>
        <v>1</v>
      </c>
      <c r="N304" s="3103"/>
      <c r="O304" s="2407">
        <f t="shared" si="52"/>
        <v>1</v>
      </c>
      <c r="P304" s="3491"/>
      <c r="Q304" s="2407">
        <f t="shared" si="53"/>
        <v>0</v>
      </c>
      <c r="R304" s="2407">
        <f t="shared" si="54"/>
        <v>0</v>
      </c>
      <c r="S304" s="3098">
        <f t="shared" si="45"/>
        <v>0</v>
      </c>
    </row>
    <row r="305" spans="1:19">
      <c r="A305" s="2571"/>
      <c r="B305" s="3107"/>
      <c r="C305" s="2407">
        <f t="shared" si="46"/>
        <v>1</v>
      </c>
      <c r="D305" s="3103"/>
      <c r="E305" s="2407">
        <f t="shared" si="47"/>
        <v>0</v>
      </c>
      <c r="F305" s="3103"/>
      <c r="G305" s="2407">
        <f t="shared" si="48"/>
        <v>1</v>
      </c>
      <c r="H305" s="3103"/>
      <c r="I305" s="2407">
        <f t="shared" si="49"/>
        <v>1</v>
      </c>
      <c r="J305" s="3103"/>
      <c r="K305" s="2407">
        <f t="shared" si="50"/>
        <v>1</v>
      </c>
      <c r="L305" s="3103"/>
      <c r="M305" s="2407">
        <f t="shared" si="51"/>
        <v>1</v>
      </c>
      <c r="N305" s="3103"/>
      <c r="O305" s="2407">
        <f t="shared" si="52"/>
        <v>1</v>
      </c>
      <c r="P305" s="3491"/>
      <c r="Q305" s="2407">
        <f t="shared" si="53"/>
        <v>0</v>
      </c>
      <c r="R305" s="2407">
        <f t="shared" si="54"/>
        <v>0</v>
      </c>
      <c r="S305" s="3098">
        <f t="shared" si="45"/>
        <v>0</v>
      </c>
    </row>
    <row r="306" spans="1:19">
      <c r="A306" s="2571"/>
      <c r="B306" s="3107"/>
      <c r="C306" s="2407">
        <f t="shared" si="46"/>
        <v>1</v>
      </c>
      <c r="D306" s="3103"/>
      <c r="E306" s="2407">
        <f t="shared" si="47"/>
        <v>0</v>
      </c>
      <c r="F306" s="3103"/>
      <c r="G306" s="2407">
        <f t="shared" si="48"/>
        <v>1</v>
      </c>
      <c r="H306" s="3103"/>
      <c r="I306" s="2407">
        <f t="shared" si="49"/>
        <v>1</v>
      </c>
      <c r="J306" s="3103"/>
      <c r="K306" s="2407">
        <f t="shared" si="50"/>
        <v>1</v>
      </c>
      <c r="L306" s="3103"/>
      <c r="M306" s="2407">
        <f t="shared" si="51"/>
        <v>1</v>
      </c>
      <c r="N306" s="3103"/>
      <c r="O306" s="2407">
        <f t="shared" si="52"/>
        <v>1</v>
      </c>
      <c r="P306" s="3491"/>
      <c r="Q306" s="2407">
        <f t="shared" si="53"/>
        <v>0</v>
      </c>
      <c r="R306" s="2407">
        <f t="shared" si="54"/>
        <v>0</v>
      </c>
      <c r="S306" s="3098">
        <f t="shared" si="45"/>
        <v>0</v>
      </c>
    </row>
    <row r="307" spans="1:19">
      <c r="A307" s="2571"/>
      <c r="B307" s="3107"/>
      <c r="C307" s="2407">
        <f t="shared" si="46"/>
        <v>1</v>
      </c>
      <c r="D307" s="3103"/>
      <c r="E307" s="2407">
        <f t="shared" si="47"/>
        <v>0</v>
      </c>
      <c r="F307" s="3103"/>
      <c r="G307" s="2407">
        <f t="shared" si="48"/>
        <v>1</v>
      </c>
      <c r="H307" s="3103"/>
      <c r="I307" s="2407">
        <f t="shared" si="49"/>
        <v>1</v>
      </c>
      <c r="J307" s="3103"/>
      <c r="K307" s="2407">
        <f t="shared" si="50"/>
        <v>1</v>
      </c>
      <c r="L307" s="3103"/>
      <c r="M307" s="2407">
        <f t="shared" si="51"/>
        <v>1</v>
      </c>
      <c r="N307" s="3103"/>
      <c r="O307" s="2407">
        <f t="shared" si="52"/>
        <v>1</v>
      </c>
      <c r="P307" s="3491"/>
      <c r="Q307" s="2407">
        <f t="shared" si="53"/>
        <v>0</v>
      </c>
      <c r="R307" s="2407">
        <f t="shared" si="54"/>
        <v>0</v>
      </c>
      <c r="S307" s="3098">
        <f t="shared" si="45"/>
        <v>0</v>
      </c>
    </row>
    <row r="308" spans="1:19">
      <c r="A308" s="2571"/>
      <c r="B308" s="3107"/>
      <c r="C308" s="2407">
        <f t="shared" si="46"/>
        <v>1</v>
      </c>
      <c r="D308" s="3103"/>
      <c r="E308" s="2407">
        <f t="shared" si="47"/>
        <v>0</v>
      </c>
      <c r="F308" s="3103"/>
      <c r="G308" s="2407">
        <f t="shared" si="48"/>
        <v>1</v>
      </c>
      <c r="H308" s="3103"/>
      <c r="I308" s="2407">
        <f t="shared" si="49"/>
        <v>1</v>
      </c>
      <c r="J308" s="3103"/>
      <c r="K308" s="2407">
        <f t="shared" si="50"/>
        <v>1</v>
      </c>
      <c r="L308" s="3103"/>
      <c r="M308" s="2407">
        <f t="shared" si="51"/>
        <v>1</v>
      </c>
      <c r="N308" s="3103"/>
      <c r="O308" s="2407">
        <f t="shared" si="52"/>
        <v>1</v>
      </c>
      <c r="P308" s="3491"/>
      <c r="Q308" s="2407">
        <f t="shared" si="53"/>
        <v>0</v>
      </c>
      <c r="R308" s="2407">
        <f t="shared" si="54"/>
        <v>0</v>
      </c>
      <c r="S308" s="3098">
        <f t="shared" si="45"/>
        <v>0</v>
      </c>
    </row>
    <row r="309" spans="1:19">
      <c r="A309" s="2571"/>
      <c r="B309" s="3107"/>
      <c r="C309" s="2407">
        <f t="shared" si="46"/>
        <v>1</v>
      </c>
      <c r="D309" s="3103"/>
      <c r="E309" s="2407">
        <f t="shared" si="47"/>
        <v>0</v>
      </c>
      <c r="F309" s="3103"/>
      <c r="G309" s="2407">
        <f t="shared" si="48"/>
        <v>1</v>
      </c>
      <c r="H309" s="3103"/>
      <c r="I309" s="2407">
        <f t="shared" si="49"/>
        <v>1</v>
      </c>
      <c r="J309" s="3103"/>
      <c r="K309" s="2407">
        <f t="shared" si="50"/>
        <v>1</v>
      </c>
      <c r="L309" s="3103"/>
      <c r="M309" s="2407">
        <f t="shared" si="51"/>
        <v>1</v>
      </c>
      <c r="N309" s="3103"/>
      <c r="O309" s="2407">
        <f t="shared" si="52"/>
        <v>1</v>
      </c>
      <c r="P309" s="3491"/>
      <c r="Q309" s="2407">
        <f t="shared" si="53"/>
        <v>0</v>
      </c>
      <c r="R309" s="2407">
        <f t="shared" si="54"/>
        <v>0</v>
      </c>
      <c r="S309" s="3098">
        <f t="shared" si="45"/>
        <v>0</v>
      </c>
    </row>
    <row r="310" spans="1:19">
      <c r="A310" s="2571"/>
      <c r="B310" s="3107"/>
      <c r="C310" s="2407">
        <f t="shared" si="46"/>
        <v>1</v>
      </c>
      <c r="D310" s="3103"/>
      <c r="E310" s="2407">
        <f t="shared" si="47"/>
        <v>0</v>
      </c>
      <c r="F310" s="3103"/>
      <c r="G310" s="2407">
        <f t="shared" si="48"/>
        <v>1</v>
      </c>
      <c r="H310" s="3103"/>
      <c r="I310" s="2407">
        <f t="shared" si="49"/>
        <v>1</v>
      </c>
      <c r="J310" s="3103"/>
      <c r="K310" s="2407">
        <f t="shared" si="50"/>
        <v>1</v>
      </c>
      <c r="L310" s="3103"/>
      <c r="M310" s="2407">
        <f t="shared" si="51"/>
        <v>1</v>
      </c>
      <c r="N310" s="3103"/>
      <c r="O310" s="2407">
        <f t="shared" si="52"/>
        <v>1</v>
      </c>
      <c r="P310" s="3491"/>
      <c r="Q310" s="2407">
        <f t="shared" si="53"/>
        <v>0</v>
      </c>
      <c r="R310" s="2407">
        <f t="shared" si="54"/>
        <v>0</v>
      </c>
      <c r="S310" s="3098">
        <f t="shared" si="45"/>
        <v>0</v>
      </c>
    </row>
    <row r="311" spans="1:19">
      <c r="A311" s="2571"/>
      <c r="B311" s="3107"/>
      <c r="C311" s="2407">
        <f t="shared" si="46"/>
        <v>1</v>
      </c>
      <c r="D311" s="3103"/>
      <c r="E311" s="2407">
        <f t="shared" si="47"/>
        <v>0</v>
      </c>
      <c r="F311" s="3103"/>
      <c r="G311" s="2407">
        <f t="shared" si="48"/>
        <v>1</v>
      </c>
      <c r="H311" s="3103"/>
      <c r="I311" s="2407">
        <f t="shared" si="49"/>
        <v>1</v>
      </c>
      <c r="J311" s="3103"/>
      <c r="K311" s="2407">
        <f t="shared" si="50"/>
        <v>1</v>
      </c>
      <c r="L311" s="3103"/>
      <c r="M311" s="2407">
        <f t="shared" si="51"/>
        <v>1</v>
      </c>
      <c r="N311" s="3103"/>
      <c r="O311" s="2407">
        <f t="shared" si="52"/>
        <v>1</v>
      </c>
      <c r="P311" s="3491"/>
      <c r="Q311" s="2407">
        <f t="shared" si="53"/>
        <v>0</v>
      </c>
      <c r="R311" s="2407">
        <f t="shared" si="54"/>
        <v>0</v>
      </c>
      <c r="S311" s="3098">
        <f t="shared" si="45"/>
        <v>0</v>
      </c>
    </row>
    <row r="312" spans="1:19">
      <c r="A312" s="2571"/>
      <c r="B312" s="3107"/>
      <c r="C312" s="2407">
        <f t="shared" si="46"/>
        <v>1</v>
      </c>
      <c r="D312" s="3103"/>
      <c r="E312" s="2407">
        <f t="shared" si="47"/>
        <v>0</v>
      </c>
      <c r="F312" s="3103"/>
      <c r="G312" s="2407">
        <f t="shared" si="48"/>
        <v>1</v>
      </c>
      <c r="H312" s="3103"/>
      <c r="I312" s="2407">
        <f t="shared" si="49"/>
        <v>1</v>
      </c>
      <c r="J312" s="3103"/>
      <c r="K312" s="2407">
        <f t="shared" si="50"/>
        <v>1</v>
      </c>
      <c r="L312" s="3103"/>
      <c r="M312" s="2407">
        <f t="shared" si="51"/>
        <v>1</v>
      </c>
      <c r="N312" s="3103"/>
      <c r="O312" s="2407">
        <f t="shared" si="52"/>
        <v>1</v>
      </c>
      <c r="P312" s="3491"/>
      <c r="Q312" s="2407">
        <f t="shared" si="53"/>
        <v>0</v>
      </c>
      <c r="R312" s="2407">
        <f t="shared" si="54"/>
        <v>0</v>
      </c>
      <c r="S312" s="3098">
        <f t="shared" si="45"/>
        <v>0</v>
      </c>
    </row>
    <row r="313" spans="1:19">
      <c r="A313" s="2571"/>
      <c r="B313" s="3107"/>
      <c r="C313" s="2407">
        <f t="shared" si="46"/>
        <v>1</v>
      </c>
      <c r="D313" s="3103"/>
      <c r="E313" s="2407">
        <f t="shared" si="47"/>
        <v>0</v>
      </c>
      <c r="F313" s="3103"/>
      <c r="G313" s="2407">
        <f t="shared" si="48"/>
        <v>1</v>
      </c>
      <c r="H313" s="3103"/>
      <c r="I313" s="2407">
        <f t="shared" si="49"/>
        <v>1</v>
      </c>
      <c r="J313" s="3103"/>
      <c r="K313" s="2407">
        <f t="shared" si="50"/>
        <v>1</v>
      </c>
      <c r="L313" s="3103"/>
      <c r="M313" s="2407">
        <f t="shared" si="51"/>
        <v>1</v>
      </c>
      <c r="N313" s="3103"/>
      <c r="O313" s="2407">
        <f t="shared" si="52"/>
        <v>1</v>
      </c>
      <c r="P313" s="3491"/>
      <c r="Q313" s="2407">
        <f t="shared" si="53"/>
        <v>0</v>
      </c>
      <c r="R313" s="2407">
        <f t="shared" si="54"/>
        <v>0</v>
      </c>
      <c r="S313" s="3098">
        <f t="shared" si="45"/>
        <v>0</v>
      </c>
    </row>
    <row r="314" spans="1:19">
      <c r="A314" s="2571"/>
      <c r="B314" s="3107"/>
      <c r="C314" s="2407">
        <f t="shared" si="46"/>
        <v>1</v>
      </c>
      <c r="D314" s="3103"/>
      <c r="E314" s="2407">
        <f t="shared" si="47"/>
        <v>0</v>
      </c>
      <c r="F314" s="3103"/>
      <c r="G314" s="2407">
        <f t="shared" si="48"/>
        <v>1</v>
      </c>
      <c r="H314" s="3103"/>
      <c r="I314" s="2407">
        <f t="shared" si="49"/>
        <v>1</v>
      </c>
      <c r="J314" s="3103"/>
      <c r="K314" s="2407">
        <f t="shared" si="50"/>
        <v>1</v>
      </c>
      <c r="L314" s="3103"/>
      <c r="M314" s="2407">
        <f t="shared" si="51"/>
        <v>1</v>
      </c>
      <c r="N314" s="3103"/>
      <c r="O314" s="2407">
        <f t="shared" si="52"/>
        <v>1</v>
      </c>
      <c r="P314" s="3491"/>
      <c r="Q314" s="2407">
        <f t="shared" si="53"/>
        <v>0</v>
      </c>
      <c r="R314" s="2407">
        <f t="shared" si="54"/>
        <v>0</v>
      </c>
      <c r="S314" s="3098">
        <f t="shared" si="45"/>
        <v>0</v>
      </c>
    </row>
    <row r="315" spans="1:19">
      <c r="A315" s="2571"/>
      <c r="B315" s="3107"/>
      <c r="C315" s="2407">
        <f t="shared" si="46"/>
        <v>1</v>
      </c>
      <c r="D315" s="3103"/>
      <c r="E315" s="2407">
        <f t="shared" si="47"/>
        <v>0</v>
      </c>
      <c r="F315" s="3103"/>
      <c r="G315" s="2407">
        <f t="shared" si="48"/>
        <v>1</v>
      </c>
      <c r="H315" s="3103"/>
      <c r="I315" s="2407">
        <f t="shared" si="49"/>
        <v>1</v>
      </c>
      <c r="J315" s="3103"/>
      <c r="K315" s="2407">
        <f t="shared" si="50"/>
        <v>1</v>
      </c>
      <c r="L315" s="3103"/>
      <c r="M315" s="2407">
        <f t="shared" si="51"/>
        <v>1</v>
      </c>
      <c r="N315" s="3103"/>
      <c r="O315" s="2407">
        <f t="shared" si="52"/>
        <v>1</v>
      </c>
      <c r="P315" s="3491"/>
      <c r="Q315" s="2407">
        <f t="shared" si="53"/>
        <v>0</v>
      </c>
      <c r="R315" s="2407">
        <f t="shared" si="54"/>
        <v>0</v>
      </c>
      <c r="S315" s="3098">
        <f t="shared" si="45"/>
        <v>0</v>
      </c>
    </row>
    <row r="316" spans="1:19">
      <c r="A316" s="2571"/>
      <c r="B316" s="3107"/>
      <c r="C316" s="2407">
        <f t="shared" si="46"/>
        <v>1</v>
      </c>
      <c r="D316" s="3103"/>
      <c r="E316" s="2407">
        <f t="shared" si="47"/>
        <v>0</v>
      </c>
      <c r="F316" s="3103"/>
      <c r="G316" s="2407">
        <f t="shared" si="48"/>
        <v>1</v>
      </c>
      <c r="H316" s="3103"/>
      <c r="I316" s="2407">
        <f t="shared" si="49"/>
        <v>1</v>
      </c>
      <c r="J316" s="3103"/>
      <c r="K316" s="2407">
        <f t="shared" si="50"/>
        <v>1</v>
      </c>
      <c r="L316" s="3103"/>
      <c r="M316" s="2407">
        <f t="shared" si="51"/>
        <v>1</v>
      </c>
      <c r="N316" s="3103"/>
      <c r="O316" s="2407">
        <f t="shared" si="52"/>
        <v>1</v>
      </c>
      <c r="P316" s="3491"/>
      <c r="Q316" s="2407">
        <f t="shared" si="53"/>
        <v>0</v>
      </c>
      <c r="R316" s="2407">
        <f t="shared" si="54"/>
        <v>0</v>
      </c>
      <c r="S316" s="3098">
        <f t="shared" si="45"/>
        <v>0</v>
      </c>
    </row>
    <row r="317" spans="1:19">
      <c r="A317" s="2571"/>
      <c r="B317" s="3107"/>
      <c r="C317" s="2407">
        <f t="shared" si="46"/>
        <v>1</v>
      </c>
      <c r="D317" s="3103"/>
      <c r="E317" s="2407">
        <f t="shared" si="47"/>
        <v>0</v>
      </c>
      <c r="F317" s="3103"/>
      <c r="G317" s="2407">
        <f t="shared" si="48"/>
        <v>1</v>
      </c>
      <c r="H317" s="3103"/>
      <c r="I317" s="2407">
        <f t="shared" si="49"/>
        <v>1</v>
      </c>
      <c r="J317" s="3103"/>
      <c r="K317" s="2407">
        <f t="shared" si="50"/>
        <v>1</v>
      </c>
      <c r="L317" s="3103"/>
      <c r="M317" s="2407">
        <f t="shared" si="51"/>
        <v>1</v>
      </c>
      <c r="N317" s="3103"/>
      <c r="O317" s="2407">
        <f t="shared" si="52"/>
        <v>1</v>
      </c>
      <c r="P317" s="3491"/>
      <c r="Q317" s="2407">
        <f t="shared" si="53"/>
        <v>0</v>
      </c>
      <c r="R317" s="2407">
        <f t="shared" si="54"/>
        <v>0</v>
      </c>
      <c r="S317" s="3098">
        <f t="shared" si="45"/>
        <v>0</v>
      </c>
    </row>
    <row r="318" spans="1:19">
      <c r="A318" s="2571"/>
      <c r="B318" s="3107"/>
      <c r="C318" s="2407">
        <f t="shared" si="46"/>
        <v>1</v>
      </c>
      <c r="D318" s="3103"/>
      <c r="E318" s="2407">
        <f t="shared" si="47"/>
        <v>0</v>
      </c>
      <c r="F318" s="3103"/>
      <c r="G318" s="2407">
        <f t="shared" si="48"/>
        <v>1</v>
      </c>
      <c r="H318" s="3103"/>
      <c r="I318" s="2407">
        <f t="shared" si="49"/>
        <v>1</v>
      </c>
      <c r="J318" s="3103"/>
      <c r="K318" s="2407">
        <f t="shared" si="50"/>
        <v>1</v>
      </c>
      <c r="L318" s="3103"/>
      <c r="M318" s="2407">
        <f t="shared" si="51"/>
        <v>1</v>
      </c>
      <c r="N318" s="3103"/>
      <c r="O318" s="2407">
        <f t="shared" si="52"/>
        <v>1</v>
      </c>
      <c r="P318" s="3491"/>
      <c r="Q318" s="2407">
        <f t="shared" si="53"/>
        <v>0</v>
      </c>
      <c r="R318" s="2407">
        <f t="shared" si="54"/>
        <v>0</v>
      </c>
      <c r="S318" s="3098">
        <f t="shared" si="45"/>
        <v>0</v>
      </c>
    </row>
    <row r="319" spans="1:19">
      <c r="A319" s="2571"/>
      <c r="B319" s="3107"/>
      <c r="C319" s="2407">
        <f t="shared" si="46"/>
        <v>1</v>
      </c>
      <c r="D319" s="3103"/>
      <c r="E319" s="2407">
        <f t="shared" si="47"/>
        <v>0</v>
      </c>
      <c r="F319" s="3103"/>
      <c r="G319" s="2407">
        <f t="shared" si="48"/>
        <v>1</v>
      </c>
      <c r="H319" s="3103"/>
      <c r="I319" s="2407">
        <f t="shared" si="49"/>
        <v>1</v>
      </c>
      <c r="J319" s="3103"/>
      <c r="K319" s="2407">
        <f t="shared" si="50"/>
        <v>1</v>
      </c>
      <c r="L319" s="3103"/>
      <c r="M319" s="2407">
        <f t="shared" si="51"/>
        <v>1</v>
      </c>
      <c r="N319" s="3103"/>
      <c r="O319" s="2407">
        <f t="shared" si="52"/>
        <v>1</v>
      </c>
      <c r="P319" s="3491"/>
      <c r="Q319" s="2407">
        <f t="shared" si="53"/>
        <v>0</v>
      </c>
      <c r="R319" s="2407">
        <f t="shared" si="54"/>
        <v>0</v>
      </c>
      <c r="S319" s="3098">
        <f t="shared" si="45"/>
        <v>0</v>
      </c>
    </row>
    <row r="320" spans="1:19">
      <c r="A320" s="2571"/>
      <c r="B320" s="3107"/>
      <c r="C320" s="2407">
        <f t="shared" si="46"/>
        <v>1</v>
      </c>
      <c r="D320" s="3103"/>
      <c r="E320" s="2407">
        <f t="shared" si="47"/>
        <v>0</v>
      </c>
      <c r="F320" s="3103"/>
      <c r="G320" s="2407">
        <f t="shared" si="48"/>
        <v>1</v>
      </c>
      <c r="H320" s="3103"/>
      <c r="I320" s="2407">
        <f t="shared" si="49"/>
        <v>1</v>
      </c>
      <c r="J320" s="3103"/>
      <c r="K320" s="2407">
        <f t="shared" si="50"/>
        <v>1</v>
      </c>
      <c r="L320" s="3103"/>
      <c r="M320" s="2407">
        <f t="shared" si="51"/>
        <v>1</v>
      </c>
      <c r="N320" s="3103"/>
      <c r="O320" s="2407">
        <f t="shared" si="52"/>
        <v>1</v>
      </c>
      <c r="P320" s="3491"/>
      <c r="Q320" s="2407">
        <f t="shared" si="53"/>
        <v>0</v>
      </c>
      <c r="R320" s="2407">
        <f t="shared" si="54"/>
        <v>0</v>
      </c>
      <c r="S320" s="3098">
        <f t="shared" si="45"/>
        <v>0</v>
      </c>
    </row>
    <row r="321" spans="1:19">
      <c r="A321" s="2571"/>
      <c r="B321" s="3107"/>
      <c r="C321" s="2407">
        <f t="shared" si="46"/>
        <v>1</v>
      </c>
      <c r="D321" s="3103"/>
      <c r="E321" s="2407">
        <f t="shared" si="47"/>
        <v>0</v>
      </c>
      <c r="F321" s="3103"/>
      <c r="G321" s="2407">
        <f t="shared" si="48"/>
        <v>1</v>
      </c>
      <c r="H321" s="3103"/>
      <c r="I321" s="2407">
        <f t="shared" si="49"/>
        <v>1</v>
      </c>
      <c r="J321" s="3103"/>
      <c r="K321" s="2407">
        <f t="shared" si="50"/>
        <v>1</v>
      </c>
      <c r="L321" s="3103"/>
      <c r="M321" s="2407">
        <f t="shared" si="51"/>
        <v>1</v>
      </c>
      <c r="N321" s="3103"/>
      <c r="O321" s="2407">
        <f t="shared" si="52"/>
        <v>1</v>
      </c>
      <c r="P321" s="3491"/>
      <c r="Q321" s="2407">
        <f t="shared" si="53"/>
        <v>0</v>
      </c>
      <c r="R321" s="2407">
        <f t="shared" si="54"/>
        <v>0</v>
      </c>
      <c r="S321" s="3098">
        <f t="shared" si="45"/>
        <v>0</v>
      </c>
    </row>
    <row r="322" spans="1:19">
      <c r="A322" s="2571"/>
      <c r="B322" s="3107"/>
      <c r="C322" s="2407">
        <f t="shared" si="46"/>
        <v>1</v>
      </c>
      <c r="D322" s="3103"/>
      <c r="E322" s="2407">
        <f t="shared" si="47"/>
        <v>0</v>
      </c>
      <c r="F322" s="3103"/>
      <c r="G322" s="2407">
        <f t="shared" si="48"/>
        <v>1</v>
      </c>
      <c r="H322" s="3103"/>
      <c r="I322" s="2407">
        <f t="shared" si="49"/>
        <v>1</v>
      </c>
      <c r="J322" s="3103"/>
      <c r="K322" s="2407">
        <f t="shared" si="50"/>
        <v>1</v>
      </c>
      <c r="L322" s="3103"/>
      <c r="M322" s="2407">
        <f t="shared" si="51"/>
        <v>1</v>
      </c>
      <c r="N322" s="3103"/>
      <c r="O322" s="2407">
        <f t="shared" si="52"/>
        <v>1</v>
      </c>
      <c r="P322" s="3491"/>
      <c r="Q322" s="2407">
        <f t="shared" si="53"/>
        <v>0</v>
      </c>
      <c r="R322" s="2407">
        <f t="shared" si="54"/>
        <v>0</v>
      </c>
      <c r="S322" s="3098">
        <f t="shared" si="45"/>
        <v>0</v>
      </c>
    </row>
    <row r="323" spans="1:19">
      <c r="A323" s="2571"/>
      <c r="B323" s="3107"/>
      <c r="C323" s="2407">
        <f t="shared" si="46"/>
        <v>1</v>
      </c>
      <c r="D323" s="3103"/>
      <c r="E323" s="2407">
        <f t="shared" si="47"/>
        <v>0</v>
      </c>
      <c r="F323" s="3103"/>
      <c r="G323" s="2407">
        <f t="shared" si="48"/>
        <v>1</v>
      </c>
      <c r="H323" s="3103"/>
      <c r="I323" s="2407">
        <f t="shared" si="49"/>
        <v>1</v>
      </c>
      <c r="J323" s="3103"/>
      <c r="K323" s="2407">
        <f t="shared" si="50"/>
        <v>1</v>
      </c>
      <c r="L323" s="3103"/>
      <c r="M323" s="2407">
        <f t="shared" si="51"/>
        <v>1</v>
      </c>
      <c r="N323" s="3103"/>
      <c r="O323" s="2407">
        <f t="shared" si="52"/>
        <v>1</v>
      </c>
      <c r="P323" s="3491"/>
      <c r="Q323" s="2407">
        <f t="shared" si="53"/>
        <v>0</v>
      </c>
      <c r="R323" s="2407">
        <f t="shared" si="54"/>
        <v>0</v>
      </c>
      <c r="S323" s="3098">
        <f t="shared" si="45"/>
        <v>0</v>
      </c>
    </row>
    <row r="324" spans="1:19">
      <c r="A324" s="2571"/>
      <c r="B324" s="3107"/>
      <c r="C324" s="2407">
        <f t="shared" si="46"/>
        <v>1</v>
      </c>
      <c r="D324" s="3103"/>
      <c r="E324" s="2407">
        <f t="shared" si="47"/>
        <v>0</v>
      </c>
      <c r="F324" s="3103"/>
      <c r="G324" s="2407">
        <f t="shared" si="48"/>
        <v>1</v>
      </c>
      <c r="H324" s="3103"/>
      <c r="I324" s="2407">
        <f t="shared" si="49"/>
        <v>1</v>
      </c>
      <c r="J324" s="3103"/>
      <c r="K324" s="2407">
        <f t="shared" si="50"/>
        <v>1</v>
      </c>
      <c r="L324" s="3103"/>
      <c r="M324" s="2407">
        <f t="shared" si="51"/>
        <v>1</v>
      </c>
      <c r="N324" s="3103"/>
      <c r="O324" s="2407">
        <f t="shared" si="52"/>
        <v>1</v>
      </c>
      <c r="P324" s="3491"/>
      <c r="Q324" s="2407">
        <f t="shared" si="53"/>
        <v>0</v>
      </c>
      <c r="R324" s="2407">
        <f t="shared" si="54"/>
        <v>0</v>
      </c>
      <c r="S324" s="3098">
        <f t="shared" si="45"/>
        <v>0</v>
      </c>
    </row>
    <row r="325" spans="1:19">
      <c r="A325" s="2571"/>
      <c r="B325" s="3107"/>
      <c r="C325" s="2407">
        <f t="shared" si="46"/>
        <v>1</v>
      </c>
      <c r="D325" s="3103"/>
      <c r="E325" s="2407">
        <f t="shared" si="47"/>
        <v>0</v>
      </c>
      <c r="F325" s="3103"/>
      <c r="G325" s="2407">
        <f t="shared" si="48"/>
        <v>1</v>
      </c>
      <c r="H325" s="3103"/>
      <c r="I325" s="2407">
        <f t="shared" si="49"/>
        <v>1</v>
      </c>
      <c r="J325" s="3103"/>
      <c r="K325" s="2407">
        <f t="shared" si="50"/>
        <v>1</v>
      </c>
      <c r="L325" s="3103"/>
      <c r="M325" s="2407">
        <f t="shared" si="51"/>
        <v>1</v>
      </c>
      <c r="N325" s="3103"/>
      <c r="O325" s="2407">
        <f t="shared" si="52"/>
        <v>1</v>
      </c>
      <c r="P325" s="3491"/>
      <c r="Q325" s="2407">
        <f t="shared" si="53"/>
        <v>0</v>
      </c>
      <c r="R325" s="2407">
        <f t="shared" si="54"/>
        <v>0</v>
      </c>
      <c r="S325" s="3098">
        <f t="shared" si="45"/>
        <v>0</v>
      </c>
    </row>
    <row r="326" spans="1:19">
      <c r="A326" s="2571"/>
      <c r="B326" s="3107"/>
      <c r="C326" s="2407">
        <f t="shared" si="46"/>
        <v>1</v>
      </c>
      <c r="D326" s="3103"/>
      <c r="E326" s="2407">
        <f t="shared" si="47"/>
        <v>0</v>
      </c>
      <c r="F326" s="3103"/>
      <c r="G326" s="2407">
        <f t="shared" si="48"/>
        <v>1</v>
      </c>
      <c r="H326" s="3103"/>
      <c r="I326" s="2407">
        <f t="shared" si="49"/>
        <v>1</v>
      </c>
      <c r="J326" s="3103"/>
      <c r="K326" s="2407">
        <f t="shared" si="50"/>
        <v>1</v>
      </c>
      <c r="L326" s="3103"/>
      <c r="M326" s="2407">
        <f t="shared" si="51"/>
        <v>1</v>
      </c>
      <c r="N326" s="3103"/>
      <c r="O326" s="2407">
        <f t="shared" si="52"/>
        <v>1</v>
      </c>
      <c r="P326" s="3491"/>
      <c r="Q326" s="2407">
        <f t="shared" si="53"/>
        <v>0</v>
      </c>
      <c r="R326" s="2407">
        <f t="shared" si="54"/>
        <v>0</v>
      </c>
      <c r="S326" s="3098">
        <f t="shared" si="45"/>
        <v>0</v>
      </c>
    </row>
    <row r="327" spans="1:19">
      <c r="A327" s="2571"/>
      <c r="B327" s="3107"/>
      <c r="C327" s="2407">
        <f t="shared" si="46"/>
        <v>1</v>
      </c>
      <c r="D327" s="3103"/>
      <c r="E327" s="2407">
        <f t="shared" si="47"/>
        <v>0</v>
      </c>
      <c r="F327" s="3103"/>
      <c r="G327" s="2407">
        <f t="shared" si="48"/>
        <v>1</v>
      </c>
      <c r="H327" s="3103"/>
      <c r="I327" s="2407">
        <f t="shared" si="49"/>
        <v>1</v>
      </c>
      <c r="J327" s="3103"/>
      <c r="K327" s="2407">
        <f t="shared" si="50"/>
        <v>1</v>
      </c>
      <c r="L327" s="3103"/>
      <c r="M327" s="2407">
        <f t="shared" si="51"/>
        <v>1</v>
      </c>
      <c r="N327" s="3103"/>
      <c r="O327" s="2407">
        <f t="shared" si="52"/>
        <v>1</v>
      </c>
      <c r="P327" s="3491"/>
      <c r="Q327" s="2407">
        <f t="shared" si="53"/>
        <v>0</v>
      </c>
      <c r="R327" s="2407">
        <f t="shared" si="54"/>
        <v>0</v>
      </c>
      <c r="S327" s="3098">
        <f t="shared" si="45"/>
        <v>0</v>
      </c>
    </row>
    <row r="328" spans="1:19">
      <c r="A328" s="2571"/>
      <c r="B328" s="3107"/>
      <c r="C328" s="2407">
        <f t="shared" si="46"/>
        <v>1</v>
      </c>
      <c r="D328" s="3103"/>
      <c r="E328" s="2407">
        <f t="shared" si="47"/>
        <v>0</v>
      </c>
      <c r="F328" s="3103"/>
      <c r="G328" s="2407">
        <f t="shared" si="48"/>
        <v>1</v>
      </c>
      <c r="H328" s="3103"/>
      <c r="I328" s="2407">
        <f t="shared" si="49"/>
        <v>1</v>
      </c>
      <c r="J328" s="3103"/>
      <c r="K328" s="2407">
        <f t="shared" si="50"/>
        <v>1</v>
      </c>
      <c r="L328" s="3103"/>
      <c r="M328" s="2407">
        <f t="shared" si="51"/>
        <v>1</v>
      </c>
      <c r="N328" s="3103"/>
      <c r="O328" s="2407">
        <f t="shared" si="52"/>
        <v>1</v>
      </c>
      <c r="P328" s="3491"/>
      <c r="Q328" s="2407">
        <f t="shared" si="53"/>
        <v>0</v>
      </c>
      <c r="R328" s="2407">
        <f t="shared" si="54"/>
        <v>0</v>
      </c>
      <c r="S328" s="3098">
        <f t="shared" si="45"/>
        <v>0</v>
      </c>
    </row>
    <row r="329" spans="1:19">
      <c r="A329" s="2571"/>
      <c r="B329" s="3107"/>
      <c r="C329" s="2407">
        <f t="shared" si="46"/>
        <v>1</v>
      </c>
      <c r="D329" s="3103"/>
      <c r="E329" s="2407">
        <f t="shared" si="47"/>
        <v>0</v>
      </c>
      <c r="F329" s="3103"/>
      <c r="G329" s="2407">
        <f t="shared" si="48"/>
        <v>1</v>
      </c>
      <c r="H329" s="3103"/>
      <c r="I329" s="2407">
        <f t="shared" si="49"/>
        <v>1</v>
      </c>
      <c r="J329" s="3103"/>
      <c r="K329" s="2407">
        <f t="shared" si="50"/>
        <v>1</v>
      </c>
      <c r="L329" s="3103"/>
      <c r="M329" s="2407">
        <f t="shared" si="51"/>
        <v>1</v>
      </c>
      <c r="N329" s="3103"/>
      <c r="O329" s="2407">
        <f t="shared" si="52"/>
        <v>1</v>
      </c>
      <c r="P329" s="3491"/>
      <c r="Q329" s="2407">
        <f t="shared" si="53"/>
        <v>0</v>
      </c>
      <c r="R329" s="2407">
        <f t="shared" si="54"/>
        <v>0</v>
      </c>
      <c r="S329" s="3098">
        <f t="shared" si="45"/>
        <v>0</v>
      </c>
    </row>
    <row r="330" spans="1:19">
      <c r="A330" s="2571"/>
      <c r="B330" s="3107"/>
      <c r="C330" s="2407">
        <f t="shared" si="46"/>
        <v>1</v>
      </c>
      <c r="D330" s="3103"/>
      <c r="E330" s="2407">
        <f t="shared" si="47"/>
        <v>0</v>
      </c>
      <c r="F330" s="3103"/>
      <c r="G330" s="2407">
        <f t="shared" si="48"/>
        <v>1</v>
      </c>
      <c r="H330" s="3103"/>
      <c r="I330" s="2407">
        <f t="shared" si="49"/>
        <v>1</v>
      </c>
      <c r="J330" s="3103"/>
      <c r="K330" s="2407">
        <f t="shared" si="50"/>
        <v>1</v>
      </c>
      <c r="L330" s="3103"/>
      <c r="M330" s="2407">
        <f t="shared" si="51"/>
        <v>1</v>
      </c>
      <c r="N330" s="3103"/>
      <c r="O330" s="2407">
        <f t="shared" si="52"/>
        <v>1</v>
      </c>
      <c r="P330" s="3491"/>
      <c r="Q330" s="2407">
        <f t="shared" si="53"/>
        <v>0</v>
      </c>
      <c r="R330" s="2407">
        <f t="shared" si="54"/>
        <v>0</v>
      </c>
      <c r="S330" s="3098">
        <f t="shared" si="45"/>
        <v>0</v>
      </c>
    </row>
    <row r="331" spans="1:19">
      <c r="A331" s="2571"/>
      <c r="B331" s="3107"/>
      <c r="C331" s="2407">
        <f t="shared" si="46"/>
        <v>1</v>
      </c>
      <c r="D331" s="3103"/>
      <c r="E331" s="2407">
        <f t="shared" si="47"/>
        <v>0</v>
      </c>
      <c r="F331" s="3103"/>
      <c r="G331" s="2407">
        <f t="shared" si="48"/>
        <v>1</v>
      </c>
      <c r="H331" s="3103"/>
      <c r="I331" s="2407">
        <f t="shared" si="49"/>
        <v>1</v>
      </c>
      <c r="J331" s="3103"/>
      <c r="K331" s="2407">
        <f t="shared" si="50"/>
        <v>1</v>
      </c>
      <c r="L331" s="3103"/>
      <c r="M331" s="2407">
        <f t="shared" si="51"/>
        <v>1</v>
      </c>
      <c r="N331" s="3103"/>
      <c r="O331" s="2407">
        <f t="shared" si="52"/>
        <v>1</v>
      </c>
      <c r="P331" s="3491"/>
      <c r="Q331" s="2407">
        <f t="shared" si="53"/>
        <v>0</v>
      </c>
      <c r="R331" s="2407">
        <f t="shared" si="54"/>
        <v>0</v>
      </c>
      <c r="S331" s="3098">
        <f t="shared" si="45"/>
        <v>0</v>
      </c>
    </row>
    <row r="332" spans="1:19">
      <c r="A332" s="2571"/>
      <c r="B332" s="3107"/>
      <c r="C332" s="2407">
        <f t="shared" si="46"/>
        <v>1</v>
      </c>
      <c r="D332" s="3103"/>
      <c r="E332" s="2407">
        <f t="shared" si="47"/>
        <v>0</v>
      </c>
      <c r="F332" s="3103"/>
      <c r="G332" s="2407">
        <f t="shared" si="48"/>
        <v>1</v>
      </c>
      <c r="H332" s="3103"/>
      <c r="I332" s="2407">
        <f t="shared" si="49"/>
        <v>1</v>
      </c>
      <c r="J332" s="3103"/>
      <c r="K332" s="2407">
        <f t="shared" si="50"/>
        <v>1</v>
      </c>
      <c r="L332" s="3103"/>
      <c r="M332" s="2407">
        <f t="shared" si="51"/>
        <v>1</v>
      </c>
      <c r="N332" s="3103"/>
      <c r="O332" s="2407">
        <f t="shared" si="52"/>
        <v>1</v>
      </c>
      <c r="P332" s="3491"/>
      <c r="Q332" s="2407">
        <f t="shared" si="53"/>
        <v>0</v>
      </c>
      <c r="R332" s="2407">
        <f t="shared" si="54"/>
        <v>0</v>
      </c>
      <c r="S332" s="3098">
        <f t="shared" si="45"/>
        <v>0</v>
      </c>
    </row>
    <row r="333" spans="1:19">
      <c r="A333" s="2571"/>
      <c r="B333" s="3107"/>
      <c r="C333" s="2407">
        <f t="shared" si="46"/>
        <v>1</v>
      </c>
      <c r="D333" s="3103"/>
      <c r="E333" s="2407">
        <f t="shared" si="47"/>
        <v>0</v>
      </c>
      <c r="F333" s="3103"/>
      <c r="G333" s="2407">
        <f t="shared" si="48"/>
        <v>1</v>
      </c>
      <c r="H333" s="3103"/>
      <c r="I333" s="2407">
        <f t="shared" si="49"/>
        <v>1</v>
      </c>
      <c r="J333" s="3103"/>
      <c r="K333" s="2407">
        <f t="shared" si="50"/>
        <v>1</v>
      </c>
      <c r="L333" s="3103"/>
      <c r="M333" s="2407">
        <f t="shared" si="51"/>
        <v>1</v>
      </c>
      <c r="N333" s="3103"/>
      <c r="O333" s="2407">
        <f t="shared" si="52"/>
        <v>1</v>
      </c>
      <c r="P333" s="3491"/>
      <c r="Q333" s="2407">
        <f t="shared" si="53"/>
        <v>0</v>
      </c>
      <c r="R333" s="2407">
        <f t="shared" si="54"/>
        <v>0</v>
      </c>
      <c r="S333" s="3098">
        <f t="shared" si="45"/>
        <v>0</v>
      </c>
    </row>
    <row r="334" spans="1:19">
      <c r="A334" s="2571"/>
      <c r="B334" s="3107"/>
      <c r="C334" s="2407">
        <f t="shared" si="46"/>
        <v>1</v>
      </c>
      <c r="D334" s="3103"/>
      <c r="E334" s="2407">
        <f t="shared" si="47"/>
        <v>0</v>
      </c>
      <c r="F334" s="3103"/>
      <c r="G334" s="2407">
        <f t="shared" si="48"/>
        <v>1</v>
      </c>
      <c r="H334" s="3103"/>
      <c r="I334" s="2407">
        <f t="shared" si="49"/>
        <v>1</v>
      </c>
      <c r="J334" s="3103"/>
      <c r="K334" s="2407">
        <f t="shared" si="50"/>
        <v>1</v>
      </c>
      <c r="L334" s="3103"/>
      <c r="M334" s="2407">
        <f t="shared" si="51"/>
        <v>1</v>
      </c>
      <c r="N334" s="3103"/>
      <c r="O334" s="2407">
        <f t="shared" si="52"/>
        <v>1</v>
      </c>
      <c r="P334" s="3491"/>
      <c r="Q334" s="2407">
        <f t="shared" si="53"/>
        <v>0</v>
      </c>
      <c r="R334" s="2407">
        <f t="shared" si="54"/>
        <v>0</v>
      </c>
      <c r="S334" s="3098">
        <f t="shared" si="45"/>
        <v>0</v>
      </c>
    </row>
    <row r="335" spans="1:19">
      <c r="A335" s="2571"/>
      <c r="B335" s="3107"/>
      <c r="C335" s="2407">
        <f t="shared" si="46"/>
        <v>1</v>
      </c>
      <c r="D335" s="3103"/>
      <c r="E335" s="2407">
        <f t="shared" si="47"/>
        <v>0</v>
      </c>
      <c r="F335" s="3103"/>
      <c r="G335" s="2407">
        <f t="shared" si="48"/>
        <v>1</v>
      </c>
      <c r="H335" s="3103"/>
      <c r="I335" s="2407">
        <f t="shared" si="49"/>
        <v>1</v>
      </c>
      <c r="J335" s="3103"/>
      <c r="K335" s="2407">
        <f t="shared" si="50"/>
        <v>1</v>
      </c>
      <c r="L335" s="3103"/>
      <c r="M335" s="2407">
        <f t="shared" si="51"/>
        <v>1</v>
      </c>
      <c r="N335" s="3103"/>
      <c r="O335" s="2407">
        <f t="shared" si="52"/>
        <v>1</v>
      </c>
      <c r="P335" s="3491"/>
      <c r="Q335" s="2407">
        <f t="shared" si="53"/>
        <v>0</v>
      </c>
      <c r="R335" s="2407">
        <f t="shared" si="54"/>
        <v>0</v>
      </c>
      <c r="S335" s="3098">
        <f t="shared" si="45"/>
        <v>0</v>
      </c>
    </row>
    <row r="336" spans="1:19">
      <c r="A336" s="2571"/>
      <c r="B336" s="3107"/>
      <c r="C336" s="2407">
        <f t="shared" si="46"/>
        <v>1</v>
      </c>
      <c r="D336" s="3103"/>
      <c r="E336" s="2407">
        <f t="shared" si="47"/>
        <v>0</v>
      </c>
      <c r="F336" s="3103"/>
      <c r="G336" s="2407">
        <f t="shared" si="48"/>
        <v>1</v>
      </c>
      <c r="H336" s="3103"/>
      <c r="I336" s="2407">
        <f t="shared" si="49"/>
        <v>1</v>
      </c>
      <c r="J336" s="3103"/>
      <c r="K336" s="2407">
        <f t="shared" si="50"/>
        <v>1</v>
      </c>
      <c r="L336" s="3103"/>
      <c r="M336" s="2407">
        <f t="shared" si="51"/>
        <v>1</v>
      </c>
      <c r="N336" s="3103"/>
      <c r="O336" s="2407">
        <f t="shared" si="52"/>
        <v>1</v>
      </c>
      <c r="P336" s="3491"/>
      <c r="Q336" s="2407">
        <f t="shared" si="53"/>
        <v>0</v>
      </c>
      <c r="R336" s="2407">
        <f t="shared" si="54"/>
        <v>0</v>
      </c>
      <c r="S336" s="3098">
        <f t="shared" si="45"/>
        <v>0</v>
      </c>
    </row>
    <row r="337" spans="1:19">
      <c r="A337" s="2571"/>
      <c r="B337" s="3107"/>
      <c r="C337" s="2407">
        <f t="shared" si="46"/>
        <v>1</v>
      </c>
      <c r="D337" s="3103"/>
      <c r="E337" s="2407">
        <f t="shared" si="47"/>
        <v>0</v>
      </c>
      <c r="F337" s="3103"/>
      <c r="G337" s="2407">
        <f t="shared" si="48"/>
        <v>1</v>
      </c>
      <c r="H337" s="3103"/>
      <c r="I337" s="2407">
        <f t="shared" si="49"/>
        <v>1</v>
      </c>
      <c r="J337" s="3103"/>
      <c r="K337" s="2407">
        <f t="shared" si="50"/>
        <v>1</v>
      </c>
      <c r="L337" s="3103"/>
      <c r="M337" s="2407">
        <f t="shared" si="51"/>
        <v>1</v>
      </c>
      <c r="N337" s="3103"/>
      <c r="O337" s="2407">
        <f t="shared" si="52"/>
        <v>1</v>
      </c>
      <c r="P337" s="3491"/>
      <c r="Q337" s="2407">
        <f t="shared" si="53"/>
        <v>0</v>
      </c>
      <c r="R337" s="2407">
        <f t="shared" si="54"/>
        <v>0</v>
      </c>
      <c r="S337" s="3098">
        <f t="shared" si="45"/>
        <v>0</v>
      </c>
    </row>
    <row r="338" spans="1:19">
      <c r="A338" s="2571"/>
      <c r="B338" s="3107"/>
      <c r="C338" s="2407">
        <f t="shared" si="46"/>
        <v>1</v>
      </c>
      <c r="D338" s="3103"/>
      <c r="E338" s="2407">
        <f t="shared" si="47"/>
        <v>0</v>
      </c>
      <c r="F338" s="3103"/>
      <c r="G338" s="2407">
        <f t="shared" si="48"/>
        <v>1</v>
      </c>
      <c r="H338" s="3103"/>
      <c r="I338" s="2407">
        <f t="shared" si="49"/>
        <v>1</v>
      </c>
      <c r="J338" s="3103"/>
      <c r="K338" s="2407">
        <f t="shared" si="50"/>
        <v>1</v>
      </c>
      <c r="L338" s="3103"/>
      <c r="M338" s="2407">
        <f t="shared" si="51"/>
        <v>1</v>
      </c>
      <c r="N338" s="3103"/>
      <c r="O338" s="2407">
        <f t="shared" si="52"/>
        <v>1</v>
      </c>
      <c r="P338" s="3491"/>
      <c r="Q338" s="2407">
        <f t="shared" si="53"/>
        <v>0</v>
      </c>
      <c r="R338" s="2407">
        <f t="shared" si="54"/>
        <v>0</v>
      </c>
      <c r="S338" s="3098">
        <f t="shared" si="45"/>
        <v>0</v>
      </c>
    </row>
    <row r="339" spans="1:19">
      <c r="A339" s="2571"/>
      <c r="B339" s="3107"/>
      <c r="C339" s="2407">
        <f t="shared" si="46"/>
        <v>1</v>
      </c>
      <c r="D339" s="3103"/>
      <c r="E339" s="2407">
        <f t="shared" si="47"/>
        <v>0</v>
      </c>
      <c r="F339" s="3103"/>
      <c r="G339" s="2407">
        <f t="shared" si="48"/>
        <v>1</v>
      </c>
      <c r="H339" s="3103"/>
      <c r="I339" s="2407">
        <f t="shared" si="49"/>
        <v>1</v>
      </c>
      <c r="J339" s="3103"/>
      <c r="K339" s="2407">
        <f t="shared" si="50"/>
        <v>1</v>
      </c>
      <c r="L339" s="3103"/>
      <c r="M339" s="2407">
        <f t="shared" si="51"/>
        <v>1</v>
      </c>
      <c r="N339" s="3103"/>
      <c r="O339" s="2407">
        <f t="shared" si="52"/>
        <v>1</v>
      </c>
      <c r="P339" s="3491"/>
      <c r="Q339" s="2407">
        <f t="shared" si="53"/>
        <v>0</v>
      </c>
      <c r="R339" s="2407">
        <f t="shared" si="54"/>
        <v>0</v>
      </c>
      <c r="S339" s="3098">
        <f t="shared" si="45"/>
        <v>0</v>
      </c>
    </row>
    <row r="340" spans="1:19">
      <c r="A340" s="2571"/>
      <c r="B340" s="3107"/>
      <c r="C340" s="2407">
        <f t="shared" si="46"/>
        <v>1</v>
      </c>
      <c r="D340" s="3103"/>
      <c r="E340" s="2407">
        <f t="shared" si="47"/>
        <v>0</v>
      </c>
      <c r="F340" s="3103"/>
      <c r="G340" s="2407">
        <f t="shared" si="48"/>
        <v>1</v>
      </c>
      <c r="H340" s="3103"/>
      <c r="I340" s="2407">
        <f t="shared" si="49"/>
        <v>1</v>
      </c>
      <c r="J340" s="3103"/>
      <c r="K340" s="2407">
        <f t="shared" si="50"/>
        <v>1</v>
      </c>
      <c r="L340" s="3103"/>
      <c r="M340" s="2407">
        <f t="shared" si="51"/>
        <v>1</v>
      </c>
      <c r="N340" s="3103"/>
      <c r="O340" s="2407">
        <f t="shared" si="52"/>
        <v>1</v>
      </c>
      <c r="P340" s="3491"/>
      <c r="Q340" s="2407">
        <f t="shared" si="53"/>
        <v>0</v>
      </c>
      <c r="R340" s="2407">
        <f t="shared" si="54"/>
        <v>0</v>
      </c>
      <c r="S340" s="3098">
        <f t="shared" si="45"/>
        <v>0</v>
      </c>
    </row>
    <row r="341" spans="1:19">
      <c r="A341" s="2571"/>
      <c r="B341" s="3107"/>
      <c r="C341" s="2407">
        <f t="shared" si="46"/>
        <v>1</v>
      </c>
      <c r="D341" s="3103"/>
      <c r="E341" s="2407">
        <f t="shared" si="47"/>
        <v>0</v>
      </c>
      <c r="F341" s="3103"/>
      <c r="G341" s="2407">
        <f t="shared" si="48"/>
        <v>1</v>
      </c>
      <c r="H341" s="3103"/>
      <c r="I341" s="2407">
        <f t="shared" si="49"/>
        <v>1</v>
      </c>
      <c r="J341" s="3103"/>
      <c r="K341" s="2407">
        <f t="shared" si="50"/>
        <v>1</v>
      </c>
      <c r="L341" s="3103"/>
      <c r="M341" s="2407">
        <f t="shared" si="51"/>
        <v>1</v>
      </c>
      <c r="N341" s="3103"/>
      <c r="O341" s="2407">
        <f t="shared" si="52"/>
        <v>1</v>
      </c>
      <c r="P341" s="3491"/>
      <c r="Q341" s="2407">
        <f t="shared" si="53"/>
        <v>0</v>
      </c>
      <c r="R341" s="2407">
        <f t="shared" si="54"/>
        <v>0</v>
      </c>
      <c r="S341" s="3098">
        <f t="shared" si="45"/>
        <v>0</v>
      </c>
    </row>
    <row r="342" spans="1:19">
      <c r="A342" s="2571"/>
      <c r="B342" s="3107"/>
      <c r="C342" s="2407">
        <f t="shared" si="46"/>
        <v>1</v>
      </c>
      <c r="D342" s="3103"/>
      <c r="E342" s="2407">
        <f t="shared" si="47"/>
        <v>0</v>
      </c>
      <c r="F342" s="3103"/>
      <c r="G342" s="2407">
        <f t="shared" si="48"/>
        <v>1</v>
      </c>
      <c r="H342" s="3103"/>
      <c r="I342" s="2407">
        <f t="shared" si="49"/>
        <v>1</v>
      </c>
      <c r="J342" s="3103"/>
      <c r="K342" s="2407">
        <f t="shared" si="50"/>
        <v>1</v>
      </c>
      <c r="L342" s="3103"/>
      <c r="M342" s="2407">
        <f t="shared" si="51"/>
        <v>1</v>
      </c>
      <c r="N342" s="3103"/>
      <c r="O342" s="2407">
        <f t="shared" si="52"/>
        <v>1</v>
      </c>
      <c r="P342" s="3491"/>
      <c r="Q342" s="2407">
        <f t="shared" si="53"/>
        <v>0</v>
      </c>
      <c r="R342" s="2407">
        <f t="shared" si="54"/>
        <v>0</v>
      </c>
      <c r="S342" s="3098">
        <f t="shared" si="45"/>
        <v>0</v>
      </c>
    </row>
    <row r="343" spans="1:19">
      <c r="A343" s="2571"/>
      <c r="B343" s="3107"/>
      <c r="C343" s="2407">
        <f t="shared" si="46"/>
        <v>1</v>
      </c>
      <c r="D343" s="3103"/>
      <c r="E343" s="2407">
        <f t="shared" si="47"/>
        <v>0</v>
      </c>
      <c r="F343" s="3103"/>
      <c r="G343" s="2407">
        <f t="shared" si="48"/>
        <v>1</v>
      </c>
      <c r="H343" s="3103"/>
      <c r="I343" s="2407">
        <f t="shared" si="49"/>
        <v>1</v>
      </c>
      <c r="J343" s="3103"/>
      <c r="K343" s="2407">
        <f t="shared" si="50"/>
        <v>1</v>
      </c>
      <c r="L343" s="3103"/>
      <c r="M343" s="2407">
        <f t="shared" si="51"/>
        <v>1</v>
      </c>
      <c r="N343" s="3103"/>
      <c r="O343" s="2407">
        <f t="shared" si="52"/>
        <v>1</v>
      </c>
      <c r="P343" s="3491"/>
      <c r="Q343" s="2407">
        <f t="shared" si="53"/>
        <v>0</v>
      </c>
      <c r="R343" s="2407">
        <f t="shared" si="54"/>
        <v>0</v>
      </c>
      <c r="S343" s="3098">
        <f t="shared" si="45"/>
        <v>0</v>
      </c>
    </row>
    <row r="344" spans="1:19">
      <c r="A344" s="2571"/>
      <c r="B344" s="3107"/>
      <c r="C344" s="2407">
        <f t="shared" si="46"/>
        <v>1</v>
      </c>
      <c r="D344" s="3103"/>
      <c r="E344" s="2407">
        <f t="shared" si="47"/>
        <v>0</v>
      </c>
      <c r="F344" s="3103"/>
      <c r="G344" s="2407">
        <f t="shared" si="48"/>
        <v>1</v>
      </c>
      <c r="H344" s="3103"/>
      <c r="I344" s="2407">
        <f t="shared" si="49"/>
        <v>1</v>
      </c>
      <c r="J344" s="3103"/>
      <c r="K344" s="2407">
        <f t="shared" si="50"/>
        <v>1</v>
      </c>
      <c r="L344" s="3103"/>
      <c r="M344" s="2407">
        <f t="shared" si="51"/>
        <v>1</v>
      </c>
      <c r="N344" s="3103"/>
      <c r="O344" s="2407">
        <f t="shared" si="52"/>
        <v>1</v>
      </c>
      <c r="P344" s="3491"/>
      <c r="Q344" s="2407">
        <f t="shared" si="53"/>
        <v>0</v>
      </c>
      <c r="R344" s="2407">
        <f t="shared" si="54"/>
        <v>0</v>
      </c>
      <c r="S344" s="3098">
        <f t="shared" ref="S344:S407" si="55">ROUND(R344*B344/10000,0)</f>
        <v>0</v>
      </c>
    </row>
    <row r="345" spans="1:19">
      <c r="A345" s="2571"/>
      <c r="B345" s="3107"/>
      <c r="C345" s="2407">
        <f t="shared" si="46"/>
        <v>1</v>
      </c>
      <c r="D345" s="3103"/>
      <c r="E345" s="2407">
        <f t="shared" si="47"/>
        <v>0</v>
      </c>
      <c r="F345" s="3103"/>
      <c r="G345" s="2407">
        <f t="shared" si="48"/>
        <v>1</v>
      </c>
      <c r="H345" s="3103"/>
      <c r="I345" s="2407">
        <f t="shared" si="49"/>
        <v>1</v>
      </c>
      <c r="J345" s="3103"/>
      <c r="K345" s="2407">
        <f t="shared" si="50"/>
        <v>1</v>
      </c>
      <c r="L345" s="3103"/>
      <c r="M345" s="2407">
        <f t="shared" si="51"/>
        <v>1</v>
      </c>
      <c r="N345" s="3103"/>
      <c r="O345" s="2407">
        <f t="shared" si="52"/>
        <v>1</v>
      </c>
      <c r="P345" s="3491"/>
      <c r="Q345" s="2407">
        <f t="shared" si="53"/>
        <v>0</v>
      </c>
      <c r="R345" s="2407">
        <f t="shared" si="54"/>
        <v>0</v>
      </c>
      <c r="S345" s="3098">
        <f t="shared" si="55"/>
        <v>0</v>
      </c>
    </row>
    <row r="346" spans="1:19">
      <c r="A346" s="2571"/>
      <c r="B346" s="3107"/>
      <c r="C346" s="2407">
        <f t="shared" ref="C346:C409" si="56">IF(B346="",1,(LOOKUP(B346,$3:$3,$4:$4)-LOOKUP($B$24,$3:$3,$4:$4)+100)/100)</f>
        <v>1</v>
      </c>
      <c r="D346" s="3103"/>
      <c r="E346" s="2407">
        <f t="shared" ref="E346:E409" si="57">(SUMIF($5:$5,D346,$6:$6)-SUMIF($5:$5,$D$24,$6:$6)+100)/100</f>
        <v>0</v>
      </c>
      <c r="F346" s="3103"/>
      <c r="G346" s="2407">
        <f t="shared" ref="G346:G409" si="58">(SUMIF($7:$7,F346,$8:$8)-SUMIF($7:$7,$F$24,$8:$8)+100)/100</f>
        <v>1</v>
      </c>
      <c r="H346" s="3103"/>
      <c r="I346" s="2407">
        <f t="shared" ref="I346:I409" si="59">(SUMIF($9:$9,H346,$10:$10)-SUMIF($9:$9,$H$24,$10:$10)+100)/100</f>
        <v>1</v>
      </c>
      <c r="J346" s="3103"/>
      <c r="K346" s="2407">
        <f t="shared" ref="K346:K409" si="60">(SUMIF($11:$11,J346,$12:$12)-SUMIF($11:$11,$J$24,$12:$12)+100)/100</f>
        <v>1</v>
      </c>
      <c r="L346" s="3103"/>
      <c r="M346" s="2407">
        <f t="shared" ref="M346:M409" si="61">(SUMIF($13:$13,L346,$14:$14)-SUMIF($13:$13,$L$24,$14:$14)+100)/100</f>
        <v>1</v>
      </c>
      <c r="N346" s="3103"/>
      <c r="O346" s="2407">
        <f t="shared" ref="O346:O409" si="62">(SUMIF($15:$15,N346,$16:$16)-SUMIF($15:$15,$N$24,$16:$16)+100)/100</f>
        <v>1</v>
      </c>
      <c r="P346" s="3491"/>
      <c r="Q346" s="2407">
        <f t="shared" ref="Q346:Q409" si="63">(SUMIF($17:$17,P346,$18:$18)-SUMIF($17:$17,$P$24,$18:$18)+100)/100</f>
        <v>0</v>
      </c>
      <c r="R346" s="2407">
        <f t="shared" ref="R346:R409" si="64">IF(B346="",0,ROUND($R$24*C346*E346*G346*I346*K346*M346*O346*Q346,0))</f>
        <v>0</v>
      </c>
      <c r="S346" s="3098">
        <f t="shared" si="55"/>
        <v>0</v>
      </c>
    </row>
    <row r="347" spans="1:19">
      <c r="A347" s="2571"/>
      <c r="B347" s="3107"/>
      <c r="C347" s="2407">
        <f t="shared" si="56"/>
        <v>1</v>
      </c>
      <c r="D347" s="3103"/>
      <c r="E347" s="2407">
        <f t="shared" si="57"/>
        <v>0</v>
      </c>
      <c r="F347" s="3103"/>
      <c r="G347" s="2407">
        <f t="shared" si="58"/>
        <v>1</v>
      </c>
      <c r="H347" s="3103"/>
      <c r="I347" s="2407">
        <f t="shared" si="59"/>
        <v>1</v>
      </c>
      <c r="J347" s="3103"/>
      <c r="K347" s="2407">
        <f t="shared" si="60"/>
        <v>1</v>
      </c>
      <c r="L347" s="3103"/>
      <c r="M347" s="2407">
        <f t="shared" si="61"/>
        <v>1</v>
      </c>
      <c r="N347" s="3103"/>
      <c r="O347" s="2407">
        <f t="shared" si="62"/>
        <v>1</v>
      </c>
      <c r="P347" s="3491"/>
      <c r="Q347" s="2407">
        <f t="shared" si="63"/>
        <v>0</v>
      </c>
      <c r="R347" s="2407">
        <f t="shared" si="64"/>
        <v>0</v>
      </c>
      <c r="S347" s="3098">
        <f t="shared" si="55"/>
        <v>0</v>
      </c>
    </row>
    <row r="348" spans="1:19">
      <c r="A348" s="2571"/>
      <c r="B348" s="3107"/>
      <c r="C348" s="2407">
        <f t="shared" si="56"/>
        <v>1</v>
      </c>
      <c r="D348" s="3103"/>
      <c r="E348" s="2407">
        <f t="shared" si="57"/>
        <v>0</v>
      </c>
      <c r="F348" s="3103"/>
      <c r="G348" s="2407">
        <f t="shared" si="58"/>
        <v>1</v>
      </c>
      <c r="H348" s="3103"/>
      <c r="I348" s="2407">
        <f t="shared" si="59"/>
        <v>1</v>
      </c>
      <c r="J348" s="3103"/>
      <c r="K348" s="2407">
        <f t="shared" si="60"/>
        <v>1</v>
      </c>
      <c r="L348" s="3103"/>
      <c r="M348" s="2407">
        <f t="shared" si="61"/>
        <v>1</v>
      </c>
      <c r="N348" s="3103"/>
      <c r="O348" s="2407">
        <f t="shared" si="62"/>
        <v>1</v>
      </c>
      <c r="P348" s="3491"/>
      <c r="Q348" s="2407">
        <f t="shared" si="63"/>
        <v>0</v>
      </c>
      <c r="R348" s="2407">
        <f t="shared" si="64"/>
        <v>0</v>
      </c>
      <c r="S348" s="3098">
        <f t="shared" si="55"/>
        <v>0</v>
      </c>
    </row>
    <row r="349" spans="1:19">
      <c r="A349" s="2571"/>
      <c r="B349" s="3107"/>
      <c r="C349" s="2407">
        <f t="shared" si="56"/>
        <v>1</v>
      </c>
      <c r="D349" s="3103"/>
      <c r="E349" s="2407">
        <f t="shared" si="57"/>
        <v>0</v>
      </c>
      <c r="F349" s="3103"/>
      <c r="G349" s="2407">
        <f t="shared" si="58"/>
        <v>1</v>
      </c>
      <c r="H349" s="3103"/>
      <c r="I349" s="2407">
        <f t="shared" si="59"/>
        <v>1</v>
      </c>
      <c r="J349" s="3103"/>
      <c r="K349" s="2407">
        <f t="shared" si="60"/>
        <v>1</v>
      </c>
      <c r="L349" s="3103"/>
      <c r="M349" s="2407">
        <f t="shared" si="61"/>
        <v>1</v>
      </c>
      <c r="N349" s="3103"/>
      <c r="O349" s="2407">
        <f t="shared" si="62"/>
        <v>1</v>
      </c>
      <c r="P349" s="3491"/>
      <c r="Q349" s="2407">
        <f t="shared" si="63"/>
        <v>0</v>
      </c>
      <c r="R349" s="2407">
        <f t="shared" si="64"/>
        <v>0</v>
      </c>
      <c r="S349" s="3098">
        <f t="shared" si="55"/>
        <v>0</v>
      </c>
    </row>
    <row r="350" spans="1:19">
      <c r="A350" s="2571"/>
      <c r="B350" s="3107"/>
      <c r="C350" s="2407">
        <f t="shared" si="56"/>
        <v>1</v>
      </c>
      <c r="D350" s="3103"/>
      <c r="E350" s="2407">
        <f t="shared" si="57"/>
        <v>0</v>
      </c>
      <c r="F350" s="3103"/>
      <c r="G350" s="2407">
        <f t="shared" si="58"/>
        <v>1</v>
      </c>
      <c r="H350" s="3103"/>
      <c r="I350" s="2407">
        <f t="shared" si="59"/>
        <v>1</v>
      </c>
      <c r="J350" s="3103"/>
      <c r="K350" s="2407">
        <f t="shared" si="60"/>
        <v>1</v>
      </c>
      <c r="L350" s="3103"/>
      <c r="M350" s="2407">
        <f t="shared" si="61"/>
        <v>1</v>
      </c>
      <c r="N350" s="3103"/>
      <c r="O350" s="2407">
        <f t="shared" si="62"/>
        <v>1</v>
      </c>
      <c r="P350" s="3491"/>
      <c r="Q350" s="2407">
        <f t="shared" si="63"/>
        <v>0</v>
      </c>
      <c r="R350" s="2407">
        <f t="shared" si="64"/>
        <v>0</v>
      </c>
      <c r="S350" s="3098">
        <f t="shared" si="55"/>
        <v>0</v>
      </c>
    </row>
    <row r="351" spans="1:19">
      <c r="A351" s="2571"/>
      <c r="B351" s="3107"/>
      <c r="C351" s="2407">
        <f t="shared" si="56"/>
        <v>1</v>
      </c>
      <c r="D351" s="3103"/>
      <c r="E351" s="2407">
        <f t="shared" si="57"/>
        <v>0</v>
      </c>
      <c r="F351" s="3103"/>
      <c r="G351" s="2407">
        <f t="shared" si="58"/>
        <v>1</v>
      </c>
      <c r="H351" s="3103"/>
      <c r="I351" s="2407">
        <f t="shared" si="59"/>
        <v>1</v>
      </c>
      <c r="J351" s="3103"/>
      <c r="K351" s="2407">
        <f t="shared" si="60"/>
        <v>1</v>
      </c>
      <c r="L351" s="3103"/>
      <c r="M351" s="2407">
        <f t="shared" si="61"/>
        <v>1</v>
      </c>
      <c r="N351" s="3103"/>
      <c r="O351" s="2407">
        <f t="shared" si="62"/>
        <v>1</v>
      </c>
      <c r="P351" s="3491"/>
      <c r="Q351" s="2407">
        <f t="shared" si="63"/>
        <v>0</v>
      </c>
      <c r="R351" s="2407">
        <f t="shared" si="64"/>
        <v>0</v>
      </c>
      <c r="S351" s="3098">
        <f t="shared" si="55"/>
        <v>0</v>
      </c>
    </row>
    <row r="352" spans="1:19">
      <c r="A352" s="2571"/>
      <c r="B352" s="3107"/>
      <c r="C352" s="2407">
        <f t="shared" si="56"/>
        <v>1</v>
      </c>
      <c r="D352" s="3103"/>
      <c r="E352" s="2407">
        <f t="shared" si="57"/>
        <v>0</v>
      </c>
      <c r="F352" s="3103"/>
      <c r="G352" s="2407">
        <f t="shared" si="58"/>
        <v>1</v>
      </c>
      <c r="H352" s="3103"/>
      <c r="I352" s="2407">
        <f t="shared" si="59"/>
        <v>1</v>
      </c>
      <c r="J352" s="3103"/>
      <c r="K352" s="2407">
        <f t="shared" si="60"/>
        <v>1</v>
      </c>
      <c r="L352" s="3103"/>
      <c r="M352" s="2407">
        <f t="shared" si="61"/>
        <v>1</v>
      </c>
      <c r="N352" s="3103"/>
      <c r="O352" s="2407">
        <f t="shared" si="62"/>
        <v>1</v>
      </c>
      <c r="P352" s="3491"/>
      <c r="Q352" s="2407">
        <f t="shared" si="63"/>
        <v>0</v>
      </c>
      <c r="R352" s="2407">
        <f t="shared" si="64"/>
        <v>0</v>
      </c>
      <c r="S352" s="3098">
        <f t="shared" si="55"/>
        <v>0</v>
      </c>
    </row>
    <row r="353" spans="1:19">
      <c r="A353" s="2571"/>
      <c r="B353" s="3107"/>
      <c r="C353" s="2407">
        <f t="shared" si="56"/>
        <v>1</v>
      </c>
      <c r="D353" s="3103"/>
      <c r="E353" s="2407">
        <f t="shared" si="57"/>
        <v>0</v>
      </c>
      <c r="F353" s="3103"/>
      <c r="G353" s="2407">
        <f t="shared" si="58"/>
        <v>1</v>
      </c>
      <c r="H353" s="3103"/>
      <c r="I353" s="2407">
        <f t="shared" si="59"/>
        <v>1</v>
      </c>
      <c r="J353" s="3103"/>
      <c r="K353" s="2407">
        <f t="shared" si="60"/>
        <v>1</v>
      </c>
      <c r="L353" s="3103"/>
      <c r="M353" s="2407">
        <f t="shared" si="61"/>
        <v>1</v>
      </c>
      <c r="N353" s="3103"/>
      <c r="O353" s="2407">
        <f t="shared" si="62"/>
        <v>1</v>
      </c>
      <c r="P353" s="3491"/>
      <c r="Q353" s="2407">
        <f t="shared" si="63"/>
        <v>0</v>
      </c>
      <c r="R353" s="2407">
        <f t="shared" si="64"/>
        <v>0</v>
      </c>
      <c r="S353" s="3098">
        <f t="shared" si="55"/>
        <v>0</v>
      </c>
    </row>
    <row r="354" spans="1:19">
      <c r="A354" s="2571"/>
      <c r="B354" s="3107"/>
      <c r="C354" s="2407">
        <f t="shared" si="56"/>
        <v>1</v>
      </c>
      <c r="D354" s="3103"/>
      <c r="E354" s="2407">
        <f t="shared" si="57"/>
        <v>0</v>
      </c>
      <c r="F354" s="3103"/>
      <c r="G354" s="2407">
        <f t="shared" si="58"/>
        <v>1</v>
      </c>
      <c r="H354" s="3103"/>
      <c r="I354" s="2407">
        <f t="shared" si="59"/>
        <v>1</v>
      </c>
      <c r="J354" s="3103"/>
      <c r="K354" s="2407">
        <f t="shared" si="60"/>
        <v>1</v>
      </c>
      <c r="L354" s="3103"/>
      <c r="M354" s="2407">
        <f t="shared" si="61"/>
        <v>1</v>
      </c>
      <c r="N354" s="3103"/>
      <c r="O354" s="2407">
        <f t="shared" si="62"/>
        <v>1</v>
      </c>
      <c r="P354" s="3491"/>
      <c r="Q354" s="2407">
        <f t="shared" si="63"/>
        <v>0</v>
      </c>
      <c r="R354" s="2407">
        <f t="shared" si="64"/>
        <v>0</v>
      </c>
      <c r="S354" s="3098">
        <f t="shared" si="55"/>
        <v>0</v>
      </c>
    </row>
    <row r="355" spans="1:19">
      <c r="A355" s="2571"/>
      <c r="B355" s="3107"/>
      <c r="C355" s="2407">
        <f t="shared" si="56"/>
        <v>1</v>
      </c>
      <c r="D355" s="3103"/>
      <c r="E355" s="2407">
        <f t="shared" si="57"/>
        <v>0</v>
      </c>
      <c r="F355" s="3103"/>
      <c r="G355" s="2407">
        <f t="shared" si="58"/>
        <v>1</v>
      </c>
      <c r="H355" s="3103"/>
      <c r="I355" s="2407">
        <f t="shared" si="59"/>
        <v>1</v>
      </c>
      <c r="J355" s="3103"/>
      <c r="K355" s="2407">
        <f t="shared" si="60"/>
        <v>1</v>
      </c>
      <c r="L355" s="3103"/>
      <c r="M355" s="2407">
        <f t="shared" si="61"/>
        <v>1</v>
      </c>
      <c r="N355" s="3103"/>
      <c r="O355" s="2407">
        <f t="shared" si="62"/>
        <v>1</v>
      </c>
      <c r="P355" s="3491"/>
      <c r="Q355" s="2407">
        <f t="shared" si="63"/>
        <v>0</v>
      </c>
      <c r="R355" s="2407">
        <f t="shared" si="64"/>
        <v>0</v>
      </c>
      <c r="S355" s="3098">
        <f t="shared" si="55"/>
        <v>0</v>
      </c>
    </row>
    <row r="356" spans="1:19">
      <c r="A356" s="2571"/>
      <c r="B356" s="3107"/>
      <c r="C356" s="2407">
        <f t="shared" si="56"/>
        <v>1</v>
      </c>
      <c r="D356" s="3103"/>
      <c r="E356" s="2407">
        <f t="shared" si="57"/>
        <v>0</v>
      </c>
      <c r="F356" s="3103"/>
      <c r="G356" s="2407">
        <f t="shared" si="58"/>
        <v>1</v>
      </c>
      <c r="H356" s="3103"/>
      <c r="I356" s="2407">
        <f t="shared" si="59"/>
        <v>1</v>
      </c>
      <c r="J356" s="3103"/>
      <c r="K356" s="2407">
        <f t="shared" si="60"/>
        <v>1</v>
      </c>
      <c r="L356" s="3103"/>
      <c r="M356" s="2407">
        <f t="shared" si="61"/>
        <v>1</v>
      </c>
      <c r="N356" s="3103"/>
      <c r="O356" s="2407">
        <f t="shared" si="62"/>
        <v>1</v>
      </c>
      <c r="P356" s="3491"/>
      <c r="Q356" s="2407">
        <f t="shared" si="63"/>
        <v>0</v>
      </c>
      <c r="R356" s="2407">
        <f t="shared" si="64"/>
        <v>0</v>
      </c>
      <c r="S356" s="3098">
        <f t="shared" si="55"/>
        <v>0</v>
      </c>
    </row>
    <row r="357" spans="1:19">
      <c r="A357" s="2571"/>
      <c r="B357" s="3107"/>
      <c r="C357" s="2407">
        <f t="shared" si="56"/>
        <v>1</v>
      </c>
      <c r="D357" s="3103"/>
      <c r="E357" s="2407">
        <f t="shared" si="57"/>
        <v>0</v>
      </c>
      <c r="F357" s="3103"/>
      <c r="G357" s="2407">
        <f t="shared" si="58"/>
        <v>1</v>
      </c>
      <c r="H357" s="3103"/>
      <c r="I357" s="2407">
        <f t="shared" si="59"/>
        <v>1</v>
      </c>
      <c r="J357" s="3103"/>
      <c r="K357" s="2407">
        <f t="shared" si="60"/>
        <v>1</v>
      </c>
      <c r="L357" s="3103"/>
      <c r="M357" s="2407">
        <f t="shared" si="61"/>
        <v>1</v>
      </c>
      <c r="N357" s="3103"/>
      <c r="O357" s="2407">
        <f t="shared" si="62"/>
        <v>1</v>
      </c>
      <c r="P357" s="3491"/>
      <c r="Q357" s="2407">
        <f t="shared" si="63"/>
        <v>0</v>
      </c>
      <c r="R357" s="2407">
        <f t="shared" si="64"/>
        <v>0</v>
      </c>
      <c r="S357" s="3098">
        <f t="shared" si="55"/>
        <v>0</v>
      </c>
    </row>
    <row r="358" spans="1:19">
      <c r="A358" s="2571"/>
      <c r="B358" s="3107"/>
      <c r="C358" s="2407">
        <f t="shared" si="56"/>
        <v>1</v>
      </c>
      <c r="D358" s="3103"/>
      <c r="E358" s="2407">
        <f t="shared" si="57"/>
        <v>0</v>
      </c>
      <c r="F358" s="3103"/>
      <c r="G358" s="2407">
        <f t="shared" si="58"/>
        <v>1</v>
      </c>
      <c r="H358" s="3103"/>
      <c r="I358" s="2407">
        <f t="shared" si="59"/>
        <v>1</v>
      </c>
      <c r="J358" s="3103"/>
      <c r="K358" s="2407">
        <f t="shared" si="60"/>
        <v>1</v>
      </c>
      <c r="L358" s="3103"/>
      <c r="M358" s="2407">
        <f t="shared" si="61"/>
        <v>1</v>
      </c>
      <c r="N358" s="3103"/>
      <c r="O358" s="2407">
        <f t="shared" si="62"/>
        <v>1</v>
      </c>
      <c r="P358" s="3491"/>
      <c r="Q358" s="2407">
        <f t="shared" si="63"/>
        <v>0</v>
      </c>
      <c r="R358" s="2407">
        <f t="shared" si="64"/>
        <v>0</v>
      </c>
      <c r="S358" s="3098">
        <f t="shared" si="55"/>
        <v>0</v>
      </c>
    </row>
    <row r="359" spans="1:19">
      <c r="A359" s="2571"/>
      <c r="B359" s="3107"/>
      <c r="C359" s="2407">
        <f t="shared" si="56"/>
        <v>1</v>
      </c>
      <c r="D359" s="3103"/>
      <c r="E359" s="2407">
        <f t="shared" si="57"/>
        <v>0</v>
      </c>
      <c r="F359" s="3103"/>
      <c r="G359" s="2407">
        <f t="shared" si="58"/>
        <v>1</v>
      </c>
      <c r="H359" s="3103"/>
      <c r="I359" s="2407">
        <f t="shared" si="59"/>
        <v>1</v>
      </c>
      <c r="J359" s="3103"/>
      <c r="K359" s="2407">
        <f t="shared" si="60"/>
        <v>1</v>
      </c>
      <c r="L359" s="3103"/>
      <c r="M359" s="2407">
        <f t="shared" si="61"/>
        <v>1</v>
      </c>
      <c r="N359" s="3103"/>
      <c r="O359" s="2407">
        <f t="shared" si="62"/>
        <v>1</v>
      </c>
      <c r="P359" s="3491"/>
      <c r="Q359" s="2407">
        <f t="shared" si="63"/>
        <v>0</v>
      </c>
      <c r="R359" s="2407">
        <f t="shared" si="64"/>
        <v>0</v>
      </c>
      <c r="S359" s="3098">
        <f t="shared" si="55"/>
        <v>0</v>
      </c>
    </row>
    <row r="360" spans="1:19">
      <c r="A360" s="2571"/>
      <c r="B360" s="3107"/>
      <c r="C360" s="2407">
        <f t="shared" si="56"/>
        <v>1</v>
      </c>
      <c r="D360" s="3103"/>
      <c r="E360" s="2407">
        <f t="shared" si="57"/>
        <v>0</v>
      </c>
      <c r="F360" s="3103"/>
      <c r="G360" s="2407">
        <f t="shared" si="58"/>
        <v>1</v>
      </c>
      <c r="H360" s="3103"/>
      <c r="I360" s="2407">
        <f t="shared" si="59"/>
        <v>1</v>
      </c>
      <c r="J360" s="3103"/>
      <c r="K360" s="2407">
        <f t="shared" si="60"/>
        <v>1</v>
      </c>
      <c r="L360" s="3103"/>
      <c r="M360" s="2407">
        <f t="shared" si="61"/>
        <v>1</v>
      </c>
      <c r="N360" s="3103"/>
      <c r="O360" s="2407">
        <f t="shared" si="62"/>
        <v>1</v>
      </c>
      <c r="P360" s="3491"/>
      <c r="Q360" s="2407">
        <f t="shared" si="63"/>
        <v>0</v>
      </c>
      <c r="R360" s="2407">
        <f t="shared" si="64"/>
        <v>0</v>
      </c>
      <c r="S360" s="3098">
        <f t="shared" si="55"/>
        <v>0</v>
      </c>
    </row>
    <row r="361" spans="1:19">
      <c r="A361" s="2571"/>
      <c r="B361" s="3107"/>
      <c r="C361" s="2407">
        <f t="shared" si="56"/>
        <v>1</v>
      </c>
      <c r="D361" s="3103"/>
      <c r="E361" s="2407">
        <f t="shared" si="57"/>
        <v>0</v>
      </c>
      <c r="F361" s="3103"/>
      <c r="G361" s="2407">
        <f t="shared" si="58"/>
        <v>1</v>
      </c>
      <c r="H361" s="3103"/>
      <c r="I361" s="2407">
        <f t="shared" si="59"/>
        <v>1</v>
      </c>
      <c r="J361" s="3103"/>
      <c r="K361" s="2407">
        <f t="shared" si="60"/>
        <v>1</v>
      </c>
      <c r="L361" s="3103"/>
      <c r="M361" s="2407">
        <f t="shared" si="61"/>
        <v>1</v>
      </c>
      <c r="N361" s="3103"/>
      <c r="O361" s="2407">
        <f t="shared" si="62"/>
        <v>1</v>
      </c>
      <c r="P361" s="3491"/>
      <c r="Q361" s="2407">
        <f t="shared" si="63"/>
        <v>0</v>
      </c>
      <c r="R361" s="2407">
        <f t="shared" si="64"/>
        <v>0</v>
      </c>
      <c r="S361" s="3098">
        <f t="shared" si="55"/>
        <v>0</v>
      </c>
    </row>
    <row r="362" spans="1:19">
      <c r="A362" s="2571"/>
      <c r="B362" s="3107"/>
      <c r="C362" s="2407">
        <f t="shared" si="56"/>
        <v>1</v>
      </c>
      <c r="D362" s="3103"/>
      <c r="E362" s="2407">
        <f t="shared" si="57"/>
        <v>0</v>
      </c>
      <c r="F362" s="3103"/>
      <c r="G362" s="2407">
        <f t="shared" si="58"/>
        <v>1</v>
      </c>
      <c r="H362" s="3103"/>
      <c r="I362" s="2407">
        <f t="shared" si="59"/>
        <v>1</v>
      </c>
      <c r="J362" s="3103"/>
      <c r="K362" s="2407">
        <f t="shared" si="60"/>
        <v>1</v>
      </c>
      <c r="L362" s="3103"/>
      <c r="M362" s="2407">
        <f t="shared" si="61"/>
        <v>1</v>
      </c>
      <c r="N362" s="3103"/>
      <c r="O362" s="2407">
        <f t="shared" si="62"/>
        <v>1</v>
      </c>
      <c r="P362" s="3491"/>
      <c r="Q362" s="2407">
        <f t="shared" si="63"/>
        <v>0</v>
      </c>
      <c r="R362" s="2407">
        <f t="shared" si="64"/>
        <v>0</v>
      </c>
      <c r="S362" s="3098">
        <f t="shared" si="55"/>
        <v>0</v>
      </c>
    </row>
    <row r="363" spans="1:19">
      <c r="A363" s="2571"/>
      <c r="B363" s="3107"/>
      <c r="C363" s="2407">
        <f t="shared" si="56"/>
        <v>1</v>
      </c>
      <c r="D363" s="3103"/>
      <c r="E363" s="2407">
        <f t="shared" si="57"/>
        <v>0</v>
      </c>
      <c r="F363" s="3103"/>
      <c r="G363" s="2407">
        <f t="shared" si="58"/>
        <v>1</v>
      </c>
      <c r="H363" s="3103"/>
      <c r="I363" s="2407">
        <f t="shared" si="59"/>
        <v>1</v>
      </c>
      <c r="J363" s="3103"/>
      <c r="K363" s="2407">
        <f t="shared" si="60"/>
        <v>1</v>
      </c>
      <c r="L363" s="3103"/>
      <c r="M363" s="2407">
        <f t="shared" si="61"/>
        <v>1</v>
      </c>
      <c r="N363" s="3103"/>
      <c r="O363" s="2407">
        <f t="shared" si="62"/>
        <v>1</v>
      </c>
      <c r="P363" s="3491"/>
      <c r="Q363" s="2407">
        <f t="shared" si="63"/>
        <v>0</v>
      </c>
      <c r="R363" s="2407">
        <f t="shared" si="64"/>
        <v>0</v>
      </c>
      <c r="S363" s="3098">
        <f t="shared" si="55"/>
        <v>0</v>
      </c>
    </row>
    <row r="364" spans="1:19">
      <c r="A364" s="2571"/>
      <c r="B364" s="3107"/>
      <c r="C364" s="2407">
        <f t="shared" si="56"/>
        <v>1</v>
      </c>
      <c r="D364" s="3103"/>
      <c r="E364" s="2407">
        <f t="shared" si="57"/>
        <v>0</v>
      </c>
      <c r="F364" s="3103"/>
      <c r="G364" s="2407">
        <f t="shared" si="58"/>
        <v>1</v>
      </c>
      <c r="H364" s="3103"/>
      <c r="I364" s="2407">
        <f t="shared" si="59"/>
        <v>1</v>
      </c>
      <c r="J364" s="3103"/>
      <c r="K364" s="2407">
        <f t="shared" si="60"/>
        <v>1</v>
      </c>
      <c r="L364" s="3103"/>
      <c r="M364" s="2407">
        <f t="shared" si="61"/>
        <v>1</v>
      </c>
      <c r="N364" s="3103"/>
      <c r="O364" s="2407">
        <f t="shared" si="62"/>
        <v>1</v>
      </c>
      <c r="P364" s="3491"/>
      <c r="Q364" s="2407">
        <f t="shared" si="63"/>
        <v>0</v>
      </c>
      <c r="R364" s="2407">
        <f t="shared" si="64"/>
        <v>0</v>
      </c>
      <c r="S364" s="3098">
        <f t="shared" si="55"/>
        <v>0</v>
      </c>
    </row>
    <row r="365" spans="1:19">
      <c r="A365" s="2571"/>
      <c r="B365" s="3107"/>
      <c r="C365" s="2407">
        <f t="shared" si="56"/>
        <v>1</v>
      </c>
      <c r="D365" s="3103"/>
      <c r="E365" s="2407">
        <f t="shared" si="57"/>
        <v>0</v>
      </c>
      <c r="F365" s="3103"/>
      <c r="G365" s="2407">
        <f t="shared" si="58"/>
        <v>1</v>
      </c>
      <c r="H365" s="3103"/>
      <c r="I365" s="2407">
        <f t="shared" si="59"/>
        <v>1</v>
      </c>
      <c r="J365" s="3103"/>
      <c r="K365" s="2407">
        <f t="shared" si="60"/>
        <v>1</v>
      </c>
      <c r="L365" s="3103"/>
      <c r="M365" s="2407">
        <f t="shared" si="61"/>
        <v>1</v>
      </c>
      <c r="N365" s="3103"/>
      <c r="O365" s="2407">
        <f t="shared" si="62"/>
        <v>1</v>
      </c>
      <c r="P365" s="3491"/>
      <c r="Q365" s="2407">
        <f t="shared" si="63"/>
        <v>0</v>
      </c>
      <c r="R365" s="2407">
        <f t="shared" si="64"/>
        <v>0</v>
      </c>
      <c r="S365" s="3098">
        <f t="shared" si="55"/>
        <v>0</v>
      </c>
    </row>
    <row r="366" spans="1:19">
      <c r="A366" s="2571"/>
      <c r="B366" s="3107"/>
      <c r="C366" s="2407">
        <f t="shared" si="56"/>
        <v>1</v>
      </c>
      <c r="D366" s="3103"/>
      <c r="E366" s="2407">
        <f t="shared" si="57"/>
        <v>0</v>
      </c>
      <c r="F366" s="3103"/>
      <c r="G366" s="2407">
        <f t="shared" si="58"/>
        <v>1</v>
      </c>
      <c r="H366" s="3103"/>
      <c r="I366" s="2407">
        <f t="shared" si="59"/>
        <v>1</v>
      </c>
      <c r="J366" s="3103"/>
      <c r="K366" s="2407">
        <f t="shared" si="60"/>
        <v>1</v>
      </c>
      <c r="L366" s="3103"/>
      <c r="M366" s="2407">
        <f t="shared" si="61"/>
        <v>1</v>
      </c>
      <c r="N366" s="3103"/>
      <c r="O366" s="2407">
        <f t="shared" si="62"/>
        <v>1</v>
      </c>
      <c r="P366" s="3491"/>
      <c r="Q366" s="2407">
        <f t="shared" si="63"/>
        <v>0</v>
      </c>
      <c r="R366" s="2407">
        <f t="shared" si="64"/>
        <v>0</v>
      </c>
      <c r="S366" s="3098">
        <f t="shared" si="55"/>
        <v>0</v>
      </c>
    </row>
    <row r="367" spans="1:19">
      <c r="A367" s="2571"/>
      <c r="B367" s="3107"/>
      <c r="C367" s="2407">
        <f t="shared" si="56"/>
        <v>1</v>
      </c>
      <c r="D367" s="3103"/>
      <c r="E367" s="2407">
        <f t="shared" si="57"/>
        <v>0</v>
      </c>
      <c r="F367" s="3103"/>
      <c r="G367" s="2407">
        <f t="shared" si="58"/>
        <v>1</v>
      </c>
      <c r="H367" s="3103"/>
      <c r="I367" s="2407">
        <f t="shared" si="59"/>
        <v>1</v>
      </c>
      <c r="J367" s="3103"/>
      <c r="K367" s="2407">
        <f t="shared" si="60"/>
        <v>1</v>
      </c>
      <c r="L367" s="3103"/>
      <c r="M367" s="2407">
        <f t="shared" si="61"/>
        <v>1</v>
      </c>
      <c r="N367" s="3103"/>
      <c r="O367" s="2407">
        <f t="shared" si="62"/>
        <v>1</v>
      </c>
      <c r="P367" s="3491"/>
      <c r="Q367" s="2407">
        <f t="shared" si="63"/>
        <v>0</v>
      </c>
      <c r="R367" s="2407">
        <f t="shared" si="64"/>
        <v>0</v>
      </c>
      <c r="S367" s="3098">
        <f t="shared" si="55"/>
        <v>0</v>
      </c>
    </row>
    <row r="368" spans="1:19">
      <c r="A368" s="2571"/>
      <c r="B368" s="3107"/>
      <c r="C368" s="2407">
        <f t="shared" si="56"/>
        <v>1</v>
      </c>
      <c r="D368" s="3103"/>
      <c r="E368" s="2407">
        <f t="shared" si="57"/>
        <v>0</v>
      </c>
      <c r="F368" s="3103"/>
      <c r="G368" s="2407">
        <f t="shared" si="58"/>
        <v>1</v>
      </c>
      <c r="H368" s="3103"/>
      <c r="I368" s="2407">
        <f t="shared" si="59"/>
        <v>1</v>
      </c>
      <c r="J368" s="3103"/>
      <c r="K368" s="2407">
        <f t="shared" si="60"/>
        <v>1</v>
      </c>
      <c r="L368" s="3103"/>
      <c r="M368" s="2407">
        <f t="shared" si="61"/>
        <v>1</v>
      </c>
      <c r="N368" s="3103"/>
      <c r="O368" s="2407">
        <f t="shared" si="62"/>
        <v>1</v>
      </c>
      <c r="P368" s="3491"/>
      <c r="Q368" s="2407">
        <f t="shared" si="63"/>
        <v>0</v>
      </c>
      <c r="R368" s="2407">
        <f t="shared" si="64"/>
        <v>0</v>
      </c>
      <c r="S368" s="3098">
        <f t="shared" si="55"/>
        <v>0</v>
      </c>
    </row>
    <row r="369" spans="1:19">
      <c r="A369" s="2571"/>
      <c r="B369" s="3107"/>
      <c r="C369" s="2407">
        <f t="shared" si="56"/>
        <v>1</v>
      </c>
      <c r="D369" s="3103"/>
      <c r="E369" s="2407">
        <f t="shared" si="57"/>
        <v>0</v>
      </c>
      <c r="F369" s="3103"/>
      <c r="G369" s="2407">
        <f t="shared" si="58"/>
        <v>1</v>
      </c>
      <c r="H369" s="3103"/>
      <c r="I369" s="2407">
        <f t="shared" si="59"/>
        <v>1</v>
      </c>
      <c r="J369" s="3103"/>
      <c r="K369" s="2407">
        <f t="shared" si="60"/>
        <v>1</v>
      </c>
      <c r="L369" s="3103"/>
      <c r="M369" s="2407">
        <f t="shared" si="61"/>
        <v>1</v>
      </c>
      <c r="N369" s="3103"/>
      <c r="O369" s="2407">
        <f t="shared" si="62"/>
        <v>1</v>
      </c>
      <c r="P369" s="3491"/>
      <c r="Q369" s="2407">
        <f t="shared" si="63"/>
        <v>0</v>
      </c>
      <c r="R369" s="2407">
        <f t="shared" si="64"/>
        <v>0</v>
      </c>
      <c r="S369" s="3098">
        <f t="shared" si="55"/>
        <v>0</v>
      </c>
    </row>
    <row r="370" spans="1:19">
      <c r="A370" s="2571"/>
      <c r="B370" s="3107"/>
      <c r="C370" s="2407">
        <f t="shared" si="56"/>
        <v>1</v>
      </c>
      <c r="D370" s="3103"/>
      <c r="E370" s="2407">
        <f t="shared" si="57"/>
        <v>0</v>
      </c>
      <c r="F370" s="3103"/>
      <c r="G370" s="2407">
        <f t="shared" si="58"/>
        <v>1</v>
      </c>
      <c r="H370" s="3103"/>
      <c r="I370" s="2407">
        <f t="shared" si="59"/>
        <v>1</v>
      </c>
      <c r="J370" s="3103"/>
      <c r="K370" s="2407">
        <f t="shared" si="60"/>
        <v>1</v>
      </c>
      <c r="L370" s="3103"/>
      <c r="M370" s="2407">
        <f t="shared" si="61"/>
        <v>1</v>
      </c>
      <c r="N370" s="3103"/>
      <c r="O370" s="2407">
        <f t="shared" si="62"/>
        <v>1</v>
      </c>
      <c r="P370" s="3491"/>
      <c r="Q370" s="2407">
        <f t="shared" si="63"/>
        <v>0</v>
      </c>
      <c r="R370" s="2407">
        <f t="shared" si="64"/>
        <v>0</v>
      </c>
      <c r="S370" s="3098">
        <f t="shared" si="55"/>
        <v>0</v>
      </c>
    </row>
    <row r="371" spans="1:19">
      <c r="A371" s="2571"/>
      <c r="B371" s="3107"/>
      <c r="C371" s="2407">
        <f t="shared" si="56"/>
        <v>1</v>
      </c>
      <c r="D371" s="3103"/>
      <c r="E371" s="2407">
        <f t="shared" si="57"/>
        <v>0</v>
      </c>
      <c r="F371" s="3103"/>
      <c r="G371" s="2407">
        <f t="shared" si="58"/>
        <v>1</v>
      </c>
      <c r="H371" s="3103"/>
      <c r="I371" s="2407">
        <f t="shared" si="59"/>
        <v>1</v>
      </c>
      <c r="J371" s="3103"/>
      <c r="K371" s="2407">
        <f t="shared" si="60"/>
        <v>1</v>
      </c>
      <c r="L371" s="3103"/>
      <c r="M371" s="2407">
        <f t="shared" si="61"/>
        <v>1</v>
      </c>
      <c r="N371" s="3103"/>
      <c r="O371" s="2407">
        <f t="shared" si="62"/>
        <v>1</v>
      </c>
      <c r="P371" s="3491"/>
      <c r="Q371" s="2407">
        <f t="shared" si="63"/>
        <v>0</v>
      </c>
      <c r="R371" s="2407">
        <f t="shared" si="64"/>
        <v>0</v>
      </c>
      <c r="S371" s="3098">
        <f t="shared" si="55"/>
        <v>0</v>
      </c>
    </row>
    <row r="372" spans="1:19">
      <c r="A372" s="2571"/>
      <c r="B372" s="3107"/>
      <c r="C372" s="2407">
        <f t="shared" si="56"/>
        <v>1</v>
      </c>
      <c r="D372" s="3103"/>
      <c r="E372" s="2407">
        <f t="shared" si="57"/>
        <v>0</v>
      </c>
      <c r="F372" s="3103"/>
      <c r="G372" s="2407">
        <f t="shared" si="58"/>
        <v>1</v>
      </c>
      <c r="H372" s="3103"/>
      <c r="I372" s="2407">
        <f t="shared" si="59"/>
        <v>1</v>
      </c>
      <c r="J372" s="3103"/>
      <c r="K372" s="2407">
        <f t="shared" si="60"/>
        <v>1</v>
      </c>
      <c r="L372" s="3103"/>
      <c r="M372" s="2407">
        <f t="shared" si="61"/>
        <v>1</v>
      </c>
      <c r="N372" s="3103"/>
      <c r="O372" s="2407">
        <f t="shared" si="62"/>
        <v>1</v>
      </c>
      <c r="P372" s="3491"/>
      <c r="Q372" s="2407">
        <f t="shared" si="63"/>
        <v>0</v>
      </c>
      <c r="R372" s="2407">
        <f t="shared" si="64"/>
        <v>0</v>
      </c>
      <c r="S372" s="3098">
        <f t="shared" si="55"/>
        <v>0</v>
      </c>
    </row>
    <row r="373" spans="1:19">
      <c r="A373" s="2571"/>
      <c r="B373" s="3107"/>
      <c r="C373" s="2407">
        <f t="shared" si="56"/>
        <v>1</v>
      </c>
      <c r="D373" s="3103"/>
      <c r="E373" s="2407">
        <f t="shared" si="57"/>
        <v>0</v>
      </c>
      <c r="F373" s="3103"/>
      <c r="G373" s="2407">
        <f t="shared" si="58"/>
        <v>1</v>
      </c>
      <c r="H373" s="3103"/>
      <c r="I373" s="2407">
        <f t="shared" si="59"/>
        <v>1</v>
      </c>
      <c r="J373" s="3103"/>
      <c r="K373" s="2407">
        <f t="shared" si="60"/>
        <v>1</v>
      </c>
      <c r="L373" s="3103"/>
      <c r="M373" s="2407">
        <f t="shared" si="61"/>
        <v>1</v>
      </c>
      <c r="N373" s="3103"/>
      <c r="O373" s="2407">
        <f t="shared" si="62"/>
        <v>1</v>
      </c>
      <c r="P373" s="3491"/>
      <c r="Q373" s="2407">
        <f t="shared" si="63"/>
        <v>0</v>
      </c>
      <c r="R373" s="2407">
        <f t="shared" si="64"/>
        <v>0</v>
      </c>
      <c r="S373" s="3098">
        <f t="shared" si="55"/>
        <v>0</v>
      </c>
    </row>
    <row r="374" spans="1:19">
      <c r="A374" s="2571"/>
      <c r="B374" s="3107"/>
      <c r="C374" s="2407">
        <f t="shared" si="56"/>
        <v>1</v>
      </c>
      <c r="D374" s="3103"/>
      <c r="E374" s="2407">
        <f t="shared" si="57"/>
        <v>0</v>
      </c>
      <c r="F374" s="3103"/>
      <c r="G374" s="2407">
        <f t="shared" si="58"/>
        <v>1</v>
      </c>
      <c r="H374" s="3103"/>
      <c r="I374" s="2407">
        <f t="shared" si="59"/>
        <v>1</v>
      </c>
      <c r="J374" s="3103"/>
      <c r="K374" s="2407">
        <f t="shared" si="60"/>
        <v>1</v>
      </c>
      <c r="L374" s="3103"/>
      <c r="M374" s="2407">
        <f t="shared" si="61"/>
        <v>1</v>
      </c>
      <c r="N374" s="3103"/>
      <c r="O374" s="2407">
        <f t="shared" si="62"/>
        <v>1</v>
      </c>
      <c r="P374" s="3491"/>
      <c r="Q374" s="2407">
        <f t="shared" si="63"/>
        <v>0</v>
      </c>
      <c r="R374" s="2407">
        <f t="shared" si="64"/>
        <v>0</v>
      </c>
      <c r="S374" s="3098">
        <f t="shared" si="55"/>
        <v>0</v>
      </c>
    </row>
    <row r="375" spans="1:19">
      <c r="A375" s="2571"/>
      <c r="B375" s="3107"/>
      <c r="C375" s="2407">
        <f t="shared" si="56"/>
        <v>1</v>
      </c>
      <c r="D375" s="3103"/>
      <c r="E375" s="2407">
        <f t="shared" si="57"/>
        <v>0</v>
      </c>
      <c r="F375" s="3103"/>
      <c r="G375" s="2407">
        <f t="shared" si="58"/>
        <v>1</v>
      </c>
      <c r="H375" s="3103"/>
      <c r="I375" s="2407">
        <f t="shared" si="59"/>
        <v>1</v>
      </c>
      <c r="J375" s="3103"/>
      <c r="K375" s="2407">
        <f t="shared" si="60"/>
        <v>1</v>
      </c>
      <c r="L375" s="3103"/>
      <c r="M375" s="2407">
        <f t="shared" si="61"/>
        <v>1</v>
      </c>
      <c r="N375" s="3103"/>
      <c r="O375" s="2407">
        <f t="shared" si="62"/>
        <v>1</v>
      </c>
      <c r="P375" s="3491"/>
      <c r="Q375" s="2407">
        <f t="shared" si="63"/>
        <v>0</v>
      </c>
      <c r="R375" s="2407">
        <f t="shared" si="64"/>
        <v>0</v>
      </c>
      <c r="S375" s="3098">
        <f t="shared" si="55"/>
        <v>0</v>
      </c>
    </row>
    <row r="376" spans="1:19">
      <c r="A376" s="2571"/>
      <c r="B376" s="3107"/>
      <c r="C376" s="2407">
        <f t="shared" si="56"/>
        <v>1</v>
      </c>
      <c r="D376" s="3103"/>
      <c r="E376" s="2407">
        <f t="shared" si="57"/>
        <v>0</v>
      </c>
      <c r="F376" s="3103"/>
      <c r="G376" s="2407">
        <f t="shared" si="58"/>
        <v>1</v>
      </c>
      <c r="H376" s="3103"/>
      <c r="I376" s="2407">
        <f t="shared" si="59"/>
        <v>1</v>
      </c>
      <c r="J376" s="3103"/>
      <c r="K376" s="2407">
        <f t="shared" si="60"/>
        <v>1</v>
      </c>
      <c r="L376" s="3103"/>
      <c r="M376" s="2407">
        <f t="shared" si="61"/>
        <v>1</v>
      </c>
      <c r="N376" s="3103"/>
      <c r="O376" s="2407">
        <f t="shared" si="62"/>
        <v>1</v>
      </c>
      <c r="P376" s="3491"/>
      <c r="Q376" s="2407">
        <f t="shared" si="63"/>
        <v>0</v>
      </c>
      <c r="R376" s="2407">
        <f t="shared" si="64"/>
        <v>0</v>
      </c>
      <c r="S376" s="3098">
        <f t="shared" si="55"/>
        <v>0</v>
      </c>
    </row>
    <row r="377" spans="1:19">
      <c r="A377" s="2571"/>
      <c r="B377" s="3107"/>
      <c r="C377" s="2407">
        <f t="shared" si="56"/>
        <v>1</v>
      </c>
      <c r="D377" s="3103"/>
      <c r="E377" s="2407">
        <f t="shared" si="57"/>
        <v>0</v>
      </c>
      <c r="F377" s="3103"/>
      <c r="G377" s="2407">
        <f t="shared" si="58"/>
        <v>1</v>
      </c>
      <c r="H377" s="3103"/>
      <c r="I377" s="2407">
        <f t="shared" si="59"/>
        <v>1</v>
      </c>
      <c r="J377" s="3103"/>
      <c r="K377" s="2407">
        <f t="shared" si="60"/>
        <v>1</v>
      </c>
      <c r="L377" s="3103"/>
      <c r="M377" s="2407">
        <f t="shared" si="61"/>
        <v>1</v>
      </c>
      <c r="N377" s="3103"/>
      <c r="O377" s="2407">
        <f t="shared" si="62"/>
        <v>1</v>
      </c>
      <c r="P377" s="3491"/>
      <c r="Q377" s="2407">
        <f t="shared" si="63"/>
        <v>0</v>
      </c>
      <c r="R377" s="2407">
        <f t="shared" si="64"/>
        <v>0</v>
      </c>
      <c r="S377" s="3098">
        <f t="shared" si="55"/>
        <v>0</v>
      </c>
    </row>
    <row r="378" spans="1:19">
      <c r="A378" s="2571"/>
      <c r="B378" s="3107"/>
      <c r="C378" s="2407">
        <f t="shared" si="56"/>
        <v>1</v>
      </c>
      <c r="D378" s="3103"/>
      <c r="E378" s="2407">
        <f t="shared" si="57"/>
        <v>0</v>
      </c>
      <c r="F378" s="3103"/>
      <c r="G378" s="2407">
        <f t="shared" si="58"/>
        <v>1</v>
      </c>
      <c r="H378" s="3103"/>
      <c r="I378" s="2407">
        <f t="shared" si="59"/>
        <v>1</v>
      </c>
      <c r="J378" s="3103"/>
      <c r="K378" s="2407">
        <f t="shared" si="60"/>
        <v>1</v>
      </c>
      <c r="L378" s="3103"/>
      <c r="M378" s="2407">
        <f t="shared" si="61"/>
        <v>1</v>
      </c>
      <c r="N378" s="3103"/>
      <c r="O378" s="2407">
        <f t="shared" si="62"/>
        <v>1</v>
      </c>
      <c r="P378" s="3491"/>
      <c r="Q378" s="2407">
        <f t="shared" si="63"/>
        <v>0</v>
      </c>
      <c r="R378" s="2407">
        <f t="shared" si="64"/>
        <v>0</v>
      </c>
      <c r="S378" s="3098">
        <f t="shared" si="55"/>
        <v>0</v>
      </c>
    </row>
    <row r="379" spans="1:19">
      <c r="A379" s="2571"/>
      <c r="B379" s="3107"/>
      <c r="C379" s="2407">
        <f t="shared" si="56"/>
        <v>1</v>
      </c>
      <c r="D379" s="3103"/>
      <c r="E379" s="2407">
        <f t="shared" si="57"/>
        <v>0</v>
      </c>
      <c r="F379" s="3103"/>
      <c r="G379" s="2407">
        <f t="shared" si="58"/>
        <v>1</v>
      </c>
      <c r="H379" s="3103"/>
      <c r="I379" s="2407">
        <f t="shared" si="59"/>
        <v>1</v>
      </c>
      <c r="J379" s="3103"/>
      <c r="K379" s="2407">
        <f t="shared" si="60"/>
        <v>1</v>
      </c>
      <c r="L379" s="3103"/>
      <c r="M379" s="2407">
        <f t="shared" si="61"/>
        <v>1</v>
      </c>
      <c r="N379" s="3103"/>
      <c r="O379" s="2407">
        <f t="shared" si="62"/>
        <v>1</v>
      </c>
      <c r="P379" s="3491"/>
      <c r="Q379" s="2407">
        <f t="shared" si="63"/>
        <v>0</v>
      </c>
      <c r="R379" s="2407">
        <f t="shared" si="64"/>
        <v>0</v>
      </c>
      <c r="S379" s="3098">
        <f t="shared" si="55"/>
        <v>0</v>
      </c>
    </row>
    <row r="380" spans="1:19">
      <c r="A380" s="2571"/>
      <c r="B380" s="3107"/>
      <c r="C380" s="2407">
        <f t="shared" si="56"/>
        <v>1</v>
      </c>
      <c r="D380" s="3103"/>
      <c r="E380" s="2407">
        <f t="shared" si="57"/>
        <v>0</v>
      </c>
      <c r="F380" s="3103"/>
      <c r="G380" s="2407">
        <f t="shared" si="58"/>
        <v>1</v>
      </c>
      <c r="H380" s="3103"/>
      <c r="I380" s="2407">
        <f t="shared" si="59"/>
        <v>1</v>
      </c>
      <c r="J380" s="3103"/>
      <c r="K380" s="2407">
        <f t="shared" si="60"/>
        <v>1</v>
      </c>
      <c r="L380" s="3103"/>
      <c r="M380" s="2407">
        <f t="shared" si="61"/>
        <v>1</v>
      </c>
      <c r="N380" s="3103"/>
      <c r="O380" s="2407">
        <f t="shared" si="62"/>
        <v>1</v>
      </c>
      <c r="P380" s="3491"/>
      <c r="Q380" s="2407">
        <f t="shared" si="63"/>
        <v>0</v>
      </c>
      <c r="R380" s="2407">
        <f t="shared" si="64"/>
        <v>0</v>
      </c>
      <c r="S380" s="3098">
        <f t="shared" si="55"/>
        <v>0</v>
      </c>
    </row>
    <row r="381" spans="1:19">
      <c r="A381" s="2571"/>
      <c r="B381" s="3107"/>
      <c r="C381" s="2407">
        <f t="shared" si="56"/>
        <v>1</v>
      </c>
      <c r="D381" s="3103"/>
      <c r="E381" s="2407">
        <f t="shared" si="57"/>
        <v>0</v>
      </c>
      <c r="F381" s="3103"/>
      <c r="G381" s="2407">
        <f t="shared" si="58"/>
        <v>1</v>
      </c>
      <c r="H381" s="3103"/>
      <c r="I381" s="2407">
        <f t="shared" si="59"/>
        <v>1</v>
      </c>
      <c r="J381" s="3103"/>
      <c r="K381" s="2407">
        <f t="shared" si="60"/>
        <v>1</v>
      </c>
      <c r="L381" s="3103"/>
      <c r="M381" s="2407">
        <f t="shared" si="61"/>
        <v>1</v>
      </c>
      <c r="N381" s="3103"/>
      <c r="O381" s="2407">
        <f t="shared" si="62"/>
        <v>1</v>
      </c>
      <c r="P381" s="3491"/>
      <c r="Q381" s="2407">
        <f t="shared" si="63"/>
        <v>0</v>
      </c>
      <c r="R381" s="2407">
        <f t="shared" si="64"/>
        <v>0</v>
      </c>
      <c r="S381" s="3098">
        <f t="shared" si="55"/>
        <v>0</v>
      </c>
    </row>
    <row r="382" spans="1:19">
      <c r="A382" s="2571"/>
      <c r="B382" s="3107"/>
      <c r="C382" s="2407">
        <f t="shared" si="56"/>
        <v>1</v>
      </c>
      <c r="D382" s="3103"/>
      <c r="E382" s="2407">
        <f t="shared" si="57"/>
        <v>0</v>
      </c>
      <c r="F382" s="3103"/>
      <c r="G382" s="2407">
        <f t="shared" si="58"/>
        <v>1</v>
      </c>
      <c r="H382" s="3103"/>
      <c r="I382" s="2407">
        <f t="shared" si="59"/>
        <v>1</v>
      </c>
      <c r="J382" s="3103"/>
      <c r="K382" s="2407">
        <f t="shared" si="60"/>
        <v>1</v>
      </c>
      <c r="L382" s="3103"/>
      <c r="M382" s="2407">
        <f t="shared" si="61"/>
        <v>1</v>
      </c>
      <c r="N382" s="3103"/>
      <c r="O382" s="2407">
        <f t="shared" si="62"/>
        <v>1</v>
      </c>
      <c r="P382" s="3491"/>
      <c r="Q382" s="2407">
        <f t="shared" si="63"/>
        <v>0</v>
      </c>
      <c r="R382" s="2407">
        <f t="shared" si="64"/>
        <v>0</v>
      </c>
      <c r="S382" s="3098">
        <f t="shared" si="55"/>
        <v>0</v>
      </c>
    </row>
    <row r="383" spans="1:19">
      <c r="A383" s="2571"/>
      <c r="B383" s="3107"/>
      <c r="C383" s="2407">
        <f t="shared" si="56"/>
        <v>1</v>
      </c>
      <c r="D383" s="3103"/>
      <c r="E383" s="2407">
        <f t="shared" si="57"/>
        <v>0</v>
      </c>
      <c r="F383" s="3103"/>
      <c r="G383" s="2407">
        <f t="shared" si="58"/>
        <v>1</v>
      </c>
      <c r="H383" s="3103"/>
      <c r="I383" s="2407">
        <f t="shared" si="59"/>
        <v>1</v>
      </c>
      <c r="J383" s="3103"/>
      <c r="K383" s="2407">
        <f t="shared" si="60"/>
        <v>1</v>
      </c>
      <c r="L383" s="3103"/>
      <c r="M383" s="2407">
        <f t="shared" si="61"/>
        <v>1</v>
      </c>
      <c r="N383" s="3103"/>
      <c r="O383" s="2407">
        <f t="shared" si="62"/>
        <v>1</v>
      </c>
      <c r="P383" s="3491"/>
      <c r="Q383" s="2407">
        <f t="shared" si="63"/>
        <v>0</v>
      </c>
      <c r="R383" s="2407">
        <f t="shared" si="64"/>
        <v>0</v>
      </c>
      <c r="S383" s="3098">
        <f t="shared" si="55"/>
        <v>0</v>
      </c>
    </row>
    <row r="384" spans="1:19">
      <c r="A384" s="2571"/>
      <c r="B384" s="3107"/>
      <c r="C384" s="2407">
        <f t="shared" si="56"/>
        <v>1</v>
      </c>
      <c r="D384" s="3103"/>
      <c r="E384" s="2407">
        <f t="shared" si="57"/>
        <v>0</v>
      </c>
      <c r="F384" s="3103"/>
      <c r="G384" s="2407">
        <f t="shared" si="58"/>
        <v>1</v>
      </c>
      <c r="H384" s="3103"/>
      <c r="I384" s="2407">
        <f t="shared" si="59"/>
        <v>1</v>
      </c>
      <c r="J384" s="3103"/>
      <c r="K384" s="2407">
        <f t="shared" si="60"/>
        <v>1</v>
      </c>
      <c r="L384" s="3103"/>
      <c r="M384" s="2407">
        <f t="shared" si="61"/>
        <v>1</v>
      </c>
      <c r="N384" s="3103"/>
      <c r="O384" s="2407">
        <f t="shared" si="62"/>
        <v>1</v>
      </c>
      <c r="P384" s="3491"/>
      <c r="Q384" s="2407">
        <f t="shared" si="63"/>
        <v>0</v>
      </c>
      <c r="R384" s="2407">
        <f t="shared" si="64"/>
        <v>0</v>
      </c>
      <c r="S384" s="3098">
        <f t="shared" si="55"/>
        <v>0</v>
      </c>
    </row>
    <row r="385" spans="1:19">
      <c r="A385" s="2571"/>
      <c r="B385" s="3107"/>
      <c r="C385" s="2407">
        <f t="shared" si="56"/>
        <v>1</v>
      </c>
      <c r="D385" s="3103"/>
      <c r="E385" s="2407">
        <f t="shared" si="57"/>
        <v>0</v>
      </c>
      <c r="F385" s="3103"/>
      <c r="G385" s="2407">
        <f t="shared" si="58"/>
        <v>1</v>
      </c>
      <c r="H385" s="3103"/>
      <c r="I385" s="2407">
        <f t="shared" si="59"/>
        <v>1</v>
      </c>
      <c r="J385" s="3103"/>
      <c r="K385" s="2407">
        <f t="shared" si="60"/>
        <v>1</v>
      </c>
      <c r="L385" s="3103"/>
      <c r="M385" s="2407">
        <f t="shared" si="61"/>
        <v>1</v>
      </c>
      <c r="N385" s="3103"/>
      <c r="O385" s="2407">
        <f t="shared" si="62"/>
        <v>1</v>
      </c>
      <c r="P385" s="3491"/>
      <c r="Q385" s="2407">
        <f t="shared" si="63"/>
        <v>0</v>
      </c>
      <c r="R385" s="2407">
        <f t="shared" si="64"/>
        <v>0</v>
      </c>
      <c r="S385" s="3098">
        <f t="shared" si="55"/>
        <v>0</v>
      </c>
    </row>
    <row r="386" spans="1:19">
      <c r="A386" s="2571"/>
      <c r="B386" s="3107"/>
      <c r="C386" s="2407">
        <f t="shared" si="56"/>
        <v>1</v>
      </c>
      <c r="D386" s="3103"/>
      <c r="E386" s="2407">
        <f t="shared" si="57"/>
        <v>0</v>
      </c>
      <c r="F386" s="3103"/>
      <c r="G386" s="2407">
        <f t="shared" si="58"/>
        <v>1</v>
      </c>
      <c r="H386" s="3103"/>
      <c r="I386" s="2407">
        <f t="shared" si="59"/>
        <v>1</v>
      </c>
      <c r="J386" s="3103"/>
      <c r="K386" s="2407">
        <f t="shared" si="60"/>
        <v>1</v>
      </c>
      <c r="L386" s="3103"/>
      <c r="M386" s="2407">
        <f t="shared" si="61"/>
        <v>1</v>
      </c>
      <c r="N386" s="3103"/>
      <c r="O386" s="2407">
        <f t="shared" si="62"/>
        <v>1</v>
      </c>
      <c r="P386" s="3491"/>
      <c r="Q386" s="2407">
        <f t="shared" si="63"/>
        <v>0</v>
      </c>
      <c r="R386" s="2407">
        <f t="shared" si="64"/>
        <v>0</v>
      </c>
      <c r="S386" s="3098">
        <f t="shared" si="55"/>
        <v>0</v>
      </c>
    </row>
    <row r="387" spans="1:19">
      <c r="A387" s="2571"/>
      <c r="B387" s="3107"/>
      <c r="C387" s="2407">
        <f t="shared" si="56"/>
        <v>1</v>
      </c>
      <c r="D387" s="3103"/>
      <c r="E387" s="2407">
        <f t="shared" si="57"/>
        <v>0</v>
      </c>
      <c r="F387" s="3103"/>
      <c r="G387" s="2407">
        <f t="shared" si="58"/>
        <v>1</v>
      </c>
      <c r="H387" s="3103"/>
      <c r="I387" s="2407">
        <f t="shared" si="59"/>
        <v>1</v>
      </c>
      <c r="J387" s="3103"/>
      <c r="K387" s="2407">
        <f t="shared" si="60"/>
        <v>1</v>
      </c>
      <c r="L387" s="3103"/>
      <c r="M387" s="2407">
        <f t="shared" si="61"/>
        <v>1</v>
      </c>
      <c r="N387" s="3103"/>
      <c r="O387" s="2407">
        <f t="shared" si="62"/>
        <v>1</v>
      </c>
      <c r="P387" s="3491"/>
      <c r="Q387" s="2407">
        <f t="shared" si="63"/>
        <v>0</v>
      </c>
      <c r="R387" s="2407">
        <f t="shared" si="64"/>
        <v>0</v>
      </c>
      <c r="S387" s="3098">
        <f t="shared" si="55"/>
        <v>0</v>
      </c>
    </row>
    <row r="388" spans="1:19">
      <c r="A388" s="2571"/>
      <c r="B388" s="3107"/>
      <c r="C388" s="2407">
        <f t="shared" si="56"/>
        <v>1</v>
      </c>
      <c r="D388" s="3103"/>
      <c r="E388" s="2407">
        <f t="shared" si="57"/>
        <v>0</v>
      </c>
      <c r="F388" s="3103"/>
      <c r="G388" s="2407">
        <f t="shared" si="58"/>
        <v>1</v>
      </c>
      <c r="H388" s="3103"/>
      <c r="I388" s="2407">
        <f t="shared" si="59"/>
        <v>1</v>
      </c>
      <c r="J388" s="3103"/>
      <c r="K388" s="2407">
        <f t="shared" si="60"/>
        <v>1</v>
      </c>
      <c r="L388" s="3103"/>
      <c r="M388" s="2407">
        <f t="shared" si="61"/>
        <v>1</v>
      </c>
      <c r="N388" s="3103"/>
      <c r="O388" s="2407">
        <f t="shared" si="62"/>
        <v>1</v>
      </c>
      <c r="P388" s="3491"/>
      <c r="Q388" s="2407">
        <f t="shared" si="63"/>
        <v>0</v>
      </c>
      <c r="R388" s="2407">
        <f t="shared" si="64"/>
        <v>0</v>
      </c>
      <c r="S388" s="3098">
        <f t="shared" si="55"/>
        <v>0</v>
      </c>
    </row>
    <row r="389" spans="1:19">
      <c r="A389" s="2571"/>
      <c r="B389" s="3107"/>
      <c r="C389" s="2407">
        <f t="shared" si="56"/>
        <v>1</v>
      </c>
      <c r="D389" s="3103"/>
      <c r="E389" s="2407">
        <f t="shared" si="57"/>
        <v>0</v>
      </c>
      <c r="F389" s="3103"/>
      <c r="G389" s="2407">
        <f t="shared" si="58"/>
        <v>1</v>
      </c>
      <c r="H389" s="3103"/>
      <c r="I389" s="2407">
        <f t="shared" si="59"/>
        <v>1</v>
      </c>
      <c r="J389" s="3103"/>
      <c r="K389" s="2407">
        <f t="shared" si="60"/>
        <v>1</v>
      </c>
      <c r="L389" s="3103"/>
      <c r="M389" s="2407">
        <f t="shared" si="61"/>
        <v>1</v>
      </c>
      <c r="N389" s="3103"/>
      <c r="O389" s="2407">
        <f t="shared" si="62"/>
        <v>1</v>
      </c>
      <c r="P389" s="3491"/>
      <c r="Q389" s="2407">
        <f t="shared" si="63"/>
        <v>0</v>
      </c>
      <c r="R389" s="2407">
        <f t="shared" si="64"/>
        <v>0</v>
      </c>
      <c r="S389" s="3098">
        <f t="shared" si="55"/>
        <v>0</v>
      </c>
    </row>
    <row r="390" spans="1:19">
      <c r="A390" s="2571"/>
      <c r="B390" s="3107"/>
      <c r="C390" s="2407">
        <f t="shared" si="56"/>
        <v>1</v>
      </c>
      <c r="D390" s="3103"/>
      <c r="E390" s="2407">
        <f t="shared" si="57"/>
        <v>0</v>
      </c>
      <c r="F390" s="3103"/>
      <c r="G390" s="2407">
        <f t="shared" si="58"/>
        <v>1</v>
      </c>
      <c r="H390" s="3103"/>
      <c r="I390" s="2407">
        <f t="shared" si="59"/>
        <v>1</v>
      </c>
      <c r="J390" s="3103"/>
      <c r="K390" s="2407">
        <f t="shared" si="60"/>
        <v>1</v>
      </c>
      <c r="L390" s="3103"/>
      <c r="M390" s="2407">
        <f t="shared" si="61"/>
        <v>1</v>
      </c>
      <c r="N390" s="3103"/>
      <c r="O390" s="2407">
        <f t="shared" si="62"/>
        <v>1</v>
      </c>
      <c r="P390" s="3491"/>
      <c r="Q390" s="2407">
        <f t="shared" si="63"/>
        <v>0</v>
      </c>
      <c r="R390" s="2407">
        <f t="shared" si="64"/>
        <v>0</v>
      </c>
      <c r="S390" s="3098">
        <f t="shared" si="55"/>
        <v>0</v>
      </c>
    </row>
    <row r="391" spans="1:19">
      <c r="A391" s="2571"/>
      <c r="B391" s="3107"/>
      <c r="C391" s="2407">
        <f t="shared" si="56"/>
        <v>1</v>
      </c>
      <c r="D391" s="3103"/>
      <c r="E391" s="2407">
        <f t="shared" si="57"/>
        <v>0</v>
      </c>
      <c r="F391" s="3103"/>
      <c r="G391" s="2407">
        <f t="shared" si="58"/>
        <v>1</v>
      </c>
      <c r="H391" s="3103"/>
      <c r="I391" s="2407">
        <f t="shared" si="59"/>
        <v>1</v>
      </c>
      <c r="J391" s="3103"/>
      <c r="K391" s="2407">
        <f t="shared" si="60"/>
        <v>1</v>
      </c>
      <c r="L391" s="3103"/>
      <c r="M391" s="2407">
        <f t="shared" si="61"/>
        <v>1</v>
      </c>
      <c r="N391" s="3103"/>
      <c r="O391" s="2407">
        <f t="shared" si="62"/>
        <v>1</v>
      </c>
      <c r="P391" s="3491"/>
      <c r="Q391" s="2407">
        <f t="shared" si="63"/>
        <v>0</v>
      </c>
      <c r="R391" s="2407">
        <f t="shared" si="64"/>
        <v>0</v>
      </c>
      <c r="S391" s="3098">
        <f t="shared" si="55"/>
        <v>0</v>
      </c>
    </row>
    <row r="392" spans="1:19">
      <c r="A392" s="2571"/>
      <c r="B392" s="3107"/>
      <c r="C392" s="2407">
        <f t="shared" si="56"/>
        <v>1</v>
      </c>
      <c r="D392" s="3103"/>
      <c r="E392" s="2407">
        <f t="shared" si="57"/>
        <v>0</v>
      </c>
      <c r="F392" s="3103"/>
      <c r="G392" s="2407">
        <f t="shared" si="58"/>
        <v>1</v>
      </c>
      <c r="H392" s="3103"/>
      <c r="I392" s="2407">
        <f t="shared" si="59"/>
        <v>1</v>
      </c>
      <c r="J392" s="3103"/>
      <c r="K392" s="2407">
        <f t="shared" si="60"/>
        <v>1</v>
      </c>
      <c r="L392" s="3103"/>
      <c r="M392" s="2407">
        <f t="shared" si="61"/>
        <v>1</v>
      </c>
      <c r="N392" s="3103"/>
      <c r="O392" s="2407">
        <f t="shared" si="62"/>
        <v>1</v>
      </c>
      <c r="P392" s="3491"/>
      <c r="Q392" s="2407">
        <f t="shared" si="63"/>
        <v>0</v>
      </c>
      <c r="R392" s="2407">
        <f t="shared" si="64"/>
        <v>0</v>
      </c>
      <c r="S392" s="3098">
        <f t="shared" si="55"/>
        <v>0</v>
      </c>
    </row>
    <row r="393" spans="1:19">
      <c r="A393" s="2571"/>
      <c r="B393" s="3107"/>
      <c r="C393" s="2407">
        <f t="shared" si="56"/>
        <v>1</v>
      </c>
      <c r="D393" s="3103"/>
      <c r="E393" s="2407">
        <f t="shared" si="57"/>
        <v>0</v>
      </c>
      <c r="F393" s="3103"/>
      <c r="G393" s="2407">
        <f t="shared" si="58"/>
        <v>1</v>
      </c>
      <c r="H393" s="3103"/>
      <c r="I393" s="2407">
        <f t="shared" si="59"/>
        <v>1</v>
      </c>
      <c r="J393" s="3103"/>
      <c r="K393" s="2407">
        <f t="shared" si="60"/>
        <v>1</v>
      </c>
      <c r="L393" s="3103"/>
      <c r="M393" s="2407">
        <f t="shared" si="61"/>
        <v>1</v>
      </c>
      <c r="N393" s="3103"/>
      <c r="O393" s="2407">
        <f t="shared" si="62"/>
        <v>1</v>
      </c>
      <c r="P393" s="3491"/>
      <c r="Q393" s="2407">
        <f t="shared" si="63"/>
        <v>0</v>
      </c>
      <c r="R393" s="2407">
        <f t="shared" si="64"/>
        <v>0</v>
      </c>
      <c r="S393" s="3098">
        <f t="shared" si="55"/>
        <v>0</v>
      </c>
    </row>
    <row r="394" spans="1:19">
      <c r="A394" s="2571"/>
      <c r="B394" s="3107"/>
      <c r="C394" s="2407">
        <f t="shared" si="56"/>
        <v>1</v>
      </c>
      <c r="D394" s="3103"/>
      <c r="E394" s="2407">
        <f t="shared" si="57"/>
        <v>0</v>
      </c>
      <c r="F394" s="3103"/>
      <c r="G394" s="2407">
        <f t="shared" si="58"/>
        <v>1</v>
      </c>
      <c r="H394" s="3103"/>
      <c r="I394" s="2407">
        <f t="shared" si="59"/>
        <v>1</v>
      </c>
      <c r="J394" s="3103"/>
      <c r="K394" s="2407">
        <f t="shared" si="60"/>
        <v>1</v>
      </c>
      <c r="L394" s="3103"/>
      <c r="M394" s="2407">
        <f t="shared" si="61"/>
        <v>1</v>
      </c>
      <c r="N394" s="3103"/>
      <c r="O394" s="2407">
        <f t="shared" si="62"/>
        <v>1</v>
      </c>
      <c r="P394" s="3491"/>
      <c r="Q394" s="2407">
        <f t="shared" si="63"/>
        <v>0</v>
      </c>
      <c r="R394" s="2407">
        <f t="shared" si="64"/>
        <v>0</v>
      </c>
      <c r="S394" s="3098">
        <f t="shared" si="55"/>
        <v>0</v>
      </c>
    </row>
    <row r="395" spans="1:19">
      <c r="A395" s="2571"/>
      <c r="B395" s="3107"/>
      <c r="C395" s="2407">
        <f t="shared" si="56"/>
        <v>1</v>
      </c>
      <c r="D395" s="3103"/>
      <c r="E395" s="2407">
        <f t="shared" si="57"/>
        <v>0</v>
      </c>
      <c r="F395" s="3103"/>
      <c r="G395" s="2407">
        <f t="shared" si="58"/>
        <v>1</v>
      </c>
      <c r="H395" s="3103"/>
      <c r="I395" s="2407">
        <f t="shared" si="59"/>
        <v>1</v>
      </c>
      <c r="J395" s="3103"/>
      <c r="K395" s="2407">
        <f t="shared" si="60"/>
        <v>1</v>
      </c>
      <c r="L395" s="3103"/>
      <c r="M395" s="2407">
        <f t="shared" si="61"/>
        <v>1</v>
      </c>
      <c r="N395" s="3103"/>
      <c r="O395" s="2407">
        <f t="shared" si="62"/>
        <v>1</v>
      </c>
      <c r="P395" s="3491"/>
      <c r="Q395" s="2407">
        <f t="shared" si="63"/>
        <v>0</v>
      </c>
      <c r="R395" s="2407">
        <f t="shared" si="64"/>
        <v>0</v>
      </c>
      <c r="S395" s="3098">
        <f t="shared" si="55"/>
        <v>0</v>
      </c>
    </row>
    <row r="396" spans="1:19">
      <c r="A396" s="2571"/>
      <c r="B396" s="3107"/>
      <c r="C396" s="2407">
        <f t="shared" si="56"/>
        <v>1</v>
      </c>
      <c r="D396" s="3103"/>
      <c r="E396" s="2407">
        <f t="shared" si="57"/>
        <v>0</v>
      </c>
      <c r="F396" s="3103"/>
      <c r="G396" s="2407">
        <f t="shared" si="58"/>
        <v>1</v>
      </c>
      <c r="H396" s="3103"/>
      <c r="I396" s="2407">
        <f t="shared" si="59"/>
        <v>1</v>
      </c>
      <c r="J396" s="3103"/>
      <c r="K396" s="2407">
        <f t="shared" si="60"/>
        <v>1</v>
      </c>
      <c r="L396" s="3103"/>
      <c r="M396" s="2407">
        <f t="shared" si="61"/>
        <v>1</v>
      </c>
      <c r="N396" s="3103"/>
      <c r="O396" s="2407">
        <f t="shared" si="62"/>
        <v>1</v>
      </c>
      <c r="P396" s="3491"/>
      <c r="Q396" s="2407">
        <f t="shared" si="63"/>
        <v>0</v>
      </c>
      <c r="R396" s="2407">
        <f t="shared" si="64"/>
        <v>0</v>
      </c>
      <c r="S396" s="3098">
        <f t="shared" si="55"/>
        <v>0</v>
      </c>
    </row>
    <row r="397" spans="1:19">
      <c r="A397" s="2571"/>
      <c r="B397" s="3107"/>
      <c r="C397" s="2407">
        <f t="shared" si="56"/>
        <v>1</v>
      </c>
      <c r="D397" s="3103"/>
      <c r="E397" s="2407">
        <f t="shared" si="57"/>
        <v>0</v>
      </c>
      <c r="F397" s="3103"/>
      <c r="G397" s="2407">
        <f t="shared" si="58"/>
        <v>1</v>
      </c>
      <c r="H397" s="3103"/>
      <c r="I397" s="2407">
        <f t="shared" si="59"/>
        <v>1</v>
      </c>
      <c r="J397" s="3103"/>
      <c r="K397" s="2407">
        <f t="shared" si="60"/>
        <v>1</v>
      </c>
      <c r="L397" s="3103"/>
      <c r="M397" s="2407">
        <f t="shared" si="61"/>
        <v>1</v>
      </c>
      <c r="N397" s="3103"/>
      <c r="O397" s="2407">
        <f t="shared" si="62"/>
        <v>1</v>
      </c>
      <c r="P397" s="3491"/>
      <c r="Q397" s="2407">
        <f t="shared" si="63"/>
        <v>0</v>
      </c>
      <c r="R397" s="2407">
        <f t="shared" si="64"/>
        <v>0</v>
      </c>
      <c r="S397" s="3098">
        <f t="shared" si="55"/>
        <v>0</v>
      </c>
    </row>
    <row r="398" spans="1:19">
      <c r="A398" s="2571"/>
      <c r="B398" s="3107"/>
      <c r="C398" s="2407">
        <f t="shared" si="56"/>
        <v>1</v>
      </c>
      <c r="D398" s="3103"/>
      <c r="E398" s="2407">
        <f t="shared" si="57"/>
        <v>0</v>
      </c>
      <c r="F398" s="3103"/>
      <c r="G398" s="2407">
        <f t="shared" si="58"/>
        <v>1</v>
      </c>
      <c r="H398" s="3103"/>
      <c r="I398" s="2407">
        <f t="shared" si="59"/>
        <v>1</v>
      </c>
      <c r="J398" s="3103"/>
      <c r="K398" s="2407">
        <f t="shared" si="60"/>
        <v>1</v>
      </c>
      <c r="L398" s="3103"/>
      <c r="M398" s="2407">
        <f t="shared" si="61"/>
        <v>1</v>
      </c>
      <c r="N398" s="3103"/>
      <c r="O398" s="2407">
        <f t="shared" si="62"/>
        <v>1</v>
      </c>
      <c r="P398" s="3491"/>
      <c r="Q398" s="2407">
        <f t="shared" si="63"/>
        <v>0</v>
      </c>
      <c r="R398" s="2407">
        <f t="shared" si="64"/>
        <v>0</v>
      </c>
      <c r="S398" s="3098">
        <f t="shared" si="55"/>
        <v>0</v>
      </c>
    </row>
    <row r="399" spans="1:19">
      <c r="A399" s="2571"/>
      <c r="B399" s="3107"/>
      <c r="C399" s="2407">
        <f t="shared" si="56"/>
        <v>1</v>
      </c>
      <c r="D399" s="3103"/>
      <c r="E399" s="2407">
        <f t="shared" si="57"/>
        <v>0</v>
      </c>
      <c r="F399" s="3103"/>
      <c r="G399" s="2407">
        <f t="shared" si="58"/>
        <v>1</v>
      </c>
      <c r="H399" s="3103"/>
      <c r="I399" s="2407">
        <f t="shared" si="59"/>
        <v>1</v>
      </c>
      <c r="J399" s="3103"/>
      <c r="K399" s="2407">
        <f t="shared" si="60"/>
        <v>1</v>
      </c>
      <c r="L399" s="3103"/>
      <c r="M399" s="2407">
        <f t="shared" si="61"/>
        <v>1</v>
      </c>
      <c r="N399" s="3103"/>
      <c r="O399" s="2407">
        <f t="shared" si="62"/>
        <v>1</v>
      </c>
      <c r="P399" s="3491"/>
      <c r="Q399" s="2407">
        <f t="shared" si="63"/>
        <v>0</v>
      </c>
      <c r="R399" s="2407">
        <f t="shared" si="64"/>
        <v>0</v>
      </c>
      <c r="S399" s="3098">
        <f t="shared" si="55"/>
        <v>0</v>
      </c>
    </row>
    <row r="400" spans="1:19">
      <c r="A400" s="2571"/>
      <c r="B400" s="3107"/>
      <c r="C400" s="2407">
        <f t="shared" si="56"/>
        <v>1</v>
      </c>
      <c r="D400" s="3103"/>
      <c r="E400" s="2407">
        <f t="shared" si="57"/>
        <v>0</v>
      </c>
      <c r="F400" s="3103"/>
      <c r="G400" s="2407">
        <f t="shared" si="58"/>
        <v>1</v>
      </c>
      <c r="H400" s="3103"/>
      <c r="I400" s="2407">
        <f t="shared" si="59"/>
        <v>1</v>
      </c>
      <c r="J400" s="3103"/>
      <c r="K400" s="2407">
        <f t="shared" si="60"/>
        <v>1</v>
      </c>
      <c r="L400" s="3103"/>
      <c r="M400" s="2407">
        <f t="shared" si="61"/>
        <v>1</v>
      </c>
      <c r="N400" s="3103"/>
      <c r="O400" s="2407">
        <f t="shared" si="62"/>
        <v>1</v>
      </c>
      <c r="P400" s="3491"/>
      <c r="Q400" s="2407">
        <f t="shared" si="63"/>
        <v>0</v>
      </c>
      <c r="R400" s="2407">
        <f t="shared" si="64"/>
        <v>0</v>
      </c>
      <c r="S400" s="3098">
        <f t="shared" si="55"/>
        <v>0</v>
      </c>
    </row>
    <row r="401" spans="1:19">
      <c r="A401" s="2571"/>
      <c r="B401" s="3107"/>
      <c r="C401" s="2407">
        <f t="shared" si="56"/>
        <v>1</v>
      </c>
      <c r="D401" s="3103"/>
      <c r="E401" s="2407">
        <f t="shared" si="57"/>
        <v>0</v>
      </c>
      <c r="F401" s="3103"/>
      <c r="G401" s="2407">
        <f t="shared" si="58"/>
        <v>1</v>
      </c>
      <c r="H401" s="3103"/>
      <c r="I401" s="2407">
        <f t="shared" si="59"/>
        <v>1</v>
      </c>
      <c r="J401" s="3103"/>
      <c r="K401" s="2407">
        <f t="shared" si="60"/>
        <v>1</v>
      </c>
      <c r="L401" s="3103"/>
      <c r="M401" s="2407">
        <f t="shared" si="61"/>
        <v>1</v>
      </c>
      <c r="N401" s="3103"/>
      <c r="O401" s="2407">
        <f t="shared" si="62"/>
        <v>1</v>
      </c>
      <c r="P401" s="3491"/>
      <c r="Q401" s="2407">
        <f t="shared" si="63"/>
        <v>0</v>
      </c>
      <c r="R401" s="2407">
        <f t="shared" si="64"/>
        <v>0</v>
      </c>
      <c r="S401" s="3098">
        <f t="shared" si="55"/>
        <v>0</v>
      </c>
    </row>
    <row r="402" spans="1:19">
      <c r="A402" s="2571"/>
      <c r="B402" s="3107"/>
      <c r="C402" s="2407">
        <f t="shared" si="56"/>
        <v>1</v>
      </c>
      <c r="D402" s="3103"/>
      <c r="E402" s="2407">
        <f t="shared" si="57"/>
        <v>0</v>
      </c>
      <c r="F402" s="3103"/>
      <c r="G402" s="2407">
        <f t="shared" si="58"/>
        <v>1</v>
      </c>
      <c r="H402" s="3103"/>
      <c r="I402" s="2407">
        <f t="shared" si="59"/>
        <v>1</v>
      </c>
      <c r="J402" s="3103"/>
      <c r="K402" s="2407">
        <f t="shared" si="60"/>
        <v>1</v>
      </c>
      <c r="L402" s="3103"/>
      <c r="M402" s="2407">
        <f t="shared" si="61"/>
        <v>1</v>
      </c>
      <c r="N402" s="3103"/>
      <c r="O402" s="2407">
        <f t="shared" si="62"/>
        <v>1</v>
      </c>
      <c r="P402" s="3491"/>
      <c r="Q402" s="2407">
        <f t="shared" si="63"/>
        <v>0</v>
      </c>
      <c r="R402" s="2407">
        <f t="shared" si="64"/>
        <v>0</v>
      </c>
      <c r="S402" s="3098">
        <f t="shared" si="55"/>
        <v>0</v>
      </c>
    </row>
    <row r="403" spans="1:19">
      <c r="A403" s="2571"/>
      <c r="B403" s="3107"/>
      <c r="C403" s="2407">
        <f t="shared" si="56"/>
        <v>1</v>
      </c>
      <c r="D403" s="3103"/>
      <c r="E403" s="2407">
        <f t="shared" si="57"/>
        <v>0</v>
      </c>
      <c r="F403" s="3103"/>
      <c r="G403" s="2407">
        <f t="shared" si="58"/>
        <v>1</v>
      </c>
      <c r="H403" s="3103"/>
      <c r="I403" s="2407">
        <f t="shared" si="59"/>
        <v>1</v>
      </c>
      <c r="J403" s="3103"/>
      <c r="K403" s="2407">
        <f t="shared" si="60"/>
        <v>1</v>
      </c>
      <c r="L403" s="3103"/>
      <c r="M403" s="2407">
        <f t="shared" si="61"/>
        <v>1</v>
      </c>
      <c r="N403" s="3103"/>
      <c r="O403" s="2407">
        <f t="shared" si="62"/>
        <v>1</v>
      </c>
      <c r="P403" s="3491"/>
      <c r="Q403" s="2407">
        <f t="shared" si="63"/>
        <v>0</v>
      </c>
      <c r="R403" s="2407">
        <f t="shared" si="64"/>
        <v>0</v>
      </c>
      <c r="S403" s="3098">
        <f t="shared" si="55"/>
        <v>0</v>
      </c>
    </row>
    <row r="404" spans="1:19">
      <c r="A404" s="2571"/>
      <c r="B404" s="3107"/>
      <c r="C404" s="2407">
        <f t="shared" si="56"/>
        <v>1</v>
      </c>
      <c r="D404" s="3103"/>
      <c r="E404" s="2407">
        <f t="shared" si="57"/>
        <v>0</v>
      </c>
      <c r="F404" s="3103"/>
      <c r="G404" s="2407">
        <f t="shared" si="58"/>
        <v>1</v>
      </c>
      <c r="H404" s="3103"/>
      <c r="I404" s="2407">
        <f t="shared" si="59"/>
        <v>1</v>
      </c>
      <c r="J404" s="3103"/>
      <c r="K404" s="2407">
        <f t="shared" si="60"/>
        <v>1</v>
      </c>
      <c r="L404" s="3103"/>
      <c r="M404" s="2407">
        <f t="shared" si="61"/>
        <v>1</v>
      </c>
      <c r="N404" s="3103"/>
      <c r="O404" s="2407">
        <f t="shared" si="62"/>
        <v>1</v>
      </c>
      <c r="P404" s="3491"/>
      <c r="Q404" s="2407">
        <f t="shared" si="63"/>
        <v>0</v>
      </c>
      <c r="R404" s="2407">
        <f t="shared" si="64"/>
        <v>0</v>
      </c>
      <c r="S404" s="3098">
        <f t="shared" si="55"/>
        <v>0</v>
      </c>
    </row>
    <row r="405" spans="1:19">
      <c r="A405" s="2571"/>
      <c r="B405" s="3107"/>
      <c r="C405" s="2407">
        <f t="shared" si="56"/>
        <v>1</v>
      </c>
      <c r="D405" s="3103"/>
      <c r="E405" s="2407">
        <f t="shared" si="57"/>
        <v>0</v>
      </c>
      <c r="F405" s="3103"/>
      <c r="G405" s="2407">
        <f t="shared" si="58"/>
        <v>1</v>
      </c>
      <c r="H405" s="3103"/>
      <c r="I405" s="2407">
        <f t="shared" si="59"/>
        <v>1</v>
      </c>
      <c r="J405" s="3103"/>
      <c r="K405" s="2407">
        <f t="shared" si="60"/>
        <v>1</v>
      </c>
      <c r="L405" s="3103"/>
      <c r="M405" s="2407">
        <f t="shared" si="61"/>
        <v>1</v>
      </c>
      <c r="N405" s="3103"/>
      <c r="O405" s="2407">
        <f t="shared" si="62"/>
        <v>1</v>
      </c>
      <c r="P405" s="3491"/>
      <c r="Q405" s="2407">
        <f t="shared" si="63"/>
        <v>0</v>
      </c>
      <c r="R405" s="2407">
        <f t="shared" si="64"/>
        <v>0</v>
      </c>
      <c r="S405" s="3098">
        <f t="shared" si="55"/>
        <v>0</v>
      </c>
    </row>
    <row r="406" spans="1:19">
      <c r="A406" s="2571"/>
      <c r="B406" s="3107"/>
      <c r="C406" s="2407">
        <f t="shared" si="56"/>
        <v>1</v>
      </c>
      <c r="D406" s="3103"/>
      <c r="E406" s="2407">
        <f t="shared" si="57"/>
        <v>0</v>
      </c>
      <c r="F406" s="3103"/>
      <c r="G406" s="2407">
        <f t="shared" si="58"/>
        <v>1</v>
      </c>
      <c r="H406" s="3103"/>
      <c r="I406" s="2407">
        <f t="shared" si="59"/>
        <v>1</v>
      </c>
      <c r="J406" s="3103"/>
      <c r="K406" s="2407">
        <f t="shared" si="60"/>
        <v>1</v>
      </c>
      <c r="L406" s="3103"/>
      <c r="M406" s="2407">
        <f t="shared" si="61"/>
        <v>1</v>
      </c>
      <c r="N406" s="3103"/>
      <c r="O406" s="2407">
        <f t="shared" si="62"/>
        <v>1</v>
      </c>
      <c r="P406" s="3491"/>
      <c r="Q406" s="2407">
        <f t="shared" si="63"/>
        <v>0</v>
      </c>
      <c r="R406" s="2407">
        <f t="shared" si="64"/>
        <v>0</v>
      </c>
      <c r="S406" s="3098">
        <f t="shared" si="55"/>
        <v>0</v>
      </c>
    </row>
    <row r="407" spans="1:19">
      <c r="A407" s="2571"/>
      <c r="B407" s="3107"/>
      <c r="C407" s="2407">
        <f t="shared" si="56"/>
        <v>1</v>
      </c>
      <c r="D407" s="3103"/>
      <c r="E407" s="2407">
        <f t="shared" si="57"/>
        <v>0</v>
      </c>
      <c r="F407" s="3103"/>
      <c r="G407" s="2407">
        <f t="shared" si="58"/>
        <v>1</v>
      </c>
      <c r="H407" s="3103"/>
      <c r="I407" s="2407">
        <f t="shared" si="59"/>
        <v>1</v>
      </c>
      <c r="J407" s="3103"/>
      <c r="K407" s="2407">
        <f t="shared" si="60"/>
        <v>1</v>
      </c>
      <c r="L407" s="3103"/>
      <c r="M407" s="2407">
        <f t="shared" si="61"/>
        <v>1</v>
      </c>
      <c r="N407" s="3103"/>
      <c r="O407" s="2407">
        <f t="shared" si="62"/>
        <v>1</v>
      </c>
      <c r="P407" s="3491"/>
      <c r="Q407" s="2407">
        <f t="shared" si="63"/>
        <v>0</v>
      </c>
      <c r="R407" s="2407">
        <f t="shared" si="64"/>
        <v>0</v>
      </c>
      <c r="S407" s="3098">
        <f t="shared" si="55"/>
        <v>0</v>
      </c>
    </row>
    <row r="408" spans="1:19">
      <c r="A408" s="2571"/>
      <c r="B408" s="3107"/>
      <c r="C408" s="2407">
        <f t="shared" si="56"/>
        <v>1</v>
      </c>
      <c r="D408" s="3103"/>
      <c r="E408" s="2407">
        <f t="shared" si="57"/>
        <v>0</v>
      </c>
      <c r="F408" s="3103"/>
      <c r="G408" s="2407">
        <f t="shared" si="58"/>
        <v>1</v>
      </c>
      <c r="H408" s="3103"/>
      <c r="I408" s="2407">
        <f t="shared" si="59"/>
        <v>1</v>
      </c>
      <c r="J408" s="3103"/>
      <c r="K408" s="2407">
        <f t="shared" si="60"/>
        <v>1</v>
      </c>
      <c r="L408" s="3103"/>
      <c r="M408" s="2407">
        <f t="shared" si="61"/>
        <v>1</v>
      </c>
      <c r="N408" s="3103"/>
      <c r="O408" s="2407">
        <f t="shared" si="62"/>
        <v>1</v>
      </c>
      <c r="P408" s="3491"/>
      <c r="Q408" s="2407">
        <f t="shared" si="63"/>
        <v>0</v>
      </c>
      <c r="R408" s="2407">
        <f t="shared" si="64"/>
        <v>0</v>
      </c>
      <c r="S408" s="3098">
        <f t="shared" ref="S408:S471" si="65">ROUND(R408*B408/10000,0)</f>
        <v>0</v>
      </c>
    </row>
    <row r="409" spans="1:19">
      <c r="A409" s="2571"/>
      <c r="B409" s="3107"/>
      <c r="C409" s="2407">
        <f t="shared" si="56"/>
        <v>1</v>
      </c>
      <c r="D409" s="3103"/>
      <c r="E409" s="2407">
        <f t="shared" si="57"/>
        <v>0</v>
      </c>
      <c r="F409" s="3103"/>
      <c r="G409" s="2407">
        <f t="shared" si="58"/>
        <v>1</v>
      </c>
      <c r="H409" s="3103"/>
      <c r="I409" s="2407">
        <f t="shared" si="59"/>
        <v>1</v>
      </c>
      <c r="J409" s="3103"/>
      <c r="K409" s="2407">
        <f t="shared" si="60"/>
        <v>1</v>
      </c>
      <c r="L409" s="3103"/>
      <c r="M409" s="2407">
        <f t="shared" si="61"/>
        <v>1</v>
      </c>
      <c r="N409" s="3103"/>
      <c r="O409" s="2407">
        <f t="shared" si="62"/>
        <v>1</v>
      </c>
      <c r="P409" s="3491"/>
      <c r="Q409" s="2407">
        <f t="shared" si="63"/>
        <v>0</v>
      </c>
      <c r="R409" s="2407">
        <f t="shared" si="64"/>
        <v>0</v>
      </c>
      <c r="S409" s="3098">
        <f t="shared" si="65"/>
        <v>0</v>
      </c>
    </row>
    <row r="410" spans="1:19">
      <c r="A410" s="2571"/>
      <c r="B410" s="3107"/>
      <c r="C410" s="2407">
        <f t="shared" ref="C410:C473" si="66">IF(B410="",1,(LOOKUP(B410,$3:$3,$4:$4)-LOOKUP($B$24,$3:$3,$4:$4)+100)/100)</f>
        <v>1</v>
      </c>
      <c r="D410" s="3103"/>
      <c r="E410" s="2407">
        <f t="shared" ref="E410:E473" si="67">(SUMIF($5:$5,D410,$6:$6)-SUMIF($5:$5,$D$24,$6:$6)+100)/100</f>
        <v>0</v>
      </c>
      <c r="F410" s="3103"/>
      <c r="G410" s="2407">
        <f t="shared" ref="G410:G473" si="68">(SUMIF($7:$7,F410,$8:$8)-SUMIF($7:$7,$F$24,$8:$8)+100)/100</f>
        <v>1</v>
      </c>
      <c r="H410" s="3103"/>
      <c r="I410" s="2407">
        <f t="shared" ref="I410:I473" si="69">(SUMIF($9:$9,H410,$10:$10)-SUMIF($9:$9,$H$24,$10:$10)+100)/100</f>
        <v>1</v>
      </c>
      <c r="J410" s="3103"/>
      <c r="K410" s="2407">
        <f t="shared" ref="K410:K473" si="70">(SUMIF($11:$11,J410,$12:$12)-SUMIF($11:$11,$J$24,$12:$12)+100)/100</f>
        <v>1</v>
      </c>
      <c r="L410" s="3103"/>
      <c r="M410" s="2407">
        <f t="shared" ref="M410:M473" si="71">(SUMIF($13:$13,L410,$14:$14)-SUMIF($13:$13,$L$24,$14:$14)+100)/100</f>
        <v>1</v>
      </c>
      <c r="N410" s="3103"/>
      <c r="O410" s="2407">
        <f t="shared" ref="O410:O473" si="72">(SUMIF($15:$15,N410,$16:$16)-SUMIF($15:$15,$N$24,$16:$16)+100)/100</f>
        <v>1</v>
      </c>
      <c r="P410" s="3491"/>
      <c r="Q410" s="2407">
        <f t="shared" ref="Q410:Q473" si="73">(SUMIF($17:$17,P410,$18:$18)-SUMIF($17:$17,$P$24,$18:$18)+100)/100</f>
        <v>0</v>
      </c>
      <c r="R410" s="2407">
        <f t="shared" ref="R410:R473" si="74">IF(B410="",0,ROUND($R$24*C410*E410*G410*I410*K410*M410*O410*Q410,0))</f>
        <v>0</v>
      </c>
      <c r="S410" s="3098">
        <f t="shared" si="65"/>
        <v>0</v>
      </c>
    </row>
    <row r="411" spans="1:19">
      <c r="A411" s="2571"/>
      <c r="B411" s="3107"/>
      <c r="C411" s="2407">
        <f t="shared" si="66"/>
        <v>1</v>
      </c>
      <c r="D411" s="3103"/>
      <c r="E411" s="2407">
        <f t="shared" si="67"/>
        <v>0</v>
      </c>
      <c r="F411" s="3103"/>
      <c r="G411" s="2407">
        <f t="shared" si="68"/>
        <v>1</v>
      </c>
      <c r="H411" s="3103"/>
      <c r="I411" s="2407">
        <f t="shared" si="69"/>
        <v>1</v>
      </c>
      <c r="J411" s="3103"/>
      <c r="K411" s="2407">
        <f t="shared" si="70"/>
        <v>1</v>
      </c>
      <c r="L411" s="3103"/>
      <c r="M411" s="2407">
        <f t="shared" si="71"/>
        <v>1</v>
      </c>
      <c r="N411" s="3103"/>
      <c r="O411" s="2407">
        <f t="shared" si="72"/>
        <v>1</v>
      </c>
      <c r="P411" s="3491"/>
      <c r="Q411" s="2407">
        <f t="shared" si="73"/>
        <v>0</v>
      </c>
      <c r="R411" s="2407">
        <f t="shared" si="74"/>
        <v>0</v>
      </c>
      <c r="S411" s="3098">
        <f t="shared" si="65"/>
        <v>0</v>
      </c>
    </row>
    <row r="412" spans="1:19">
      <c r="A412" s="2571"/>
      <c r="B412" s="3107"/>
      <c r="C412" s="2407">
        <f t="shared" si="66"/>
        <v>1</v>
      </c>
      <c r="D412" s="3103"/>
      <c r="E412" s="2407">
        <f t="shared" si="67"/>
        <v>0</v>
      </c>
      <c r="F412" s="3103"/>
      <c r="G412" s="2407">
        <f t="shared" si="68"/>
        <v>1</v>
      </c>
      <c r="H412" s="3103"/>
      <c r="I412" s="2407">
        <f t="shared" si="69"/>
        <v>1</v>
      </c>
      <c r="J412" s="3103"/>
      <c r="K412" s="2407">
        <f t="shared" si="70"/>
        <v>1</v>
      </c>
      <c r="L412" s="3103"/>
      <c r="M412" s="2407">
        <f t="shared" si="71"/>
        <v>1</v>
      </c>
      <c r="N412" s="3103"/>
      <c r="O412" s="2407">
        <f t="shared" si="72"/>
        <v>1</v>
      </c>
      <c r="P412" s="3491"/>
      <c r="Q412" s="2407">
        <f t="shared" si="73"/>
        <v>0</v>
      </c>
      <c r="R412" s="2407">
        <f t="shared" si="74"/>
        <v>0</v>
      </c>
      <c r="S412" s="3098">
        <f t="shared" si="65"/>
        <v>0</v>
      </c>
    </row>
    <row r="413" spans="1:19">
      <c r="A413" s="2571"/>
      <c r="B413" s="3107"/>
      <c r="C413" s="2407">
        <f t="shared" si="66"/>
        <v>1</v>
      </c>
      <c r="D413" s="3103"/>
      <c r="E413" s="2407">
        <f t="shared" si="67"/>
        <v>0</v>
      </c>
      <c r="F413" s="3103"/>
      <c r="G413" s="2407">
        <f t="shared" si="68"/>
        <v>1</v>
      </c>
      <c r="H413" s="3103"/>
      <c r="I413" s="2407">
        <f t="shared" si="69"/>
        <v>1</v>
      </c>
      <c r="J413" s="3103"/>
      <c r="K413" s="2407">
        <f t="shared" si="70"/>
        <v>1</v>
      </c>
      <c r="L413" s="3103"/>
      <c r="M413" s="2407">
        <f t="shared" si="71"/>
        <v>1</v>
      </c>
      <c r="N413" s="3103"/>
      <c r="O413" s="2407">
        <f t="shared" si="72"/>
        <v>1</v>
      </c>
      <c r="P413" s="3491"/>
      <c r="Q413" s="2407">
        <f t="shared" si="73"/>
        <v>0</v>
      </c>
      <c r="R413" s="2407">
        <f t="shared" si="74"/>
        <v>0</v>
      </c>
      <c r="S413" s="3098">
        <f t="shared" si="65"/>
        <v>0</v>
      </c>
    </row>
    <row r="414" spans="1:19">
      <c r="A414" s="2571"/>
      <c r="B414" s="3107"/>
      <c r="C414" s="2407">
        <f t="shared" si="66"/>
        <v>1</v>
      </c>
      <c r="D414" s="3103"/>
      <c r="E414" s="2407">
        <f t="shared" si="67"/>
        <v>0</v>
      </c>
      <c r="F414" s="3103"/>
      <c r="G414" s="2407">
        <f t="shared" si="68"/>
        <v>1</v>
      </c>
      <c r="H414" s="3103"/>
      <c r="I414" s="2407">
        <f t="shared" si="69"/>
        <v>1</v>
      </c>
      <c r="J414" s="3103"/>
      <c r="K414" s="2407">
        <f t="shared" si="70"/>
        <v>1</v>
      </c>
      <c r="L414" s="3103"/>
      <c r="M414" s="2407">
        <f t="shared" si="71"/>
        <v>1</v>
      </c>
      <c r="N414" s="3103"/>
      <c r="O414" s="2407">
        <f t="shared" si="72"/>
        <v>1</v>
      </c>
      <c r="P414" s="3491"/>
      <c r="Q414" s="2407">
        <f t="shared" si="73"/>
        <v>0</v>
      </c>
      <c r="R414" s="2407">
        <f t="shared" si="74"/>
        <v>0</v>
      </c>
      <c r="S414" s="3098">
        <f t="shared" si="65"/>
        <v>0</v>
      </c>
    </row>
    <row r="415" spans="1:19">
      <c r="A415" s="2571"/>
      <c r="B415" s="3107"/>
      <c r="C415" s="2407">
        <f t="shared" si="66"/>
        <v>1</v>
      </c>
      <c r="D415" s="3103"/>
      <c r="E415" s="2407">
        <f t="shared" si="67"/>
        <v>0</v>
      </c>
      <c r="F415" s="3103"/>
      <c r="G415" s="2407">
        <f t="shared" si="68"/>
        <v>1</v>
      </c>
      <c r="H415" s="3103"/>
      <c r="I415" s="2407">
        <f t="shared" si="69"/>
        <v>1</v>
      </c>
      <c r="J415" s="3103"/>
      <c r="K415" s="2407">
        <f t="shared" si="70"/>
        <v>1</v>
      </c>
      <c r="L415" s="3103"/>
      <c r="M415" s="2407">
        <f t="shared" si="71"/>
        <v>1</v>
      </c>
      <c r="N415" s="3103"/>
      <c r="O415" s="2407">
        <f t="shared" si="72"/>
        <v>1</v>
      </c>
      <c r="P415" s="3491"/>
      <c r="Q415" s="2407">
        <f t="shared" si="73"/>
        <v>0</v>
      </c>
      <c r="R415" s="2407">
        <f t="shared" si="74"/>
        <v>0</v>
      </c>
      <c r="S415" s="3098">
        <f t="shared" si="65"/>
        <v>0</v>
      </c>
    </row>
    <row r="416" spans="1:19">
      <c r="A416" s="2571"/>
      <c r="B416" s="3107"/>
      <c r="C416" s="2407">
        <f t="shared" si="66"/>
        <v>1</v>
      </c>
      <c r="D416" s="3103"/>
      <c r="E416" s="2407">
        <f t="shared" si="67"/>
        <v>0</v>
      </c>
      <c r="F416" s="3103"/>
      <c r="G416" s="2407">
        <f t="shared" si="68"/>
        <v>1</v>
      </c>
      <c r="H416" s="3103"/>
      <c r="I416" s="2407">
        <f t="shared" si="69"/>
        <v>1</v>
      </c>
      <c r="J416" s="3103"/>
      <c r="K416" s="2407">
        <f t="shared" si="70"/>
        <v>1</v>
      </c>
      <c r="L416" s="3103"/>
      <c r="M416" s="2407">
        <f t="shared" si="71"/>
        <v>1</v>
      </c>
      <c r="N416" s="3103"/>
      <c r="O416" s="2407">
        <f t="shared" si="72"/>
        <v>1</v>
      </c>
      <c r="P416" s="3491"/>
      <c r="Q416" s="2407">
        <f t="shared" si="73"/>
        <v>0</v>
      </c>
      <c r="R416" s="2407">
        <f t="shared" si="74"/>
        <v>0</v>
      </c>
      <c r="S416" s="3098">
        <f t="shared" si="65"/>
        <v>0</v>
      </c>
    </row>
    <row r="417" spans="1:19">
      <c r="A417" s="2571"/>
      <c r="B417" s="3107"/>
      <c r="C417" s="2407">
        <f t="shared" si="66"/>
        <v>1</v>
      </c>
      <c r="D417" s="3103"/>
      <c r="E417" s="2407">
        <f t="shared" si="67"/>
        <v>0</v>
      </c>
      <c r="F417" s="3103"/>
      <c r="G417" s="2407">
        <f t="shared" si="68"/>
        <v>1</v>
      </c>
      <c r="H417" s="3103"/>
      <c r="I417" s="2407">
        <f t="shared" si="69"/>
        <v>1</v>
      </c>
      <c r="J417" s="3103"/>
      <c r="K417" s="2407">
        <f t="shared" si="70"/>
        <v>1</v>
      </c>
      <c r="L417" s="3103"/>
      <c r="M417" s="2407">
        <f t="shared" si="71"/>
        <v>1</v>
      </c>
      <c r="N417" s="3103"/>
      <c r="O417" s="2407">
        <f t="shared" si="72"/>
        <v>1</v>
      </c>
      <c r="P417" s="3491"/>
      <c r="Q417" s="2407">
        <f t="shared" si="73"/>
        <v>0</v>
      </c>
      <c r="R417" s="2407">
        <f t="shared" si="74"/>
        <v>0</v>
      </c>
      <c r="S417" s="3098">
        <f t="shared" si="65"/>
        <v>0</v>
      </c>
    </row>
    <row r="418" spans="1:19">
      <c r="A418" s="2571"/>
      <c r="B418" s="3107"/>
      <c r="C418" s="2407">
        <f t="shared" si="66"/>
        <v>1</v>
      </c>
      <c r="D418" s="3103"/>
      <c r="E418" s="2407">
        <f t="shared" si="67"/>
        <v>0</v>
      </c>
      <c r="F418" s="3103"/>
      <c r="G418" s="2407">
        <f t="shared" si="68"/>
        <v>1</v>
      </c>
      <c r="H418" s="3103"/>
      <c r="I418" s="2407">
        <f t="shared" si="69"/>
        <v>1</v>
      </c>
      <c r="J418" s="3103"/>
      <c r="K418" s="2407">
        <f t="shared" si="70"/>
        <v>1</v>
      </c>
      <c r="L418" s="3103"/>
      <c r="M418" s="2407">
        <f t="shared" si="71"/>
        <v>1</v>
      </c>
      <c r="N418" s="3103"/>
      <c r="O418" s="2407">
        <f t="shared" si="72"/>
        <v>1</v>
      </c>
      <c r="P418" s="3491"/>
      <c r="Q418" s="2407">
        <f t="shared" si="73"/>
        <v>0</v>
      </c>
      <c r="R418" s="2407">
        <f t="shared" si="74"/>
        <v>0</v>
      </c>
      <c r="S418" s="3098">
        <f t="shared" si="65"/>
        <v>0</v>
      </c>
    </row>
    <row r="419" spans="1:19">
      <c r="A419" s="2571"/>
      <c r="B419" s="3107"/>
      <c r="C419" s="2407">
        <f t="shared" si="66"/>
        <v>1</v>
      </c>
      <c r="D419" s="3103"/>
      <c r="E419" s="2407">
        <f t="shared" si="67"/>
        <v>0</v>
      </c>
      <c r="F419" s="3103"/>
      <c r="G419" s="2407">
        <f t="shared" si="68"/>
        <v>1</v>
      </c>
      <c r="H419" s="3103"/>
      <c r="I419" s="2407">
        <f t="shared" si="69"/>
        <v>1</v>
      </c>
      <c r="J419" s="3103"/>
      <c r="K419" s="2407">
        <f t="shared" si="70"/>
        <v>1</v>
      </c>
      <c r="L419" s="3103"/>
      <c r="M419" s="2407">
        <f t="shared" si="71"/>
        <v>1</v>
      </c>
      <c r="N419" s="3103"/>
      <c r="O419" s="2407">
        <f t="shared" si="72"/>
        <v>1</v>
      </c>
      <c r="P419" s="3491"/>
      <c r="Q419" s="2407">
        <f t="shared" si="73"/>
        <v>0</v>
      </c>
      <c r="R419" s="2407">
        <f t="shared" si="74"/>
        <v>0</v>
      </c>
      <c r="S419" s="3098">
        <f t="shared" si="65"/>
        <v>0</v>
      </c>
    </row>
    <row r="420" spans="1:19">
      <c r="A420" s="2571"/>
      <c r="B420" s="3107"/>
      <c r="C420" s="2407">
        <f t="shared" si="66"/>
        <v>1</v>
      </c>
      <c r="D420" s="3103"/>
      <c r="E420" s="2407">
        <f t="shared" si="67"/>
        <v>0</v>
      </c>
      <c r="F420" s="3103"/>
      <c r="G420" s="2407">
        <f t="shared" si="68"/>
        <v>1</v>
      </c>
      <c r="H420" s="3103"/>
      <c r="I420" s="2407">
        <f t="shared" si="69"/>
        <v>1</v>
      </c>
      <c r="J420" s="3103"/>
      <c r="K420" s="2407">
        <f t="shared" si="70"/>
        <v>1</v>
      </c>
      <c r="L420" s="3103"/>
      <c r="M420" s="2407">
        <f t="shared" si="71"/>
        <v>1</v>
      </c>
      <c r="N420" s="3103"/>
      <c r="O420" s="2407">
        <f t="shared" si="72"/>
        <v>1</v>
      </c>
      <c r="P420" s="3491"/>
      <c r="Q420" s="2407">
        <f t="shared" si="73"/>
        <v>0</v>
      </c>
      <c r="R420" s="2407">
        <f t="shared" si="74"/>
        <v>0</v>
      </c>
      <c r="S420" s="3098">
        <f t="shared" si="65"/>
        <v>0</v>
      </c>
    </row>
    <row r="421" spans="1:19">
      <c r="A421" s="2571"/>
      <c r="B421" s="3107"/>
      <c r="C421" s="2407">
        <f t="shared" si="66"/>
        <v>1</v>
      </c>
      <c r="D421" s="3103"/>
      <c r="E421" s="2407">
        <f t="shared" si="67"/>
        <v>0</v>
      </c>
      <c r="F421" s="3103"/>
      <c r="G421" s="2407">
        <f t="shared" si="68"/>
        <v>1</v>
      </c>
      <c r="H421" s="3103"/>
      <c r="I421" s="2407">
        <f t="shared" si="69"/>
        <v>1</v>
      </c>
      <c r="J421" s="3103"/>
      <c r="K421" s="2407">
        <f t="shared" si="70"/>
        <v>1</v>
      </c>
      <c r="L421" s="3103"/>
      <c r="M421" s="2407">
        <f t="shared" si="71"/>
        <v>1</v>
      </c>
      <c r="N421" s="3103"/>
      <c r="O421" s="2407">
        <f t="shared" si="72"/>
        <v>1</v>
      </c>
      <c r="P421" s="3491"/>
      <c r="Q421" s="2407">
        <f t="shared" si="73"/>
        <v>0</v>
      </c>
      <c r="R421" s="2407">
        <f t="shared" si="74"/>
        <v>0</v>
      </c>
      <c r="S421" s="3098">
        <f t="shared" si="65"/>
        <v>0</v>
      </c>
    </row>
    <row r="422" spans="1:19">
      <c r="A422" s="2571"/>
      <c r="B422" s="3107"/>
      <c r="C422" s="2407">
        <f t="shared" si="66"/>
        <v>1</v>
      </c>
      <c r="D422" s="3103"/>
      <c r="E422" s="2407">
        <f t="shared" si="67"/>
        <v>0</v>
      </c>
      <c r="F422" s="3103"/>
      <c r="G422" s="2407">
        <f t="shared" si="68"/>
        <v>1</v>
      </c>
      <c r="H422" s="3103"/>
      <c r="I422" s="2407">
        <f t="shared" si="69"/>
        <v>1</v>
      </c>
      <c r="J422" s="3103"/>
      <c r="K422" s="2407">
        <f t="shared" si="70"/>
        <v>1</v>
      </c>
      <c r="L422" s="3103"/>
      <c r="M422" s="2407">
        <f t="shared" si="71"/>
        <v>1</v>
      </c>
      <c r="N422" s="3103"/>
      <c r="O422" s="2407">
        <f t="shared" si="72"/>
        <v>1</v>
      </c>
      <c r="P422" s="3491"/>
      <c r="Q422" s="2407">
        <f t="shared" si="73"/>
        <v>0</v>
      </c>
      <c r="R422" s="2407">
        <f t="shared" si="74"/>
        <v>0</v>
      </c>
      <c r="S422" s="3098">
        <f t="shared" si="65"/>
        <v>0</v>
      </c>
    </row>
    <row r="423" spans="1:19">
      <c r="A423" s="2571"/>
      <c r="B423" s="3107"/>
      <c r="C423" s="2407">
        <f t="shared" si="66"/>
        <v>1</v>
      </c>
      <c r="D423" s="3103"/>
      <c r="E423" s="2407">
        <f t="shared" si="67"/>
        <v>0</v>
      </c>
      <c r="F423" s="3103"/>
      <c r="G423" s="2407">
        <f t="shared" si="68"/>
        <v>1</v>
      </c>
      <c r="H423" s="3103"/>
      <c r="I423" s="2407">
        <f t="shared" si="69"/>
        <v>1</v>
      </c>
      <c r="J423" s="3103"/>
      <c r="K423" s="2407">
        <f t="shared" si="70"/>
        <v>1</v>
      </c>
      <c r="L423" s="3103"/>
      <c r="M423" s="2407">
        <f t="shared" si="71"/>
        <v>1</v>
      </c>
      <c r="N423" s="3103"/>
      <c r="O423" s="2407">
        <f t="shared" si="72"/>
        <v>1</v>
      </c>
      <c r="P423" s="3491"/>
      <c r="Q423" s="2407">
        <f t="shared" si="73"/>
        <v>0</v>
      </c>
      <c r="R423" s="2407">
        <f t="shared" si="74"/>
        <v>0</v>
      </c>
      <c r="S423" s="3098">
        <f t="shared" si="65"/>
        <v>0</v>
      </c>
    </row>
    <row r="424" spans="1:19">
      <c r="A424" s="2571"/>
      <c r="B424" s="3107"/>
      <c r="C424" s="2407">
        <f t="shared" si="66"/>
        <v>1</v>
      </c>
      <c r="D424" s="3103"/>
      <c r="E424" s="2407">
        <f t="shared" si="67"/>
        <v>0</v>
      </c>
      <c r="F424" s="3103"/>
      <c r="G424" s="2407">
        <f t="shared" si="68"/>
        <v>1</v>
      </c>
      <c r="H424" s="3103"/>
      <c r="I424" s="2407">
        <f t="shared" si="69"/>
        <v>1</v>
      </c>
      <c r="J424" s="3103"/>
      <c r="K424" s="2407">
        <f t="shared" si="70"/>
        <v>1</v>
      </c>
      <c r="L424" s="3103"/>
      <c r="M424" s="2407">
        <f t="shared" si="71"/>
        <v>1</v>
      </c>
      <c r="N424" s="3103"/>
      <c r="O424" s="2407">
        <f t="shared" si="72"/>
        <v>1</v>
      </c>
      <c r="P424" s="3491"/>
      <c r="Q424" s="2407">
        <f t="shared" si="73"/>
        <v>0</v>
      </c>
      <c r="R424" s="2407">
        <f t="shared" si="74"/>
        <v>0</v>
      </c>
      <c r="S424" s="3098">
        <f t="shared" si="65"/>
        <v>0</v>
      </c>
    </row>
    <row r="425" spans="1:19">
      <c r="A425" s="2571"/>
      <c r="B425" s="3107"/>
      <c r="C425" s="2407">
        <f t="shared" si="66"/>
        <v>1</v>
      </c>
      <c r="D425" s="3103"/>
      <c r="E425" s="2407">
        <f t="shared" si="67"/>
        <v>0</v>
      </c>
      <c r="F425" s="3103"/>
      <c r="G425" s="2407">
        <f t="shared" si="68"/>
        <v>1</v>
      </c>
      <c r="H425" s="3103"/>
      <c r="I425" s="2407">
        <f t="shared" si="69"/>
        <v>1</v>
      </c>
      <c r="J425" s="3103"/>
      <c r="K425" s="2407">
        <f t="shared" si="70"/>
        <v>1</v>
      </c>
      <c r="L425" s="3103"/>
      <c r="M425" s="2407">
        <f t="shared" si="71"/>
        <v>1</v>
      </c>
      <c r="N425" s="3103"/>
      <c r="O425" s="2407">
        <f t="shared" si="72"/>
        <v>1</v>
      </c>
      <c r="P425" s="3491"/>
      <c r="Q425" s="2407">
        <f t="shared" si="73"/>
        <v>0</v>
      </c>
      <c r="R425" s="2407">
        <f t="shared" si="74"/>
        <v>0</v>
      </c>
      <c r="S425" s="3098">
        <f t="shared" si="65"/>
        <v>0</v>
      </c>
    </row>
    <row r="426" spans="1:19">
      <c r="A426" s="2571"/>
      <c r="B426" s="3107"/>
      <c r="C426" s="2407">
        <f t="shared" si="66"/>
        <v>1</v>
      </c>
      <c r="D426" s="3103"/>
      <c r="E426" s="2407">
        <f t="shared" si="67"/>
        <v>0</v>
      </c>
      <c r="F426" s="3103"/>
      <c r="G426" s="2407">
        <f t="shared" si="68"/>
        <v>1</v>
      </c>
      <c r="H426" s="3103"/>
      <c r="I426" s="2407">
        <f t="shared" si="69"/>
        <v>1</v>
      </c>
      <c r="J426" s="3103"/>
      <c r="K426" s="2407">
        <f t="shared" si="70"/>
        <v>1</v>
      </c>
      <c r="L426" s="3103"/>
      <c r="M426" s="2407">
        <f t="shared" si="71"/>
        <v>1</v>
      </c>
      <c r="N426" s="3103"/>
      <c r="O426" s="2407">
        <f t="shared" si="72"/>
        <v>1</v>
      </c>
      <c r="P426" s="3491"/>
      <c r="Q426" s="2407">
        <f t="shared" si="73"/>
        <v>0</v>
      </c>
      <c r="R426" s="2407">
        <f t="shared" si="74"/>
        <v>0</v>
      </c>
      <c r="S426" s="3098">
        <f t="shared" si="65"/>
        <v>0</v>
      </c>
    </row>
    <row r="427" spans="1:19">
      <c r="A427" s="2571"/>
      <c r="B427" s="3107"/>
      <c r="C427" s="2407">
        <f t="shared" si="66"/>
        <v>1</v>
      </c>
      <c r="D427" s="3103"/>
      <c r="E427" s="2407">
        <f t="shared" si="67"/>
        <v>0</v>
      </c>
      <c r="F427" s="3103"/>
      <c r="G427" s="2407">
        <f t="shared" si="68"/>
        <v>1</v>
      </c>
      <c r="H427" s="3103"/>
      <c r="I427" s="2407">
        <f t="shared" si="69"/>
        <v>1</v>
      </c>
      <c r="J427" s="3103"/>
      <c r="K427" s="2407">
        <f t="shared" si="70"/>
        <v>1</v>
      </c>
      <c r="L427" s="3103"/>
      <c r="M427" s="2407">
        <f t="shared" si="71"/>
        <v>1</v>
      </c>
      <c r="N427" s="3103"/>
      <c r="O427" s="2407">
        <f t="shared" si="72"/>
        <v>1</v>
      </c>
      <c r="P427" s="3491"/>
      <c r="Q427" s="2407">
        <f t="shared" si="73"/>
        <v>0</v>
      </c>
      <c r="R427" s="2407">
        <f t="shared" si="74"/>
        <v>0</v>
      </c>
      <c r="S427" s="3098">
        <f t="shared" si="65"/>
        <v>0</v>
      </c>
    </row>
    <row r="428" spans="1:19">
      <c r="A428" s="2571"/>
      <c r="B428" s="3107"/>
      <c r="C428" s="2407">
        <f t="shared" si="66"/>
        <v>1</v>
      </c>
      <c r="D428" s="3103"/>
      <c r="E428" s="2407">
        <f t="shared" si="67"/>
        <v>0</v>
      </c>
      <c r="F428" s="3103"/>
      <c r="G428" s="2407">
        <f t="shared" si="68"/>
        <v>1</v>
      </c>
      <c r="H428" s="3103"/>
      <c r="I428" s="2407">
        <f t="shared" si="69"/>
        <v>1</v>
      </c>
      <c r="J428" s="3103"/>
      <c r="K428" s="2407">
        <f t="shared" si="70"/>
        <v>1</v>
      </c>
      <c r="L428" s="3103"/>
      <c r="M428" s="2407">
        <f t="shared" si="71"/>
        <v>1</v>
      </c>
      <c r="N428" s="3103"/>
      <c r="O428" s="2407">
        <f t="shared" si="72"/>
        <v>1</v>
      </c>
      <c r="P428" s="3491"/>
      <c r="Q428" s="2407">
        <f t="shared" si="73"/>
        <v>0</v>
      </c>
      <c r="R428" s="2407">
        <f t="shared" si="74"/>
        <v>0</v>
      </c>
      <c r="S428" s="3098">
        <f t="shared" si="65"/>
        <v>0</v>
      </c>
    </row>
    <row r="429" spans="1:19">
      <c r="A429" s="2571"/>
      <c r="B429" s="3107"/>
      <c r="C429" s="2407">
        <f t="shared" si="66"/>
        <v>1</v>
      </c>
      <c r="D429" s="3103"/>
      <c r="E429" s="2407">
        <f t="shared" si="67"/>
        <v>0</v>
      </c>
      <c r="F429" s="3103"/>
      <c r="G429" s="2407">
        <f t="shared" si="68"/>
        <v>1</v>
      </c>
      <c r="H429" s="3103"/>
      <c r="I429" s="2407">
        <f t="shared" si="69"/>
        <v>1</v>
      </c>
      <c r="J429" s="3103"/>
      <c r="K429" s="2407">
        <f t="shared" si="70"/>
        <v>1</v>
      </c>
      <c r="L429" s="3103"/>
      <c r="M429" s="2407">
        <f t="shared" si="71"/>
        <v>1</v>
      </c>
      <c r="N429" s="3103"/>
      <c r="O429" s="2407">
        <f t="shared" si="72"/>
        <v>1</v>
      </c>
      <c r="P429" s="3491"/>
      <c r="Q429" s="2407">
        <f t="shared" si="73"/>
        <v>0</v>
      </c>
      <c r="R429" s="2407">
        <f t="shared" si="74"/>
        <v>0</v>
      </c>
      <c r="S429" s="3098">
        <f t="shared" si="65"/>
        <v>0</v>
      </c>
    </row>
    <row r="430" spans="1:19">
      <c r="A430" s="2571"/>
      <c r="B430" s="3107"/>
      <c r="C430" s="2407">
        <f t="shared" si="66"/>
        <v>1</v>
      </c>
      <c r="D430" s="3103"/>
      <c r="E430" s="2407">
        <f t="shared" si="67"/>
        <v>0</v>
      </c>
      <c r="F430" s="3103"/>
      <c r="G430" s="2407">
        <f t="shared" si="68"/>
        <v>1</v>
      </c>
      <c r="H430" s="3103"/>
      <c r="I430" s="2407">
        <f t="shared" si="69"/>
        <v>1</v>
      </c>
      <c r="J430" s="3103"/>
      <c r="K430" s="2407">
        <f t="shared" si="70"/>
        <v>1</v>
      </c>
      <c r="L430" s="3103"/>
      <c r="M430" s="2407">
        <f t="shared" si="71"/>
        <v>1</v>
      </c>
      <c r="N430" s="3103"/>
      <c r="O430" s="2407">
        <f t="shared" si="72"/>
        <v>1</v>
      </c>
      <c r="P430" s="3491"/>
      <c r="Q430" s="2407">
        <f t="shared" si="73"/>
        <v>0</v>
      </c>
      <c r="R430" s="2407">
        <f t="shared" si="74"/>
        <v>0</v>
      </c>
      <c r="S430" s="3098">
        <f t="shared" si="65"/>
        <v>0</v>
      </c>
    </row>
    <row r="431" spans="1:19">
      <c r="A431" s="2571"/>
      <c r="B431" s="3107"/>
      <c r="C431" s="2407">
        <f t="shared" si="66"/>
        <v>1</v>
      </c>
      <c r="D431" s="3103"/>
      <c r="E431" s="2407">
        <f t="shared" si="67"/>
        <v>0</v>
      </c>
      <c r="F431" s="3103"/>
      <c r="G431" s="2407">
        <f t="shared" si="68"/>
        <v>1</v>
      </c>
      <c r="H431" s="3103"/>
      <c r="I431" s="2407">
        <f t="shared" si="69"/>
        <v>1</v>
      </c>
      <c r="J431" s="3103"/>
      <c r="K431" s="2407">
        <f t="shared" si="70"/>
        <v>1</v>
      </c>
      <c r="L431" s="3103"/>
      <c r="M431" s="2407">
        <f t="shared" si="71"/>
        <v>1</v>
      </c>
      <c r="N431" s="3103"/>
      <c r="O431" s="2407">
        <f t="shared" si="72"/>
        <v>1</v>
      </c>
      <c r="P431" s="3491"/>
      <c r="Q431" s="2407">
        <f t="shared" si="73"/>
        <v>0</v>
      </c>
      <c r="R431" s="2407">
        <f t="shared" si="74"/>
        <v>0</v>
      </c>
      <c r="S431" s="3098">
        <f t="shared" si="65"/>
        <v>0</v>
      </c>
    </row>
    <row r="432" spans="1:19">
      <c r="A432" s="2571"/>
      <c r="B432" s="3107"/>
      <c r="C432" s="2407">
        <f t="shared" si="66"/>
        <v>1</v>
      </c>
      <c r="D432" s="3103"/>
      <c r="E432" s="2407">
        <f t="shared" si="67"/>
        <v>0</v>
      </c>
      <c r="F432" s="3103"/>
      <c r="G432" s="2407">
        <f t="shared" si="68"/>
        <v>1</v>
      </c>
      <c r="H432" s="3103"/>
      <c r="I432" s="2407">
        <f t="shared" si="69"/>
        <v>1</v>
      </c>
      <c r="J432" s="3103"/>
      <c r="K432" s="2407">
        <f t="shared" si="70"/>
        <v>1</v>
      </c>
      <c r="L432" s="3103"/>
      <c r="M432" s="2407">
        <f t="shared" si="71"/>
        <v>1</v>
      </c>
      <c r="N432" s="3103"/>
      <c r="O432" s="2407">
        <f t="shared" si="72"/>
        <v>1</v>
      </c>
      <c r="P432" s="3491"/>
      <c r="Q432" s="2407">
        <f t="shared" si="73"/>
        <v>0</v>
      </c>
      <c r="R432" s="2407">
        <f t="shared" si="74"/>
        <v>0</v>
      </c>
      <c r="S432" s="3098">
        <f t="shared" si="65"/>
        <v>0</v>
      </c>
    </row>
    <row r="433" spans="1:19">
      <c r="A433" s="2571"/>
      <c r="B433" s="3107"/>
      <c r="C433" s="2407">
        <f t="shared" si="66"/>
        <v>1</v>
      </c>
      <c r="D433" s="3103"/>
      <c r="E433" s="2407">
        <f t="shared" si="67"/>
        <v>0</v>
      </c>
      <c r="F433" s="3103"/>
      <c r="G433" s="2407">
        <f t="shared" si="68"/>
        <v>1</v>
      </c>
      <c r="H433" s="3103"/>
      <c r="I433" s="2407">
        <f t="shared" si="69"/>
        <v>1</v>
      </c>
      <c r="J433" s="3103"/>
      <c r="K433" s="2407">
        <f t="shared" si="70"/>
        <v>1</v>
      </c>
      <c r="L433" s="3103"/>
      <c r="M433" s="2407">
        <f t="shared" si="71"/>
        <v>1</v>
      </c>
      <c r="N433" s="3103"/>
      <c r="O433" s="2407">
        <f t="shared" si="72"/>
        <v>1</v>
      </c>
      <c r="P433" s="3491"/>
      <c r="Q433" s="2407">
        <f t="shared" si="73"/>
        <v>0</v>
      </c>
      <c r="R433" s="2407">
        <f t="shared" si="74"/>
        <v>0</v>
      </c>
      <c r="S433" s="3098">
        <f t="shared" si="65"/>
        <v>0</v>
      </c>
    </row>
    <row r="434" spans="1:19">
      <c r="A434" s="2571"/>
      <c r="B434" s="3107"/>
      <c r="C434" s="2407">
        <f t="shared" si="66"/>
        <v>1</v>
      </c>
      <c r="D434" s="3103"/>
      <c r="E434" s="2407">
        <f t="shared" si="67"/>
        <v>0</v>
      </c>
      <c r="F434" s="3103"/>
      <c r="G434" s="2407">
        <f t="shared" si="68"/>
        <v>1</v>
      </c>
      <c r="H434" s="3103"/>
      <c r="I434" s="2407">
        <f t="shared" si="69"/>
        <v>1</v>
      </c>
      <c r="J434" s="3103"/>
      <c r="K434" s="2407">
        <f t="shared" si="70"/>
        <v>1</v>
      </c>
      <c r="L434" s="3103"/>
      <c r="M434" s="2407">
        <f t="shared" si="71"/>
        <v>1</v>
      </c>
      <c r="N434" s="3103"/>
      <c r="O434" s="2407">
        <f t="shared" si="72"/>
        <v>1</v>
      </c>
      <c r="P434" s="3491"/>
      <c r="Q434" s="2407">
        <f t="shared" si="73"/>
        <v>0</v>
      </c>
      <c r="R434" s="2407">
        <f t="shared" si="74"/>
        <v>0</v>
      </c>
      <c r="S434" s="3098">
        <f t="shared" si="65"/>
        <v>0</v>
      </c>
    </row>
    <row r="435" spans="1:19">
      <c r="A435" s="2571"/>
      <c r="B435" s="3107"/>
      <c r="C435" s="2407">
        <f t="shared" si="66"/>
        <v>1</v>
      </c>
      <c r="D435" s="3103"/>
      <c r="E435" s="2407">
        <f t="shared" si="67"/>
        <v>0</v>
      </c>
      <c r="F435" s="3103"/>
      <c r="G435" s="2407">
        <f t="shared" si="68"/>
        <v>1</v>
      </c>
      <c r="H435" s="3103"/>
      <c r="I435" s="2407">
        <f t="shared" si="69"/>
        <v>1</v>
      </c>
      <c r="J435" s="3103"/>
      <c r="K435" s="2407">
        <f t="shared" si="70"/>
        <v>1</v>
      </c>
      <c r="L435" s="3103"/>
      <c r="M435" s="2407">
        <f t="shared" si="71"/>
        <v>1</v>
      </c>
      <c r="N435" s="3103"/>
      <c r="O435" s="2407">
        <f t="shared" si="72"/>
        <v>1</v>
      </c>
      <c r="P435" s="3491"/>
      <c r="Q435" s="2407">
        <f t="shared" si="73"/>
        <v>0</v>
      </c>
      <c r="R435" s="2407">
        <f t="shared" si="74"/>
        <v>0</v>
      </c>
      <c r="S435" s="3098">
        <f t="shared" si="65"/>
        <v>0</v>
      </c>
    </row>
    <row r="436" spans="1:19">
      <c r="A436" s="2571"/>
      <c r="B436" s="3107"/>
      <c r="C436" s="2407">
        <f t="shared" si="66"/>
        <v>1</v>
      </c>
      <c r="D436" s="3103"/>
      <c r="E436" s="2407">
        <f t="shared" si="67"/>
        <v>0</v>
      </c>
      <c r="F436" s="3103"/>
      <c r="G436" s="2407">
        <f t="shared" si="68"/>
        <v>1</v>
      </c>
      <c r="H436" s="3103"/>
      <c r="I436" s="2407">
        <f t="shared" si="69"/>
        <v>1</v>
      </c>
      <c r="J436" s="3103"/>
      <c r="K436" s="2407">
        <f t="shared" si="70"/>
        <v>1</v>
      </c>
      <c r="L436" s="3103"/>
      <c r="M436" s="2407">
        <f t="shared" si="71"/>
        <v>1</v>
      </c>
      <c r="N436" s="3103"/>
      <c r="O436" s="2407">
        <f t="shared" si="72"/>
        <v>1</v>
      </c>
      <c r="P436" s="3491"/>
      <c r="Q436" s="2407">
        <f t="shared" si="73"/>
        <v>0</v>
      </c>
      <c r="R436" s="2407">
        <f t="shared" si="74"/>
        <v>0</v>
      </c>
      <c r="S436" s="3098">
        <f t="shared" si="65"/>
        <v>0</v>
      </c>
    </row>
    <row r="437" spans="1:19">
      <c r="A437" s="2571"/>
      <c r="B437" s="3107"/>
      <c r="C437" s="2407">
        <f t="shared" si="66"/>
        <v>1</v>
      </c>
      <c r="D437" s="3103"/>
      <c r="E437" s="2407">
        <f t="shared" si="67"/>
        <v>0</v>
      </c>
      <c r="F437" s="3103"/>
      <c r="G437" s="2407">
        <f t="shared" si="68"/>
        <v>1</v>
      </c>
      <c r="H437" s="3103"/>
      <c r="I437" s="2407">
        <f t="shared" si="69"/>
        <v>1</v>
      </c>
      <c r="J437" s="3103"/>
      <c r="K437" s="2407">
        <f t="shared" si="70"/>
        <v>1</v>
      </c>
      <c r="L437" s="3103"/>
      <c r="M437" s="2407">
        <f t="shared" si="71"/>
        <v>1</v>
      </c>
      <c r="N437" s="3103"/>
      <c r="O437" s="2407">
        <f t="shared" si="72"/>
        <v>1</v>
      </c>
      <c r="P437" s="3491"/>
      <c r="Q437" s="2407">
        <f t="shared" si="73"/>
        <v>0</v>
      </c>
      <c r="R437" s="2407">
        <f t="shared" si="74"/>
        <v>0</v>
      </c>
      <c r="S437" s="3098">
        <f t="shared" si="65"/>
        <v>0</v>
      </c>
    </row>
    <row r="438" spans="1:19">
      <c r="A438" s="2571"/>
      <c r="B438" s="3107"/>
      <c r="C438" s="2407">
        <f t="shared" si="66"/>
        <v>1</v>
      </c>
      <c r="D438" s="3103"/>
      <c r="E438" s="2407">
        <f t="shared" si="67"/>
        <v>0</v>
      </c>
      <c r="F438" s="3103"/>
      <c r="G438" s="2407">
        <f t="shared" si="68"/>
        <v>1</v>
      </c>
      <c r="H438" s="3103"/>
      <c r="I438" s="2407">
        <f t="shared" si="69"/>
        <v>1</v>
      </c>
      <c r="J438" s="3103"/>
      <c r="K438" s="2407">
        <f t="shared" si="70"/>
        <v>1</v>
      </c>
      <c r="L438" s="3103"/>
      <c r="M438" s="2407">
        <f t="shared" si="71"/>
        <v>1</v>
      </c>
      <c r="N438" s="3103"/>
      <c r="O438" s="2407">
        <f t="shared" si="72"/>
        <v>1</v>
      </c>
      <c r="P438" s="3491"/>
      <c r="Q438" s="2407">
        <f t="shared" si="73"/>
        <v>0</v>
      </c>
      <c r="R438" s="2407">
        <f t="shared" si="74"/>
        <v>0</v>
      </c>
      <c r="S438" s="3098">
        <f t="shared" si="65"/>
        <v>0</v>
      </c>
    </row>
    <row r="439" spans="1:19">
      <c r="A439" s="2571"/>
      <c r="B439" s="3107"/>
      <c r="C439" s="2407">
        <f t="shared" si="66"/>
        <v>1</v>
      </c>
      <c r="D439" s="3103"/>
      <c r="E439" s="2407">
        <f t="shared" si="67"/>
        <v>0</v>
      </c>
      <c r="F439" s="3103"/>
      <c r="G439" s="2407">
        <f t="shared" si="68"/>
        <v>1</v>
      </c>
      <c r="H439" s="3103"/>
      <c r="I439" s="2407">
        <f t="shared" si="69"/>
        <v>1</v>
      </c>
      <c r="J439" s="3103"/>
      <c r="K439" s="2407">
        <f t="shared" si="70"/>
        <v>1</v>
      </c>
      <c r="L439" s="3103"/>
      <c r="M439" s="2407">
        <f t="shared" si="71"/>
        <v>1</v>
      </c>
      <c r="N439" s="3103"/>
      <c r="O439" s="2407">
        <f t="shared" si="72"/>
        <v>1</v>
      </c>
      <c r="P439" s="3491"/>
      <c r="Q439" s="2407">
        <f t="shared" si="73"/>
        <v>0</v>
      </c>
      <c r="R439" s="2407">
        <f t="shared" si="74"/>
        <v>0</v>
      </c>
      <c r="S439" s="3098">
        <f t="shared" si="65"/>
        <v>0</v>
      </c>
    </row>
    <row r="440" spans="1:19">
      <c r="A440" s="2571"/>
      <c r="B440" s="3107"/>
      <c r="C440" s="2407">
        <f t="shared" si="66"/>
        <v>1</v>
      </c>
      <c r="D440" s="3103"/>
      <c r="E440" s="2407">
        <f t="shared" si="67"/>
        <v>0</v>
      </c>
      <c r="F440" s="3103"/>
      <c r="G440" s="2407">
        <f t="shared" si="68"/>
        <v>1</v>
      </c>
      <c r="H440" s="3103"/>
      <c r="I440" s="2407">
        <f t="shared" si="69"/>
        <v>1</v>
      </c>
      <c r="J440" s="3103"/>
      <c r="K440" s="2407">
        <f t="shared" si="70"/>
        <v>1</v>
      </c>
      <c r="L440" s="3103"/>
      <c r="M440" s="2407">
        <f t="shared" si="71"/>
        <v>1</v>
      </c>
      <c r="N440" s="3103"/>
      <c r="O440" s="2407">
        <f t="shared" si="72"/>
        <v>1</v>
      </c>
      <c r="P440" s="3491"/>
      <c r="Q440" s="2407">
        <f t="shared" si="73"/>
        <v>0</v>
      </c>
      <c r="R440" s="2407">
        <f t="shared" si="74"/>
        <v>0</v>
      </c>
      <c r="S440" s="3098">
        <f t="shared" si="65"/>
        <v>0</v>
      </c>
    </row>
    <row r="441" spans="1:19">
      <c r="A441" s="2571"/>
      <c r="B441" s="3107"/>
      <c r="C441" s="2407">
        <f t="shared" si="66"/>
        <v>1</v>
      </c>
      <c r="D441" s="3103"/>
      <c r="E441" s="2407">
        <f t="shared" si="67"/>
        <v>0</v>
      </c>
      <c r="F441" s="3103"/>
      <c r="G441" s="2407">
        <f t="shared" si="68"/>
        <v>1</v>
      </c>
      <c r="H441" s="3103"/>
      <c r="I441" s="2407">
        <f t="shared" si="69"/>
        <v>1</v>
      </c>
      <c r="J441" s="3103"/>
      <c r="K441" s="2407">
        <f t="shared" si="70"/>
        <v>1</v>
      </c>
      <c r="L441" s="3103"/>
      <c r="M441" s="2407">
        <f t="shared" si="71"/>
        <v>1</v>
      </c>
      <c r="N441" s="3103"/>
      <c r="O441" s="2407">
        <f t="shared" si="72"/>
        <v>1</v>
      </c>
      <c r="P441" s="3491"/>
      <c r="Q441" s="2407">
        <f t="shared" si="73"/>
        <v>0</v>
      </c>
      <c r="R441" s="2407">
        <f t="shared" si="74"/>
        <v>0</v>
      </c>
      <c r="S441" s="3098">
        <f t="shared" si="65"/>
        <v>0</v>
      </c>
    </row>
    <row r="442" spans="1:19">
      <c r="A442" s="2571"/>
      <c r="B442" s="3107"/>
      <c r="C442" s="2407">
        <f t="shared" si="66"/>
        <v>1</v>
      </c>
      <c r="D442" s="3103"/>
      <c r="E442" s="2407">
        <f t="shared" si="67"/>
        <v>0</v>
      </c>
      <c r="F442" s="3103"/>
      <c r="G442" s="2407">
        <f t="shared" si="68"/>
        <v>1</v>
      </c>
      <c r="H442" s="3103"/>
      <c r="I442" s="2407">
        <f t="shared" si="69"/>
        <v>1</v>
      </c>
      <c r="J442" s="3103"/>
      <c r="K442" s="2407">
        <f t="shared" si="70"/>
        <v>1</v>
      </c>
      <c r="L442" s="3103"/>
      <c r="M442" s="2407">
        <f t="shared" si="71"/>
        <v>1</v>
      </c>
      <c r="N442" s="3103"/>
      <c r="O442" s="2407">
        <f t="shared" si="72"/>
        <v>1</v>
      </c>
      <c r="P442" s="3491"/>
      <c r="Q442" s="2407">
        <f t="shared" si="73"/>
        <v>0</v>
      </c>
      <c r="R442" s="2407">
        <f t="shared" si="74"/>
        <v>0</v>
      </c>
      <c r="S442" s="3098">
        <f t="shared" si="65"/>
        <v>0</v>
      </c>
    </row>
    <row r="443" spans="1:19">
      <c r="A443" s="2571"/>
      <c r="B443" s="3107"/>
      <c r="C443" s="2407">
        <f t="shared" si="66"/>
        <v>1</v>
      </c>
      <c r="D443" s="3103"/>
      <c r="E443" s="2407">
        <f t="shared" si="67"/>
        <v>0</v>
      </c>
      <c r="F443" s="3103"/>
      <c r="G443" s="2407">
        <f t="shared" si="68"/>
        <v>1</v>
      </c>
      <c r="H443" s="3103"/>
      <c r="I443" s="2407">
        <f t="shared" si="69"/>
        <v>1</v>
      </c>
      <c r="J443" s="3103"/>
      <c r="K443" s="2407">
        <f t="shared" si="70"/>
        <v>1</v>
      </c>
      <c r="L443" s="3103"/>
      <c r="M443" s="2407">
        <f t="shared" si="71"/>
        <v>1</v>
      </c>
      <c r="N443" s="3103"/>
      <c r="O443" s="2407">
        <f t="shared" si="72"/>
        <v>1</v>
      </c>
      <c r="P443" s="3491"/>
      <c r="Q443" s="2407">
        <f t="shared" si="73"/>
        <v>0</v>
      </c>
      <c r="R443" s="2407">
        <f t="shared" si="74"/>
        <v>0</v>
      </c>
      <c r="S443" s="3098">
        <f t="shared" si="65"/>
        <v>0</v>
      </c>
    </row>
    <row r="444" spans="1:19">
      <c r="A444" s="2571"/>
      <c r="B444" s="3107"/>
      <c r="C444" s="2407">
        <f t="shared" si="66"/>
        <v>1</v>
      </c>
      <c r="D444" s="3103"/>
      <c r="E444" s="2407">
        <f t="shared" si="67"/>
        <v>0</v>
      </c>
      <c r="F444" s="3103"/>
      <c r="G444" s="2407">
        <f t="shared" si="68"/>
        <v>1</v>
      </c>
      <c r="H444" s="3103"/>
      <c r="I444" s="2407">
        <f t="shared" si="69"/>
        <v>1</v>
      </c>
      <c r="J444" s="3103"/>
      <c r="K444" s="2407">
        <f t="shared" si="70"/>
        <v>1</v>
      </c>
      <c r="L444" s="3103"/>
      <c r="M444" s="2407">
        <f t="shared" si="71"/>
        <v>1</v>
      </c>
      <c r="N444" s="3103"/>
      <c r="O444" s="2407">
        <f t="shared" si="72"/>
        <v>1</v>
      </c>
      <c r="P444" s="3491"/>
      <c r="Q444" s="2407">
        <f t="shared" si="73"/>
        <v>0</v>
      </c>
      <c r="R444" s="2407">
        <f t="shared" si="74"/>
        <v>0</v>
      </c>
      <c r="S444" s="3098">
        <f t="shared" si="65"/>
        <v>0</v>
      </c>
    </row>
    <row r="445" spans="1:19">
      <c r="A445" s="2571"/>
      <c r="B445" s="3107"/>
      <c r="C445" s="2407">
        <f t="shared" si="66"/>
        <v>1</v>
      </c>
      <c r="D445" s="3103"/>
      <c r="E445" s="2407">
        <f t="shared" si="67"/>
        <v>0</v>
      </c>
      <c r="F445" s="3103"/>
      <c r="G445" s="2407">
        <f t="shared" si="68"/>
        <v>1</v>
      </c>
      <c r="H445" s="3103"/>
      <c r="I445" s="2407">
        <f t="shared" si="69"/>
        <v>1</v>
      </c>
      <c r="J445" s="3103"/>
      <c r="K445" s="2407">
        <f t="shared" si="70"/>
        <v>1</v>
      </c>
      <c r="L445" s="3103"/>
      <c r="M445" s="2407">
        <f t="shared" si="71"/>
        <v>1</v>
      </c>
      <c r="N445" s="3103"/>
      <c r="O445" s="2407">
        <f t="shared" si="72"/>
        <v>1</v>
      </c>
      <c r="P445" s="3491"/>
      <c r="Q445" s="2407">
        <f t="shared" si="73"/>
        <v>0</v>
      </c>
      <c r="R445" s="2407">
        <f t="shared" si="74"/>
        <v>0</v>
      </c>
      <c r="S445" s="3098">
        <f t="shared" si="65"/>
        <v>0</v>
      </c>
    </row>
    <row r="446" spans="1:19">
      <c r="A446" s="2571"/>
      <c r="B446" s="3107"/>
      <c r="C446" s="2407">
        <f t="shared" si="66"/>
        <v>1</v>
      </c>
      <c r="D446" s="3103"/>
      <c r="E446" s="2407">
        <f t="shared" si="67"/>
        <v>0</v>
      </c>
      <c r="F446" s="3103"/>
      <c r="G446" s="2407">
        <f t="shared" si="68"/>
        <v>1</v>
      </c>
      <c r="H446" s="3103"/>
      <c r="I446" s="2407">
        <f t="shared" si="69"/>
        <v>1</v>
      </c>
      <c r="J446" s="3103"/>
      <c r="K446" s="2407">
        <f t="shared" si="70"/>
        <v>1</v>
      </c>
      <c r="L446" s="3103"/>
      <c r="M446" s="2407">
        <f t="shared" si="71"/>
        <v>1</v>
      </c>
      <c r="N446" s="3103"/>
      <c r="O446" s="2407">
        <f t="shared" si="72"/>
        <v>1</v>
      </c>
      <c r="P446" s="3491"/>
      <c r="Q446" s="2407">
        <f t="shared" si="73"/>
        <v>0</v>
      </c>
      <c r="R446" s="2407">
        <f t="shared" si="74"/>
        <v>0</v>
      </c>
      <c r="S446" s="3098">
        <f t="shared" si="65"/>
        <v>0</v>
      </c>
    </row>
    <row r="447" spans="1:19">
      <c r="A447" s="2571"/>
      <c r="B447" s="3107"/>
      <c r="C447" s="2407">
        <f t="shared" si="66"/>
        <v>1</v>
      </c>
      <c r="D447" s="3103"/>
      <c r="E447" s="2407">
        <f t="shared" si="67"/>
        <v>0</v>
      </c>
      <c r="F447" s="3103"/>
      <c r="G447" s="2407">
        <f t="shared" si="68"/>
        <v>1</v>
      </c>
      <c r="H447" s="3103"/>
      <c r="I447" s="2407">
        <f t="shared" si="69"/>
        <v>1</v>
      </c>
      <c r="J447" s="3103"/>
      <c r="K447" s="2407">
        <f t="shared" si="70"/>
        <v>1</v>
      </c>
      <c r="L447" s="3103"/>
      <c r="M447" s="2407">
        <f t="shared" si="71"/>
        <v>1</v>
      </c>
      <c r="N447" s="3103"/>
      <c r="O447" s="2407">
        <f t="shared" si="72"/>
        <v>1</v>
      </c>
      <c r="P447" s="3491"/>
      <c r="Q447" s="2407">
        <f t="shared" si="73"/>
        <v>0</v>
      </c>
      <c r="R447" s="2407">
        <f t="shared" si="74"/>
        <v>0</v>
      </c>
      <c r="S447" s="3098">
        <f t="shared" si="65"/>
        <v>0</v>
      </c>
    </row>
    <row r="448" spans="1:19">
      <c r="A448" s="2571"/>
      <c r="B448" s="3107"/>
      <c r="C448" s="2407">
        <f t="shared" si="66"/>
        <v>1</v>
      </c>
      <c r="D448" s="3103"/>
      <c r="E448" s="2407">
        <f t="shared" si="67"/>
        <v>0</v>
      </c>
      <c r="F448" s="3103"/>
      <c r="G448" s="2407">
        <f t="shared" si="68"/>
        <v>1</v>
      </c>
      <c r="H448" s="3103"/>
      <c r="I448" s="2407">
        <f t="shared" si="69"/>
        <v>1</v>
      </c>
      <c r="J448" s="3103"/>
      <c r="K448" s="2407">
        <f t="shared" si="70"/>
        <v>1</v>
      </c>
      <c r="L448" s="3103"/>
      <c r="M448" s="2407">
        <f t="shared" si="71"/>
        <v>1</v>
      </c>
      <c r="N448" s="3103"/>
      <c r="O448" s="2407">
        <f t="shared" si="72"/>
        <v>1</v>
      </c>
      <c r="P448" s="3491"/>
      <c r="Q448" s="2407">
        <f t="shared" si="73"/>
        <v>0</v>
      </c>
      <c r="R448" s="2407">
        <f t="shared" si="74"/>
        <v>0</v>
      </c>
      <c r="S448" s="3098">
        <f t="shared" si="65"/>
        <v>0</v>
      </c>
    </row>
    <row r="449" spans="1:19">
      <c r="A449" s="2571"/>
      <c r="B449" s="3107"/>
      <c r="C449" s="2407">
        <f t="shared" si="66"/>
        <v>1</v>
      </c>
      <c r="D449" s="3103"/>
      <c r="E449" s="2407">
        <f t="shared" si="67"/>
        <v>0</v>
      </c>
      <c r="F449" s="3103"/>
      <c r="G449" s="2407">
        <f t="shared" si="68"/>
        <v>1</v>
      </c>
      <c r="H449" s="3103"/>
      <c r="I449" s="2407">
        <f t="shared" si="69"/>
        <v>1</v>
      </c>
      <c r="J449" s="3103"/>
      <c r="K449" s="2407">
        <f t="shared" si="70"/>
        <v>1</v>
      </c>
      <c r="L449" s="3103"/>
      <c r="M449" s="2407">
        <f t="shared" si="71"/>
        <v>1</v>
      </c>
      <c r="N449" s="3103"/>
      <c r="O449" s="2407">
        <f t="shared" si="72"/>
        <v>1</v>
      </c>
      <c r="P449" s="3491"/>
      <c r="Q449" s="2407">
        <f t="shared" si="73"/>
        <v>0</v>
      </c>
      <c r="R449" s="2407">
        <f t="shared" si="74"/>
        <v>0</v>
      </c>
      <c r="S449" s="3098">
        <f t="shared" si="65"/>
        <v>0</v>
      </c>
    </row>
    <row r="450" spans="1:19">
      <c r="A450" s="2571"/>
      <c r="B450" s="3107"/>
      <c r="C450" s="2407">
        <f t="shared" si="66"/>
        <v>1</v>
      </c>
      <c r="D450" s="3103"/>
      <c r="E450" s="2407">
        <f t="shared" si="67"/>
        <v>0</v>
      </c>
      <c r="F450" s="3103"/>
      <c r="G450" s="2407">
        <f t="shared" si="68"/>
        <v>1</v>
      </c>
      <c r="H450" s="3103"/>
      <c r="I450" s="2407">
        <f t="shared" si="69"/>
        <v>1</v>
      </c>
      <c r="J450" s="3103"/>
      <c r="K450" s="2407">
        <f t="shared" si="70"/>
        <v>1</v>
      </c>
      <c r="L450" s="3103"/>
      <c r="M450" s="2407">
        <f t="shared" si="71"/>
        <v>1</v>
      </c>
      <c r="N450" s="3103"/>
      <c r="O450" s="2407">
        <f t="shared" si="72"/>
        <v>1</v>
      </c>
      <c r="P450" s="3491"/>
      <c r="Q450" s="2407">
        <f t="shared" si="73"/>
        <v>0</v>
      </c>
      <c r="R450" s="2407">
        <f t="shared" si="74"/>
        <v>0</v>
      </c>
      <c r="S450" s="3098">
        <f t="shared" si="65"/>
        <v>0</v>
      </c>
    </row>
    <row r="451" spans="1:19">
      <c r="A451" s="2571"/>
      <c r="B451" s="3107"/>
      <c r="C451" s="2407">
        <f t="shared" si="66"/>
        <v>1</v>
      </c>
      <c r="D451" s="3103"/>
      <c r="E451" s="2407">
        <f t="shared" si="67"/>
        <v>0</v>
      </c>
      <c r="F451" s="3103"/>
      <c r="G451" s="2407">
        <f t="shared" si="68"/>
        <v>1</v>
      </c>
      <c r="H451" s="3103"/>
      <c r="I451" s="2407">
        <f t="shared" si="69"/>
        <v>1</v>
      </c>
      <c r="J451" s="3103"/>
      <c r="K451" s="2407">
        <f t="shared" si="70"/>
        <v>1</v>
      </c>
      <c r="L451" s="3103"/>
      <c r="M451" s="2407">
        <f t="shared" si="71"/>
        <v>1</v>
      </c>
      <c r="N451" s="3103"/>
      <c r="O451" s="2407">
        <f t="shared" si="72"/>
        <v>1</v>
      </c>
      <c r="P451" s="3491"/>
      <c r="Q451" s="2407">
        <f t="shared" si="73"/>
        <v>0</v>
      </c>
      <c r="R451" s="2407">
        <f t="shared" si="74"/>
        <v>0</v>
      </c>
      <c r="S451" s="3098">
        <f t="shared" si="65"/>
        <v>0</v>
      </c>
    </row>
    <row r="452" spans="1:19">
      <c r="A452" s="2571"/>
      <c r="B452" s="3107"/>
      <c r="C452" s="2407">
        <f t="shared" si="66"/>
        <v>1</v>
      </c>
      <c r="D452" s="3103"/>
      <c r="E452" s="2407">
        <f t="shared" si="67"/>
        <v>0</v>
      </c>
      <c r="F452" s="3103"/>
      <c r="G452" s="2407">
        <f t="shared" si="68"/>
        <v>1</v>
      </c>
      <c r="H452" s="3103"/>
      <c r="I452" s="2407">
        <f t="shared" si="69"/>
        <v>1</v>
      </c>
      <c r="J452" s="3103"/>
      <c r="K452" s="2407">
        <f t="shared" si="70"/>
        <v>1</v>
      </c>
      <c r="L452" s="3103"/>
      <c r="M452" s="2407">
        <f t="shared" si="71"/>
        <v>1</v>
      </c>
      <c r="N452" s="3103"/>
      <c r="O452" s="2407">
        <f t="shared" si="72"/>
        <v>1</v>
      </c>
      <c r="P452" s="3491"/>
      <c r="Q452" s="2407">
        <f t="shared" si="73"/>
        <v>0</v>
      </c>
      <c r="R452" s="2407">
        <f t="shared" si="74"/>
        <v>0</v>
      </c>
      <c r="S452" s="3098">
        <f t="shared" si="65"/>
        <v>0</v>
      </c>
    </row>
    <row r="453" spans="1:19">
      <c r="A453" s="2571"/>
      <c r="B453" s="3107"/>
      <c r="C453" s="2407">
        <f t="shared" si="66"/>
        <v>1</v>
      </c>
      <c r="D453" s="3103"/>
      <c r="E453" s="2407">
        <f t="shared" si="67"/>
        <v>0</v>
      </c>
      <c r="F453" s="3103"/>
      <c r="G453" s="2407">
        <f t="shared" si="68"/>
        <v>1</v>
      </c>
      <c r="H453" s="3103"/>
      <c r="I453" s="2407">
        <f t="shared" si="69"/>
        <v>1</v>
      </c>
      <c r="J453" s="3103"/>
      <c r="K453" s="2407">
        <f t="shared" si="70"/>
        <v>1</v>
      </c>
      <c r="L453" s="3103"/>
      <c r="M453" s="2407">
        <f t="shared" si="71"/>
        <v>1</v>
      </c>
      <c r="N453" s="3103"/>
      <c r="O453" s="2407">
        <f t="shared" si="72"/>
        <v>1</v>
      </c>
      <c r="P453" s="3491"/>
      <c r="Q453" s="2407">
        <f t="shared" si="73"/>
        <v>0</v>
      </c>
      <c r="R453" s="2407">
        <f t="shared" si="74"/>
        <v>0</v>
      </c>
      <c r="S453" s="3098">
        <f t="shared" si="65"/>
        <v>0</v>
      </c>
    </row>
    <row r="454" spans="1:19">
      <c r="A454" s="2571"/>
      <c r="B454" s="3107"/>
      <c r="C454" s="2407">
        <f t="shared" si="66"/>
        <v>1</v>
      </c>
      <c r="D454" s="3103"/>
      <c r="E454" s="2407">
        <f t="shared" si="67"/>
        <v>0</v>
      </c>
      <c r="F454" s="3103"/>
      <c r="G454" s="2407">
        <f t="shared" si="68"/>
        <v>1</v>
      </c>
      <c r="H454" s="3103"/>
      <c r="I454" s="2407">
        <f t="shared" si="69"/>
        <v>1</v>
      </c>
      <c r="J454" s="3103"/>
      <c r="K454" s="2407">
        <f t="shared" si="70"/>
        <v>1</v>
      </c>
      <c r="L454" s="3103"/>
      <c r="M454" s="2407">
        <f t="shared" si="71"/>
        <v>1</v>
      </c>
      <c r="N454" s="3103"/>
      <c r="O454" s="2407">
        <f t="shared" si="72"/>
        <v>1</v>
      </c>
      <c r="P454" s="3491"/>
      <c r="Q454" s="2407">
        <f t="shared" si="73"/>
        <v>0</v>
      </c>
      <c r="R454" s="2407">
        <f t="shared" si="74"/>
        <v>0</v>
      </c>
      <c r="S454" s="3098">
        <f t="shared" si="65"/>
        <v>0</v>
      </c>
    </row>
    <row r="455" spans="1:19">
      <c r="A455" s="2571"/>
      <c r="B455" s="3107"/>
      <c r="C455" s="2407">
        <f t="shared" si="66"/>
        <v>1</v>
      </c>
      <c r="D455" s="3103"/>
      <c r="E455" s="2407">
        <f t="shared" si="67"/>
        <v>0</v>
      </c>
      <c r="F455" s="3103"/>
      <c r="G455" s="2407">
        <f t="shared" si="68"/>
        <v>1</v>
      </c>
      <c r="H455" s="3103"/>
      <c r="I455" s="2407">
        <f t="shared" si="69"/>
        <v>1</v>
      </c>
      <c r="J455" s="3103"/>
      <c r="K455" s="2407">
        <f t="shared" si="70"/>
        <v>1</v>
      </c>
      <c r="L455" s="3103"/>
      <c r="M455" s="2407">
        <f t="shared" si="71"/>
        <v>1</v>
      </c>
      <c r="N455" s="3103"/>
      <c r="O455" s="2407">
        <f t="shared" si="72"/>
        <v>1</v>
      </c>
      <c r="P455" s="3491"/>
      <c r="Q455" s="2407">
        <f t="shared" si="73"/>
        <v>0</v>
      </c>
      <c r="R455" s="2407">
        <f t="shared" si="74"/>
        <v>0</v>
      </c>
      <c r="S455" s="3098">
        <f t="shared" si="65"/>
        <v>0</v>
      </c>
    </row>
    <row r="456" spans="1:19">
      <c r="A456" s="2571"/>
      <c r="B456" s="3107"/>
      <c r="C456" s="2407">
        <f t="shared" si="66"/>
        <v>1</v>
      </c>
      <c r="D456" s="3103"/>
      <c r="E456" s="2407">
        <f t="shared" si="67"/>
        <v>0</v>
      </c>
      <c r="F456" s="3103"/>
      <c r="G456" s="2407">
        <f t="shared" si="68"/>
        <v>1</v>
      </c>
      <c r="H456" s="3103"/>
      <c r="I456" s="2407">
        <f t="shared" si="69"/>
        <v>1</v>
      </c>
      <c r="J456" s="3103"/>
      <c r="K456" s="2407">
        <f t="shared" si="70"/>
        <v>1</v>
      </c>
      <c r="L456" s="3103"/>
      <c r="M456" s="2407">
        <f t="shared" si="71"/>
        <v>1</v>
      </c>
      <c r="N456" s="3103"/>
      <c r="O456" s="2407">
        <f t="shared" si="72"/>
        <v>1</v>
      </c>
      <c r="P456" s="3491"/>
      <c r="Q456" s="2407">
        <f t="shared" si="73"/>
        <v>0</v>
      </c>
      <c r="R456" s="2407">
        <f t="shared" si="74"/>
        <v>0</v>
      </c>
      <c r="S456" s="3098">
        <f t="shared" si="65"/>
        <v>0</v>
      </c>
    </row>
    <row r="457" spans="1:19">
      <c r="A457" s="2571"/>
      <c r="B457" s="3107"/>
      <c r="C457" s="2407">
        <f t="shared" si="66"/>
        <v>1</v>
      </c>
      <c r="D457" s="3103"/>
      <c r="E457" s="2407">
        <f t="shared" si="67"/>
        <v>0</v>
      </c>
      <c r="F457" s="3103"/>
      <c r="G457" s="2407">
        <f t="shared" si="68"/>
        <v>1</v>
      </c>
      <c r="H457" s="3103"/>
      <c r="I457" s="2407">
        <f t="shared" si="69"/>
        <v>1</v>
      </c>
      <c r="J457" s="3103"/>
      <c r="K457" s="2407">
        <f t="shared" si="70"/>
        <v>1</v>
      </c>
      <c r="L457" s="3103"/>
      <c r="M457" s="2407">
        <f t="shared" si="71"/>
        <v>1</v>
      </c>
      <c r="N457" s="3103"/>
      <c r="O457" s="2407">
        <f t="shared" si="72"/>
        <v>1</v>
      </c>
      <c r="P457" s="3491"/>
      <c r="Q457" s="2407">
        <f t="shared" si="73"/>
        <v>0</v>
      </c>
      <c r="R457" s="2407">
        <f t="shared" si="74"/>
        <v>0</v>
      </c>
      <c r="S457" s="3098">
        <f t="shared" si="65"/>
        <v>0</v>
      </c>
    </row>
    <row r="458" spans="1:19">
      <c r="A458" s="2571"/>
      <c r="B458" s="3107"/>
      <c r="C458" s="2407">
        <f t="shared" si="66"/>
        <v>1</v>
      </c>
      <c r="D458" s="3103"/>
      <c r="E458" s="2407">
        <f t="shared" si="67"/>
        <v>0</v>
      </c>
      <c r="F458" s="3103"/>
      <c r="G458" s="2407">
        <f t="shared" si="68"/>
        <v>1</v>
      </c>
      <c r="H458" s="3103"/>
      <c r="I458" s="2407">
        <f t="shared" si="69"/>
        <v>1</v>
      </c>
      <c r="J458" s="3103"/>
      <c r="K458" s="2407">
        <f t="shared" si="70"/>
        <v>1</v>
      </c>
      <c r="L458" s="3103"/>
      <c r="M458" s="2407">
        <f t="shared" si="71"/>
        <v>1</v>
      </c>
      <c r="N458" s="3103"/>
      <c r="O458" s="2407">
        <f t="shared" si="72"/>
        <v>1</v>
      </c>
      <c r="P458" s="3491"/>
      <c r="Q458" s="2407">
        <f t="shared" si="73"/>
        <v>0</v>
      </c>
      <c r="R458" s="2407">
        <f t="shared" si="74"/>
        <v>0</v>
      </c>
      <c r="S458" s="3098">
        <f t="shared" si="65"/>
        <v>0</v>
      </c>
    </row>
    <row r="459" spans="1:19">
      <c r="A459" s="2571"/>
      <c r="B459" s="3107"/>
      <c r="C459" s="2407">
        <f t="shared" si="66"/>
        <v>1</v>
      </c>
      <c r="D459" s="3103"/>
      <c r="E459" s="2407">
        <f t="shared" si="67"/>
        <v>0</v>
      </c>
      <c r="F459" s="3103"/>
      <c r="G459" s="2407">
        <f t="shared" si="68"/>
        <v>1</v>
      </c>
      <c r="H459" s="3103"/>
      <c r="I459" s="2407">
        <f t="shared" si="69"/>
        <v>1</v>
      </c>
      <c r="J459" s="3103"/>
      <c r="K459" s="2407">
        <f t="shared" si="70"/>
        <v>1</v>
      </c>
      <c r="L459" s="3103"/>
      <c r="M459" s="2407">
        <f t="shared" si="71"/>
        <v>1</v>
      </c>
      <c r="N459" s="3103"/>
      <c r="O459" s="2407">
        <f t="shared" si="72"/>
        <v>1</v>
      </c>
      <c r="P459" s="3491"/>
      <c r="Q459" s="2407">
        <f t="shared" si="73"/>
        <v>0</v>
      </c>
      <c r="R459" s="2407">
        <f t="shared" si="74"/>
        <v>0</v>
      </c>
      <c r="S459" s="3098">
        <f t="shared" si="65"/>
        <v>0</v>
      </c>
    </row>
    <row r="460" spans="1:19">
      <c r="A460" s="2571"/>
      <c r="B460" s="3107"/>
      <c r="C460" s="2407">
        <f t="shared" si="66"/>
        <v>1</v>
      </c>
      <c r="D460" s="3103"/>
      <c r="E460" s="2407">
        <f t="shared" si="67"/>
        <v>0</v>
      </c>
      <c r="F460" s="3103"/>
      <c r="G460" s="2407">
        <f t="shared" si="68"/>
        <v>1</v>
      </c>
      <c r="H460" s="3103"/>
      <c r="I460" s="2407">
        <f t="shared" si="69"/>
        <v>1</v>
      </c>
      <c r="J460" s="3103"/>
      <c r="K460" s="2407">
        <f t="shared" si="70"/>
        <v>1</v>
      </c>
      <c r="L460" s="3103"/>
      <c r="M460" s="2407">
        <f t="shared" si="71"/>
        <v>1</v>
      </c>
      <c r="N460" s="3103"/>
      <c r="O460" s="2407">
        <f t="shared" si="72"/>
        <v>1</v>
      </c>
      <c r="P460" s="3491"/>
      <c r="Q460" s="2407">
        <f t="shared" si="73"/>
        <v>0</v>
      </c>
      <c r="R460" s="2407">
        <f t="shared" si="74"/>
        <v>0</v>
      </c>
      <c r="S460" s="3098">
        <f t="shared" si="65"/>
        <v>0</v>
      </c>
    </row>
    <row r="461" spans="1:19">
      <c r="A461" s="2571"/>
      <c r="B461" s="3107"/>
      <c r="C461" s="2407">
        <f t="shared" si="66"/>
        <v>1</v>
      </c>
      <c r="D461" s="3103"/>
      <c r="E461" s="2407">
        <f t="shared" si="67"/>
        <v>0</v>
      </c>
      <c r="F461" s="3103"/>
      <c r="G461" s="2407">
        <f t="shared" si="68"/>
        <v>1</v>
      </c>
      <c r="H461" s="3103"/>
      <c r="I461" s="2407">
        <f t="shared" si="69"/>
        <v>1</v>
      </c>
      <c r="J461" s="3103"/>
      <c r="K461" s="2407">
        <f t="shared" si="70"/>
        <v>1</v>
      </c>
      <c r="L461" s="3103"/>
      <c r="M461" s="2407">
        <f t="shared" si="71"/>
        <v>1</v>
      </c>
      <c r="N461" s="3103"/>
      <c r="O461" s="2407">
        <f t="shared" si="72"/>
        <v>1</v>
      </c>
      <c r="P461" s="3491"/>
      <c r="Q461" s="2407">
        <f t="shared" si="73"/>
        <v>0</v>
      </c>
      <c r="R461" s="2407">
        <f t="shared" si="74"/>
        <v>0</v>
      </c>
      <c r="S461" s="3098">
        <f t="shared" si="65"/>
        <v>0</v>
      </c>
    </row>
    <row r="462" spans="1:19">
      <c r="A462" s="2571"/>
      <c r="B462" s="3107"/>
      <c r="C462" s="2407">
        <f t="shared" si="66"/>
        <v>1</v>
      </c>
      <c r="D462" s="3103"/>
      <c r="E462" s="2407">
        <f t="shared" si="67"/>
        <v>0</v>
      </c>
      <c r="F462" s="3103"/>
      <c r="G462" s="2407">
        <f t="shared" si="68"/>
        <v>1</v>
      </c>
      <c r="H462" s="3103"/>
      <c r="I462" s="2407">
        <f t="shared" si="69"/>
        <v>1</v>
      </c>
      <c r="J462" s="3103"/>
      <c r="K462" s="2407">
        <f t="shared" si="70"/>
        <v>1</v>
      </c>
      <c r="L462" s="3103"/>
      <c r="M462" s="2407">
        <f t="shared" si="71"/>
        <v>1</v>
      </c>
      <c r="N462" s="3103"/>
      <c r="O462" s="2407">
        <f t="shared" si="72"/>
        <v>1</v>
      </c>
      <c r="P462" s="3491"/>
      <c r="Q462" s="2407">
        <f t="shared" si="73"/>
        <v>0</v>
      </c>
      <c r="R462" s="2407">
        <f t="shared" si="74"/>
        <v>0</v>
      </c>
      <c r="S462" s="3098">
        <f t="shared" si="65"/>
        <v>0</v>
      </c>
    </row>
    <row r="463" spans="1:19">
      <c r="A463" s="2571"/>
      <c r="B463" s="3107"/>
      <c r="C463" s="2407">
        <f t="shared" si="66"/>
        <v>1</v>
      </c>
      <c r="D463" s="3103"/>
      <c r="E463" s="2407">
        <f t="shared" si="67"/>
        <v>0</v>
      </c>
      <c r="F463" s="3103"/>
      <c r="G463" s="2407">
        <f t="shared" si="68"/>
        <v>1</v>
      </c>
      <c r="H463" s="3103"/>
      <c r="I463" s="2407">
        <f t="shared" si="69"/>
        <v>1</v>
      </c>
      <c r="J463" s="3103"/>
      <c r="K463" s="2407">
        <f t="shared" si="70"/>
        <v>1</v>
      </c>
      <c r="L463" s="3103"/>
      <c r="M463" s="2407">
        <f t="shared" si="71"/>
        <v>1</v>
      </c>
      <c r="N463" s="3103"/>
      <c r="O463" s="2407">
        <f t="shared" si="72"/>
        <v>1</v>
      </c>
      <c r="P463" s="3491"/>
      <c r="Q463" s="2407">
        <f t="shared" si="73"/>
        <v>0</v>
      </c>
      <c r="R463" s="2407">
        <f t="shared" si="74"/>
        <v>0</v>
      </c>
      <c r="S463" s="3098">
        <f t="shared" si="65"/>
        <v>0</v>
      </c>
    </row>
    <row r="464" spans="1:19">
      <c r="A464" s="2571"/>
      <c r="B464" s="3107"/>
      <c r="C464" s="2407">
        <f t="shared" si="66"/>
        <v>1</v>
      </c>
      <c r="D464" s="3103"/>
      <c r="E464" s="2407">
        <f t="shared" si="67"/>
        <v>0</v>
      </c>
      <c r="F464" s="3103"/>
      <c r="G464" s="2407">
        <f t="shared" si="68"/>
        <v>1</v>
      </c>
      <c r="H464" s="3103"/>
      <c r="I464" s="2407">
        <f t="shared" si="69"/>
        <v>1</v>
      </c>
      <c r="J464" s="3103"/>
      <c r="K464" s="2407">
        <f t="shared" si="70"/>
        <v>1</v>
      </c>
      <c r="L464" s="3103"/>
      <c r="M464" s="2407">
        <f t="shared" si="71"/>
        <v>1</v>
      </c>
      <c r="N464" s="3103"/>
      <c r="O464" s="2407">
        <f t="shared" si="72"/>
        <v>1</v>
      </c>
      <c r="P464" s="3491"/>
      <c r="Q464" s="2407">
        <f t="shared" si="73"/>
        <v>0</v>
      </c>
      <c r="R464" s="2407">
        <f t="shared" si="74"/>
        <v>0</v>
      </c>
      <c r="S464" s="3098">
        <f t="shared" si="65"/>
        <v>0</v>
      </c>
    </row>
    <row r="465" spans="1:19">
      <c r="A465" s="2571"/>
      <c r="B465" s="3107"/>
      <c r="C465" s="2407">
        <f t="shared" si="66"/>
        <v>1</v>
      </c>
      <c r="D465" s="3103"/>
      <c r="E465" s="2407">
        <f t="shared" si="67"/>
        <v>0</v>
      </c>
      <c r="F465" s="3103"/>
      <c r="G465" s="2407">
        <f t="shared" si="68"/>
        <v>1</v>
      </c>
      <c r="H465" s="3103"/>
      <c r="I465" s="2407">
        <f t="shared" si="69"/>
        <v>1</v>
      </c>
      <c r="J465" s="3103"/>
      <c r="K465" s="2407">
        <f t="shared" si="70"/>
        <v>1</v>
      </c>
      <c r="L465" s="3103"/>
      <c r="M465" s="2407">
        <f t="shared" si="71"/>
        <v>1</v>
      </c>
      <c r="N465" s="3103"/>
      <c r="O465" s="2407">
        <f t="shared" si="72"/>
        <v>1</v>
      </c>
      <c r="P465" s="3491"/>
      <c r="Q465" s="2407">
        <f t="shared" si="73"/>
        <v>0</v>
      </c>
      <c r="R465" s="2407">
        <f t="shared" si="74"/>
        <v>0</v>
      </c>
      <c r="S465" s="3098">
        <f t="shared" si="65"/>
        <v>0</v>
      </c>
    </row>
    <row r="466" spans="1:19">
      <c r="A466" s="2571"/>
      <c r="B466" s="3107"/>
      <c r="C466" s="2407">
        <f t="shared" si="66"/>
        <v>1</v>
      </c>
      <c r="D466" s="3103"/>
      <c r="E466" s="2407">
        <f t="shared" si="67"/>
        <v>0</v>
      </c>
      <c r="F466" s="3103"/>
      <c r="G466" s="2407">
        <f t="shared" si="68"/>
        <v>1</v>
      </c>
      <c r="H466" s="3103"/>
      <c r="I466" s="2407">
        <f t="shared" si="69"/>
        <v>1</v>
      </c>
      <c r="J466" s="3103"/>
      <c r="K466" s="2407">
        <f t="shared" si="70"/>
        <v>1</v>
      </c>
      <c r="L466" s="3103"/>
      <c r="M466" s="2407">
        <f t="shared" si="71"/>
        <v>1</v>
      </c>
      <c r="N466" s="3103"/>
      <c r="O466" s="2407">
        <f t="shared" si="72"/>
        <v>1</v>
      </c>
      <c r="P466" s="3491"/>
      <c r="Q466" s="2407">
        <f t="shared" si="73"/>
        <v>0</v>
      </c>
      <c r="R466" s="2407">
        <f t="shared" si="74"/>
        <v>0</v>
      </c>
      <c r="S466" s="3098">
        <f t="shared" si="65"/>
        <v>0</v>
      </c>
    </row>
    <row r="467" spans="1:19">
      <c r="A467" s="2571"/>
      <c r="B467" s="3107"/>
      <c r="C467" s="2407">
        <f t="shared" si="66"/>
        <v>1</v>
      </c>
      <c r="D467" s="3103"/>
      <c r="E467" s="2407">
        <f t="shared" si="67"/>
        <v>0</v>
      </c>
      <c r="F467" s="3103"/>
      <c r="G467" s="2407">
        <f t="shared" si="68"/>
        <v>1</v>
      </c>
      <c r="H467" s="3103"/>
      <c r="I467" s="2407">
        <f t="shared" si="69"/>
        <v>1</v>
      </c>
      <c r="J467" s="3103"/>
      <c r="K467" s="2407">
        <f t="shared" si="70"/>
        <v>1</v>
      </c>
      <c r="L467" s="3103"/>
      <c r="M467" s="2407">
        <f t="shared" si="71"/>
        <v>1</v>
      </c>
      <c r="N467" s="3103"/>
      <c r="O467" s="2407">
        <f t="shared" si="72"/>
        <v>1</v>
      </c>
      <c r="P467" s="3491"/>
      <c r="Q467" s="2407">
        <f t="shared" si="73"/>
        <v>0</v>
      </c>
      <c r="R467" s="2407">
        <f t="shared" si="74"/>
        <v>0</v>
      </c>
      <c r="S467" s="3098">
        <f t="shared" si="65"/>
        <v>0</v>
      </c>
    </row>
    <row r="468" spans="1:19">
      <c r="A468" s="2571"/>
      <c r="B468" s="3107"/>
      <c r="C468" s="2407">
        <f t="shared" si="66"/>
        <v>1</v>
      </c>
      <c r="D468" s="3103"/>
      <c r="E468" s="2407">
        <f t="shared" si="67"/>
        <v>0</v>
      </c>
      <c r="F468" s="3103"/>
      <c r="G468" s="2407">
        <f t="shared" si="68"/>
        <v>1</v>
      </c>
      <c r="H468" s="3103"/>
      <c r="I468" s="2407">
        <f t="shared" si="69"/>
        <v>1</v>
      </c>
      <c r="J468" s="3103"/>
      <c r="K468" s="2407">
        <f t="shared" si="70"/>
        <v>1</v>
      </c>
      <c r="L468" s="3103"/>
      <c r="M468" s="2407">
        <f t="shared" si="71"/>
        <v>1</v>
      </c>
      <c r="N468" s="3103"/>
      <c r="O468" s="2407">
        <f t="shared" si="72"/>
        <v>1</v>
      </c>
      <c r="P468" s="3491"/>
      <c r="Q468" s="2407">
        <f t="shared" si="73"/>
        <v>0</v>
      </c>
      <c r="R468" s="2407">
        <f t="shared" si="74"/>
        <v>0</v>
      </c>
      <c r="S468" s="3098">
        <f t="shared" si="65"/>
        <v>0</v>
      </c>
    </row>
    <row r="469" spans="1:19">
      <c r="A469" s="2571"/>
      <c r="B469" s="3107"/>
      <c r="C469" s="2407">
        <f t="shared" si="66"/>
        <v>1</v>
      </c>
      <c r="D469" s="3103"/>
      <c r="E469" s="2407">
        <f t="shared" si="67"/>
        <v>0</v>
      </c>
      <c r="F469" s="3103"/>
      <c r="G469" s="2407">
        <f t="shared" si="68"/>
        <v>1</v>
      </c>
      <c r="H469" s="3103"/>
      <c r="I469" s="2407">
        <f t="shared" si="69"/>
        <v>1</v>
      </c>
      <c r="J469" s="3103"/>
      <c r="K469" s="2407">
        <f t="shared" si="70"/>
        <v>1</v>
      </c>
      <c r="L469" s="3103"/>
      <c r="M469" s="2407">
        <f t="shared" si="71"/>
        <v>1</v>
      </c>
      <c r="N469" s="3103"/>
      <c r="O469" s="2407">
        <f t="shared" si="72"/>
        <v>1</v>
      </c>
      <c r="P469" s="3491"/>
      <c r="Q469" s="2407">
        <f t="shared" si="73"/>
        <v>0</v>
      </c>
      <c r="R469" s="2407">
        <f t="shared" si="74"/>
        <v>0</v>
      </c>
      <c r="S469" s="3098">
        <f t="shared" si="65"/>
        <v>0</v>
      </c>
    </row>
    <row r="470" spans="1:19">
      <c r="A470" s="2571"/>
      <c r="B470" s="3107"/>
      <c r="C470" s="2407">
        <f t="shared" si="66"/>
        <v>1</v>
      </c>
      <c r="D470" s="3103"/>
      <c r="E470" s="2407">
        <f t="shared" si="67"/>
        <v>0</v>
      </c>
      <c r="F470" s="3103"/>
      <c r="G470" s="2407">
        <f t="shared" si="68"/>
        <v>1</v>
      </c>
      <c r="H470" s="3103"/>
      <c r="I470" s="2407">
        <f t="shared" si="69"/>
        <v>1</v>
      </c>
      <c r="J470" s="3103"/>
      <c r="K470" s="2407">
        <f t="shared" si="70"/>
        <v>1</v>
      </c>
      <c r="L470" s="3103"/>
      <c r="M470" s="2407">
        <f t="shared" si="71"/>
        <v>1</v>
      </c>
      <c r="N470" s="3103"/>
      <c r="O470" s="2407">
        <f t="shared" si="72"/>
        <v>1</v>
      </c>
      <c r="P470" s="3491"/>
      <c r="Q470" s="2407">
        <f t="shared" si="73"/>
        <v>0</v>
      </c>
      <c r="R470" s="2407">
        <f t="shared" si="74"/>
        <v>0</v>
      </c>
      <c r="S470" s="3098">
        <f t="shared" si="65"/>
        <v>0</v>
      </c>
    </row>
    <row r="471" spans="1:19">
      <c r="A471" s="2571"/>
      <c r="B471" s="3107"/>
      <c r="C471" s="2407">
        <f t="shared" si="66"/>
        <v>1</v>
      </c>
      <c r="D471" s="3103"/>
      <c r="E471" s="2407">
        <f t="shared" si="67"/>
        <v>0</v>
      </c>
      <c r="F471" s="3103"/>
      <c r="G471" s="2407">
        <f t="shared" si="68"/>
        <v>1</v>
      </c>
      <c r="H471" s="3103"/>
      <c r="I471" s="2407">
        <f t="shared" si="69"/>
        <v>1</v>
      </c>
      <c r="J471" s="3103"/>
      <c r="K471" s="2407">
        <f t="shared" si="70"/>
        <v>1</v>
      </c>
      <c r="L471" s="3103"/>
      <c r="M471" s="2407">
        <f t="shared" si="71"/>
        <v>1</v>
      </c>
      <c r="N471" s="3103"/>
      <c r="O471" s="2407">
        <f t="shared" si="72"/>
        <v>1</v>
      </c>
      <c r="P471" s="3491"/>
      <c r="Q471" s="2407">
        <f t="shared" si="73"/>
        <v>0</v>
      </c>
      <c r="R471" s="2407">
        <f t="shared" si="74"/>
        <v>0</v>
      </c>
      <c r="S471" s="3098">
        <f t="shared" si="65"/>
        <v>0</v>
      </c>
    </row>
    <row r="472" spans="1:19">
      <c r="A472" s="2571"/>
      <c r="B472" s="3107"/>
      <c r="C472" s="2407">
        <f t="shared" si="66"/>
        <v>1</v>
      </c>
      <c r="D472" s="3103"/>
      <c r="E472" s="2407">
        <f t="shared" si="67"/>
        <v>0</v>
      </c>
      <c r="F472" s="3103"/>
      <c r="G472" s="2407">
        <f t="shared" si="68"/>
        <v>1</v>
      </c>
      <c r="H472" s="3103"/>
      <c r="I472" s="2407">
        <f t="shared" si="69"/>
        <v>1</v>
      </c>
      <c r="J472" s="3103"/>
      <c r="K472" s="2407">
        <f t="shared" si="70"/>
        <v>1</v>
      </c>
      <c r="L472" s="3103"/>
      <c r="M472" s="2407">
        <f t="shared" si="71"/>
        <v>1</v>
      </c>
      <c r="N472" s="3103"/>
      <c r="O472" s="2407">
        <f t="shared" si="72"/>
        <v>1</v>
      </c>
      <c r="P472" s="3491"/>
      <c r="Q472" s="2407">
        <f t="shared" si="73"/>
        <v>0</v>
      </c>
      <c r="R472" s="2407">
        <f t="shared" si="74"/>
        <v>0</v>
      </c>
      <c r="S472" s="3098">
        <f t="shared" ref="S472:S524" si="75">ROUND(R472*B472/10000,0)</f>
        <v>0</v>
      </c>
    </row>
    <row r="473" spans="1:19">
      <c r="A473" s="2571"/>
      <c r="B473" s="3107"/>
      <c r="C473" s="2407">
        <f t="shared" si="66"/>
        <v>1</v>
      </c>
      <c r="D473" s="3103"/>
      <c r="E473" s="2407">
        <f t="shared" si="67"/>
        <v>0</v>
      </c>
      <c r="F473" s="3103"/>
      <c r="G473" s="2407">
        <f t="shared" si="68"/>
        <v>1</v>
      </c>
      <c r="H473" s="3103"/>
      <c r="I473" s="2407">
        <f t="shared" si="69"/>
        <v>1</v>
      </c>
      <c r="J473" s="3103"/>
      <c r="K473" s="2407">
        <f t="shared" si="70"/>
        <v>1</v>
      </c>
      <c r="L473" s="3103"/>
      <c r="M473" s="2407">
        <f t="shared" si="71"/>
        <v>1</v>
      </c>
      <c r="N473" s="3103"/>
      <c r="O473" s="2407">
        <f t="shared" si="72"/>
        <v>1</v>
      </c>
      <c r="P473" s="3491"/>
      <c r="Q473" s="2407">
        <f t="shared" si="73"/>
        <v>0</v>
      </c>
      <c r="R473" s="2407">
        <f t="shared" si="74"/>
        <v>0</v>
      </c>
      <c r="S473" s="3098">
        <f t="shared" si="75"/>
        <v>0</v>
      </c>
    </row>
    <row r="474" spans="1:19">
      <c r="A474" s="2571"/>
      <c r="B474" s="3107"/>
      <c r="C474" s="2407">
        <f t="shared" ref="C474:C524" si="76">IF(B474="",1,(LOOKUP(B474,$3:$3,$4:$4)-LOOKUP($B$24,$3:$3,$4:$4)+100)/100)</f>
        <v>1</v>
      </c>
      <c r="D474" s="3103"/>
      <c r="E474" s="2407">
        <f t="shared" ref="E474:E524" si="77">(SUMIF($5:$5,D474,$6:$6)-SUMIF($5:$5,$D$24,$6:$6)+100)/100</f>
        <v>0</v>
      </c>
      <c r="F474" s="3103"/>
      <c r="G474" s="2407">
        <f t="shared" ref="G474:G524" si="78">(SUMIF($7:$7,F474,$8:$8)-SUMIF($7:$7,$F$24,$8:$8)+100)/100</f>
        <v>1</v>
      </c>
      <c r="H474" s="3103"/>
      <c r="I474" s="2407">
        <f t="shared" ref="I474:I524" si="79">(SUMIF($9:$9,H474,$10:$10)-SUMIF($9:$9,$H$24,$10:$10)+100)/100</f>
        <v>1</v>
      </c>
      <c r="J474" s="3103"/>
      <c r="K474" s="2407">
        <f t="shared" ref="K474:K524" si="80">(SUMIF($11:$11,J474,$12:$12)-SUMIF($11:$11,$J$24,$12:$12)+100)/100</f>
        <v>1</v>
      </c>
      <c r="L474" s="3103"/>
      <c r="M474" s="2407">
        <f t="shared" ref="M474:M524" si="81">(SUMIF($13:$13,L474,$14:$14)-SUMIF($13:$13,$L$24,$14:$14)+100)/100</f>
        <v>1</v>
      </c>
      <c r="N474" s="3103"/>
      <c r="O474" s="2407">
        <f t="shared" ref="O474:O524" si="82">(SUMIF($15:$15,N474,$16:$16)-SUMIF($15:$15,$N$24,$16:$16)+100)/100</f>
        <v>1</v>
      </c>
      <c r="P474" s="3491"/>
      <c r="Q474" s="2407">
        <f t="shared" ref="Q474:Q524" si="83">(SUMIF($17:$17,P474,$18:$18)-SUMIF($17:$17,$P$24,$18:$18)+100)/100</f>
        <v>0</v>
      </c>
      <c r="R474" s="2407">
        <f t="shared" ref="R474:R524" si="84">IF(B474="",0,ROUND($R$24*C474*E474*G474*I474*K474*M474*O474*Q474,0))</f>
        <v>0</v>
      </c>
      <c r="S474" s="3098">
        <f t="shared" si="75"/>
        <v>0</v>
      </c>
    </row>
    <row r="475" spans="1:19">
      <c r="A475" s="2571"/>
      <c r="B475" s="3107"/>
      <c r="C475" s="2407">
        <f t="shared" si="76"/>
        <v>1</v>
      </c>
      <c r="D475" s="3103"/>
      <c r="E475" s="2407">
        <f t="shared" si="77"/>
        <v>0</v>
      </c>
      <c r="F475" s="3103"/>
      <c r="G475" s="2407">
        <f t="shared" si="78"/>
        <v>1</v>
      </c>
      <c r="H475" s="3103"/>
      <c r="I475" s="2407">
        <f t="shared" si="79"/>
        <v>1</v>
      </c>
      <c r="J475" s="3103"/>
      <c r="K475" s="2407">
        <f t="shared" si="80"/>
        <v>1</v>
      </c>
      <c r="L475" s="3103"/>
      <c r="M475" s="2407">
        <f t="shared" si="81"/>
        <v>1</v>
      </c>
      <c r="N475" s="3103"/>
      <c r="O475" s="2407">
        <f t="shared" si="82"/>
        <v>1</v>
      </c>
      <c r="P475" s="3491"/>
      <c r="Q475" s="2407">
        <f t="shared" si="83"/>
        <v>0</v>
      </c>
      <c r="R475" s="2407">
        <f t="shared" si="84"/>
        <v>0</v>
      </c>
      <c r="S475" s="3098">
        <f t="shared" si="75"/>
        <v>0</v>
      </c>
    </row>
    <row r="476" spans="1:19">
      <c r="A476" s="2571"/>
      <c r="B476" s="3107"/>
      <c r="C476" s="2407">
        <f t="shared" si="76"/>
        <v>1</v>
      </c>
      <c r="D476" s="3103"/>
      <c r="E476" s="2407">
        <f t="shared" si="77"/>
        <v>0</v>
      </c>
      <c r="F476" s="3103"/>
      <c r="G476" s="2407">
        <f t="shared" si="78"/>
        <v>1</v>
      </c>
      <c r="H476" s="3103"/>
      <c r="I476" s="2407">
        <f t="shared" si="79"/>
        <v>1</v>
      </c>
      <c r="J476" s="3103"/>
      <c r="K476" s="2407">
        <f t="shared" si="80"/>
        <v>1</v>
      </c>
      <c r="L476" s="3103"/>
      <c r="M476" s="2407">
        <f t="shared" si="81"/>
        <v>1</v>
      </c>
      <c r="N476" s="3103"/>
      <c r="O476" s="2407">
        <f t="shared" si="82"/>
        <v>1</v>
      </c>
      <c r="P476" s="3491"/>
      <c r="Q476" s="2407">
        <f t="shared" si="83"/>
        <v>0</v>
      </c>
      <c r="R476" s="2407">
        <f t="shared" si="84"/>
        <v>0</v>
      </c>
      <c r="S476" s="3098">
        <f t="shared" si="75"/>
        <v>0</v>
      </c>
    </row>
    <row r="477" spans="1:19">
      <c r="A477" s="2571"/>
      <c r="B477" s="3107"/>
      <c r="C477" s="2407">
        <f t="shared" si="76"/>
        <v>1</v>
      </c>
      <c r="D477" s="3103"/>
      <c r="E477" s="2407">
        <f t="shared" si="77"/>
        <v>0</v>
      </c>
      <c r="F477" s="3103"/>
      <c r="G477" s="2407">
        <f t="shared" si="78"/>
        <v>1</v>
      </c>
      <c r="H477" s="3103"/>
      <c r="I477" s="2407">
        <f t="shared" si="79"/>
        <v>1</v>
      </c>
      <c r="J477" s="3103"/>
      <c r="K477" s="2407">
        <f t="shared" si="80"/>
        <v>1</v>
      </c>
      <c r="L477" s="3103"/>
      <c r="M477" s="2407">
        <f t="shared" si="81"/>
        <v>1</v>
      </c>
      <c r="N477" s="3103"/>
      <c r="O477" s="2407">
        <f t="shared" si="82"/>
        <v>1</v>
      </c>
      <c r="P477" s="3491"/>
      <c r="Q477" s="2407">
        <f t="shared" si="83"/>
        <v>0</v>
      </c>
      <c r="R477" s="2407">
        <f t="shared" si="84"/>
        <v>0</v>
      </c>
      <c r="S477" s="3098">
        <f t="shared" si="75"/>
        <v>0</v>
      </c>
    </row>
    <row r="478" spans="1:19">
      <c r="A478" s="2571"/>
      <c r="B478" s="3107"/>
      <c r="C478" s="2407">
        <f t="shared" si="76"/>
        <v>1</v>
      </c>
      <c r="D478" s="3103"/>
      <c r="E478" s="2407">
        <f t="shared" si="77"/>
        <v>0</v>
      </c>
      <c r="F478" s="3103"/>
      <c r="G478" s="2407">
        <f t="shared" si="78"/>
        <v>1</v>
      </c>
      <c r="H478" s="3103"/>
      <c r="I478" s="2407">
        <f t="shared" si="79"/>
        <v>1</v>
      </c>
      <c r="J478" s="3103"/>
      <c r="K478" s="2407">
        <f t="shared" si="80"/>
        <v>1</v>
      </c>
      <c r="L478" s="3103"/>
      <c r="M478" s="2407">
        <f t="shared" si="81"/>
        <v>1</v>
      </c>
      <c r="N478" s="3103"/>
      <c r="O478" s="2407">
        <f t="shared" si="82"/>
        <v>1</v>
      </c>
      <c r="P478" s="3491"/>
      <c r="Q478" s="2407">
        <f t="shared" si="83"/>
        <v>0</v>
      </c>
      <c r="R478" s="2407">
        <f t="shared" si="84"/>
        <v>0</v>
      </c>
      <c r="S478" s="3098">
        <f t="shared" si="75"/>
        <v>0</v>
      </c>
    </row>
    <row r="479" spans="1:19">
      <c r="A479" s="2571"/>
      <c r="B479" s="3107"/>
      <c r="C479" s="2407">
        <f t="shared" si="76"/>
        <v>1</v>
      </c>
      <c r="D479" s="3103"/>
      <c r="E479" s="2407">
        <f t="shared" si="77"/>
        <v>0</v>
      </c>
      <c r="F479" s="3103"/>
      <c r="G479" s="2407">
        <f t="shared" si="78"/>
        <v>1</v>
      </c>
      <c r="H479" s="3103"/>
      <c r="I479" s="2407">
        <f t="shared" si="79"/>
        <v>1</v>
      </c>
      <c r="J479" s="3103"/>
      <c r="K479" s="2407">
        <f t="shared" si="80"/>
        <v>1</v>
      </c>
      <c r="L479" s="3103"/>
      <c r="M479" s="2407">
        <f t="shared" si="81"/>
        <v>1</v>
      </c>
      <c r="N479" s="3103"/>
      <c r="O479" s="2407">
        <f t="shared" si="82"/>
        <v>1</v>
      </c>
      <c r="P479" s="3491"/>
      <c r="Q479" s="2407">
        <f t="shared" si="83"/>
        <v>0</v>
      </c>
      <c r="R479" s="2407">
        <f t="shared" si="84"/>
        <v>0</v>
      </c>
      <c r="S479" s="3098">
        <f t="shared" si="75"/>
        <v>0</v>
      </c>
    </row>
    <row r="480" spans="1:19">
      <c r="A480" s="2571"/>
      <c r="B480" s="3107"/>
      <c r="C480" s="2407">
        <f t="shared" si="76"/>
        <v>1</v>
      </c>
      <c r="D480" s="3103"/>
      <c r="E480" s="2407">
        <f t="shared" si="77"/>
        <v>0</v>
      </c>
      <c r="F480" s="3103"/>
      <c r="G480" s="2407">
        <f t="shared" si="78"/>
        <v>1</v>
      </c>
      <c r="H480" s="3103"/>
      <c r="I480" s="2407">
        <f t="shared" si="79"/>
        <v>1</v>
      </c>
      <c r="J480" s="3103"/>
      <c r="K480" s="2407">
        <f t="shared" si="80"/>
        <v>1</v>
      </c>
      <c r="L480" s="3103"/>
      <c r="M480" s="2407">
        <f t="shared" si="81"/>
        <v>1</v>
      </c>
      <c r="N480" s="3103"/>
      <c r="O480" s="2407">
        <f t="shared" si="82"/>
        <v>1</v>
      </c>
      <c r="P480" s="3491"/>
      <c r="Q480" s="2407">
        <f t="shared" si="83"/>
        <v>0</v>
      </c>
      <c r="R480" s="2407">
        <f t="shared" si="84"/>
        <v>0</v>
      </c>
      <c r="S480" s="3098">
        <f t="shared" si="75"/>
        <v>0</v>
      </c>
    </row>
    <row r="481" spans="1:19">
      <c r="A481" s="2571"/>
      <c r="B481" s="3107"/>
      <c r="C481" s="2407">
        <f t="shared" si="76"/>
        <v>1</v>
      </c>
      <c r="D481" s="3103"/>
      <c r="E481" s="2407">
        <f t="shared" si="77"/>
        <v>0</v>
      </c>
      <c r="F481" s="3103"/>
      <c r="G481" s="2407">
        <f t="shared" si="78"/>
        <v>1</v>
      </c>
      <c r="H481" s="3103"/>
      <c r="I481" s="2407">
        <f t="shared" si="79"/>
        <v>1</v>
      </c>
      <c r="J481" s="3103"/>
      <c r="K481" s="2407">
        <f t="shared" si="80"/>
        <v>1</v>
      </c>
      <c r="L481" s="3103"/>
      <c r="M481" s="2407">
        <f t="shared" si="81"/>
        <v>1</v>
      </c>
      <c r="N481" s="3103"/>
      <c r="O481" s="2407">
        <f t="shared" si="82"/>
        <v>1</v>
      </c>
      <c r="P481" s="3491"/>
      <c r="Q481" s="2407">
        <f t="shared" si="83"/>
        <v>0</v>
      </c>
      <c r="R481" s="2407">
        <f t="shared" si="84"/>
        <v>0</v>
      </c>
      <c r="S481" s="3098">
        <f t="shared" si="75"/>
        <v>0</v>
      </c>
    </row>
    <row r="482" spans="1:19">
      <c r="A482" s="2571"/>
      <c r="B482" s="3107"/>
      <c r="C482" s="2407">
        <f t="shared" si="76"/>
        <v>1</v>
      </c>
      <c r="D482" s="3103"/>
      <c r="E482" s="2407">
        <f t="shared" si="77"/>
        <v>0</v>
      </c>
      <c r="F482" s="3103"/>
      <c r="G482" s="2407">
        <f t="shared" si="78"/>
        <v>1</v>
      </c>
      <c r="H482" s="3103"/>
      <c r="I482" s="2407">
        <f t="shared" si="79"/>
        <v>1</v>
      </c>
      <c r="J482" s="3103"/>
      <c r="K482" s="2407">
        <f t="shared" si="80"/>
        <v>1</v>
      </c>
      <c r="L482" s="3103"/>
      <c r="M482" s="2407">
        <f t="shared" si="81"/>
        <v>1</v>
      </c>
      <c r="N482" s="3103"/>
      <c r="O482" s="2407">
        <f t="shared" si="82"/>
        <v>1</v>
      </c>
      <c r="P482" s="3491"/>
      <c r="Q482" s="2407">
        <f t="shared" si="83"/>
        <v>0</v>
      </c>
      <c r="R482" s="2407">
        <f t="shared" si="84"/>
        <v>0</v>
      </c>
      <c r="S482" s="3098">
        <f t="shared" si="75"/>
        <v>0</v>
      </c>
    </row>
    <row r="483" spans="1:19">
      <c r="A483" s="2571"/>
      <c r="B483" s="3107"/>
      <c r="C483" s="2407">
        <f t="shared" si="76"/>
        <v>1</v>
      </c>
      <c r="D483" s="3103"/>
      <c r="E483" s="2407">
        <f t="shared" si="77"/>
        <v>0</v>
      </c>
      <c r="F483" s="3103"/>
      <c r="G483" s="2407">
        <f t="shared" si="78"/>
        <v>1</v>
      </c>
      <c r="H483" s="3103"/>
      <c r="I483" s="2407">
        <f t="shared" si="79"/>
        <v>1</v>
      </c>
      <c r="J483" s="3103"/>
      <c r="K483" s="2407">
        <f t="shared" si="80"/>
        <v>1</v>
      </c>
      <c r="L483" s="3103"/>
      <c r="M483" s="2407">
        <f t="shared" si="81"/>
        <v>1</v>
      </c>
      <c r="N483" s="3103"/>
      <c r="O483" s="2407">
        <f t="shared" si="82"/>
        <v>1</v>
      </c>
      <c r="P483" s="3491"/>
      <c r="Q483" s="2407">
        <f t="shared" si="83"/>
        <v>0</v>
      </c>
      <c r="R483" s="2407">
        <f t="shared" si="84"/>
        <v>0</v>
      </c>
      <c r="S483" s="3098">
        <f t="shared" si="75"/>
        <v>0</v>
      </c>
    </row>
    <row r="484" spans="1:19">
      <c r="A484" s="2571"/>
      <c r="B484" s="3107"/>
      <c r="C484" s="2407">
        <f t="shared" si="76"/>
        <v>1</v>
      </c>
      <c r="D484" s="3103"/>
      <c r="E484" s="2407">
        <f t="shared" si="77"/>
        <v>0</v>
      </c>
      <c r="F484" s="3103"/>
      <c r="G484" s="2407">
        <f t="shared" si="78"/>
        <v>1</v>
      </c>
      <c r="H484" s="3103"/>
      <c r="I484" s="2407">
        <f t="shared" si="79"/>
        <v>1</v>
      </c>
      <c r="J484" s="3103"/>
      <c r="K484" s="2407">
        <f t="shared" si="80"/>
        <v>1</v>
      </c>
      <c r="L484" s="3103"/>
      <c r="M484" s="2407">
        <f t="shared" si="81"/>
        <v>1</v>
      </c>
      <c r="N484" s="3103"/>
      <c r="O484" s="2407">
        <f t="shared" si="82"/>
        <v>1</v>
      </c>
      <c r="P484" s="3491"/>
      <c r="Q484" s="2407">
        <f t="shared" si="83"/>
        <v>0</v>
      </c>
      <c r="R484" s="2407">
        <f t="shared" si="84"/>
        <v>0</v>
      </c>
      <c r="S484" s="3098">
        <f t="shared" si="75"/>
        <v>0</v>
      </c>
    </row>
    <row r="485" spans="1:19">
      <c r="A485" s="2571"/>
      <c r="B485" s="3107"/>
      <c r="C485" s="2407">
        <f t="shared" si="76"/>
        <v>1</v>
      </c>
      <c r="D485" s="3103"/>
      <c r="E485" s="2407">
        <f t="shared" si="77"/>
        <v>0</v>
      </c>
      <c r="F485" s="3103"/>
      <c r="G485" s="2407">
        <f t="shared" si="78"/>
        <v>1</v>
      </c>
      <c r="H485" s="3103"/>
      <c r="I485" s="2407">
        <f t="shared" si="79"/>
        <v>1</v>
      </c>
      <c r="J485" s="3103"/>
      <c r="K485" s="2407">
        <f t="shared" si="80"/>
        <v>1</v>
      </c>
      <c r="L485" s="3103"/>
      <c r="M485" s="2407">
        <f t="shared" si="81"/>
        <v>1</v>
      </c>
      <c r="N485" s="3103"/>
      <c r="O485" s="2407">
        <f t="shared" si="82"/>
        <v>1</v>
      </c>
      <c r="P485" s="3491"/>
      <c r="Q485" s="2407">
        <f t="shared" si="83"/>
        <v>0</v>
      </c>
      <c r="R485" s="2407">
        <f t="shared" si="84"/>
        <v>0</v>
      </c>
      <c r="S485" s="3098">
        <f t="shared" si="75"/>
        <v>0</v>
      </c>
    </row>
    <row r="486" spans="1:19">
      <c r="A486" s="2571"/>
      <c r="B486" s="3107"/>
      <c r="C486" s="2407">
        <f t="shared" si="76"/>
        <v>1</v>
      </c>
      <c r="D486" s="3103"/>
      <c r="E486" s="2407">
        <f t="shared" si="77"/>
        <v>0</v>
      </c>
      <c r="F486" s="3103"/>
      <c r="G486" s="2407">
        <f t="shared" si="78"/>
        <v>1</v>
      </c>
      <c r="H486" s="3103"/>
      <c r="I486" s="2407">
        <f t="shared" si="79"/>
        <v>1</v>
      </c>
      <c r="J486" s="3103"/>
      <c r="K486" s="2407">
        <f t="shared" si="80"/>
        <v>1</v>
      </c>
      <c r="L486" s="3103"/>
      <c r="M486" s="2407">
        <f t="shared" si="81"/>
        <v>1</v>
      </c>
      <c r="N486" s="3103"/>
      <c r="O486" s="2407">
        <f t="shared" si="82"/>
        <v>1</v>
      </c>
      <c r="P486" s="3491"/>
      <c r="Q486" s="2407">
        <f t="shared" si="83"/>
        <v>0</v>
      </c>
      <c r="R486" s="2407">
        <f t="shared" si="84"/>
        <v>0</v>
      </c>
      <c r="S486" s="3098">
        <f t="shared" si="75"/>
        <v>0</v>
      </c>
    </row>
    <row r="487" spans="1:19">
      <c r="A487" s="2571"/>
      <c r="B487" s="3107"/>
      <c r="C487" s="2407">
        <f t="shared" si="76"/>
        <v>1</v>
      </c>
      <c r="D487" s="3103"/>
      <c r="E487" s="2407">
        <f t="shared" si="77"/>
        <v>0</v>
      </c>
      <c r="F487" s="3103"/>
      <c r="G487" s="2407">
        <f t="shared" si="78"/>
        <v>1</v>
      </c>
      <c r="H487" s="3103"/>
      <c r="I487" s="2407">
        <f t="shared" si="79"/>
        <v>1</v>
      </c>
      <c r="J487" s="3103"/>
      <c r="K487" s="2407">
        <f t="shared" si="80"/>
        <v>1</v>
      </c>
      <c r="L487" s="3103"/>
      <c r="M487" s="2407">
        <f t="shared" si="81"/>
        <v>1</v>
      </c>
      <c r="N487" s="3103"/>
      <c r="O487" s="2407">
        <f t="shared" si="82"/>
        <v>1</v>
      </c>
      <c r="P487" s="3491"/>
      <c r="Q487" s="2407">
        <f t="shared" si="83"/>
        <v>0</v>
      </c>
      <c r="R487" s="2407">
        <f t="shared" si="84"/>
        <v>0</v>
      </c>
      <c r="S487" s="3098">
        <f t="shared" si="75"/>
        <v>0</v>
      </c>
    </row>
    <row r="488" spans="1:19">
      <c r="A488" s="2571"/>
      <c r="B488" s="3107"/>
      <c r="C488" s="2407">
        <f t="shared" si="76"/>
        <v>1</v>
      </c>
      <c r="D488" s="3103"/>
      <c r="E488" s="2407">
        <f t="shared" si="77"/>
        <v>0</v>
      </c>
      <c r="F488" s="3103"/>
      <c r="G488" s="2407">
        <f t="shared" si="78"/>
        <v>1</v>
      </c>
      <c r="H488" s="3103"/>
      <c r="I488" s="2407">
        <f t="shared" si="79"/>
        <v>1</v>
      </c>
      <c r="J488" s="3103"/>
      <c r="K488" s="2407">
        <f t="shared" si="80"/>
        <v>1</v>
      </c>
      <c r="L488" s="3103"/>
      <c r="M488" s="2407">
        <f t="shared" si="81"/>
        <v>1</v>
      </c>
      <c r="N488" s="3103"/>
      <c r="O488" s="2407">
        <f t="shared" si="82"/>
        <v>1</v>
      </c>
      <c r="P488" s="3491"/>
      <c r="Q488" s="2407">
        <f t="shared" si="83"/>
        <v>0</v>
      </c>
      <c r="R488" s="2407">
        <f t="shared" si="84"/>
        <v>0</v>
      </c>
      <c r="S488" s="3098">
        <f t="shared" si="75"/>
        <v>0</v>
      </c>
    </row>
    <row r="489" spans="1:19">
      <c r="A489" s="2571"/>
      <c r="B489" s="3107"/>
      <c r="C489" s="2407">
        <f t="shared" si="76"/>
        <v>1</v>
      </c>
      <c r="D489" s="3103"/>
      <c r="E489" s="2407">
        <f t="shared" si="77"/>
        <v>0</v>
      </c>
      <c r="F489" s="3103"/>
      <c r="G489" s="2407">
        <f t="shared" si="78"/>
        <v>1</v>
      </c>
      <c r="H489" s="3103"/>
      <c r="I489" s="2407">
        <f t="shared" si="79"/>
        <v>1</v>
      </c>
      <c r="J489" s="3103"/>
      <c r="K489" s="2407">
        <f t="shared" si="80"/>
        <v>1</v>
      </c>
      <c r="L489" s="3103"/>
      <c r="M489" s="2407">
        <f t="shared" si="81"/>
        <v>1</v>
      </c>
      <c r="N489" s="3103"/>
      <c r="O489" s="2407">
        <f t="shared" si="82"/>
        <v>1</v>
      </c>
      <c r="P489" s="3491"/>
      <c r="Q489" s="2407">
        <f t="shared" si="83"/>
        <v>0</v>
      </c>
      <c r="R489" s="2407">
        <f t="shared" si="84"/>
        <v>0</v>
      </c>
      <c r="S489" s="3098">
        <f t="shared" si="75"/>
        <v>0</v>
      </c>
    </row>
    <row r="490" spans="1:19">
      <c r="A490" s="2571"/>
      <c r="B490" s="3107"/>
      <c r="C490" s="2407">
        <f t="shared" si="76"/>
        <v>1</v>
      </c>
      <c r="D490" s="3103"/>
      <c r="E490" s="2407">
        <f t="shared" si="77"/>
        <v>0</v>
      </c>
      <c r="F490" s="3103"/>
      <c r="G490" s="2407">
        <f t="shared" si="78"/>
        <v>1</v>
      </c>
      <c r="H490" s="3103"/>
      <c r="I490" s="2407">
        <f t="shared" si="79"/>
        <v>1</v>
      </c>
      <c r="J490" s="3103"/>
      <c r="K490" s="2407">
        <f t="shared" si="80"/>
        <v>1</v>
      </c>
      <c r="L490" s="3103"/>
      <c r="M490" s="2407">
        <f t="shared" si="81"/>
        <v>1</v>
      </c>
      <c r="N490" s="3103"/>
      <c r="O490" s="2407">
        <f t="shared" si="82"/>
        <v>1</v>
      </c>
      <c r="P490" s="3491"/>
      <c r="Q490" s="2407">
        <f t="shared" si="83"/>
        <v>0</v>
      </c>
      <c r="R490" s="2407">
        <f t="shared" si="84"/>
        <v>0</v>
      </c>
      <c r="S490" s="3098">
        <f t="shared" si="75"/>
        <v>0</v>
      </c>
    </row>
    <row r="491" spans="1:19">
      <c r="A491" s="2571"/>
      <c r="B491" s="3107"/>
      <c r="C491" s="2407">
        <f t="shared" si="76"/>
        <v>1</v>
      </c>
      <c r="D491" s="3103"/>
      <c r="E491" s="2407">
        <f t="shared" si="77"/>
        <v>0</v>
      </c>
      <c r="F491" s="3103"/>
      <c r="G491" s="2407">
        <f t="shared" si="78"/>
        <v>1</v>
      </c>
      <c r="H491" s="3103"/>
      <c r="I491" s="2407">
        <f t="shared" si="79"/>
        <v>1</v>
      </c>
      <c r="J491" s="3103"/>
      <c r="K491" s="2407">
        <f t="shared" si="80"/>
        <v>1</v>
      </c>
      <c r="L491" s="3103"/>
      <c r="M491" s="2407">
        <f t="shared" si="81"/>
        <v>1</v>
      </c>
      <c r="N491" s="3103"/>
      <c r="O491" s="2407">
        <f t="shared" si="82"/>
        <v>1</v>
      </c>
      <c r="P491" s="3491"/>
      <c r="Q491" s="2407">
        <f t="shared" si="83"/>
        <v>0</v>
      </c>
      <c r="R491" s="2407">
        <f t="shared" si="84"/>
        <v>0</v>
      </c>
      <c r="S491" s="3098">
        <f t="shared" si="75"/>
        <v>0</v>
      </c>
    </row>
    <row r="492" spans="1:19">
      <c r="A492" s="2571"/>
      <c r="B492" s="3107"/>
      <c r="C492" s="2407">
        <f t="shared" si="76"/>
        <v>1</v>
      </c>
      <c r="D492" s="3103"/>
      <c r="E492" s="2407">
        <f t="shared" si="77"/>
        <v>0</v>
      </c>
      <c r="F492" s="3103"/>
      <c r="G492" s="2407">
        <f t="shared" si="78"/>
        <v>1</v>
      </c>
      <c r="H492" s="3103"/>
      <c r="I492" s="2407">
        <f t="shared" si="79"/>
        <v>1</v>
      </c>
      <c r="J492" s="3103"/>
      <c r="K492" s="2407">
        <f t="shared" si="80"/>
        <v>1</v>
      </c>
      <c r="L492" s="3103"/>
      <c r="M492" s="2407">
        <f t="shared" si="81"/>
        <v>1</v>
      </c>
      <c r="N492" s="3103"/>
      <c r="O492" s="2407">
        <f t="shared" si="82"/>
        <v>1</v>
      </c>
      <c r="P492" s="3491"/>
      <c r="Q492" s="2407">
        <f t="shared" si="83"/>
        <v>0</v>
      </c>
      <c r="R492" s="2407">
        <f t="shared" si="84"/>
        <v>0</v>
      </c>
      <c r="S492" s="3098">
        <f t="shared" si="75"/>
        <v>0</v>
      </c>
    </row>
    <row r="493" spans="1:19">
      <c r="A493" s="2571"/>
      <c r="B493" s="3107"/>
      <c r="C493" s="2407">
        <f t="shared" si="76"/>
        <v>1</v>
      </c>
      <c r="D493" s="3103"/>
      <c r="E493" s="2407">
        <f t="shared" si="77"/>
        <v>0</v>
      </c>
      <c r="F493" s="3103"/>
      <c r="G493" s="2407">
        <f t="shared" si="78"/>
        <v>1</v>
      </c>
      <c r="H493" s="3103"/>
      <c r="I493" s="2407">
        <f t="shared" si="79"/>
        <v>1</v>
      </c>
      <c r="J493" s="3103"/>
      <c r="K493" s="2407">
        <f t="shared" si="80"/>
        <v>1</v>
      </c>
      <c r="L493" s="3103"/>
      <c r="M493" s="2407">
        <f t="shared" si="81"/>
        <v>1</v>
      </c>
      <c r="N493" s="3103"/>
      <c r="O493" s="2407">
        <f t="shared" si="82"/>
        <v>1</v>
      </c>
      <c r="P493" s="3491"/>
      <c r="Q493" s="2407">
        <f t="shared" si="83"/>
        <v>0</v>
      </c>
      <c r="R493" s="2407">
        <f t="shared" si="84"/>
        <v>0</v>
      </c>
      <c r="S493" s="3098">
        <f t="shared" si="75"/>
        <v>0</v>
      </c>
    </row>
    <row r="494" spans="1:19">
      <c r="A494" s="2571"/>
      <c r="B494" s="3107"/>
      <c r="C494" s="2407">
        <f t="shared" si="76"/>
        <v>1</v>
      </c>
      <c r="D494" s="3103"/>
      <c r="E494" s="2407">
        <f t="shared" si="77"/>
        <v>0</v>
      </c>
      <c r="F494" s="3103"/>
      <c r="G494" s="2407">
        <f t="shared" si="78"/>
        <v>1</v>
      </c>
      <c r="H494" s="3103"/>
      <c r="I494" s="2407">
        <f t="shared" si="79"/>
        <v>1</v>
      </c>
      <c r="J494" s="3103"/>
      <c r="K494" s="2407">
        <f t="shared" si="80"/>
        <v>1</v>
      </c>
      <c r="L494" s="3103"/>
      <c r="M494" s="2407">
        <f t="shared" si="81"/>
        <v>1</v>
      </c>
      <c r="N494" s="3103"/>
      <c r="O494" s="2407">
        <f t="shared" si="82"/>
        <v>1</v>
      </c>
      <c r="P494" s="3491"/>
      <c r="Q494" s="2407">
        <f t="shared" si="83"/>
        <v>0</v>
      </c>
      <c r="R494" s="2407">
        <f t="shared" si="84"/>
        <v>0</v>
      </c>
      <c r="S494" s="3098">
        <f t="shared" si="75"/>
        <v>0</v>
      </c>
    </row>
    <row r="495" spans="1:19">
      <c r="A495" s="2571"/>
      <c r="B495" s="3107"/>
      <c r="C495" s="2407">
        <f t="shared" si="76"/>
        <v>1</v>
      </c>
      <c r="D495" s="3103"/>
      <c r="E495" s="2407">
        <f t="shared" si="77"/>
        <v>0</v>
      </c>
      <c r="F495" s="3103"/>
      <c r="G495" s="2407">
        <f t="shared" si="78"/>
        <v>1</v>
      </c>
      <c r="H495" s="3103"/>
      <c r="I495" s="2407">
        <f t="shared" si="79"/>
        <v>1</v>
      </c>
      <c r="J495" s="3103"/>
      <c r="K495" s="2407">
        <f t="shared" si="80"/>
        <v>1</v>
      </c>
      <c r="L495" s="3103"/>
      <c r="M495" s="2407">
        <f t="shared" si="81"/>
        <v>1</v>
      </c>
      <c r="N495" s="3103"/>
      <c r="O495" s="2407">
        <f t="shared" si="82"/>
        <v>1</v>
      </c>
      <c r="P495" s="3491"/>
      <c r="Q495" s="2407">
        <f t="shared" si="83"/>
        <v>0</v>
      </c>
      <c r="R495" s="2407">
        <f t="shared" si="84"/>
        <v>0</v>
      </c>
      <c r="S495" s="3098">
        <f t="shared" si="75"/>
        <v>0</v>
      </c>
    </row>
    <row r="496" spans="1:19">
      <c r="A496" s="2571"/>
      <c r="B496" s="3107"/>
      <c r="C496" s="2407">
        <f t="shared" si="76"/>
        <v>1</v>
      </c>
      <c r="D496" s="3103"/>
      <c r="E496" s="2407">
        <f t="shared" si="77"/>
        <v>0</v>
      </c>
      <c r="F496" s="3103"/>
      <c r="G496" s="2407">
        <f t="shared" si="78"/>
        <v>1</v>
      </c>
      <c r="H496" s="3103"/>
      <c r="I496" s="2407">
        <f t="shared" si="79"/>
        <v>1</v>
      </c>
      <c r="J496" s="3103"/>
      <c r="K496" s="2407">
        <f t="shared" si="80"/>
        <v>1</v>
      </c>
      <c r="L496" s="3103"/>
      <c r="M496" s="2407">
        <f t="shared" si="81"/>
        <v>1</v>
      </c>
      <c r="N496" s="3103"/>
      <c r="O496" s="2407">
        <f t="shared" si="82"/>
        <v>1</v>
      </c>
      <c r="P496" s="3491"/>
      <c r="Q496" s="2407">
        <f t="shared" si="83"/>
        <v>0</v>
      </c>
      <c r="R496" s="2407">
        <f t="shared" si="84"/>
        <v>0</v>
      </c>
      <c r="S496" s="3098">
        <f t="shared" si="75"/>
        <v>0</v>
      </c>
    </row>
    <row r="497" spans="1:19">
      <c r="A497" s="2571"/>
      <c r="B497" s="3107"/>
      <c r="C497" s="2407">
        <f t="shared" si="76"/>
        <v>1</v>
      </c>
      <c r="D497" s="3103"/>
      <c r="E497" s="2407">
        <f t="shared" si="77"/>
        <v>0</v>
      </c>
      <c r="F497" s="3103"/>
      <c r="G497" s="2407">
        <f t="shared" si="78"/>
        <v>1</v>
      </c>
      <c r="H497" s="3103"/>
      <c r="I497" s="2407">
        <f t="shared" si="79"/>
        <v>1</v>
      </c>
      <c r="J497" s="3103"/>
      <c r="K497" s="2407">
        <f t="shared" si="80"/>
        <v>1</v>
      </c>
      <c r="L497" s="3103"/>
      <c r="M497" s="2407">
        <f t="shared" si="81"/>
        <v>1</v>
      </c>
      <c r="N497" s="3103"/>
      <c r="O497" s="2407">
        <f t="shared" si="82"/>
        <v>1</v>
      </c>
      <c r="P497" s="3491"/>
      <c r="Q497" s="2407">
        <f t="shared" si="83"/>
        <v>0</v>
      </c>
      <c r="R497" s="2407">
        <f t="shared" si="84"/>
        <v>0</v>
      </c>
      <c r="S497" s="3098">
        <f t="shared" si="75"/>
        <v>0</v>
      </c>
    </row>
    <row r="498" spans="1:19">
      <c r="A498" s="2571"/>
      <c r="B498" s="3107"/>
      <c r="C498" s="2407">
        <f t="shared" si="76"/>
        <v>1</v>
      </c>
      <c r="D498" s="3103"/>
      <c r="E498" s="2407">
        <f t="shared" si="77"/>
        <v>0</v>
      </c>
      <c r="F498" s="3103"/>
      <c r="G498" s="2407">
        <f t="shared" si="78"/>
        <v>1</v>
      </c>
      <c r="H498" s="3103"/>
      <c r="I498" s="2407">
        <f t="shared" si="79"/>
        <v>1</v>
      </c>
      <c r="J498" s="3103"/>
      <c r="K498" s="2407">
        <f t="shared" si="80"/>
        <v>1</v>
      </c>
      <c r="L498" s="3103"/>
      <c r="M498" s="2407">
        <f t="shared" si="81"/>
        <v>1</v>
      </c>
      <c r="N498" s="3103"/>
      <c r="O498" s="2407">
        <f t="shared" si="82"/>
        <v>1</v>
      </c>
      <c r="P498" s="3491"/>
      <c r="Q498" s="2407">
        <f t="shared" si="83"/>
        <v>0</v>
      </c>
      <c r="R498" s="2407">
        <f t="shared" si="84"/>
        <v>0</v>
      </c>
      <c r="S498" s="3098">
        <f t="shared" si="75"/>
        <v>0</v>
      </c>
    </row>
    <row r="499" spans="1:19">
      <c r="A499" s="2571"/>
      <c r="B499" s="3107"/>
      <c r="C499" s="2407">
        <f t="shared" si="76"/>
        <v>1</v>
      </c>
      <c r="D499" s="3103"/>
      <c r="E499" s="2407">
        <f t="shared" si="77"/>
        <v>0</v>
      </c>
      <c r="F499" s="3103"/>
      <c r="G499" s="2407">
        <f t="shared" si="78"/>
        <v>1</v>
      </c>
      <c r="H499" s="3103"/>
      <c r="I499" s="2407">
        <f t="shared" si="79"/>
        <v>1</v>
      </c>
      <c r="J499" s="3103"/>
      <c r="K499" s="2407">
        <f t="shared" si="80"/>
        <v>1</v>
      </c>
      <c r="L499" s="3103"/>
      <c r="M499" s="2407">
        <f t="shared" si="81"/>
        <v>1</v>
      </c>
      <c r="N499" s="3103"/>
      <c r="O499" s="2407">
        <f t="shared" si="82"/>
        <v>1</v>
      </c>
      <c r="P499" s="3491"/>
      <c r="Q499" s="2407">
        <f t="shared" si="83"/>
        <v>0</v>
      </c>
      <c r="R499" s="2407">
        <f t="shared" si="84"/>
        <v>0</v>
      </c>
      <c r="S499" s="3098">
        <f t="shared" si="75"/>
        <v>0</v>
      </c>
    </row>
    <row r="500" spans="1:19">
      <c r="A500" s="2571"/>
      <c r="B500" s="3107"/>
      <c r="C500" s="2407">
        <f t="shared" si="76"/>
        <v>1</v>
      </c>
      <c r="D500" s="3103"/>
      <c r="E500" s="2407">
        <f t="shared" si="77"/>
        <v>0</v>
      </c>
      <c r="F500" s="3103"/>
      <c r="G500" s="2407">
        <f t="shared" si="78"/>
        <v>1</v>
      </c>
      <c r="H500" s="3103"/>
      <c r="I500" s="2407">
        <f t="shared" si="79"/>
        <v>1</v>
      </c>
      <c r="J500" s="3103"/>
      <c r="K500" s="2407">
        <f t="shared" si="80"/>
        <v>1</v>
      </c>
      <c r="L500" s="3103"/>
      <c r="M500" s="2407">
        <f t="shared" si="81"/>
        <v>1</v>
      </c>
      <c r="N500" s="3103"/>
      <c r="O500" s="2407">
        <f t="shared" si="82"/>
        <v>1</v>
      </c>
      <c r="P500" s="3491"/>
      <c r="Q500" s="2407">
        <f t="shared" si="83"/>
        <v>0</v>
      </c>
      <c r="R500" s="2407">
        <f t="shared" si="84"/>
        <v>0</v>
      </c>
      <c r="S500" s="3098">
        <f t="shared" si="75"/>
        <v>0</v>
      </c>
    </row>
    <row r="501" spans="1:19">
      <c r="A501" s="2571"/>
      <c r="B501" s="3107"/>
      <c r="C501" s="2407">
        <f t="shared" si="76"/>
        <v>1</v>
      </c>
      <c r="D501" s="3103"/>
      <c r="E501" s="2407">
        <f t="shared" si="77"/>
        <v>0</v>
      </c>
      <c r="F501" s="3103"/>
      <c r="G501" s="2407">
        <f t="shared" si="78"/>
        <v>1</v>
      </c>
      <c r="H501" s="3103"/>
      <c r="I501" s="2407">
        <f t="shared" si="79"/>
        <v>1</v>
      </c>
      <c r="J501" s="3103"/>
      <c r="K501" s="2407">
        <f t="shared" si="80"/>
        <v>1</v>
      </c>
      <c r="L501" s="3103"/>
      <c r="M501" s="2407">
        <f t="shared" si="81"/>
        <v>1</v>
      </c>
      <c r="N501" s="3103"/>
      <c r="O501" s="2407">
        <f t="shared" si="82"/>
        <v>1</v>
      </c>
      <c r="P501" s="3491"/>
      <c r="Q501" s="2407">
        <f t="shared" si="83"/>
        <v>0</v>
      </c>
      <c r="R501" s="2407">
        <f t="shared" si="84"/>
        <v>0</v>
      </c>
      <c r="S501" s="3098">
        <f t="shared" si="75"/>
        <v>0</v>
      </c>
    </row>
    <row r="502" spans="1:19">
      <c r="A502" s="2571"/>
      <c r="B502" s="3107"/>
      <c r="C502" s="2407">
        <f t="shared" si="76"/>
        <v>1</v>
      </c>
      <c r="D502" s="3103"/>
      <c r="E502" s="2407">
        <f t="shared" si="77"/>
        <v>0</v>
      </c>
      <c r="F502" s="3103"/>
      <c r="G502" s="2407">
        <f t="shared" si="78"/>
        <v>1</v>
      </c>
      <c r="H502" s="3103"/>
      <c r="I502" s="2407">
        <f t="shared" si="79"/>
        <v>1</v>
      </c>
      <c r="J502" s="3103"/>
      <c r="K502" s="2407">
        <f t="shared" si="80"/>
        <v>1</v>
      </c>
      <c r="L502" s="3103"/>
      <c r="M502" s="2407">
        <f t="shared" si="81"/>
        <v>1</v>
      </c>
      <c r="N502" s="3103"/>
      <c r="O502" s="2407">
        <f t="shared" si="82"/>
        <v>1</v>
      </c>
      <c r="P502" s="3491"/>
      <c r="Q502" s="2407">
        <f t="shared" si="83"/>
        <v>0</v>
      </c>
      <c r="R502" s="2407">
        <f t="shared" si="84"/>
        <v>0</v>
      </c>
      <c r="S502" s="3098">
        <f t="shared" si="75"/>
        <v>0</v>
      </c>
    </row>
    <row r="503" spans="1:19">
      <c r="A503" s="2571"/>
      <c r="B503" s="3107"/>
      <c r="C503" s="2407">
        <f t="shared" si="76"/>
        <v>1</v>
      </c>
      <c r="D503" s="3103"/>
      <c r="E503" s="2407">
        <f t="shared" si="77"/>
        <v>0</v>
      </c>
      <c r="F503" s="3103"/>
      <c r="G503" s="2407">
        <f t="shared" si="78"/>
        <v>1</v>
      </c>
      <c r="H503" s="3103"/>
      <c r="I503" s="2407">
        <f t="shared" si="79"/>
        <v>1</v>
      </c>
      <c r="J503" s="3103"/>
      <c r="K503" s="2407">
        <f t="shared" si="80"/>
        <v>1</v>
      </c>
      <c r="L503" s="3103"/>
      <c r="M503" s="2407">
        <f t="shared" si="81"/>
        <v>1</v>
      </c>
      <c r="N503" s="3103"/>
      <c r="O503" s="2407">
        <f t="shared" si="82"/>
        <v>1</v>
      </c>
      <c r="P503" s="3491"/>
      <c r="Q503" s="2407">
        <f t="shared" si="83"/>
        <v>0</v>
      </c>
      <c r="R503" s="2407">
        <f t="shared" si="84"/>
        <v>0</v>
      </c>
      <c r="S503" s="3098">
        <f t="shared" si="75"/>
        <v>0</v>
      </c>
    </row>
    <row r="504" spans="1:19">
      <c r="A504" s="2571"/>
      <c r="B504" s="3107"/>
      <c r="C504" s="2407">
        <f t="shared" si="76"/>
        <v>1</v>
      </c>
      <c r="D504" s="3103"/>
      <c r="E504" s="2407">
        <f t="shared" si="77"/>
        <v>0</v>
      </c>
      <c r="F504" s="3103"/>
      <c r="G504" s="2407">
        <f t="shared" si="78"/>
        <v>1</v>
      </c>
      <c r="H504" s="3103"/>
      <c r="I504" s="2407">
        <f t="shared" si="79"/>
        <v>1</v>
      </c>
      <c r="J504" s="3103"/>
      <c r="K504" s="2407">
        <f t="shared" si="80"/>
        <v>1</v>
      </c>
      <c r="L504" s="3103"/>
      <c r="M504" s="2407">
        <f t="shared" si="81"/>
        <v>1</v>
      </c>
      <c r="N504" s="3103"/>
      <c r="O504" s="2407">
        <f t="shared" si="82"/>
        <v>1</v>
      </c>
      <c r="P504" s="3491"/>
      <c r="Q504" s="2407">
        <f t="shared" si="83"/>
        <v>0</v>
      </c>
      <c r="R504" s="2407">
        <f t="shared" si="84"/>
        <v>0</v>
      </c>
      <c r="S504" s="3098">
        <f t="shared" si="75"/>
        <v>0</v>
      </c>
    </row>
    <row r="505" spans="1:19">
      <c r="A505" s="2571"/>
      <c r="B505" s="3107"/>
      <c r="C505" s="2407">
        <f t="shared" si="76"/>
        <v>1</v>
      </c>
      <c r="D505" s="3103"/>
      <c r="E505" s="2407">
        <f t="shared" si="77"/>
        <v>0</v>
      </c>
      <c r="F505" s="3103"/>
      <c r="G505" s="2407">
        <f t="shared" si="78"/>
        <v>1</v>
      </c>
      <c r="H505" s="3103"/>
      <c r="I505" s="2407">
        <f t="shared" si="79"/>
        <v>1</v>
      </c>
      <c r="J505" s="3103"/>
      <c r="K505" s="2407">
        <f t="shared" si="80"/>
        <v>1</v>
      </c>
      <c r="L505" s="3103"/>
      <c r="M505" s="2407">
        <f t="shared" si="81"/>
        <v>1</v>
      </c>
      <c r="N505" s="3103"/>
      <c r="O505" s="2407">
        <f t="shared" si="82"/>
        <v>1</v>
      </c>
      <c r="P505" s="3491"/>
      <c r="Q505" s="2407">
        <f t="shared" si="83"/>
        <v>0</v>
      </c>
      <c r="R505" s="2407">
        <f t="shared" si="84"/>
        <v>0</v>
      </c>
      <c r="S505" s="3098">
        <f t="shared" si="75"/>
        <v>0</v>
      </c>
    </row>
    <row r="506" spans="1:19">
      <c r="A506" s="2571"/>
      <c r="B506" s="3107"/>
      <c r="C506" s="2407">
        <f t="shared" si="76"/>
        <v>1</v>
      </c>
      <c r="D506" s="3103"/>
      <c r="E506" s="2407">
        <f t="shared" si="77"/>
        <v>0</v>
      </c>
      <c r="F506" s="3103"/>
      <c r="G506" s="2407">
        <f t="shared" si="78"/>
        <v>1</v>
      </c>
      <c r="H506" s="3103"/>
      <c r="I506" s="2407">
        <f t="shared" si="79"/>
        <v>1</v>
      </c>
      <c r="J506" s="3103"/>
      <c r="K506" s="2407">
        <f t="shared" si="80"/>
        <v>1</v>
      </c>
      <c r="L506" s="3103"/>
      <c r="M506" s="2407">
        <f t="shared" si="81"/>
        <v>1</v>
      </c>
      <c r="N506" s="3103"/>
      <c r="O506" s="2407">
        <f t="shared" si="82"/>
        <v>1</v>
      </c>
      <c r="P506" s="3491"/>
      <c r="Q506" s="2407">
        <f t="shared" si="83"/>
        <v>0</v>
      </c>
      <c r="R506" s="2407">
        <f t="shared" si="84"/>
        <v>0</v>
      </c>
      <c r="S506" s="3098">
        <f t="shared" si="75"/>
        <v>0</v>
      </c>
    </row>
    <row r="507" spans="1:19">
      <c r="A507" s="2571"/>
      <c r="B507" s="3107"/>
      <c r="C507" s="2407">
        <f t="shared" si="76"/>
        <v>1</v>
      </c>
      <c r="D507" s="3103"/>
      <c r="E507" s="2407">
        <f t="shared" si="77"/>
        <v>0</v>
      </c>
      <c r="F507" s="3103"/>
      <c r="G507" s="2407">
        <f t="shared" si="78"/>
        <v>1</v>
      </c>
      <c r="H507" s="3103"/>
      <c r="I507" s="2407">
        <f t="shared" si="79"/>
        <v>1</v>
      </c>
      <c r="J507" s="3103"/>
      <c r="K507" s="2407">
        <f t="shared" si="80"/>
        <v>1</v>
      </c>
      <c r="L507" s="3103"/>
      <c r="M507" s="2407">
        <f t="shared" si="81"/>
        <v>1</v>
      </c>
      <c r="N507" s="3103"/>
      <c r="O507" s="2407">
        <f t="shared" si="82"/>
        <v>1</v>
      </c>
      <c r="P507" s="3491"/>
      <c r="Q507" s="2407">
        <f t="shared" si="83"/>
        <v>0</v>
      </c>
      <c r="R507" s="2407">
        <f t="shared" si="84"/>
        <v>0</v>
      </c>
      <c r="S507" s="3098">
        <f t="shared" si="75"/>
        <v>0</v>
      </c>
    </row>
    <row r="508" spans="1:19">
      <c r="A508" s="2571"/>
      <c r="B508" s="3107"/>
      <c r="C508" s="2407">
        <f t="shared" si="76"/>
        <v>1</v>
      </c>
      <c r="D508" s="3103"/>
      <c r="E508" s="2407">
        <f t="shared" si="77"/>
        <v>0</v>
      </c>
      <c r="F508" s="3103"/>
      <c r="G508" s="2407">
        <f t="shared" si="78"/>
        <v>1</v>
      </c>
      <c r="H508" s="3103"/>
      <c r="I508" s="2407">
        <f t="shared" si="79"/>
        <v>1</v>
      </c>
      <c r="J508" s="3103"/>
      <c r="K508" s="2407">
        <f t="shared" si="80"/>
        <v>1</v>
      </c>
      <c r="L508" s="3103"/>
      <c r="M508" s="2407">
        <f t="shared" si="81"/>
        <v>1</v>
      </c>
      <c r="N508" s="3103"/>
      <c r="O508" s="2407">
        <f t="shared" si="82"/>
        <v>1</v>
      </c>
      <c r="P508" s="3491"/>
      <c r="Q508" s="2407">
        <f t="shared" si="83"/>
        <v>0</v>
      </c>
      <c r="R508" s="2407">
        <f t="shared" si="84"/>
        <v>0</v>
      </c>
      <c r="S508" s="3098">
        <f t="shared" si="75"/>
        <v>0</v>
      </c>
    </row>
    <row r="509" spans="1:19">
      <c r="A509" s="2571"/>
      <c r="B509" s="3107"/>
      <c r="C509" s="2407">
        <f t="shared" si="76"/>
        <v>1</v>
      </c>
      <c r="D509" s="3103"/>
      <c r="E509" s="2407">
        <f t="shared" si="77"/>
        <v>0</v>
      </c>
      <c r="F509" s="3103"/>
      <c r="G509" s="2407">
        <f t="shared" si="78"/>
        <v>1</v>
      </c>
      <c r="H509" s="3103"/>
      <c r="I509" s="2407">
        <f t="shared" si="79"/>
        <v>1</v>
      </c>
      <c r="J509" s="3103"/>
      <c r="K509" s="2407">
        <f t="shared" si="80"/>
        <v>1</v>
      </c>
      <c r="L509" s="3103"/>
      <c r="M509" s="2407">
        <f t="shared" si="81"/>
        <v>1</v>
      </c>
      <c r="N509" s="3103"/>
      <c r="O509" s="2407">
        <f t="shared" si="82"/>
        <v>1</v>
      </c>
      <c r="P509" s="3491"/>
      <c r="Q509" s="2407">
        <f t="shared" si="83"/>
        <v>0</v>
      </c>
      <c r="R509" s="2407">
        <f t="shared" si="84"/>
        <v>0</v>
      </c>
      <c r="S509" s="3098">
        <f t="shared" si="75"/>
        <v>0</v>
      </c>
    </row>
    <row r="510" spans="1:19">
      <c r="A510" s="2571"/>
      <c r="B510" s="3107"/>
      <c r="C510" s="2407">
        <f t="shared" si="76"/>
        <v>1</v>
      </c>
      <c r="D510" s="3103"/>
      <c r="E510" s="2407">
        <f t="shared" si="77"/>
        <v>0</v>
      </c>
      <c r="F510" s="3103"/>
      <c r="G510" s="2407">
        <f t="shared" si="78"/>
        <v>1</v>
      </c>
      <c r="H510" s="3103"/>
      <c r="I510" s="2407">
        <f t="shared" si="79"/>
        <v>1</v>
      </c>
      <c r="J510" s="3103"/>
      <c r="K510" s="2407">
        <f t="shared" si="80"/>
        <v>1</v>
      </c>
      <c r="L510" s="3103"/>
      <c r="M510" s="2407">
        <f t="shared" si="81"/>
        <v>1</v>
      </c>
      <c r="N510" s="3103"/>
      <c r="O510" s="2407">
        <f t="shared" si="82"/>
        <v>1</v>
      </c>
      <c r="P510" s="3491"/>
      <c r="Q510" s="2407">
        <f t="shared" si="83"/>
        <v>0</v>
      </c>
      <c r="R510" s="2407">
        <f t="shared" si="84"/>
        <v>0</v>
      </c>
      <c r="S510" s="3098">
        <f t="shared" si="75"/>
        <v>0</v>
      </c>
    </row>
    <row r="511" spans="1:19">
      <c r="A511" s="2571"/>
      <c r="B511" s="3107"/>
      <c r="C511" s="2407">
        <f t="shared" si="76"/>
        <v>1</v>
      </c>
      <c r="D511" s="3103"/>
      <c r="E511" s="2407">
        <f t="shared" si="77"/>
        <v>0</v>
      </c>
      <c r="F511" s="3103"/>
      <c r="G511" s="2407">
        <f t="shared" si="78"/>
        <v>1</v>
      </c>
      <c r="H511" s="3103"/>
      <c r="I511" s="2407">
        <f t="shared" si="79"/>
        <v>1</v>
      </c>
      <c r="J511" s="3103"/>
      <c r="K511" s="2407">
        <f t="shared" si="80"/>
        <v>1</v>
      </c>
      <c r="L511" s="3103"/>
      <c r="M511" s="2407">
        <f t="shared" si="81"/>
        <v>1</v>
      </c>
      <c r="N511" s="3103"/>
      <c r="O511" s="2407">
        <f t="shared" si="82"/>
        <v>1</v>
      </c>
      <c r="P511" s="3491"/>
      <c r="Q511" s="2407">
        <f t="shared" si="83"/>
        <v>0</v>
      </c>
      <c r="R511" s="2407">
        <f t="shared" si="84"/>
        <v>0</v>
      </c>
      <c r="S511" s="3098">
        <f t="shared" si="75"/>
        <v>0</v>
      </c>
    </row>
    <row r="512" spans="1:19">
      <c r="A512" s="2571"/>
      <c r="B512" s="3107"/>
      <c r="C512" s="2407">
        <f t="shared" si="76"/>
        <v>1</v>
      </c>
      <c r="D512" s="3103"/>
      <c r="E512" s="2407">
        <f t="shared" si="77"/>
        <v>0</v>
      </c>
      <c r="F512" s="3103"/>
      <c r="G512" s="2407">
        <f t="shared" si="78"/>
        <v>1</v>
      </c>
      <c r="H512" s="3103"/>
      <c r="I512" s="2407">
        <f t="shared" si="79"/>
        <v>1</v>
      </c>
      <c r="J512" s="3103"/>
      <c r="K512" s="2407">
        <f t="shared" si="80"/>
        <v>1</v>
      </c>
      <c r="L512" s="3103"/>
      <c r="M512" s="2407">
        <f t="shared" si="81"/>
        <v>1</v>
      </c>
      <c r="N512" s="3103"/>
      <c r="O512" s="2407">
        <f t="shared" si="82"/>
        <v>1</v>
      </c>
      <c r="P512" s="3491"/>
      <c r="Q512" s="2407">
        <f t="shared" si="83"/>
        <v>0</v>
      </c>
      <c r="R512" s="2407">
        <f t="shared" si="84"/>
        <v>0</v>
      </c>
      <c r="S512" s="3098">
        <f t="shared" si="75"/>
        <v>0</v>
      </c>
    </row>
    <row r="513" spans="1:19">
      <c r="A513" s="2571"/>
      <c r="B513" s="3107"/>
      <c r="C513" s="2407">
        <f t="shared" si="76"/>
        <v>1</v>
      </c>
      <c r="D513" s="3103"/>
      <c r="E513" s="2407">
        <f t="shared" si="77"/>
        <v>0</v>
      </c>
      <c r="F513" s="3103"/>
      <c r="G513" s="2407">
        <f t="shared" si="78"/>
        <v>1</v>
      </c>
      <c r="H513" s="3103"/>
      <c r="I513" s="2407">
        <f t="shared" si="79"/>
        <v>1</v>
      </c>
      <c r="J513" s="3103"/>
      <c r="K513" s="2407">
        <f t="shared" si="80"/>
        <v>1</v>
      </c>
      <c r="L513" s="3103"/>
      <c r="M513" s="2407">
        <f t="shared" si="81"/>
        <v>1</v>
      </c>
      <c r="N513" s="3103"/>
      <c r="O513" s="2407">
        <f t="shared" si="82"/>
        <v>1</v>
      </c>
      <c r="P513" s="3491"/>
      <c r="Q513" s="2407">
        <f t="shared" si="83"/>
        <v>0</v>
      </c>
      <c r="R513" s="2407">
        <f t="shared" si="84"/>
        <v>0</v>
      </c>
      <c r="S513" s="3098">
        <f t="shared" si="75"/>
        <v>0</v>
      </c>
    </row>
    <row r="514" spans="1:19">
      <c r="A514" s="2571"/>
      <c r="B514" s="3107"/>
      <c r="C514" s="2407">
        <f t="shared" si="76"/>
        <v>1</v>
      </c>
      <c r="D514" s="3103"/>
      <c r="E514" s="2407">
        <f t="shared" si="77"/>
        <v>0</v>
      </c>
      <c r="F514" s="3103"/>
      <c r="G514" s="2407">
        <f t="shared" si="78"/>
        <v>1</v>
      </c>
      <c r="H514" s="3103"/>
      <c r="I514" s="2407">
        <f t="shared" si="79"/>
        <v>1</v>
      </c>
      <c r="J514" s="3103"/>
      <c r="K514" s="2407">
        <f t="shared" si="80"/>
        <v>1</v>
      </c>
      <c r="L514" s="3103"/>
      <c r="M514" s="2407">
        <f t="shared" si="81"/>
        <v>1</v>
      </c>
      <c r="N514" s="3103"/>
      <c r="O514" s="2407">
        <f t="shared" si="82"/>
        <v>1</v>
      </c>
      <c r="P514" s="3491"/>
      <c r="Q514" s="2407">
        <f t="shared" si="83"/>
        <v>0</v>
      </c>
      <c r="R514" s="2407">
        <f t="shared" si="84"/>
        <v>0</v>
      </c>
      <c r="S514" s="3098">
        <f t="shared" si="75"/>
        <v>0</v>
      </c>
    </row>
    <row r="515" spans="1:19">
      <c r="A515" s="2571"/>
      <c r="B515" s="3107"/>
      <c r="C515" s="2407">
        <f t="shared" si="76"/>
        <v>1</v>
      </c>
      <c r="D515" s="3103"/>
      <c r="E515" s="2407">
        <f t="shared" si="77"/>
        <v>0</v>
      </c>
      <c r="F515" s="3103"/>
      <c r="G515" s="2407">
        <f t="shared" si="78"/>
        <v>1</v>
      </c>
      <c r="H515" s="3103"/>
      <c r="I515" s="2407">
        <f t="shared" si="79"/>
        <v>1</v>
      </c>
      <c r="J515" s="3103"/>
      <c r="K515" s="2407">
        <f t="shared" si="80"/>
        <v>1</v>
      </c>
      <c r="L515" s="3103"/>
      <c r="M515" s="2407">
        <f t="shared" si="81"/>
        <v>1</v>
      </c>
      <c r="N515" s="3103"/>
      <c r="O515" s="2407">
        <f t="shared" si="82"/>
        <v>1</v>
      </c>
      <c r="P515" s="3491"/>
      <c r="Q515" s="2407">
        <f t="shared" si="83"/>
        <v>0</v>
      </c>
      <c r="R515" s="2407">
        <f t="shared" si="84"/>
        <v>0</v>
      </c>
      <c r="S515" s="3098">
        <f t="shared" si="75"/>
        <v>0</v>
      </c>
    </row>
    <row r="516" spans="1:19">
      <c r="A516" s="2571"/>
      <c r="B516" s="3107"/>
      <c r="C516" s="2407">
        <f t="shared" si="76"/>
        <v>1</v>
      </c>
      <c r="D516" s="3103"/>
      <c r="E516" s="2407">
        <f t="shared" si="77"/>
        <v>0</v>
      </c>
      <c r="F516" s="3103"/>
      <c r="G516" s="2407">
        <f t="shared" si="78"/>
        <v>1</v>
      </c>
      <c r="H516" s="3103"/>
      <c r="I516" s="2407">
        <f t="shared" si="79"/>
        <v>1</v>
      </c>
      <c r="J516" s="3103"/>
      <c r="K516" s="2407">
        <f t="shared" si="80"/>
        <v>1</v>
      </c>
      <c r="L516" s="3103"/>
      <c r="M516" s="2407">
        <f t="shared" si="81"/>
        <v>1</v>
      </c>
      <c r="N516" s="3103"/>
      <c r="O516" s="2407">
        <f t="shared" si="82"/>
        <v>1</v>
      </c>
      <c r="P516" s="3491"/>
      <c r="Q516" s="2407">
        <f t="shared" si="83"/>
        <v>0</v>
      </c>
      <c r="R516" s="2407">
        <f t="shared" si="84"/>
        <v>0</v>
      </c>
      <c r="S516" s="3098">
        <f t="shared" si="75"/>
        <v>0</v>
      </c>
    </row>
    <row r="517" spans="1:19">
      <c r="A517" s="2571"/>
      <c r="B517" s="3107"/>
      <c r="C517" s="2407">
        <f t="shared" si="76"/>
        <v>1</v>
      </c>
      <c r="D517" s="3103"/>
      <c r="E517" s="2407">
        <f t="shared" si="77"/>
        <v>0</v>
      </c>
      <c r="F517" s="3103"/>
      <c r="G517" s="2407">
        <f t="shared" si="78"/>
        <v>1</v>
      </c>
      <c r="H517" s="3103"/>
      <c r="I517" s="2407">
        <f t="shared" si="79"/>
        <v>1</v>
      </c>
      <c r="J517" s="3103"/>
      <c r="K517" s="2407">
        <f t="shared" si="80"/>
        <v>1</v>
      </c>
      <c r="L517" s="3103"/>
      <c r="M517" s="2407">
        <f t="shared" si="81"/>
        <v>1</v>
      </c>
      <c r="N517" s="3103"/>
      <c r="O517" s="2407">
        <f t="shared" si="82"/>
        <v>1</v>
      </c>
      <c r="P517" s="3491"/>
      <c r="Q517" s="2407">
        <f t="shared" si="83"/>
        <v>0</v>
      </c>
      <c r="R517" s="2407">
        <f t="shared" si="84"/>
        <v>0</v>
      </c>
      <c r="S517" s="3098">
        <f t="shared" si="75"/>
        <v>0</v>
      </c>
    </row>
    <row r="518" spans="1:19">
      <c r="A518" s="2571"/>
      <c r="B518" s="3107"/>
      <c r="C518" s="2407">
        <f t="shared" si="76"/>
        <v>1</v>
      </c>
      <c r="D518" s="3103"/>
      <c r="E518" s="2407">
        <f t="shared" si="77"/>
        <v>0</v>
      </c>
      <c r="F518" s="3103"/>
      <c r="G518" s="2407">
        <f t="shared" si="78"/>
        <v>1</v>
      </c>
      <c r="H518" s="3103"/>
      <c r="I518" s="2407">
        <f t="shared" si="79"/>
        <v>1</v>
      </c>
      <c r="J518" s="3103"/>
      <c r="K518" s="2407">
        <f t="shared" si="80"/>
        <v>1</v>
      </c>
      <c r="L518" s="3103"/>
      <c r="M518" s="2407">
        <f t="shared" si="81"/>
        <v>1</v>
      </c>
      <c r="N518" s="3103"/>
      <c r="O518" s="2407">
        <f t="shared" si="82"/>
        <v>1</v>
      </c>
      <c r="P518" s="3491"/>
      <c r="Q518" s="2407">
        <f t="shared" si="83"/>
        <v>0</v>
      </c>
      <c r="R518" s="2407">
        <f t="shared" si="84"/>
        <v>0</v>
      </c>
      <c r="S518" s="3098">
        <f t="shared" si="75"/>
        <v>0</v>
      </c>
    </row>
    <row r="519" spans="1:19">
      <c r="A519" s="2571"/>
      <c r="B519" s="3107"/>
      <c r="C519" s="2407">
        <f t="shared" si="76"/>
        <v>1</v>
      </c>
      <c r="D519" s="3103"/>
      <c r="E519" s="2407">
        <f t="shared" si="77"/>
        <v>0</v>
      </c>
      <c r="F519" s="3103"/>
      <c r="G519" s="2407">
        <f t="shared" si="78"/>
        <v>1</v>
      </c>
      <c r="H519" s="3103"/>
      <c r="I519" s="2407">
        <f t="shared" si="79"/>
        <v>1</v>
      </c>
      <c r="J519" s="3103"/>
      <c r="K519" s="2407">
        <f t="shared" si="80"/>
        <v>1</v>
      </c>
      <c r="L519" s="3103"/>
      <c r="M519" s="2407">
        <f t="shared" si="81"/>
        <v>1</v>
      </c>
      <c r="N519" s="3103"/>
      <c r="O519" s="2407">
        <f t="shared" si="82"/>
        <v>1</v>
      </c>
      <c r="P519" s="3491"/>
      <c r="Q519" s="2407">
        <f t="shared" si="83"/>
        <v>0</v>
      </c>
      <c r="R519" s="2407">
        <f t="shared" si="84"/>
        <v>0</v>
      </c>
      <c r="S519" s="3098">
        <f t="shared" si="75"/>
        <v>0</v>
      </c>
    </row>
    <row r="520" spans="1:19">
      <c r="A520" s="2571"/>
      <c r="B520" s="3107"/>
      <c r="C520" s="2407">
        <f t="shared" si="76"/>
        <v>1</v>
      </c>
      <c r="D520" s="3103"/>
      <c r="E520" s="2407">
        <f t="shared" si="77"/>
        <v>0</v>
      </c>
      <c r="F520" s="3103"/>
      <c r="G520" s="2407">
        <f t="shared" si="78"/>
        <v>1</v>
      </c>
      <c r="H520" s="3103"/>
      <c r="I520" s="2407">
        <f t="shared" si="79"/>
        <v>1</v>
      </c>
      <c r="J520" s="3103"/>
      <c r="K520" s="2407">
        <f t="shared" si="80"/>
        <v>1</v>
      </c>
      <c r="L520" s="3103"/>
      <c r="M520" s="2407">
        <f t="shared" si="81"/>
        <v>1</v>
      </c>
      <c r="N520" s="3103"/>
      <c r="O520" s="2407">
        <f t="shared" si="82"/>
        <v>1</v>
      </c>
      <c r="P520" s="3491"/>
      <c r="Q520" s="2407">
        <f t="shared" si="83"/>
        <v>0</v>
      </c>
      <c r="R520" s="2407">
        <f t="shared" si="84"/>
        <v>0</v>
      </c>
      <c r="S520" s="3098">
        <f t="shared" si="75"/>
        <v>0</v>
      </c>
    </row>
    <row r="521" spans="1:19">
      <c r="A521" s="2571"/>
      <c r="B521" s="3107"/>
      <c r="C521" s="2407">
        <f t="shared" si="76"/>
        <v>1</v>
      </c>
      <c r="D521" s="3103"/>
      <c r="E521" s="2407">
        <f t="shared" si="77"/>
        <v>0</v>
      </c>
      <c r="F521" s="3103"/>
      <c r="G521" s="2407">
        <f t="shared" si="78"/>
        <v>1</v>
      </c>
      <c r="H521" s="3103"/>
      <c r="I521" s="2407">
        <f t="shared" si="79"/>
        <v>1</v>
      </c>
      <c r="J521" s="3103"/>
      <c r="K521" s="2407">
        <f t="shared" si="80"/>
        <v>1</v>
      </c>
      <c r="L521" s="3103"/>
      <c r="M521" s="2407">
        <f t="shared" si="81"/>
        <v>1</v>
      </c>
      <c r="N521" s="3103"/>
      <c r="O521" s="2407">
        <f t="shared" si="82"/>
        <v>1</v>
      </c>
      <c r="P521" s="3491"/>
      <c r="Q521" s="2407">
        <f t="shared" si="83"/>
        <v>0</v>
      </c>
      <c r="R521" s="2407">
        <f t="shared" si="84"/>
        <v>0</v>
      </c>
      <c r="S521" s="3098">
        <f t="shared" si="75"/>
        <v>0</v>
      </c>
    </row>
    <row r="522" spans="1:19">
      <c r="A522" s="2571"/>
      <c r="B522" s="3107"/>
      <c r="C522" s="2407">
        <f t="shared" si="76"/>
        <v>1</v>
      </c>
      <c r="D522" s="3103"/>
      <c r="E522" s="2407">
        <f t="shared" si="77"/>
        <v>0</v>
      </c>
      <c r="F522" s="3103"/>
      <c r="G522" s="2407">
        <f t="shared" si="78"/>
        <v>1</v>
      </c>
      <c r="H522" s="3103"/>
      <c r="I522" s="2407">
        <f t="shared" si="79"/>
        <v>1</v>
      </c>
      <c r="J522" s="3103"/>
      <c r="K522" s="2407">
        <f t="shared" si="80"/>
        <v>1</v>
      </c>
      <c r="L522" s="3103"/>
      <c r="M522" s="2407">
        <f t="shared" si="81"/>
        <v>1</v>
      </c>
      <c r="N522" s="3103"/>
      <c r="O522" s="2407">
        <f t="shared" si="82"/>
        <v>1</v>
      </c>
      <c r="P522" s="3491"/>
      <c r="Q522" s="2407">
        <f t="shared" si="83"/>
        <v>0</v>
      </c>
      <c r="R522" s="2407">
        <f t="shared" si="84"/>
        <v>0</v>
      </c>
      <c r="S522" s="3098">
        <f t="shared" si="75"/>
        <v>0</v>
      </c>
    </row>
    <row r="523" spans="1:19">
      <c r="A523" s="2571"/>
      <c r="B523" s="3107"/>
      <c r="C523" s="2407">
        <f t="shared" si="76"/>
        <v>1</v>
      </c>
      <c r="D523" s="3103"/>
      <c r="E523" s="2407">
        <f t="shared" si="77"/>
        <v>0</v>
      </c>
      <c r="F523" s="3103"/>
      <c r="G523" s="2407">
        <f t="shared" si="78"/>
        <v>1</v>
      </c>
      <c r="H523" s="3103"/>
      <c r="I523" s="2407">
        <f t="shared" si="79"/>
        <v>1</v>
      </c>
      <c r="J523" s="3103"/>
      <c r="K523" s="2407">
        <f t="shared" si="80"/>
        <v>1</v>
      </c>
      <c r="L523" s="3103"/>
      <c r="M523" s="2407">
        <f t="shared" si="81"/>
        <v>1</v>
      </c>
      <c r="N523" s="3103"/>
      <c r="O523" s="2407">
        <f t="shared" si="82"/>
        <v>1</v>
      </c>
      <c r="P523" s="3491"/>
      <c r="Q523" s="2407">
        <f t="shared" si="83"/>
        <v>0</v>
      </c>
      <c r="R523" s="2407">
        <f t="shared" si="84"/>
        <v>0</v>
      </c>
      <c r="S523" s="3098">
        <f t="shared" si="75"/>
        <v>0</v>
      </c>
    </row>
    <row r="524" spans="1:19">
      <c r="A524" s="2571"/>
      <c r="B524" s="3107"/>
      <c r="C524" s="2407">
        <f t="shared" si="76"/>
        <v>1</v>
      </c>
      <c r="D524" s="3103"/>
      <c r="E524" s="2407">
        <f t="shared" si="77"/>
        <v>0</v>
      </c>
      <c r="F524" s="3103"/>
      <c r="G524" s="2407">
        <f t="shared" si="78"/>
        <v>1</v>
      </c>
      <c r="H524" s="3103"/>
      <c r="I524" s="2407">
        <f t="shared" si="79"/>
        <v>1</v>
      </c>
      <c r="J524" s="3103"/>
      <c r="K524" s="2407">
        <f t="shared" si="80"/>
        <v>1</v>
      </c>
      <c r="L524" s="3103"/>
      <c r="M524" s="2407">
        <f t="shared" si="81"/>
        <v>1</v>
      </c>
      <c r="N524" s="3103"/>
      <c r="O524" s="2407">
        <f t="shared" si="82"/>
        <v>1</v>
      </c>
      <c r="P524" s="3491"/>
      <c r="Q524" s="2407">
        <f t="shared" si="83"/>
        <v>0</v>
      </c>
      <c r="R524" s="2407">
        <f t="shared" si="84"/>
        <v>0</v>
      </c>
      <c r="S524" s="3098">
        <f t="shared" si="75"/>
        <v>0</v>
      </c>
    </row>
  </sheetData>
  <sheetProtection password="C66D" sheet="1" objects="1" scenarios="1" formatCells="0" formatColumns="0" formatRows="0"/>
  <mergeCells count="2">
    <mergeCell ref="C1:S1"/>
    <mergeCell ref="C22:Q22"/>
  </mergeCells>
  <phoneticPr fontId="143" type="noConversion"/>
  <dataValidations count="9">
    <dataValidation type="list" allowBlank="1" showInputMessage="1" showErrorMessage="1" sqref="H20">
      <formula1>估价方法</formula1>
    </dataValidation>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s>
  <pageMargins left="0.7" right="0.7" top="0.75" bottom="0.75" header="0.3" footer="0.3"/>
  <pageSetup paperSize="9" scale="96" orientation="landscape" r:id="rId1"/>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68"/>
  <sheetViews>
    <sheetView topLeftCell="A626" workbookViewId="0">
      <selection activeCell="L660" sqref="L660"/>
    </sheetView>
  </sheetViews>
  <sheetFormatPr defaultRowHeight="13.5"/>
  <cols>
    <col min="1" max="1" width="7" customWidth="1"/>
    <col min="2" max="2" width="36.875" customWidth="1"/>
    <col min="3" max="3" width="8.5" customWidth="1"/>
    <col min="4" max="5" width="8.125" customWidth="1"/>
    <col min="6" max="6" width="11.625" customWidth="1"/>
    <col min="8" max="8" width="10.5" style="3630" customWidth="1"/>
    <col min="9" max="9" width="12" style="3386" customWidth="1"/>
  </cols>
  <sheetData>
    <row r="1" spans="1:9" ht="22.5">
      <c r="A1" s="3878" t="s">
        <v>7465</v>
      </c>
      <c r="B1" s="3879"/>
      <c r="C1" s="3879"/>
      <c r="D1" s="3879"/>
      <c r="E1" s="3879"/>
      <c r="F1" s="3879"/>
      <c r="G1" s="3879"/>
      <c r="H1" s="3879"/>
      <c r="I1" s="3880"/>
    </row>
    <row r="2" spans="1:9" ht="24">
      <c r="A2" s="3622" t="s">
        <v>3049</v>
      </c>
      <c r="B2" s="3609" t="s">
        <v>7466</v>
      </c>
      <c r="C2" s="3606" t="s">
        <v>3050</v>
      </c>
      <c r="D2" s="3606" t="s">
        <v>3051</v>
      </c>
      <c r="E2" s="3606" t="s">
        <v>3052</v>
      </c>
      <c r="F2" s="3606" t="s">
        <v>7467</v>
      </c>
      <c r="G2" s="3609" t="s">
        <v>1376</v>
      </c>
      <c r="H2" s="3631" t="str">
        <f>Sheet4!H2</f>
        <v>单价（元/平方米）</v>
      </c>
      <c r="I2" s="3632" t="str">
        <f>Sheet4!I2</f>
        <v>总价（万元）</v>
      </c>
    </row>
    <row r="3" spans="1:9">
      <c r="A3" s="3615">
        <v>1</v>
      </c>
      <c r="B3" s="3608" t="s">
        <v>7468</v>
      </c>
      <c r="C3" s="3612" t="s">
        <v>3054</v>
      </c>
      <c r="D3" s="3612">
        <v>1</v>
      </c>
      <c r="E3" s="3612">
        <v>22</v>
      </c>
      <c r="F3" s="3612">
        <v>71.430000000000007</v>
      </c>
      <c r="G3" s="3608" t="s">
        <v>1378</v>
      </c>
      <c r="H3" s="3633">
        <f ca="1">'典型户型修正(先权重后修正)'!$R$24</f>
        <v>35065</v>
      </c>
      <c r="I3" s="3634">
        <f ca="1">ROUND(H3*F3/10000,2)</f>
        <v>250.47</v>
      </c>
    </row>
    <row r="4" spans="1:9">
      <c r="A4" s="3615">
        <v>2</v>
      </c>
      <c r="B4" s="3624" t="s">
        <v>7170</v>
      </c>
      <c r="C4" s="3612" t="s">
        <v>3054</v>
      </c>
      <c r="D4" s="3612">
        <v>1</v>
      </c>
      <c r="E4" s="3612">
        <v>23</v>
      </c>
      <c r="F4" s="3612">
        <v>69.5</v>
      </c>
      <c r="G4" s="3608" t="s">
        <v>1378</v>
      </c>
      <c r="H4" s="3633">
        <f ca="1">'典型户型修正(先权重后修正)'!$R$24</f>
        <v>35065</v>
      </c>
      <c r="I4" s="3634">
        <f t="shared" ref="I4:I12" ca="1" si="0">ROUND(H4*F4/10000,2)</f>
        <v>243.7</v>
      </c>
    </row>
    <row r="5" spans="1:9">
      <c r="A5" s="3615">
        <v>3</v>
      </c>
      <c r="B5" s="3624" t="s">
        <v>7171</v>
      </c>
      <c r="C5" s="3612" t="s">
        <v>3054</v>
      </c>
      <c r="D5" s="3612">
        <v>1</v>
      </c>
      <c r="E5" s="3612">
        <v>26</v>
      </c>
      <c r="F5" s="3612">
        <v>95.51</v>
      </c>
      <c r="G5" s="3608" t="s">
        <v>1378</v>
      </c>
      <c r="H5" s="3633">
        <f ca="1">'典型户型修正(先权重后修正)'!$R$24</f>
        <v>35065</v>
      </c>
      <c r="I5" s="3634">
        <f t="shared" ca="1" si="0"/>
        <v>334.91</v>
      </c>
    </row>
    <row r="6" spans="1:9">
      <c r="A6" s="3615">
        <v>4</v>
      </c>
      <c r="B6" s="3624" t="s">
        <v>7172</v>
      </c>
      <c r="C6" s="3612" t="s">
        <v>3054</v>
      </c>
      <c r="D6" s="3612">
        <v>1</v>
      </c>
      <c r="E6" s="3612">
        <v>171</v>
      </c>
      <c r="F6" s="3612">
        <v>43.46</v>
      </c>
      <c r="G6" s="3608" t="s">
        <v>1378</v>
      </c>
      <c r="H6" s="3633">
        <f ca="1">'典型户型修正(先权重后修正)'!$R$24</f>
        <v>35065</v>
      </c>
      <c r="I6" s="3634">
        <f t="shared" ca="1" si="0"/>
        <v>152.38999999999999</v>
      </c>
    </row>
    <row r="7" spans="1:9">
      <c r="A7" s="3615">
        <v>5</v>
      </c>
      <c r="B7" s="3624" t="s">
        <v>7173</v>
      </c>
      <c r="C7" s="3612" t="s">
        <v>3054</v>
      </c>
      <c r="D7" s="3612">
        <v>1</v>
      </c>
      <c r="E7" s="3612">
        <v>186</v>
      </c>
      <c r="F7" s="3612">
        <v>89.77</v>
      </c>
      <c r="G7" s="3608" t="s">
        <v>1378</v>
      </c>
      <c r="H7" s="3633">
        <f ca="1">'典型户型修正(先权重后修正)'!$R$24</f>
        <v>35065</v>
      </c>
      <c r="I7" s="3634">
        <f t="shared" ca="1" si="0"/>
        <v>314.77999999999997</v>
      </c>
    </row>
    <row r="8" spans="1:9">
      <c r="A8" s="3615">
        <v>6</v>
      </c>
      <c r="B8" s="3624" t="s">
        <v>7174</v>
      </c>
      <c r="C8" s="3609" t="s">
        <v>3054</v>
      </c>
      <c r="D8" s="3609">
        <v>1</v>
      </c>
      <c r="E8" s="3613">
        <v>27</v>
      </c>
      <c r="F8" s="3609">
        <v>95.27</v>
      </c>
      <c r="G8" s="3608" t="s">
        <v>1378</v>
      </c>
      <c r="H8" s="3633">
        <f ca="1">'典型户型修正(先权重后修正)'!$R$24</f>
        <v>35065</v>
      </c>
      <c r="I8" s="3634">
        <f t="shared" ca="1" si="0"/>
        <v>334.06</v>
      </c>
    </row>
    <row r="9" spans="1:9">
      <c r="A9" s="3615">
        <v>7</v>
      </c>
      <c r="B9" s="3624" t="s">
        <v>7175</v>
      </c>
      <c r="C9" s="3609" t="s">
        <v>3054</v>
      </c>
      <c r="D9" s="3609">
        <v>1</v>
      </c>
      <c r="E9" s="3613">
        <v>183</v>
      </c>
      <c r="F9" s="3609">
        <v>71.5</v>
      </c>
      <c r="G9" s="3608" t="s">
        <v>1378</v>
      </c>
      <c r="H9" s="3633">
        <f ca="1">'典型户型修正(先权重后修正)'!$R$24</f>
        <v>35065</v>
      </c>
      <c r="I9" s="3634">
        <f t="shared" ca="1" si="0"/>
        <v>250.71</v>
      </c>
    </row>
    <row r="10" spans="1:9">
      <c r="A10" s="3615">
        <v>8</v>
      </c>
      <c r="B10" s="3624" t="s">
        <v>7176</v>
      </c>
      <c r="C10" s="3609" t="s">
        <v>3054</v>
      </c>
      <c r="D10" s="3609">
        <v>1</v>
      </c>
      <c r="E10" s="3613">
        <v>185</v>
      </c>
      <c r="F10" s="3609">
        <v>66.72</v>
      </c>
      <c r="G10" s="3608" t="s">
        <v>1378</v>
      </c>
      <c r="H10" s="3633">
        <f ca="1">'典型户型修正(先权重后修正)'!$R$24</f>
        <v>35065</v>
      </c>
      <c r="I10" s="3634">
        <f t="shared" ca="1" si="0"/>
        <v>233.95</v>
      </c>
    </row>
    <row r="11" spans="1:9">
      <c r="A11" s="3615">
        <v>9</v>
      </c>
      <c r="B11" s="3624" t="s">
        <v>7469</v>
      </c>
      <c r="C11" s="3616" t="s">
        <v>3054</v>
      </c>
      <c r="D11" s="3616">
        <v>1</v>
      </c>
      <c r="E11" s="3616">
        <v>7</v>
      </c>
      <c r="F11" s="3616">
        <v>88.99</v>
      </c>
      <c r="G11" s="3608" t="s">
        <v>1378</v>
      </c>
      <c r="H11" s="3633">
        <f ca="1">'典型户型修正(先权重后修正)'!$R$24</f>
        <v>35065</v>
      </c>
      <c r="I11" s="3634">
        <f t="shared" ca="1" si="0"/>
        <v>312.04000000000002</v>
      </c>
    </row>
    <row r="12" spans="1:9">
      <c r="A12" s="3615">
        <v>10</v>
      </c>
      <c r="B12" s="3615" t="s">
        <v>7470</v>
      </c>
      <c r="C12" s="3616" t="s">
        <v>3054</v>
      </c>
      <c r="D12" s="3616">
        <v>1</v>
      </c>
      <c r="E12" s="3616">
        <v>3</v>
      </c>
      <c r="F12" s="3616">
        <v>178.15</v>
      </c>
      <c r="G12" s="3608" t="s">
        <v>1378</v>
      </c>
      <c r="H12" s="3633">
        <f ca="1">'典型户型修正(先权重后修正)'!$R$24</f>
        <v>35065</v>
      </c>
      <c r="I12" s="3634">
        <f t="shared" ca="1" si="0"/>
        <v>624.67999999999995</v>
      </c>
    </row>
    <row r="13" spans="1:9">
      <c r="A13" s="3615">
        <v>11</v>
      </c>
      <c r="B13" s="3615" t="s">
        <v>7177</v>
      </c>
      <c r="C13" s="3617" t="s">
        <v>3054</v>
      </c>
      <c r="D13" s="3617">
        <v>2</v>
      </c>
      <c r="E13" s="3617">
        <v>41</v>
      </c>
      <c r="F13" s="3617">
        <v>48.27</v>
      </c>
      <c r="G13" s="3608" t="s">
        <v>1378</v>
      </c>
      <c r="H13" s="3633">
        <f ca="1">'典型户型修正(先权重后修正)'!$R$25</f>
        <v>24546</v>
      </c>
      <c r="I13" s="3634">
        <f ca="1">ROUND(H13*F13/10000,2)</f>
        <v>118.48</v>
      </c>
    </row>
    <row r="14" spans="1:9">
      <c r="A14" s="3615">
        <v>12</v>
      </c>
      <c r="B14" s="3615" t="s">
        <v>7178</v>
      </c>
      <c r="C14" s="3617" t="s">
        <v>3054</v>
      </c>
      <c r="D14" s="3617">
        <v>2</v>
      </c>
      <c r="E14" s="3617">
        <v>42</v>
      </c>
      <c r="F14" s="3617">
        <v>62.79</v>
      </c>
      <c r="G14" s="3608" t="s">
        <v>1378</v>
      </c>
      <c r="H14" s="3633">
        <f ca="1">'典型户型修正(先权重后修正)'!$R$25</f>
        <v>24546</v>
      </c>
      <c r="I14" s="3634">
        <f t="shared" ref="I14:I19" ca="1" si="1">ROUND(H14*F14/10000,2)</f>
        <v>154.12</v>
      </c>
    </row>
    <row r="15" spans="1:9">
      <c r="A15" s="3615">
        <v>13</v>
      </c>
      <c r="B15" s="3615" t="s">
        <v>7179</v>
      </c>
      <c r="C15" s="3617" t="s">
        <v>3054</v>
      </c>
      <c r="D15" s="3617">
        <v>2</v>
      </c>
      <c r="E15" s="3617">
        <v>43</v>
      </c>
      <c r="F15" s="3617">
        <v>33.92</v>
      </c>
      <c r="G15" s="3608" t="s">
        <v>1378</v>
      </c>
      <c r="H15" s="3633">
        <f ca="1">'典型户型修正(先权重后修正)'!$R$25</f>
        <v>24546</v>
      </c>
      <c r="I15" s="3634">
        <f t="shared" ca="1" si="1"/>
        <v>83.26</v>
      </c>
    </row>
    <row r="16" spans="1:9">
      <c r="A16" s="3615">
        <v>14</v>
      </c>
      <c r="B16" s="3615" t="s">
        <v>7180</v>
      </c>
      <c r="C16" s="3617" t="s">
        <v>3054</v>
      </c>
      <c r="D16" s="3617">
        <v>2</v>
      </c>
      <c r="E16" s="3617">
        <v>57</v>
      </c>
      <c r="F16" s="3617">
        <v>25.38</v>
      </c>
      <c r="G16" s="3608" t="s">
        <v>1378</v>
      </c>
      <c r="H16" s="3633">
        <f ca="1">'典型户型修正(先权重后修正)'!$R$25</f>
        <v>24546</v>
      </c>
      <c r="I16" s="3634">
        <f t="shared" ca="1" si="1"/>
        <v>62.3</v>
      </c>
    </row>
    <row r="17" spans="1:9">
      <c r="A17" s="3615">
        <v>15</v>
      </c>
      <c r="B17" s="3615" t="s">
        <v>7181</v>
      </c>
      <c r="C17" s="3617" t="s">
        <v>3054</v>
      </c>
      <c r="D17" s="3617">
        <v>2</v>
      </c>
      <c r="E17" s="3617">
        <v>128</v>
      </c>
      <c r="F17" s="3617">
        <v>115.72</v>
      </c>
      <c r="G17" s="3608" t="s">
        <v>1378</v>
      </c>
      <c r="H17" s="3633">
        <f ca="1">'典型户型修正(先权重后修正)'!$R$25</f>
        <v>24546</v>
      </c>
      <c r="I17" s="3634">
        <f t="shared" ca="1" si="1"/>
        <v>284.05</v>
      </c>
    </row>
    <row r="18" spans="1:9">
      <c r="A18" s="3615">
        <v>16</v>
      </c>
      <c r="B18" s="3615" t="s">
        <v>7182</v>
      </c>
      <c r="C18" s="3617" t="s">
        <v>3054</v>
      </c>
      <c r="D18" s="3617">
        <v>2</v>
      </c>
      <c r="E18" s="3617">
        <v>233</v>
      </c>
      <c r="F18" s="3617">
        <v>42.78</v>
      </c>
      <c r="G18" s="3608" t="s">
        <v>1378</v>
      </c>
      <c r="H18" s="3633">
        <f ca="1">'典型户型修正(先权重后修正)'!$R$25</f>
        <v>24546</v>
      </c>
      <c r="I18" s="3634">
        <f t="shared" ca="1" si="1"/>
        <v>105.01</v>
      </c>
    </row>
    <row r="19" spans="1:9">
      <c r="A19" s="3615">
        <v>17</v>
      </c>
      <c r="B19" s="3615" t="s">
        <v>7183</v>
      </c>
      <c r="C19" s="3617" t="s">
        <v>3054</v>
      </c>
      <c r="D19" s="3617">
        <v>2</v>
      </c>
      <c r="E19" s="3617">
        <v>235</v>
      </c>
      <c r="F19" s="3617">
        <v>42.78</v>
      </c>
      <c r="G19" s="3608" t="s">
        <v>1378</v>
      </c>
      <c r="H19" s="3633">
        <f ca="1">'典型户型修正(先权重后修正)'!$R$25</f>
        <v>24546</v>
      </c>
      <c r="I19" s="3634">
        <f t="shared" ca="1" si="1"/>
        <v>105.01</v>
      </c>
    </row>
    <row r="20" spans="1:9">
      <c r="A20" s="3615">
        <v>18</v>
      </c>
      <c r="B20" s="3615" t="s">
        <v>7184</v>
      </c>
      <c r="C20" s="3617" t="s">
        <v>3054</v>
      </c>
      <c r="D20" s="3617">
        <v>3</v>
      </c>
      <c r="E20" s="3617">
        <v>65</v>
      </c>
      <c r="F20" s="3617">
        <v>60.66</v>
      </c>
      <c r="G20" s="3608" t="s">
        <v>1378</v>
      </c>
      <c r="H20" s="3633">
        <f ca="1">'典型户型修正(先权重后修正)'!$R$26</f>
        <v>17533</v>
      </c>
      <c r="I20" s="3634">
        <f ca="1">ROUND(H20*F20/10000,2)</f>
        <v>106.36</v>
      </c>
    </row>
    <row r="21" spans="1:9">
      <c r="A21" s="3615">
        <v>19</v>
      </c>
      <c r="B21" s="3615" t="s">
        <v>7185</v>
      </c>
      <c r="C21" s="3617" t="s">
        <v>3054</v>
      </c>
      <c r="D21" s="3617">
        <v>3</v>
      </c>
      <c r="E21" s="3617">
        <v>75</v>
      </c>
      <c r="F21" s="3617">
        <v>55.2</v>
      </c>
      <c r="G21" s="3608" t="s">
        <v>1378</v>
      </c>
      <c r="H21" s="3633">
        <f ca="1">'典型户型修正(先权重后修正)'!$R$26</f>
        <v>17533</v>
      </c>
      <c r="I21" s="3634">
        <f t="shared" ref="I21:I24" ca="1" si="2">ROUND(H21*F21/10000,2)</f>
        <v>96.78</v>
      </c>
    </row>
    <row r="22" spans="1:9">
      <c r="A22" s="3615">
        <v>20</v>
      </c>
      <c r="B22" s="3615" t="s">
        <v>7186</v>
      </c>
      <c r="C22" s="3618" t="s">
        <v>3054</v>
      </c>
      <c r="D22" s="3618">
        <v>3</v>
      </c>
      <c r="E22" s="3618">
        <v>38</v>
      </c>
      <c r="F22" s="3618">
        <v>86.31</v>
      </c>
      <c r="G22" s="3616" t="s">
        <v>1378</v>
      </c>
      <c r="H22" s="3633">
        <f ca="1">'典型户型修正(先权重后修正)'!$R$26</f>
        <v>17533</v>
      </c>
      <c r="I22" s="3634">
        <f t="shared" ca="1" si="2"/>
        <v>151.33000000000001</v>
      </c>
    </row>
    <row r="23" spans="1:9">
      <c r="A23" s="3615">
        <v>21</v>
      </c>
      <c r="B23" s="3615" t="s">
        <v>7187</v>
      </c>
      <c r="C23" s="3618" t="s">
        <v>3054</v>
      </c>
      <c r="D23" s="3618">
        <v>3</v>
      </c>
      <c r="E23" s="3618">
        <v>97</v>
      </c>
      <c r="F23" s="3618">
        <v>45.54</v>
      </c>
      <c r="G23" s="3616" t="s">
        <v>1378</v>
      </c>
      <c r="H23" s="3633">
        <f ca="1">'典型户型修正(先权重后修正)'!$R$26</f>
        <v>17533</v>
      </c>
      <c r="I23" s="3634">
        <f t="shared" ca="1" si="2"/>
        <v>79.849999999999994</v>
      </c>
    </row>
    <row r="24" spans="1:9">
      <c r="A24" s="3615">
        <v>22</v>
      </c>
      <c r="B24" s="3615" t="s">
        <v>7471</v>
      </c>
      <c r="C24" s="3616" t="s">
        <v>3054</v>
      </c>
      <c r="D24" s="3616">
        <v>3</v>
      </c>
      <c r="E24" s="3616">
        <v>76</v>
      </c>
      <c r="F24" s="3616">
        <v>106.31</v>
      </c>
      <c r="G24" s="3616" t="s">
        <v>1378</v>
      </c>
      <c r="H24" s="3633">
        <f ca="1">'典型户型修正(先权重后修正)'!$R$26</f>
        <v>17533</v>
      </c>
      <c r="I24" s="3634">
        <f t="shared" ca="1" si="2"/>
        <v>186.39</v>
      </c>
    </row>
    <row r="25" spans="1:9">
      <c r="A25" s="3615">
        <v>23</v>
      </c>
      <c r="B25" s="3615" t="s">
        <v>7472</v>
      </c>
      <c r="C25" s="3616" t="s">
        <v>3054</v>
      </c>
      <c r="D25" s="3616">
        <v>4</v>
      </c>
      <c r="E25" s="3616">
        <v>1</v>
      </c>
      <c r="F25" s="3616">
        <v>97.37</v>
      </c>
      <c r="G25" s="3616" t="s">
        <v>1378</v>
      </c>
      <c r="H25" s="3633">
        <f ca="1">'典型户型修正(先权重后修正)'!$R$27</f>
        <v>17533</v>
      </c>
      <c r="I25" s="3634">
        <f ca="1">ROUND(H25*F25/10000,2)</f>
        <v>170.72</v>
      </c>
    </row>
    <row r="26" spans="1:9">
      <c r="A26" s="3615">
        <v>24</v>
      </c>
      <c r="B26" s="3615" t="s">
        <v>7473</v>
      </c>
      <c r="C26" s="3616" t="s">
        <v>3054</v>
      </c>
      <c r="D26" s="3616">
        <v>4</v>
      </c>
      <c r="E26" s="3616">
        <v>2</v>
      </c>
      <c r="F26" s="3616">
        <v>65.58</v>
      </c>
      <c r="G26" s="3616" t="s">
        <v>1378</v>
      </c>
      <c r="H26" s="3633">
        <f ca="1">'典型户型修正(先权重后修正)'!$R$27</f>
        <v>17533</v>
      </c>
      <c r="I26" s="3634">
        <f t="shared" ref="I26:I67" ca="1" si="3">ROUND(H26*F26/10000,2)</f>
        <v>114.98</v>
      </c>
    </row>
    <row r="27" spans="1:9">
      <c r="A27" s="3615">
        <v>25</v>
      </c>
      <c r="B27" s="3615" t="s">
        <v>7474</v>
      </c>
      <c r="C27" s="3616" t="s">
        <v>3054</v>
      </c>
      <c r="D27" s="3616">
        <v>4</v>
      </c>
      <c r="E27" s="3616">
        <v>3</v>
      </c>
      <c r="F27" s="3616">
        <v>65.62</v>
      </c>
      <c r="G27" s="3616" t="s">
        <v>1378</v>
      </c>
      <c r="H27" s="3633">
        <f ca="1">'典型户型修正(先权重后修正)'!$R$27</f>
        <v>17533</v>
      </c>
      <c r="I27" s="3634">
        <f t="shared" ca="1" si="3"/>
        <v>115.05</v>
      </c>
    </row>
    <row r="28" spans="1:9">
      <c r="A28" s="3615">
        <v>26</v>
      </c>
      <c r="B28" s="3615" t="s">
        <v>7475</v>
      </c>
      <c r="C28" s="3616" t="s">
        <v>3054</v>
      </c>
      <c r="D28" s="3616">
        <v>4</v>
      </c>
      <c r="E28" s="3616">
        <v>5</v>
      </c>
      <c r="F28" s="3616">
        <v>117.18</v>
      </c>
      <c r="G28" s="3616" t="s">
        <v>1378</v>
      </c>
      <c r="H28" s="3633">
        <f ca="1">'典型户型修正(先权重后修正)'!$R$27</f>
        <v>17533</v>
      </c>
      <c r="I28" s="3634">
        <f t="shared" ca="1" si="3"/>
        <v>205.45</v>
      </c>
    </row>
    <row r="29" spans="1:9">
      <c r="A29" s="3615">
        <v>27</v>
      </c>
      <c r="B29" s="3615" t="s">
        <v>7476</v>
      </c>
      <c r="C29" s="3616" t="s">
        <v>3054</v>
      </c>
      <c r="D29" s="3616">
        <v>4</v>
      </c>
      <c r="E29" s="3616">
        <v>7</v>
      </c>
      <c r="F29" s="3616">
        <v>123.51</v>
      </c>
      <c r="G29" s="3616" t="s">
        <v>1378</v>
      </c>
      <c r="H29" s="3633">
        <f ca="1">'典型户型修正(先权重后修正)'!$R$27</f>
        <v>17533</v>
      </c>
      <c r="I29" s="3634">
        <f t="shared" ca="1" si="3"/>
        <v>216.55</v>
      </c>
    </row>
    <row r="30" spans="1:9">
      <c r="A30" s="3615">
        <v>28</v>
      </c>
      <c r="B30" s="3615" t="s">
        <v>7477</v>
      </c>
      <c r="C30" s="3616" t="s">
        <v>3054</v>
      </c>
      <c r="D30" s="3616">
        <v>4</v>
      </c>
      <c r="E30" s="3616">
        <v>8</v>
      </c>
      <c r="F30" s="3616">
        <v>65.61</v>
      </c>
      <c r="G30" s="3616" t="s">
        <v>1378</v>
      </c>
      <c r="H30" s="3633">
        <f ca="1">'典型户型修正(先权重后修正)'!$R$27</f>
        <v>17533</v>
      </c>
      <c r="I30" s="3634">
        <f t="shared" ca="1" si="3"/>
        <v>115.03</v>
      </c>
    </row>
    <row r="31" spans="1:9">
      <c r="A31" s="3615">
        <v>29</v>
      </c>
      <c r="B31" s="3615" t="s">
        <v>7478</v>
      </c>
      <c r="C31" s="3616" t="s">
        <v>3054</v>
      </c>
      <c r="D31" s="3616">
        <v>4</v>
      </c>
      <c r="E31" s="3616">
        <v>9</v>
      </c>
      <c r="F31" s="3616">
        <v>65.59</v>
      </c>
      <c r="G31" s="3616" t="s">
        <v>1378</v>
      </c>
      <c r="H31" s="3633">
        <f ca="1">'典型户型修正(先权重后修正)'!$R$27</f>
        <v>17533</v>
      </c>
      <c r="I31" s="3634">
        <f t="shared" ca="1" si="3"/>
        <v>115</v>
      </c>
    </row>
    <row r="32" spans="1:9">
      <c r="A32" s="3615">
        <v>30</v>
      </c>
      <c r="B32" s="3615" t="s">
        <v>7479</v>
      </c>
      <c r="C32" s="3616" t="s">
        <v>3054</v>
      </c>
      <c r="D32" s="3616">
        <v>4</v>
      </c>
      <c r="E32" s="3616">
        <v>20</v>
      </c>
      <c r="F32" s="3616">
        <v>65.239999999999995</v>
      </c>
      <c r="G32" s="3616" t="s">
        <v>1378</v>
      </c>
      <c r="H32" s="3633">
        <f ca="1">'典型户型修正(先权重后修正)'!$R$27</f>
        <v>17533</v>
      </c>
      <c r="I32" s="3634">
        <f t="shared" ca="1" si="3"/>
        <v>114.39</v>
      </c>
    </row>
    <row r="33" spans="1:9">
      <c r="A33" s="3615">
        <v>31</v>
      </c>
      <c r="B33" s="3615" t="s">
        <v>7480</v>
      </c>
      <c r="C33" s="3616" t="s">
        <v>3054</v>
      </c>
      <c r="D33" s="3616">
        <v>4</v>
      </c>
      <c r="E33" s="3616">
        <v>21</v>
      </c>
      <c r="F33" s="3616">
        <v>78.19</v>
      </c>
      <c r="G33" s="3616" t="s">
        <v>1378</v>
      </c>
      <c r="H33" s="3633">
        <f ca="1">'典型户型修正(先权重后修正)'!$R$27</f>
        <v>17533</v>
      </c>
      <c r="I33" s="3634">
        <f t="shared" ca="1" si="3"/>
        <v>137.09</v>
      </c>
    </row>
    <row r="34" spans="1:9">
      <c r="A34" s="3615">
        <v>32</v>
      </c>
      <c r="B34" s="3615" t="s">
        <v>7481</v>
      </c>
      <c r="C34" s="3616" t="s">
        <v>3054</v>
      </c>
      <c r="D34" s="3616">
        <v>4</v>
      </c>
      <c r="E34" s="3616">
        <v>22</v>
      </c>
      <c r="F34" s="3616">
        <v>74.260000000000005</v>
      </c>
      <c r="G34" s="3616" t="s">
        <v>1378</v>
      </c>
      <c r="H34" s="3633">
        <f ca="1">'典型户型修正(先权重后修正)'!$R$27</f>
        <v>17533</v>
      </c>
      <c r="I34" s="3634">
        <f t="shared" ca="1" si="3"/>
        <v>130.19999999999999</v>
      </c>
    </row>
    <row r="35" spans="1:9">
      <c r="A35" s="3615">
        <v>33</v>
      </c>
      <c r="B35" s="3615" t="s">
        <v>7482</v>
      </c>
      <c r="C35" s="3616" t="s">
        <v>3054</v>
      </c>
      <c r="D35" s="3616">
        <v>4</v>
      </c>
      <c r="E35" s="3616">
        <v>23</v>
      </c>
      <c r="F35" s="3616">
        <v>80.44</v>
      </c>
      <c r="G35" s="3616" t="s">
        <v>1378</v>
      </c>
      <c r="H35" s="3633">
        <f ca="1">'典型户型修正(先权重后修正)'!$R$27</f>
        <v>17533</v>
      </c>
      <c r="I35" s="3634">
        <f t="shared" ca="1" si="3"/>
        <v>141.04</v>
      </c>
    </row>
    <row r="36" spans="1:9">
      <c r="A36" s="3615">
        <v>34</v>
      </c>
      <c r="B36" s="3615" t="s">
        <v>7483</v>
      </c>
      <c r="C36" s="3616" t="s">
        <v>3054</v>
      </c>
      <c r="D36" s="3616">
        <v>4</v>
      </c>
      <c r="E36" s="3616">
        <v>25</v>
      </c>
      <c r="F36" s="3616">
        <v>67.17</v>
      </c>
      <c r="G36" s="3616" t="s">
        <v>1378</v>
      </c>
      <c r="H36" s="3633">
        <f ca="1">'典型户型修正(先权重后修正)'!$R$27</f>
        <v>17533</v>
      </c>
      <c r="I36" s="3634">
        <f t="shared" ca="1" si="3"/>
        <v>117.77</v>
      </c>
    </row>
    <row r="37" spans="1:9">
      <c r="A37" s="3615">
        <v>35</v>
      </c>
      <c r="B37" s="3615" t="s">
        <v>7484</v>
      </c>
      <c r="C37" s="3616" t="s">
        <v>3054</v>
      </c>
      <c r="D37" s="3616">
        <v>4</v>
      </c>
      <c r="E37" s="3616">
        <v>37</v>
      </c>
      <c r="F37" s="3616">
        <v>55.5</v>
      </c>
      <c r="G37" s="3616" t="s">
        <v>1378</v>
      </c>
      <c r="H37" s="3633">
        <f ca="1">'典型户型修正(先权重后修正)'!$R$27</f>
        <v>17533</v>
      </c>
      <c r="I37" s="3634">
        <f t="shared" ca="1" si="3"/>
        <v>97.31</v>
      </c>
    </row>
    <row r="38" spans="1:9">
      <c r="A38" s="3615">
        <v>36</v>
      </c>
      <c r="B38" s="3615" t="s">
        <v>7485</v>
      </c>
      <c r="C38" s="3616" t="s">
        <v>3054</v>
      </c>
      <c r="D38" s="3616">
        <v>4</v>
      </c>
      <c r="E38" s="3616">
        <v>38</v>
      </c>
      <c r="F38" s="3616">
        <v>49.95</v>
      </c>
      <c r="G38" s="3616" t="s">
        <v>1378</v>
      </c>
      <c r="H38" s="3633">
        <f ca="1">'典型户型修正(先权重后修正)'!$R$27</f>
        <v>17533</v>
      </c>
      <c r="I38" s="3634">
        <f t="shared" ca="1" si="3"/>
        <v>87.58</v>
      </c>
    </row>
    <row r="39" spans="1:9">
      <c r="A39" s="3615">
        <v>37</v>
      </c>
      <c r="B39" s="3615" t="s">
        <v>7486</v>
      </c>
      <c r="C39" s="3616" t="s">
        <v>3054</v>
      </c>
      <c r="D39" s="3616">
        <v>4</v>
      </c>
      <c r="E39" s="3616">
        <v>39</v>
      </c>
      <c r="F39" s="3616">
        <v>43.21</v>
      </c>
      <c r="G39" s="3616" t="s">
        <v>1378</v>
      </c>
      <c r="H39" s="3633">
        <f ca="1">'典型户型修正(先权重后修正)'!$R$27</f>
        <v>17533</v>
      </c>
      <c r="I39" s="3634">
        <f t="shared" ca="1" si="3"/>
        <v>75.760000000000005</v>
      </c>
    </row>
    <row r="40" spans="1:9">
      <c r="A40" s="3615">
        <v>38</v>
      </c>
      <c r="B40" s="3615" t="s">
        <v>7487</v>
      </c>
      <c r="C40" s="3616" t="s">
        <v>3054</v>
      </c>
      <c r="D40" s="3616">
        <v>4</v>
      </c>
      <c r="E40" s="3616">
        <v>40</v>
      </c>
      <c r="F40" s="3616">
        <v>73.55</v>
      </c>
      <c r="G40" s="3616" t="s">
        <v>1378</v>
      </c>
      <c r="H40" s="3633">
        <f ca="1">'典型户型修正(先权重后修正)'!$R$27</f>
        <v>17533</v>
      </c>
      <c r="I40" s="3634">
        <f t="shared" ca="1" si="3"/>
        <v>128.96</v>
      </c>
    </row>
    <row r="41" spans="1:9">
      <c r="A41" s="3615">
        <v>39</v>
      </c>
      <c r="B41" s="3615" t="s">
        <v>7488</v>
      </c>
      <c r="C41" s="3616" t="s">
        <v>3054</v>
      </c>
      <c r="D41" s="3616">
        <v>4</v>
      </c>
      <c r="E41" s="3616">
        <v>41</v>
      </c>
      <c r="F41" s="3616">
        <v>79.77</v>
      </c>
      <c r="G41" s="3616" t="s">
        <v>1378</v>
      </c>
      <c r="H41" s="3633">
        <f ca="1">'典型户型修正(先权重后修正)'!$R$27</f>
        <v>17533</v>
      </c>
      <c r="I41" s="3634">
        <f t="shared" ca="1" si="3"/>
        <v>139.86000000000001</v>
      </c>
    </row>
    <row r="42" spans="1:9">
      <c r="A42" s="3615">
        <v>40</v>
      </c>
      <c r="B42" s="3615" t="s">
        <v>7489</v>
      </c>
      <c r="C42" s="3616" t="s">
        <v>3054</v>
      </c>
      <c r="D42" s="3616">
        <v>4</v>
      </c>
      <c r="E42" s="3616">
        <v>42</v>
      </c>
      <c r="F42" s="3616">
        <v>67.489999999999995</v>
      </c>
      <c r="G42" s="3616" t="s">
        <v>1378</v>
      </c>
      <c r="H42" s="3633">
        <f ca="1">'典型户型修正(先权重后修正)'!$R$27</f>
        <v>17533</v>
      </c>
      <c r="I42" s="3634">
        <f t="shared" ca="1" si="3"/>
        <v>118.33</v>
      </c>
    </row>
    <row r="43" spans="1:9">
      <c r="A43" s="3615">
        <v>41</v>
      </c>
      <c r="B43" s="3615" t="s">
        <v>7490</v>
      </c>
      <c r="C43" s="3616" t="s">
        <v>3054</v>
      </c>
      <c r="D43" s="3616">
        <v>4</v>
      </c>
      <c r="E43" s="3616">
        <v>43</v>
      </c>
      <c r="F43" s="3616">
        <v>75.489999999999995</v>
      </c>
      <c r="G43" s="3616" t="s">
        <v>1378</v>
      </c>
      <c r="H43" s="3633">
        <f ca="1">'典型户型修正(先权重后修正)'!$R$27</f>
        <v>17533</v>
      </c>
      <c r="I43" s="3634">
        <f t="shared" ca="1" si="3"/>
        <v>132.36000000000001</v>
      </c>
    </row>
    <row r="44" spans="1:9">
      <c r="A44" s="3615">
        <v>42</v>
      </c>
      <c r="B44" s="3615" t="s">
        <v>7491</v>
      </c>
      <c r="C44" s="3616" t="s">
        <v>3054</v>
      </c>
      <c r="D44" s="3616">
        <v>4</v>
      </c>
      <c r="E44" s="3616">
        <v>45</v>
      </c>
      <c r="F44" s="3616">
        <v>74.62</v>
      </c>
      <c r="G44" s="3616" t="s">
        <v>1378</v>
      </c>
      <c r="H44" s="3633">
        <f ca="1">'典型户型修正(先权重后修正)'!$R$27</f>
        <v>17533</v>
      </c>
      <c r="I44" s="3634">
        <f t="shared" ca="1" si="3"/>
        <v>130.83000000000001</v>
      </c>
    </row>
    <row r="45" spans="1:9">
      <c r="A45" s="3615">
        <v>43</v>
      </c>
      <c r="B45" s="3615" t="s">
        <v>7492</v>
      </c>
      <c r="C45" s="3616" t="s">
        <v>3054</v>
      </c>
      <c r="D45" s="3616">
        <v>4</v>
      </c>
      <c r="E45" s="3616">
        <v>46</v>
      </c>
      <c r="F45" s="3616">
        <v>71.92</v>
      </c>
      <c r="G45" s="3616" t="s">
        <v>1378</v>
      </c>
      <c r="H45" s="3633">
        <f ca="1">'典型户型修正(先权重后修正)'!$R$27</f>
        <v>17533</v>
      </c>
      <c r="I45" s="3634">
        <f t="shared" ca="1" si="3"/>
        <v>126.1</v>
      </c>
    </row>
    <row r="46" spans="1:9">
      <c r="A46" s="3615">
        <v>44</v>
      </c>
      <c r="B46" s="3615" t="s">
        <v>7493</v>
      </c>
      <c r="C46" s="3616" t="s">
        <v>3054</v>
      </c>
      <c r="D46" s="3616">
        <v>4</v>
      </c>
      <c r="E46" s="3616">
        <v>47</v>
      </c>
      <c r="F46" s="3616">
        <v>43.13</v>
      </c>
      <c r="G46" s="3616" t="s">
        <v>1378</v>
      </c>
      <c r="H46" s="3633">
        <f ca="1">'典型户型修正(先权重后修正)'!$R$27</f>
        <v>17533</v>
      </c>
      <c r="I46" s="3634">
        <f t="shared" ca="1" si="3"/>
        <v>75.62</v>
      </c>
    </row>
    <row r="47" spans="1:9">
      <c r="A47" s="3615">
        <v>45</v>
      </c>
      <c r="B47" s="3615" t="s">
        <v>7494</v>
      </c>
      <c r="C47" s="3616" t="s">
        <v>3054</v>
      </c>
      <c r="D47" s="3616">
        <v>4</v>
      </c>
      <c r="E47" s="3616">
        <v>48</v>
      </c>
      <c r="F47" s="3616">
        <v>67.3</v>
      </c>
      <c r="G47" s="3616" t="s">
        <v>1378</v>
      </c>
      <c r="H47" s="3633">
        <f ca="1">'典型户型修正(先权重后修正)'!$R$27</f>
        <v>17533</v>
      </c>
      <c r="I47" s="3634">
        <f t="shared" ca="1" si="3"/>
        <v>118</v>
      </c>
    </row>
    <row r="48" spans="1:9">
      <c r="A48" s="3615">
        <v>46</v>
      </c>
      <c r="B48" s="3615" t="s">
        <v>7495</v>
      </c>
      <c r="C48" s="3616" t="s">
        <v>3054</v>
      </c>
      <c r="D48" s="3616">
        <v>4</v>
      </c>
      <c r="E48" s="3616">
        <v>49</v>
      </c>
      <c r="F48" s="3616">
        <v>72.59</v>
      </c>
      <c r="G48" s="3616" t="s">
        <v>1378</v>
      </c>
      <c r="H48" s="3633">
        <f ca="1">'典型户型修正(先权重后修正)'!$R$27</f>
        <v>17533</v>
      </c>
      <c r="I48" s="3634">
        <f t="shared" ca="1" si="3"/>
        <v>127.27</v>
      </c>
    </row>
    <row r="49" spans="1:9">
      <c r="A49" s="3615">
        <v>47</v>
      </c>
      <c r="B49" s="3615" t="s">
        <v>7496</v>
      </c>
      <c r="C49" s="3616" t="s">
        <v>3054</v>
      </c>
      <c r="D49" s="3616">
        <v>4</v>
      </c>
      <c r="E49" s="3616">
        <v>50</v>
      </c>
      <c r="F49" s="3616">
        <v>72.540000000000006</v>
      </c>
      <c r="G49" s="3616" t="s">
        <v>1378</v>
      </c>
      <c r="H49" s="3633">
        <f ca="1">'典型户型修正(先权重后修正)'!$R$27</f>
        <v>17533</v>
      </c>
      <c r="I49" s="3634">
        <f t="shared" ca="1" si="3"/>
        <v>127.18</v>
      </c>
    </row>
    <row r="50" spans="1:9">
      <c r="A50" s="3615">
        <v>48</v>
      </c>
      <c r="B50" s="3615" t="s">
        <v>7497</v>
      </c>
      <c r="C50" s="3616" t="s">
        <v>3054</v>
      </c>
      <c r="D50" s="3616">
        <v>4</v>
      </c>
      <c r="E50" s="3616">
        <v>51</v>
      </c>
      <c r="F50" s="3616">
        <v>66.900000000000006</v>
      </c>
      <c r="G50" s="3616" t="s">
        <v>1378</v>
      </c>
      <c r="H50" s="3633">
        <f ca="1">'典型户型修正(先权重后修正)'!$R$27</f>
        <v>17533</v>
      </c>
      <c r="I50" s="3634">
        <f t="shared" ca="1" si="3"/>
        <v>117.3</v>
      </c>
    </row>
    <row r="51" spans="1:9">
      <c r="A51" s="3615">
        <v>49</v>
      </c>
      <c r="B51" s="3615" t="s">
        <v>7498</v>
      </c>
      <c r="C51" s="3616" t="s">
        <v>3054</v>
      </c>
      <c r="D51" s="3616">
        <v>4</v>
      </c>
      <c r="E51" s="3616">
        <v>53</v>
      </c>
      <c r="F51" s="3616">
        <v>54.81</v>
      </c>
      <c r="G51" s="3616" t="s">
        <v>1378</v>
      </c>
      <c r="H51" s="3633">
        <f ca="1">'典型户型修正(先权重后修正)'!$R$27</f>
        <v>17533</v>
      </c>
      <c r="I51" s="3634">
        <f t="shared" ca="1" si="3"/>
        <v>96.1</v>
      </c>
    </row>
    <row r="52" spans="1:9">
      <c r="A52" s="3615">
        <v>50</v>
      </c>
      <c r="B52" s="3615" t="s">
        <v>7499</v>
      </c>
      <c r="C52" s="3616" t="s">
        <v>3054</v>
      </c>
      <c r="D52" s="3616">
        <v>4</v>
      </c>
      <c r="E52" s="3616">
        <v>55</v>
      </c>
      <c r="F52" s="3616">
        <v>41.72</v>
      </c>
      <c r="G52" s="3616" t="s">
        <v>1378</v>
      </c>
      <c r="H52" s="3633">
        <f ca="1">'典型户型修正(先权重后修正)'!$R$27</f>
        <v>17533</v>
      </c>
      <c r="I52" s="3634">
        <f t="shared" ca="1" si="3"/>
        <v>73.150000000000006</v>
      </c>
    </row>
    <row r="53" spans="1:9">
      <c r="A53" s="3615">
        <v>51</v>
      </c>
      <c r="B53" s="3615" t="s">
        <v>7500</v>
      </c>
      <c r="C53" s="3616" t="s">
        <v>3054</v>
      </c>
      <c r="D53" s="3616">
        <v>4</v>
      </c>
      <c r="E53" s="3616">
        <v>56</v>
      </c>
      <c r="F53" s="3616">
        <v>91.99</v>
      </c>
      <c r="G53" s="3616" t="s">
        <v>1378</v>
      </c>
      <c r="H53" s="3633">
        <f ca="1">'典型户型修正(先权重后修正)'!$R$27</f>
        <v>17533</v>
      </c>
      <c r="I53" s="3634">
        <f t="shared" ca="1" si="3"/>
        <v>161.29</v>
      </c>
    </row>
    <row r="54" spans="1:9">
      <c r="A54" s="3615">
        <v>52</v>
      </c>
      <c r="B54" s="3615" t="s">
        <v>7501</v>
      </c>
      <c r="C54" s="3616" t="s">
        <v>3054</v>
      </c>
      <c r="D54" s="3616">
        <v>4</v>
      </c>
      <c r="E54" s="3616">
        <v>57</v>
      </c>
      <c r="F54" s="3616">
        <v>91.99</v>
      </c>
      <c r="G54" s="3616" t="s">
        <v>1378</v>
      </c>
      <c r="H54" s="3633">
        <f ca="1">'典型户型修正(先权重后修正)'!$R$27</f>
        <v>17533</v>
      </c>
      <c r="I54" s="3634">
        <f t="shared" ca="1" si="3"/>
        <v>161.29</v>
      </c>
    </row>
    <row r="55" spans="1:9">
      <c r="A55" s="3615">
        <v>53</v>
      </c>
      <c r="B55" s="3615" t="s">
        <v>7502</v>
      </c>
      <c r="C55" s="3616" t="s">
        <v>3054</v>
      </c>
      <c r="D55" s="3616">
        <v>4</v>
      </c>
      <c r="E55" s="3616">
        <v>58</v>
      </c>
      <c r="F55" s="3616">
        <v>63.08</v>
      </c>
      <c r="G55" s="3616" t="s">
        <v>1378</v>
      </c>
      <c r="H55" s="3633">
        <f ca="1">'典型户型修正(先权重后修正)'!$R$27</f>
        <v>17533</v>
      </c>
      <c r="I55" s="3634">
        <f t="shared" ca="1" si="3"/>
        <v>110.6</v>
      </c>
    </row>
    <row r="56" spans="1:9">
      <c r="A56" s="3615">
        <v>54</v>
      </c>
      <c r="B56" s="3615" t="s">
        <v>7503</v>
      </c>
      <c r="C56" s="3616" t="s">
        <v>3054</v>
      </c>
      <c r="D56" s="3616">
        <v>4</v>
      </c>
      <c r="E56" s="3616">
        <v>62</v>
      </c>
      <c r="F56" s="3616">
        <v>44.34</v>
      </c>
      <c r="G56" s="3616" t="s">
        <v>1378</v>
      </c>
      <c r="H56" s="3633">
        <f ca="1">'典型户型修正(先权重后修正)'!$R$27</f>
        <v>17533</v>
      </c>
      <c r="I56" s="3634">
        <f t="shared" ca="1" si="3"/>
        <v>77.739999999999995</v>
      </c>
    </row>
    <row r="57" spans="1:9">
      <c r="A57" s="3615">
        <v>55</v>
      </c>
      <c r="B57" s="3615" t="s">
        <v>7504</v>
      </c>
      <c r="C57" s="3616" t="s">
        <v>3054</v>
      </c>
      <c r="D57" s="3616">
        <v>4</v>
      </c>
      <c r="E57" s="3616">
        <v>76</v>
      </c>
      <c r="F57" s="3616">
        <v>67.28</v>
      </c>
      <c r="G57" s="3616" t="s">
        <v>1378</v>
      </c>
      <c r="H57" s="3633">
        <f ca="1">'典型户型修正(先权重后修正)'!$R$27</f>
        <v>17533</v>
      </c>
      <c r="I57" s="3634">
        <f t="shared" ca="1" si="3"/>
        <v>117.96</v>
      </c>
    </row>
    <row r="58" spans="1:9">
      <c r="A58" s="3615">
        <v>56</v>
      </c>
      <c r="B58" s="3615" t="s">
        <v>7505</v>
      </c>
      <c r="C58" s="3616" t="s">
        <v>3054</v>
      </c>
      <c r="D58" s="3616">
        <v>4</v>
      </c>
      <c r="E58" s="3616">
        <v>77</v>
      </c>
      <c r="F58" s="3616">
        <v>53.86</v>
      </c>
      <c r="G58" s="3616" t="s">
        <v>1378</v>
      </c>
      <c r="H58" s="3633">
        <f ca="1">'典型户型修正(先权重后修正)'!$R$27</f>
        <v>17533</v>
      </c>
      <c r="I58" s="3634">
        <f t="shared" ca="1" si="3"/>
        <v>94.43</v>
      </c>
    </row>
    <row r="59" spans="1:9">
      <c r="A59" s="3615">
        <v>57</v>
      </c>
      <c r="B59" s="3615" t="s">
        <v>7506</v>
      </c>
      <c r="C59" s="3616" t="s">
        <v>3054</v>
      </c>
      <c r="D59" s="3616">
        <v>4</v>
      </c>
      <c r="E59" s="3616">
        <v>78</v>
      </c>
      <c r="F59" s="3616">
        <v>63.5</v>
      </c>
      <c r="G59" s="3616" t="s">
        <v>1378</v>
      </c>
      <c r="H59" s="3633">
        <f ca="1">'典型户型修正(先权重后修正)'!$R$27</f>
        <v>17533</v>
      </c>
      <c r="I59" s="3634">
        <f t="shared" ca="1" si="3"/>
        <v>111.33</v>
      </c>
    </row>
    <row r="60" spans="1:9">
      <c r="A60" s="3615">
        <v>58</v>
      </c>
      <c r="B60" s="3615" t="s">
        <v>7507</v>
      </c>
      <c r="C60" s="3616" t="s">
        <v>3054</v>
      </c>
      <c r="D60" s="3616">
        <v>4</v>
      </c>
      <c r="E60" s="3616">
        <v>79</v>
      </c>
      <c r="F60" s="3616">
        <v>59.16</v>
      </c>
      <c r="G60" s="3616" t="s">
        <v>1378</v>
      </c>
      <c r="H60" s="3633">
        <f ca="1">'典型户型修正(先权重后修正)'!$R$27</f>
        <v>17533</v>
      </c>
      <c r="I60" s="3634">
        <f t="shared" ca="1" si="3"/>
        <v>103.73</v>
      </c>
    </row>
    <row r="61" spans="1:9">
      <c r="A61" s="3615">
        <v>59</v>
      </c>
      <c r="B61" s="3615" t="s">
        <v>7508</v>
      </c>
      <c r="C61" s="3616" t="s">
        <v>3054</v>
      </c>
      <c r="D61" s="3616">
        <v>4</v>
      </c>
      <c r="E61" s="3616">
        <v>80</v>
      </c>
      <c r="F61" s="3616">
        <v>58.82</v>
      </c>
      <c r="G61" s="3616" t="s">
        <v>1378</v>
      </c>
      <c r="H61" s="3633">
        <f ca="1">'典型户型修正(先权重后修正)'!$R$27</f>
        <v>17533</v>
      </c>
      <c r="I61" s="3634">
        <f t="shared" ca="1" si="3"/>
        <v>103.13</v>
      </c>
    </row>
    <row r="62" spans="1:9">
      <c r="A62" s="3615">
        <v>60</v>
      </c>
      <c r="B62" s="3615" t="s">
        <v>7509</v>
      </c>
      <c r="C62" s="3616" t="s">
        <v>3054</v>
      </c>
      <c r="D62" s="3616">
        <v>4</v>
      </c>
      <c r="E62" s="3616">
        <v>82</v>
      </c>
      <c r="F62" s="3616">
        <v>80.790000000000006</v>
      </c>
      <c r="G62" s="3616" t="s">
        <v>1378</v>
      </c>
      <c r="H62" s="3633">
        <f ca="1">'典型户型修正(先权重后修正)'!$R$27</f>
        <v>17533</v>
      </c>
      <c r="I62" s="3634">
        <f t="shared" ca="1" si="3"/>
        <v>141.65</v>
      </c>
    </row>
    <row r="63" spans="1:9">
      <c r="A63" s="3615">
        <v>61</v>
      </c>
      <c r="B63" s="3615" t="s">
        <v>7510</v>
      </c>
      <c r="C63" s="3616" t="s">
        <v>3054</v>
      </c>
      <c r="D63" s="3616">
        <v>4</v>
      </c>
      <c r="E63" s="3616">
        <v>83</v>
      </c>
      <c r="F63" s="3616">
        <v>107.3</v>
      </c>
      <c r="G63" s="3616" t="s">
        <v>1378</v>
      </c>
      <c r="H63" s="3633">
        <f ca="1">'典型户型修正(先权重后修正)'!$R$27</f>
        <v>17533</v>
      </c>
      <c r="I63" s="3634">
        <f t="shared" ca="1" si="3"/>
        <v>188.13</v>
      </c>
    </row>
    <row r="64" spans="1:9">
      <c r="A64" s="3615">
        <v>62</v>
      </c>
      <c r="B64" s="3615" t="s">
        <v>7511</v>
      </c>
      <c r="C64" s="3616" t="s">
        <v>3054</v>
      </c>
      <c r="D64" s="3616">
        <v>4</v>
      </c>
      <c r="E64" s="3616">
        <v>85</v>
      </c>
      <c r="F64" s="3616">
        <v>88.89</v>
      </c>
      <c r="G64" s="3616" t="s">
        <v>1378</v>
      </c>
      <c r="H64" s="3633">
        <f ca="1">'典型户型修正(先权重后修正)'!$R$27</f>
        <v>17533</v>
      </c>
      <c r="I64" s="3634">
        <f t="shared" ca="1" si="3"/>
        <v>155.85</v>
      </c>
    </row>
    <row r="65" spans="1:9">
      <c r="A65" s="3615">
        <v>63</v>
      </c>
      <c r="B65" s="3615" t="s">
        <v>7512</v>
      </c>
      <c r="C65" s="3616" t="s">
        <v>3054</v>
      </c>
      <c r="D65" s="3616">
        <v>4</v>
      </c>
      <c r="E65" s="3616">
        <v>92</v>
      </c>
      <c r="F65" s="3616">
        <v>54.99</v>
      </c>
      <c r="G65" s="3616" t="s">
        <v>1378</v>
      </c>
      <c r="H65" s="3633">
        <f ca="1">'典型户型修正(先权重后修正)'!$R$27</f>
        <v>17533</v>
      </c>
      <c r="I65" s="3634">
        <f t="shared" ca="1" si="3"/>
        <v>96.41</v>
      </c>
    </row>
    <row r="66" spans="1:9">
      <c r="A66" s="3615">
        <v>64</v>
      </c>
      <c r="B66" s="3615" t="s">
        <v>7513</v>
      </c>
      <c r="C66" s="3616" t="s">
        <v>3054</v>
      </c>
      <c r="D66" s="3616">
        <v>4</v>
      </c>
      <c r="E66" s="3616">
        <v>117</v>
      </c>
      <c r="F66" s="3616">
        <v>43.64</v>
      </c>
      <c r="G66" s="3616" t="s">
        <v>1378</v>
      </c>
      <c r="H66" s="3633">
        <f ca="1">'典型户型修正(先权重后修正)'!$R$27</f>
        <v>17533</v>
      </c>
      <c r="I66" s="3634">
        <f t="shared" ca="1" si="3"/>
        <v>76.510000000000005</v>
      </c>
    </row>
    <row r="67" spans="1:9">
      <c r="A67" s="3615">
        <v>65</v>
      </c>
      <c r="B67" s="3615" t="s">
        <v>7514</v>
      </c>
      <c r="C67" s="3616" t="s">
        <v>3054</v>
      </c>
      <c r="D67" s="3616">
        <v>4</v>
      </c>
      <c r="E67" s="3616">
        <v>127</v>
      </c>
      <c r="F67" s="3616">
        <v>110.33</v>
      </c>
      <c r="G67" s="3616" t="s">
        <v>1378</v>
      </c>
      <c r="H67" s="3633">
        <f ca="1">'典型户型修正(先权重后修正)'!$R$27</f>
        <v>17533</v>
      </c>
      <c r="I67" s="3634">
        <f t="shared" ca="1" si="3"/>
        <v>193.44</v>
      </c>
    </row>
    <row r="68" spans="1:9">
      <c r="A68" s="3615">
        <v>66</v>
      </c>
      <c r="B68" s="3615" t="s">
        <v>7188</v>
      </c>
      <c r="C68" s="3617" t="s">
        <v>3054</v>
      </c>
      <c r="D68" s="3617">
        <v>-1</v>
      </c>
      <c r="E68" s="3617">
        <v>31</v>
      </c>
      <c r="F68" s="3617">
        <v>45.97</v>
      </c>
      <c r="G68" s="3616" t="s">
        <v>1378</v>
      </c>
      <c r="H68" s="3633">
        <f ca="1">'典型户型修正(先权重后修正)'!$R$29</f>
        <v>17533</v>
      </c>
      <c r="I68" s="3634">
        <f ca="1">ROUND(H68*F68/10000,2)</f>
        <v>80.599999999999994</v>
      </c>
    </row>
    <row r="69" spans="1:9">
      <c r="A69" s="3615">
        <v>67</v>
      </c>
      <c r="B69" s="3615" t="s">
        <v>7189</v>
      </c>
      <c r="C69" s="3617" t="s">
        <v>3054</v>
      </c>
      <c r="D69" s="3617">
        <v>-1</v>
      </c>
      <c r="E69" s="3617">
        <v>42</v>
      </c>
      <c r="F69" s="3617">
        <v>23.9</v>
      </c>
      <c r="G69" s="3616" t="s">
        <v>1378</v>
      </c>
      <c r="H69" s="3633">
        <f ca="1">'典型户型修正(先权重后修正)'!$R$29</f>
        <v>17533</v>
      </c>
      <c r="I69" s="3634">
        <f t="shared" ref="I69:I93" ca="1" si="4">ROUND(H69*F69/10000,2)</f>
        <v>41.9</v>
      </c>
    </row>
    <row r="70" spans="1:9">
      <c r="A70" s="3615">
        <v>68</v>
      </c>
      <c r="B70" s="3615" t="s">
        <v>7190</v>
      </c>
      <c r="C70" s="3617" t="s">
        <v>3054</v>
      </c>
      <c r="D70" s="3617">
        <v>-1</v>
      </c>
      <c r="E70" s="3617">
        <v>96</v>
      </c>
      <c r="F70" s="3617">
        <v>76.540000000000006</v>
      </c>
      <c r="G70" s="3616" t="s">
        <v>1378</v>
      </c>
      <c r="H70" s="3633">
        <f ca="1">'典型户型修正(先权重后修正)'!$R$29</f>
        <v>17533</v>
      </c>
      <c r="I70" s="3634">
        <f t="shared" ca="1" si="4"/>
        <v>134.19999999999999</v>
      </c>
    </row>
    <row r="71" spans="1:9">
      <c r="A71" s="3615">
        <v>69</v>
      </c>
      <c r="B71" s="3615" t="s">
        <v>7191</v>
      </c>
      <c r="C71" s="3617" t="s">
        <v>3054</v>
      </c>
      <c r="D71" s="3617">
        <v>-1</v>
      </c>
      <c r="E71" s="3617">
        <v>153</v>
      </c>
      <c r="F71" s="3617">
        <v>85.33</v>
      </c>
      <c r="G71" s="3616" t="s">
        <v>1378</v>
      </c>
      <c r="H71" s="3633">
        <f ca="1">'典型户型修正(先权重后修正)'!$R$29</f>
        <v>17533</v>
      </c>
      <c r="I71" s="3634">
        <f t="shared" ca="1" si="4"/>
        <v>149.61000000000001</v>
      </c>
    </row>
    <row r="72" spans="1:9">
      <c r="A72" s="3615">
        <v>70</v>
      </c>
      <c r="B72" s="3615" t="s">
        <v>7192</v>
      </c>
      <c r="C72" s="3617" t="s">
        <v>3054</v>
      </c>
      <c r="D72" s="3617">
        <v>-1</v>
      </c>
      <c r="E72" s="3617">
        <v>157</v>
      </c>
      <c r="F72" s="3617">
        <v>51.08</v>
      </c>
      <c r="G72" s="3616" t="s">
        <v>1378</v>
      </c>
      <c r="H72" s="3633">
        <f ca="1">'典型户型修正(先权重后修正)'!$R$29</f>
        <v>17533</v>
      </c>
      <c r="I72" s="3634">
        <f t="shared" ca="1" si="4"/>
        <v>89.56</v>
      </c>
    </row>
    <row r="73" spans="1:9">
      <c r="A73" s="3615">
        <v>71</v>
      </c>
      <c r="B73" s="3615" t="s">
        <v>7193</v>
      </c>
      <c r="C73" s="3617" t="s">
        <v>3054</v>
      </c>
      <c r="D73" s="3617">
        <v>-1</v>
      </c>
      <c r="E73" s="3617">
        <v>160</v>
      </c>
      <c r="F73" s="3617">
        <v>48.86</v>
      </c>
      <c r="G73" s="3616" t="s">
        <v>1378</v>
      </c>
      <c r="H73" s="3633">
        <f ca="1">'典型户型修正(先权重后修正)'!$R$29</f>
        <v>17533</v>
      </c>
      <c r="I73" s="3634">
        <f t="shared" ca="1" si="4"/>
        <v>85.67</v>
      </c>
    </row>
    <row r="74" spans="1:9">
      <c r="A74" s="3615">
        <v>72</v>
      </c>
      <c r="B74" s="3615" t="s">
        <v>7194</v>
      </c>
      <c r="C74" s="3617" t="s">
        <v>3054</v>
      </c>
      <c r="D74" s="3617">
        <v>-1</v>
      </c>
      <c r="E74" s="3617">
        <v>279</v>
      </c>
      <c r="F74" s="3617">
        <v>84.5</v>
      </c>
      <c r="G74" s="3616" t="s">
        <v>1378</v>
      </c>
      <c r="H74" s="3633">
        <f ca="1">'典型户型修正(先权重后修正)'!$R$29</f>
        <v>17533</v>
      </c>
      <c r="I74" s="3634">
        <f t="shared" ca="1" si="4"/>
        <v>148.15</v>
      </c>
    </row>
    <row r="75" spans="1:9">
      <c r="A75" s="3615">
        <v>73</v>
      </c>
      <c r="B75" s="3615" t="s">
        <v>7515</v>
      </c>
      <c r="C75" s="3616" t="s">
        <v>3054</v>
      </c>
      <c r="D75" s="3616">
        <v>-1</v>
      </c>
      <c r="E75" s="3616">
        <v>56</v>
      </c>
      <c r="F75" s="3616">
        <v>42.93</v>
      </c>
      <c r="G75" s="3616" t="s">
        <v>1378</v>
      </c>
      <c r="H75" s="3633">
        <f ca="1">'典型户型修正(先权重后修正)'!$R$29</f>
        <v>17533</v>
      </c>
      <c r="I75" s="3634">
        <f t="shared" ca="1" si="4"/>
        <v>75.27</v>
      </c>
    </row>
    <row r="76" spans="1:9">
      <c r="A76" s="3615">
        <v>74</v>
      </c>
      <c r="B76" s="3615" t="s">
        <v>7516</v>
      </c>
      <c r="C76" s="3616" t="s">
        <v>3054</v>
      </c>
      <c r="D76" s="3616">
        <v>-1</v>
      </c>
      <c r="E76" s="3616">
        <v>57</v>
      </c>
      <c r="F76" s="3616">
        <v>58.53</v>
      </c>
      <c r="G76" s="3616" t="s">
        <v>1378</v>
      </c>
      <c r="H76" s="3633">
        <f ca="1">'典型户型修正(先权重后修正)'!$R$29</f>
        <v>17533</v>
      </c>
      <c r="I76" s="3634">
        <f t="shared" ca="1" si="4"/>
        <v>102.62</v>
      </c>
    </row>
    <row r="77" spans="1:9">
      <c r="A77" s="3615">
        <v>75</v>
      </c>
      <c r="B77" s="3615" t="s">
        <v>7517</v>
      </c>
      <c r="C77" s="3616" t="s">
        <v>3054</v>
      </c>
      <c r="D77" s="3616">
        <v>-1</v>
      </c>
      <c r="E77" s="3616">
        <v>58</v>
      </c>
      <c r="F77" s="3616">
        <v>67.930000000000007</v>
      </c>
      <c r="G77" s="3616" t="s">
        <v>1378</v>
      </c>
      <c r="H77" s="3633">
        <f ca="1">'典型户型修正(先权重后修正)'!$R$29</f>
        <v>17533</v>
      </c>
      <c r="I77" s="3634">
        <f t="shared" ca="1" si="4"/>
        <v>119.1</v>
      </c>
    </row>
    <row r="78" spans="1:9">
      <c r="A78" s="3615">
        <v>76</v>
      </c>
      <c r="B78" s="3615" t="s">
        <v>7518</v>
      </c>
      <c r="C78" s="3616" t="s">
        <v>3054</v>
      </c>
      <c r="D78" s="3616">
        <v>-1</v>
      </c>
      <c r="E78" s="3616">
        <v>113</v>
      </c>
      <c r="F78" s="3616">
        <v>60.57</v>
      </c>
      <c r="G78" s="3608" t="s">
        <v>1378</v>
      </c>
      <c r="H78" s="3633">
        <f ca="1">'典型户型修正(先权重后修正)'!$R$29</f>
        <v>17533</v>
      </c>
      <c r="I78" s="3634">
        <f t="shared" ca="1" si="4"/>
        <v>106.2</v>
      </c>
    </row>
    <row r="79" spans="1:9">
      <c r="A79" s="3615">
        <v>77</v>
      </c>
      <c r="B79" s="3615" t="s">
        <v>7519</v>
      </c>
      <c r="C79" s="3616" t="s">
        <v>3054</v>
      </c>
      <c r="D79" s="3616">
        <v>-1</v>
      </c>
      <c r="E79" s="3616">
        <v>300</v>
      </c>
      <c r="F79" s="3616">
        <v>49.07</v>
      </c>
      <c r="G79" s="3608" t="s">
        <v>1378</v>
      </c>
      <c r="H79" s="3633">
        <f ca="1">'典型户型修正(先权重后修正)'!$R$29</f>
        <v>17533</v>
      </c>
      <c r="I79" s="3634">
        <f t="shared" ca="1" si="4"/>
        <v>86.03</v>
      </c>
    </row>
    <row r="80" spans="1:9">
      <c r="A80" s="3615">
        <v>78</v>
      </c>
      <c r="B80" s="3615" t="s">
        <v>7520</v>
      </c>
      <c r="C80" s="3616" t="s">
        <v>3054</v>
      </c>
      <c r="D80" s="3616">
        <v>-1</v>
      </c>
      <c r="E80" s="3616">
        <v>301</v>
      </c>
      <c r="F80" s="3616">
        <v>68.34</v>
      </c>
      <c r="G80" s="3608" t="s">
        <v>1378</v>
      </c>
      <c r="H80" s="3633">
        <f ca="1">'典型户型修正(先权重后修正)'!$R$29</f>
        <v>17533</v>
      </c>
      <c r="I80" s="3634">
        <f t="shared" ca="1" si="4"/>
        <v>119.82</v>
      </c>
    </row>
    <row r="81" spans="1:9">
      <c r="A81" s="3615">
        <v>79</v>
      </c>
      <c r="B81" s="3615" t="s">
        <v>7521</v>
      </c>
      <c r="C81" s="3616" t="s">
        <v>3054</v>
      </c>
      <c r="D81" s="3616">
        <v>-1</v>
      </c>
      <c r="E81" s="3616">
        <v>302</v>
      </c>
      <c r="F81" s="3616">
        <v>43.49</v>
      </c>
      <c r="G81" s="3608" t="s">
        <v>1378</v>
      </c>
      <c r="H81" s="3633">
        <f ca="1">'典型户型修正(先权重后修正)'!$R$29</f>
        <v>17533</v>
      </c>
      <c r="I81" s="3634">
        <f t="shared" ca="1" si="4"/>
        <v>76.25</v>
      </c>
    </row>
    <row r="82" spans="1:9">
      <c r="A82" s="3615">
        <v>80</v>
      </c>
      <c r="B82" s="3615" t="s">
        <v>7522</v>
      </c>
      <c r="C82" s="3616" t="s">
        <v>3054</v>
      </c>
      <c r="D82" s="3616">
        <v>-1</v>
      </c>
      <c r="E82" s="3616">
        <v>303</v>
      </c>
      <c r="F82" s="3616">
        <v>42.61</v>
      </c>
      <c r="G82" s="3608" t="s">
        <v>1378</v>
      </c>
      <c r="H82" s="3633">
        <f ca="1">'典型户型修正(先权重后修正)'!$R$29</f>
        <v>17533</v>
      </c>
      <c r="I82" s="3634">
        <f t="shared" ca="1" si="4"/>
        <v>74.709999999999994</v>
      </c>
    </row>
    <row r="83" spans="1:9">
      <c r="A83" s="3615">
        <v>81</v>
      </c>
      <c r="B83" s="3615" t="s">
        <v>7523</v>
      </c>
      <c r="C83" s="3616" t="s">
        <v>3054</v>
      </c>
      <c r="D83" s="3616">
        <v>-1</v>
      </c>
      <c r="E83" s="3616">
        <v>305</v>
      </c>
      <c r="F83" s="3616">
        <v>61.51</v>
      </c>
      <c r="G83" s="3608" t="s">
        <v>1378</v>
      </c>
      <c r="H83" s="3633">
        <f ca="1">'典型户型修正(先权重后修正)'!$R$29</f>
        <v>17533</v>
      </c>
      <c r="I83" s="3634">
        <f t="shared" ca="1" si="4"/>
        <v>107.85</v>
      </c>
    </row>
    <row r="84" spans="1:9">
      <c r="A84" s="3615">
        <v>82</v>
      </c>
      <c r="B84" s="3615" t="s">
        <v>7524</v>
      </c>
      <c r="C84" s="3616" t="s">
        <v>3054</v>
      </c>
      <c r="D84" s="3616">
        <v>-1</v>
      </c>
      <c r="E84" s="3616">
        <v>306</v>
      </c>
      <c r="F84" s="3616">
        <v>60.41</v>
      </c>
      <c r="G84" s="3608" t="s">
        <v>1378</v>
      </c>
      <c r="H84" s="3633">
        <f ca="1">'典型户型修正(先权重后修正)'!$R$29</f>
        <v>17533</v>
      </c>
      <c r="I84" s="3634">
        <f t="shared" ca="1" si="4"/>
        <v>105.92</v>
      </c>
    </row>
    <row r="85" spans="1:9">
      <c r="A85" s="3615">
        <v>83</v>
      </c>
      <c r="B85" s="3615" t="s">
        <v>7525</v>
      </c>
      <c r="C85" s="3616" t="s">
        <v>3054</v>
      </c>
      <c r="D85" s="3616">
        <v>-1</v>
      </c>
      <c r="E85" s="3616">
        <v>307</v>
      </c>
      <c r="F85" s="3616">
        <v>58.18</v>
      </c>
      <c r="G85" s="3608" t="s">
        <v>1378</v>
      </c>
      <c r="H85" s="3633">
        <f ca="1">'典型户型修正(先权重后修正)'!$R$29</f>
        <v>17533</v>
      </c>
      <c r="I85" s="3634">
        <f t="shared" ca="1" si="4"/>
        <v>102.01</v>
      </c>
    </row>
    <row r="86" spans="1:9">
      <c r="A86" s="3615">
        <v>84</v>
      </c>
      <c r="B86" s="3615" t="s">
        <v>7526</v>
      </c>
      <c r="C86" s="3616" t="s">
        <v>3054</v>
      </c>
      <c r="D86" s="3616">
        <v>-1</v>
      </c>
      <c r="E86" s="3616">
        <v>17</v>
      </c>
      <c r="F86" s="3616">
        <v>73.14</v>
      </c>
      <c r="G86" s="3608" t="s">
        <v>1378</v>
      </c>
      <c r="H86" s="3633">
        <f ca="1">'典型户型修正(先权重后修正)'!$R$29</f>
        <v>17533</v>
      </c>
      <c r="I86" s="3634">
        <f t="shared" ca="1" si="4"/>
        <v>128.24</v>
      </c>
    </row>
    <row r="87" spans="1:9">
      <c r="A87" s="3615">
        <v>85</v>
      </c>
      <c r="B87" s="3615" t="s">
        <v>7527</v>
      </c>
      <c r="C87" s="3616" t="s">
        <v>3054</v>
      </c>
      <c r="D87" s="3616">
        <v>-1</v>
      </c>
      <c r="E87" s="3616">
        <v>329</v>
      </c>
      <c r="F87" s="3616">
        <v>64.66</v>
      </c>
      <c r="G87" s="3608" t="s">
        <v>1378</v>
      </c>
      <c r="H87" s="3633">
        <f ca="1">'典型户型修正(先权重后修正)'!$R$29</f>
        <v>17533</v>
      </c>
      <c r="I87" s="3634">
        <f t="shared" ca="1" si="4"/>
        <v>113.37</v>
      </c>
    </row>
    <row r="88" spans="1:9">
      <c r="A88" s="3615">
        <v>86</v>
      </c>
      <c r="B88" s="3615" t="s">
        <v>7528</v>
      </c>
      <c r="C88" s="3616" t="s">
        <v>3054</v>
      </c>
      <c r="D88" s="3616">
        <v>-1</v>
      </c>
      <c r="E88" s="3616">
        <v>336</v>
      </c>
      <c r="F88" s="3616">
        <v>73.52</v>
      </c>
      <c r="G88" s="3608" t="s">
        <v>1378</v>
      </c>
      <c r="H88" s="3633">
        <f ca="1">'典型户型修正(先权重后修正)'!$R$29</f>
        <v>17533</v>
      </c>
      <c r="I88" s="3634">
        <f t="shared" ca="1" si="4"/>
        <v>128.9</v>
      </c>
    </row>
    <row r="89" spans="1:9">
      <c r="A89" s="3615">
        <v>87</v>
      </c>
      <c r="B89" s="3615" t="s">
        <v>7529</v>
      </c>
      <c r="C89" s="3616" t="s">
        <v>3054</v>
      </c>
      <c r="D89" s="3616">
        <v>-1</v>
      </c>
      <c r="E89" s="3616">
        <v>337</v>
      </c>
      <c r="F89" s="3616">
        <v>73.55</v>
      </c>
      <c r="G89" s="3608" t="s">
        <v>1378</v>
      </c>
      <c r="H89" s="3633">
        <f ca="1">'典型户型修正(先权重后修正)'!$R$29</f>
        <v>17533</v>
      </c>
      <c r="I89" s="3634">
        <f t="shared" ca="1" si="4"/>
        <v>128.96</v>
      </c>
    </row>
    <row r="90" spans="1:9">
      <c r="A90" s="3615">
        <v>88</v>
      </c>
      <c r="B90" s="3615" t="s">
        <v>7530</v>
      </c>
      <c r="C90" s="3616" t="s">
        <v>3054</v>
      </c>
      <c r="D90" s="3616">
        <v>-1</v>
      </c>
      <c r="E90" s="3616">
        <v>338</v>
      </c>
      <c r="F90" s="3616">
        <v>73.55</v>
      </c>
      <c r="G90" s="3608" t="s">
        <v>1378</v>
      </c>
      <c r="H90" s="3633">
        <f ca="1">'典型户型修正(先权重后修正)'!$R$29</f>
        <v>17533</v>
      </c>
      <c r="I90" s="3634">
        <f t="shared" ca="1" si="4"/>
        <v>128.96</v>
      </c>
    </row>
    <row r="91" spans="1:9">
      <c r="A91" s="3615">
        <v>89</v>
      </c>
      <c r="B91" s="3615" t="s">
        <v>7531</v>
      </c>
      <c r="C91" s="3616" t="s">
        <v>3054</v>
      </c>
      <c r="D91" s="3616">
        <v>-1</v>
      </c>
      <c r="E91" s="3616">
        <v>339</v>
      </c>
      <c r="F91" s="3616">
        <v>71.16</v>
      </c>
      <c r="G91" s="3608" t="s">
        <v>1378</v>
      </c>
      <c r="H91" s="3633">
        <f ca="1">'典型户型修正(先权重后修正)'!$R$29</f>
        <v>17533</v>
      </c>
      <c r="I91" s="3634">
        <f t="shared" ca="1" si="4"/>
        <v>124.76</v>
      </c>
    </row>
    <row r="92" spans="1:9">
      <c r="A92" s="3615">
        <v>90</v>
      </c>
      <c r="B92" s="3615" t="s">
        <v>7532</v>
      </c>
      <c r="C92" s="3616" t="s">
        <v>3054</v>
      </c>
      <c r="D92" s="3616">
        <v>-1</v>
      </c>
      <c r="E92" s="3616">
        <v>340</v>
      </c>
      <c r="F92" s="3616">
        <v>74.25</v>
      </c>
      <c r="G92" s="3608" t="s">
        <v>1378</v>
      </c>
      <c r="H92" s="3633">
        <f ca="1">'典型户型修正(先权重后修正)'!$R$29</f>
        <v>17533</v>
      </c>
      <c r="I92" s="3634">
        <f t="shared" ca="1" si="4"/>
        <v>130.18</v>
      </c>
    </row>
    <row r="93" spans="1:9">
      <c r="A93" s="3615">
        <v>91</v>
      </c>
      <c r="B93" s="3615" t="s">
        <v>7533</v>
      </c>
      <c r="C93" s="3616" t="s">
        <v>3054</v>
      </c>
      <c r="D93" s="3616">
        <v>-1</v>
      </c>
      <c r="E93" s="3616">
        <v>341</v>
      </c>
      <c r="F93" s="3616">
        <v>72.42</v>
      </c>
      <c r="G93" s="3616" t="s">
        <v>1378</v>
      </c>
      <c r="H93" s="3633">
        <f ca="1">'典型户型修正(先权重后修正)'!$R$29</f>
        <v>17533</v>
      </c>
      <c r="I93" s="3634">
        <f t="shared" ca="1" si="4"/>
        <v>126.97</v>
      </c>
    </row>
    <row r="94" spans="1:9">
      <c r="A94" s="3615">
        <v>92</v>
      </c>
      <c r="B94" s="3615" t="s">
        <v>7534</v>
      </c>
      <c r="C94" s="3617" t="s">
        <v>3055</v>
      </c>
      <c r="D94" s="3617">
        <v>1</v>
      </c>
      <c r="E94" s="3617">
        <v>71</v>
      </c>
      <c r="F94" s="3617">
        <v>138.15</v>
      </c>
      <c r="G94" s="3616" t="s">
        <v>1378</v>
      </c>
      <c r="H94" s="3633">
        <f ca="1">'典型户型修正(先权重后修正)'!$R$24</f>
        <v>35065</v>
      </c>
      <c r="I94" s="3634">
        <f t="shared" ref="I94:I140" ca="1" si="5">ROUND(H94*F94/10000,2)</f>
        <v>484.42</v>
      </c>
    </row>
    <row r="95" spans="1:9">
      <c r="A95" s="3615">
        <v>93</v>
      </c>
      <c r="B95" s="3615" t="s">
        <v>7195</v>
      </c>
      <c r="C95" s="3617" t="s">
        <v>3055</v>
      </c>
      <c r="D95" s="3617">
        <v>1</v>
      </c>
      <c r="E95" s="3617">
        <v>130</v>
      </c>
      <c r="F95" s="3617">
        <v>44.39</v>
      </c>
      <c r="G95" s="3616" t="s">
        <v>1378</v>
      </c>
      <c r="H95" s="3633">
        <f ca="1">'典型户型修正(先权重后修正)'!$R$24</f>
        <v>35065</v>
      </c>
      <c r="I95" s="3634">
        <f t="shared" ca="1" si="5"/>
        <v>155.65</v>
      </c>
    </row>
    <row r="96" spans="1:9">
      <c r="A96" s="3615">
        <v>94</v>
      </c>
      <c r="B96" s="3615" t="s">
        <v>7196</v>
      </c>
      <c r="C96" s="3618" t="s">
        <v>3055</v>
      </c>
      <c r="D96" s="3618">
        <v>1</v>
      </c>
      <c r="E96" s="3619">
        <v>155</v>
      </c>
      <c r="F96" s="3620">
        <v>127.21</v>
      </c>
      <c r="G96" s="3608" t="s">
        <v>1378</v>
      </c>
      <c r="H96" s="3633">
        <f ca="1">'典型户型修正(先权重后修正)'!$R$24</f>
        <v>35065</v>
      </c>
      <c r="I96" s="3634">
        <f t="shared" ca="1" si="5"/>
        <v>446.06</v>
      </c>
    </row>
    <row r="97" spans="1:9">
      <c r="A97" s="3615">
        <v>95</v>
      </c>
      <c r="B97" s="3615" t="s">
        <v>7535</v>
      </c>
      <c r="C97" s="3616" t="s">
        <v>3055</v>
      </c>
      <c r="D97" s="3616">
        <v>1</v>
      </c>
      <c r="E97" s="3616">
        <v>145</v>
      </c>
      <c r="F97" s="3616">
        <v>45.36</v>
      </c>
      <c r="G97" s="3608" t="s">
        <v>1378</v>
      </c>
      <c r="H97" s="3633">
        <f ca="1">'典型户型修正(先权重后修正)'!$R$24</f>
        <v>35065</v>
      </c>
      <c r="I97" s="3634">
        <f t="shared" ca="1" si="5"/>
        <v>159.05000000000001</v>
      </c>
    </row>
    <row r="98" spans="1:9">
      <c r="A98" s="3615">
        <v>96</v>
      </c>
      <c r="B98" s="3615" t="s">
        <v>7536</v>
      </c>
      <c r="C98" s="3616" t="s">
        <v>3055</v>
      </c>
      <c r="D98" s="3616">
        <v>1</v>
      </c>
      <c r="E98" s="3616">
        <v>165</v>
      </c>
      <c r="F98" s="3616">
        <v>73.38</v>
      </c>
      <c r="G98" s="3608" t="s">
        <v>1378</v>
      </c>
      <c r="H98" s="3633">
        <f ca="1">'典型户型修正(先权重后修正)'!$R$24</f>
        <v>35065</v>
      </c>
      <c r="I98" s="3634">
        <f t="shared" ca="1" si="5"/>
        <v>257.31</v>
      </c>
    </row>
    <row r="99" spans="1:9">
      <c r="A99" s="3615">
        <v>97</v>
      </c>
      <c r="B99" s="3615" t="s">
        <v>7197</v>
      </c>
      <c r="C99" s="3617" t="s">
        <v>3055</v>
      </c>
      <c r="D99" s="3617">
        <v>2</v>
      </c>
      <c r="E99" s="3617">
        <v>3</v>
      </c>
      <c r="F99" s="3617">
        <v>38.96</v>
      </c>
      <c r="G99" s="3608" t="s">
        <v>1378</v>
      </c>
      <c r="H99" s="3633">
        <f ca="1">'典型户型修正(先权重后修正)'!$R$25</f>
        <v>24546</v>
      </c>
      <c r="I99" s="3634">
        <f t="shared" ca="1" si="5"/>
        <v>95.63</v>
      </c>
    </row>
    <row r="100" spans="1:9">
      <c r="A100" s="3615">
        <v>98</v>
      </c>
      <c r="B100" s="3615" t="s">
        <v>7198</v>
      </c>
      <c r="C100" s="3617" t="s">
        <v>3055</v>
      </c>
      <c r="D100" s="3617">
        <v>2</v>
      </c>
      <c r="E100" s="3617">
        <v>82</v>
      </c>
      <c r="F100" s="3617">
        <v>39.94</v>
      </c>
      <c r="G100" s="3608" t="s">
        <v>1378</v>
      </c>
      <c r="H100" s="3633">
        <f ca="1">'典型户型修正(先权重后修正)'!$R$25</f>
        <v>24546</v>
      </c>
      <c r="I100" s="3634">
        <f t="shared" ca="1" si="5"/>
        <v>98.04</v>
      </c>
    </row>
    <row r="101" spans="1:9">
      <c r="A101" s="3615">
        <v>99</v>
      </c>
      <c r="B101" s="3615" t="s">
        <v>7199</v>
      </c>
      <c r="C101" s="3617" t="s">
        <v>3055</v>
      </c>
      <c r="D101" s="3617">
        <v>2</v>
      </c>
      <c r="E101" s="3617">
        <v>83</v>
      </c>
      <c r="F101" s="3617">
        <v>27.96</v>
      </c>
      <c r="G101" s="3608" t="s">
        <v>1378</v>
      </c>
      <c r="H101" s="3633">
        <f ca="1">'典型户型修正(先权重后修正)'!$R$25</f>
        <v>24546</v>
      </c>
      <c r="I101" s="3634">
        <f t="shared" ca="1" si="5"/>
        <v>68.63</v>
      </c>
    </row>
    <row r="102" spans="1:9">
      <c r="A102" s="3615">
        <v>100</v>
      </c>
      <c r="B102" s="3615" t="s">
        <v>7200</v>
      </c>
      <c r="C102" s="3617" t="s">
        <v>3055</v>
      </c>
      <c r="D102" s="3617">
        <v>2</v>
      </c>
      <c r="E102" s="3617">
        <v>108</v>
      </c>
      <c r="F102" s="3617">
        <v>79.03</v>
      </c>
      <c r="G102" s="3608" t="s">
        <v>1378</v>
      </c>
      <c r="H102" s="3633">
        <f ca="1">'典型户型修正(先权重后修正)'!$R$25</f>
        <v>24546</v>
      </c>
      <c r="I102" s="3634">
        <f t="shared" ca="1" si="5"/>
        <v>193.99</v>
      </c>
    </row>
    <row r="103" spans="1:9">
      <c r="A103" s="3615">
        <v>101</v>
      </c>
      <c r="B103" s="3615" t="s">
        <v>7201</v>
      </c>
      <c r="C103" s="3617" t="s">
        <v>3055</v>
      </c>
      <c r="D103" s="3617">
        <v>2</v>
      </c>
      <c r="E103" s="3617">
        <v>116</v>
      </c>
      <c r="F103" s="3617">
        <v>118.85</v>
      </c>
      <c r="G103" s="3608" t="s">
        <v>1378</v>
      </c>
      <c r="H103" s="3633">
        <f ca="1">'典型户型修正(先权重后修正)'!$R$25</f>
        <v>24546</v>
      </c>
      <c r="I103" s="3634">
        <f t="shared" ca="1" si="5"/>
        <v>291.73</v>
      </c>
    </row>
    <row r="104" spans="1:9">
      <c r="A104" s="3615">
        <v>102</v>
      </c>
      <c r="B104" s="3615" t="s">
        <v>7202</v>
      </c>
      <c r="C104" s="3617" t="s">
        <v>3055</v>
      </c>
      <c r="D104" s="3617">
        <v>2</v>
      </c>
      <c r="E104" s="3617">
        <v>131</v>
      </c>
      <c r="F104" s="3617">
        <v>79.17</v>
      </c>
      <c r="G104" s="3608" t="s">
        <v>1378</v>
      </c>
      <c r="H104" s="3633">
        <f ca="1">'典型户型修正(先权重后修正)'!$R$25</f>
        <v>24546</v>
      </c>
      <c r="I104" s="3634">
        <f t="shared" ca="1" si="5"/>
        <v>194.33</v>
      </c>
    </row>
    <row r="105" spans="1:9">
      <c r="A105" s="3615">
        <v>103</v>
      </c>
      <c r="B105" s="3615" t="s">
        <v>7203</v>
      </c>
      <c r="C105" s="3617" t="s">
        <v>3055</v>
      </c>
      <c r="D105" s="3617">
        <v>2</v>
      </c>
      <c r="E105" s="3617">
        <v>132</v>
      </c>
      <c r="F105" s="3617">
        <v>44.03</v>
      </c>
      <c r="G105" s="3608" t="s">
        <v>1378</v>
      </c>
      <c r="H105" s="3633">
        <f ca="1">'典型户型修正(先权重后修正)'!$R$25</f>
        <v>24546</v>
      </c>
      <c r="I105" s="3634">
        <f t="shared" ca="1" si="5"/>
        <v>108.08</v>
      </c>
    </row>
    <row r="106" spans="1:9">
      <c r="A106" s="3615">
        <v>104</v>
      </c>
      <c r="B106" s="3615" t="s">
        <v>7204</v>
      </c>
      <c r="C106" s="3617" t="s">
        <v>3055</v>
      </c>
      <c r="D106" s="3617">
        <v>2</v>
      </c>
      <c r="E106" s="3617">
        <v>133</v>
      </c>
      <c r="F106" s="3617">
        <v>45.29</v>
      </c>
      <c r="G106" s="3608" t="s">
        <v>1378</v>
      </c>
      <c r="H106" s="3633">
        <f ca="1">'典型户型修正(先权重后修正)'!$R$25</f>
        <v>24546</v>
      </c>
      <c r="I106" s="3634">
        <f t="shared" ca="1" si="5"/>
        <v>111.17</v>
      </c>
    </row>
    <row r="107" spans="1:9">
      <c r="A107" s="3615">
        <v>105</v>
      </c>
      <c r="B107" s="3615" t="s">
        <v>7205</v>
      </c>
      <c r="C107" s="3617" t="s">
        <v>3055</v>
      </c>
      <c r="D107" s="3617">
        <v>2</v>
      </c>
      <c r="E107" s="3617">
        <v>189</v>
      </c>
      <c r="F107" s="3617">
        <v>25.73</v>
      </c>
      <c r="G107" s="3608" t="s">
        <v>1378</v>
      </c>
      <c r="H107" s="3633">
        <f ca="1">'典型户型修正(先权重后修正)'!$R$25</f>
        <v>24546</v>
      </c>
      <c r="I107" s="3634">
        <f t="shared" ca="1" si="5"/>
        <v>63.16</v>
      </c>
    </row>
    <row r="108" spans="1:9">
      <c r="A108" s="3615">
        <v>106</v>
      </c>
      <c r="B108" s="3615" t="s">
        <v>7206</v>
      </c>
      <c r="C108" s="3617" t="s">
        <v>3055</v>
      </c>
      <c r="D108" s="3617">
        <v>2</v>
      </c>
      <c r="E108" s="3617">
        <v>190</v>
      </c>
      <c r="F108" s="3617">
        <v>44.85</v>
      </c>
      <c r="G108" s="3608" t="s">
        <v>1378</v>
      </c>
      <c r="H108" s="3633">
        <f ca="1">'典型户型修正(先权重后修正)'!$R$25</f>
        <v>24546</v>
      </c>
      <c r="I108" s="3634">
        <f t="shared" ca="1" si="5"/>
        <v>110.09</v>
      </c>
    </row>
    <row r="109" spans="1:9">
      <c r="A109" s="3615">
        <v>107</v>
      </c>
      <c r="B109" s="3615" t="s">
        <v>7207</v>
      </c>
      <c r="C109" s="3617" t="s">
        <v>3055</v>
      </c>
      <c r="D109" s="3617">
        <v>2</v>
      </c>
      <c r="E109" s="3617">
        <v>195</v>
      </c>
      <c r="F109" s="3617">
        <v>42.84</v>
      </c>
      <c r="G109" s="3608" t="s">
        <v>1378</v>
      </c>
      <c r="H109" s="3633">
        <f ca="1">'典型户型修正(先权重后修正)'!$R$25</f>
        <v>24546</v>
      </c>
      <c r="I109" s="3634">
        <f t="shared" ca="1" si="5"/>
        <v>105.16</v>
      </c>
    </row>
    <row r="110" spans="1:9">
      <c r="A110" s="3615">
        <v>108</v>
      </c>
      <c r="B110" s="3615" t="s">
        <v>7208</v>
      </c>
      <c r="C110" s="3617" t="s">
        <v>3055</v>
      </c>
      <c r="D110" s="3617">
        <v>2</v>
      </c>
      <c r="E110" s="3617">
        <v>196</v>
      </c>
      <c r="F110" s="3617">
        <v>42.84</v>
      </c>
      <c r="G110" s="3608" t="s">
        <v>1378</v>
      </c>
      <c r="H110" s="3633">
        <f ca="1">'典型户型修正(先权重后修正)'!$R$25</f>
        <v>24546</v>
      </c>
      <c r="I110" s="3634">
        <f t="shared" ca="1" si="5"/>
        <v>105.16</v>
      </c>
    </row>
    <row r="111" spans="1:9">
      <c r="A111" s="3615">
        <v>109</v>
      </c>
      <c r="B111" s="3615" t="s">
        <v>7209</v>
      </c>
      <c r="C111" s="3617" t="s">
        <v>3055</v>
      </c>
      <c r="D111" s="3617">
        <v>2</v>
      </c>
      <c r="E111" s="3617">
        <v>226</v>
      </c>
      <c r="F111" s="3617">
        <v>39.51</v>
      </c>
      <c r="G111" s="3608" t="s">
        <v>1378</v>
      </c>
      <c r="H111" s="3633">
        <f ca="1">'典型户型修正(先权重后修正)'!$R$25</f>
        <v>24546</v>
      </c>
      <c r="I111" s="3634">
        <f t="shared" ca="1" si="5"/>
        <v>96.98</v>
      </c>
    </row>
    <row r="112" spans="1:9">
      <c r="A112" s="3615">
        <v>110</v>
      </c>
      <c r="B112" s="3624" t="s">
        <v>7210</v>
      </c>
      <c r="C112" s="3612" t="s">
        <v>3055</v>
      </c>
      <c r="D112" s="3612">
        <v>2</v>
      </c>
      <c r="E112" s="3612">
        <v>239</v>
      </c>
      <c r="F112" s="3612">
        <v>39.49</v>
      </c>
      <c r="G112" s="3608" t="s">
        <v>1378</v>
      </c>
      <c r="H112" s="3633">
        <f ca="1">'典型户型修正(先权重后修正)'!$R$25</f>
        <v>24546</v>
      </c>
      <c r="I112" s="3634">
        <f t="shared" ca="1" si="5"/>
        <v>96.93</v>
      </c>
    </row>
    <row r="113" spans="1:9">
      <c r="A113" s="3615">
        <v>111</v>
      </c>
      <c r="B113" s="3624" t="s">
        <v>7537</v>
      </c>
      <c r="C113" s="3608" t="s">
        <v>3055</v>
      </c>
      <c r="D113" s="3608">
        <v>2</v>
      </c>
      <c r="E113" s="3608">
        <v>26</v>
      </c>
      <c r="F113" s="3608">
        <v>38.96</v>
      </c>
      <c r="G113" s="3608" t="s">
        <v>1378</v>
      </c>
      <c r="H113" s="3633">
        <f ca="1">'典型户型修正(先权重后修正)'!$R$25</f>
        <v>24546</v>
      </c>
      <c r="I113" s="3634">
        <f t="shared" ca="1" si="5"/>
        <v>95.63</v>
      </c>
    </row>
    <row r="114" spans="1:9">
      <c r="A114" s="3615">
        <v>112</v>
      </c>
      <c r="B114" s="3624" t="s">
        <v>7538</v>
      </c>
      <c r="C114" s="3608" t="s">
        <v>3055</v>
      </c>
      <c r="D114" s="3608">
        <v>2</v>
      </c>
      <c r="E114" s="3608">
        <v>65</v>
      </c>
      <c r="F114" s="3608">
        <v>118.41</v>
      </c>
      <c r="G114" s="3608" t="s">
        <v>1378</v>
      </c>
      <c r="H114" s="3633">
        <f ca="1">'典型户型修正(先权重后修正)'!$R$25</f>
        <v>24546</v>
      </c>
      <c r="I114" s="3634">
        <f t="shared" ca="1" si="5"/>
        <v>290.64999999999998</v>
      </c>
    </row>
    <row r="115" spans="1:9">
      <c r="A115" s="3615">
        <v>113</v>
      </c>
      <c r="B115" s="3624" t="s">
        <v>7539</v>
      </c>
      <c r="C115" s="3608" t="s">
        <v>3055</v>
      </c>
      <c r="D115" s="3608">
        <v>2</v>
      </c>
      <c r="E115" s="3608">
        <v>103</v>
      </c>
      <c r="F115" s="3608">
        <v>120.99</v>
      </c>
      <c r="G115" s="3608" t="s">
        <v>1378</v>
      </c>
      <c r="H115" s="3633">
        <f ca="1">'典型户型修正(先权重后修正)'!$R$25</f>
        <v>24546</v>
      </c>
      <c r="I115" s="3634">
        <f t="shared" ca="1" si="5"/>
        <v>296.98</v>
      </c>
    </row>
    <row r="116" spans="1:9">
      <c r="A116" s="3615">
        <v>114</v>
      </c>
      <c r="B116" s="3624" t="s">
        <v>7540</v>
      </c>
      <c r="C116" s="3608" t="s">
        <v>3055</v>
      </c>
      <c r="D116" s="3608">
        <v>2</v>
      </c>
      <c r="E116" s="3608">
        <v>146</v>
      </c>
      <c r="F116" s="3608">
        <v>68.010000000000005</v>
      </c>
      <c r="G116" s="3608" t="s">
        <v>1378</v>
      </c>
      <c r="H116" s="3633">
        <f ca="1">'典型户型修正(先权重后修正)'!$R$25</f>
        <v>24546</v>
      </c>
      <c r="I116" s="3634">
        <f t="shared" ca="1" si="5"/>
        <v>166.94</v>
      </c>
    </row>
    <row r="117" spans="1:9">
      <c r="A117" s="3615">
        <v>115</v>
      </c>
      <c r="B117" s="3624" t="s">
        <v>7541</v>
      </c>
      <c r="C117" s="3608" t="s">
        <v>3055</v>
      </c>
      <c r="D117" s="3608">
        <v>2</v>
      </c>
      <c r="E117" s="3608">
        <v>168</v>
      </c>
      <c r="F117" s="3608">
        <v>69.709999999999994</v>
      </c>
      <c r="G117" s="3608" t="s">
        <v>1378</v>
      </c>
      <c r="H117" s="3633">
        <f ca="1">'典型户型修正(先权重后修正)'!$R$25</f>
        <v>24546</v>
      </c>
      <c r="I117" s="3634">
        <f t="shared" ca="1" si="5"/>
        <v>171.11</v>
      </c>
    </row>
    <row r="118" spans="1:9">
      <c r="A118" s="3615">
        <v>116</v>
      </c>
      <c r="B118" s="3624" t="s">
        <v>7542</v>
      </c>
      <c r="C118" s="3608" t="s">
        <v>3055</v>
      </c>
      <c r="D118" s="3608">
        <v>2</v>
      </c>
      <c r="E118" s="3608">
        <v>245</v>
      </c>
      <c r="F118" s="3608">
        <v>59.14</v>
      </c>
      <c r="G118" s="3608" t="s">
        <v>1378</v>
      </c>
      <c r="H118" s="3633">
        <f ca="1">'典型户型修正(先权重后修正)'!$R$25</f>
        <v>24546</v>
      </c>
      <c r="I118" s="3634">
        <f t="shared" ca="1" si="5"/>
        <v>145.16999999999999</v>
      </c>
    </row>
    <row r="119" spans="1:9">
      <c r="A119" s="3615">
        <v>117</v>
      </c>
      <c r="B119" s="3624" t="s">
        <v>7211</v>
      </c>
      <c r="C119" s="3612" t="s">
        <v>3055</v>
      </c>
      <c r="D119" s="3612">
        <v>3</v>
      </c>
      <c r="E119" s="3612">
        <v>77</v>
      </c>
      <c r="F119" s="3612">
        <v>39.79</v>
      </c>
      <c r="G119" s="3608" t="s">
        <v>1378</v>
      </c>
      <c r="H119" s="3633">
        <f ca="1">'典型户型修正(先权重后修正)'!$R$26</f>
        <v>17533</v>
      </c>
      <c r="I119" s="3634">
        <f t="shared" ca="1" si="5"/>
        <v>69.760000000000005</v>
      </c>
    </row>
    <row r="120" spans="1:9">
      <c r="A120" s="3615">
        <v>118</v>
      </c>
      <c r="B120" s="3624" t="s">
        <v>7212</v>
      </c>
      <c r="C120" s="3612" t="s">
        <v>3055</v>
      </c>
      <c r="D120" s="3612">
        <v>3</v>
      </c>
      <c r="E120" s="3612">
        <v>78</v>
      </c>
      <c r="F120" s="3612">
        <v>27.85</v>
      </c>
      <c r="G120" s="3608" t="s">
        <v>1378</v>
      </c>
      <c r="H120" s="3633">
        <f ca="1">'典型户型修正(先权重后修正)'!$R$26</f>
        <v>17533</v>
      </c>
      <c r="I120" s="3634">
        <f t="shared" ca="1" si="5"/>
        <v>48.83</v>
      </c>
    </row>
    <row r="121" spans="1:9">
      <c r="A121" s="3615">
        <v>119</v>
      </c>
      <c r="B121" s="3624" t="s">
        <v>7213</v>
      </c>
      <c r="C121" s="3612" t="s">
        <v>3055</v>
      </c>
      <c r="D121" s="3612">
        <v>3</v>
      </c>
      <c r="E121" s="3612">
        <v>146</v>
      </c>
      <c r="F121" s="3612">
        <v>131</v>
      </c>
      <c r="G121" s="3608" t="s">
        <v>1378</v>
      </c>
      <c r="H121" s="3633">
        <f ca="1">'典型户型修正(先权重后修正)'!$R$26</f>
        <v>17533</v>
      </c>
      <c r="I121" s="3634">
        <f t="shared" ca="1" si="5"/>
        <v>229.68</v>
      </c>
    </row>
    <row r="122" spans="1:9">
      <c r="A122" s="3615">
        <v>120</v>
      </c>
      <c r="B122" s="3624" t="s">
        <v>7214</v>
      </c>
      <c r="C122" s="3612" t="s">
        <v>3055</v>
      </c>
      <c r="D122" s="3612">
        <v>3</v>
      </c>
      <c r="E122" s="3612">
        <v>175</v>
      </c>
      <c r="F122" s="3612">
        <v>105.82</v>
      </c>
      <c r="G122" s="3608" t="s">
        <v>1378</v>
      </c>
      <c r="H122" s="3633">
        <f ca="1">'典型户型修正(先权重后修正)'!$R$26</f>
        <v>17533</v>
      </c>
      <c r="I122" s="3634">
        <f t="shared" ca="1" si="5"/>
        <v>185.53</v>
      </c>
    </row>
    <row r="123" spans="1:9">
      <c r="A123" s="3615">
        <v>121</v>
      </c>
      <c r="B123" s="3624" t="s">
        <v>7215</v>
      </c>
      <c r="C123" s="3609" t="s">
        <v>3055</v>
      </c>
      <c r="D123" s="3609">
        <v>3</v>
      </c>
      <c r="E123" s="3609">
        <v>62</v>
      </c>
      <c r="F123" s="3614">
        <v>67.33</v>
      </c>
      <c r="G123" s="3608" t="s">
        <v>1378</v>
      </c>
      <c r="H123" s="3633">
        <f ca="1">'典型户型修正(先权重后修正)'!$R$26</f>
        <v>17533</v>
      </c>
      <c r="I123" s="3634">
        <f t="shared" ca="1" si="5"/>
        <v>118.05</v>
      </c>
    </row>
    <row r="124" spans="1:9">
      <c r="A124" s="3615">
        <v>122</v>
      </c>
      <c r="B124" s="3624" t="s">
        <v>7216</v>
      </c>
      <c r="C124" s="3609" t="s">
        <v>3055</v>
      </c>
      <c r="D124" s="3609">
        <v>3</v>
      </c>
      <c r="E124" s="3609">
        <v>75</v>
      </c>
      <c r="F124" s="3614">
        <v>84.13</v>
      </c>
      <c r="G124" s="3608" t="s">
        <v>1378</v>
      </c>
      <c r="H124" s="3633">
        <f ca="1">'典型户型修正(先权重后修正)'!$R$26</f>
        <v>17533</v>
      </c>
      <c r="I124" s="3634">
        <f t="shared" ca="1" si="5"/>
        <v>147.51</v>
      </c>
    </row>
    <row r="125" spans="1:9">
      <c r="A125" s="3615">
        <v>123</v>
      </c>
      <c r="B125" s="3624" t="s">
        <v>7543</v>
      </c>
      <c r="C125" s="3608" t="s">
        <v>3055</v>
      </c>
      <c r="D125" s="3608">
        <v>3</v>
      </c>
      <c r="E125" s="3608">
        <v>166</v>
      </c>
      <c r="F125" s="3608">
        <v>90.46</v>
      </c>
      <c r="G125" s="3608" t="s">
        <v>1378</v>
      </c>
      <c r="H125" s="3633">
        <f ca="1">'典型户型修正(先权重后修正)'!$R$26</f>
        <v>17533</v>
      </c>
      <c r="I125" s="3634">
        <f t="shared" ca="1" si="5"/>
        <v>158.6</v>
      </c>
    </row>
    <row r="126" spans="1:9">
      <c r="A126" s="3615">
        <v>124</v>
      </c>
      <c r="B126" s="3624" t="s">
        <v>7217</v>
      </c>
      <c r="C126" s="3612" t="s">
        <v>3055</v>
      </c>
      <c r="D126" s="3612">
        <v>4</v>
      </c>
      <c r="E126" s="3612">
        <v>40</v>
      </c>
      <c r="F126" s="3612">
        <v>64.8</v>
      </c>
      <c r="G126" s="3608" t="s">
        <v>1378</v>
      </c>
      <c r="H126" s="3633">
        <f ca="1">'典型户型修正(先权重后修正)'!$R$27</f>
        <v>17533</v>
      </c>
      <c r="I126" s="3634">
        <f t="shared" ca="1" si="5"/>
        <v>113.61</v>
      </c>
    </row>
    <row r="127" spans="1:9">
      <c r="A127" s="3615">
        <v>125</v>
      </c>
      <c r="B127" s="3624" t="s">
        <v>7218</v>
      </c>
      <c r="C127" s="3612" t="s">
        <v>3055</v>
      </c>
      <c r="D127" s="3612">
        <v>4</v>
      </c>
      <c r="E127" s="3612">
        <v>55</v>
      </c>
      <c r="F127" s="3612">
        <v>63.09</v>
      </c>
      <c r="G127" s="3608" t="s">
        <v>1378</v>
      </c>
      <c r="H127" s="3633">
        <f ca="1">'典型户型修正(先权重后修正)'!$R$27</f>
        <v>17533</v>
      </c>
      <c r="I127" s="3634">
        <f t="shared" ca="1" si="5"/>
        <v>110.62</v>
      </c>
    </row>
    <row r="128" spans="1:9">
      <c r="A128" s="3615">
        <v>126</v>
      </c>
      <c r="B128" s="3624" t="s">
        <v>7219</v>
      </c>
      <c r="C128" s="3612" t="s">
        <v>3055</v>
      </c>
      <c r="D128" s="3612">
        <v>4</v>
      </c>
      <c r="E128" s="3612">
        <v>56</v>
      </c>
      <c r="F128" s="3612">
        <v>65.05</v>
      </c>
      <c r="G128" s="3608" t="s">
        <v>1378</v>
      </c>
      <c r="H128" s="3633">
        <f ca="1">'典型户型修正(先权重后修正)'!$R$27</f>
        <v>17533</v>
      </c>
      <c r="I128" s="3634">
        <f t="shared" ca="1" si="5"/>
        <v>114.05</v>
      </c>
    </row>
    <row r="129" spans="1:9">
      <c r="A129" s="3615">
        <v>127</v>
      </c>
      <c r="B129" s="3624" t="s">
        <v>7220</v>
      </c>
      <c r="C129" s="3612" t="s">
        <v>3055</v>
      </c>
      <c r="D129" s="3612">
        <v>4</v>
      </c>
      <c r="E129" s="3612">
        <v>57</v>
      </c>
      <c r="F129" s="3612">
        <v>122.68</v>
      </c>
      <c r="G129" s="3608" t="s">
        <v>1378</v>
      </c>
      <c r="H129" s="3633">
        <f ca="1">'典型户型修正(先权重后修正)'!$R$27</f>
        <v>17533</v>
      </c>
      <c r="I129" s="3634">
        <f t="shared" ca="1" si="5"/>
        <v>215.09</v>
      </c>
    </row>
    <row r="130" spans="1:9">
      <c r="A130" s="3615">
        <v>128</v>
      </c>
      <c r="B130" s="3624" t="s">
        <v>7221</v>
      </c>
      <c r="C130" s="3612" t="s">
        <v>3055</v>
      </c>
      <c r="D130" s="3612">
        <v>4</v>
      </c>
      <c r="E130" s="3612">
        <v>58</v>
      </c>
      <c r="F130" s="3612">
        <v>136.9</v>
      </c>
      <c r="G130" s="3608" t="s">
        <v>1378</v>
      </c>
      <c r="H130" s="3633">
        <f ca="1">'典型户型修正(先权重后修正)'!$R$27</f>
        <v>17533</v>
      </c>
      <c r="I130" s="3634">
        <f t="shared" ca="1" si="5"/>
        <v>240.03</v>
      </c>
    </row>
    <row r="131" spans="1:9">
      <c r="A131" s="3615">
        <v>129</v>
      </c>
      <c r="B131" s="3624" t="s">
        <v>7544</v>
      </c>
      <c r="C131" s="3608" t="s">
        <v>3055</v>
      </c>
      <c r="D131" s="3608">
        <v>4</v>
      </c>
      <c r="E131" s="3608">
        <v>1</v>
      </c>
      <c r="F131" s="3608">
        <v>87.79</v>
      </c>
      <c r="G131" s="3608" t="s">
        <v>1378</v>
      </c>
      <c r="H131" s="3633">
        <f ca="1">'典型户型修正(先权重后修正)'!$R$27</f>
        <v>17533</v>
      </c>
      <c r="I131" s="3634">
        <f t="shared" ca="1" si="5"/>
        <v>153.91999999999999</v>
      </c>
    </row>
    <row r="132" spans="1:9">
      <c r="A132" s="3615">
        <v>130</v>
      </c>
      <c r="B132" s="3624" t="s">
        <v>7545</v>
      </c>
      <c r="C132" s="3608" t="s">
        <v>3055</v>
      </c>
      <c r="D132" s="3608">
        <v>4</v>
      </c>
      <c r="E132" s="3608">
        <v>2</v>
      </c>
      <c r="F132" s="3608">
        <v>69.7</v>
      </c>
      <c r="G132" s="3608" t="s">
        <v>1378</v>
      </c>
      <c r="H132" s="3633">
        <f ca="1">'典型户型修正(先权重后修正)'!$R$27</f>
        <v>17533</v>
      </c>
      <c r="I132" s="3634">
        <f t="shared" ca="1" si="5"/>
        <v>122.21</v>
      </c>
    </row>
    <row r="133" spans="1:9">
      <c r="A133" s="3615">
        <v>131</v>
      </c>
      <c r="B133" s="3624" t="s">
        <v>7546</v>
      </c>
      <c r="C133" s="3608" t="s">
        <v>3055</v>
      </c>
      <c r="D133" s="3608">
        <v>4</v>
      </c>
      <c r="E133" s="3608">
        <v>5</v>
      </c>
      <c r="F133" s="3608">
        <v>47.97</v>
      </c>
      <c r="G133" s="3608" t="s">
        <v>1378</v>
      </c>
      <c r="H133" s="3633">
        <f ca="1">'典型户型修正(先权重后修正)'!$R$27</f>
        <v>17533</v>
      </c>
      <c r="I133" s="3634">
        <f t="shared" ca="1" si="5"/>
        <v>84.11</v>
      </c>
    </row>
    <row r="134" spans="1:9">
      <c r="A134" s="3615">
        <v>132</v>
      </c>
      <c r="B134" s="3624" t="s">
        <v>7547</v>
      </c>
      <c r="C134" s="3608" t="s">
        <v>3055</v>
      </c>
      <c r="D134" s="3608">
        <v>4</v>
      </c>
      <c r="E134" s="3608">
        <v>6</v>
      </c>
      <c r="F134" s="3608">
        <v>77.56</v>
      </c>
      <c r="G134" s="3608" t="s">
        <v>1378</v>
      </c>
      <c r="H134" s="3633">
        <f ca="1">'典型户型修正(先权重后修正)'!$R$27</f>
        <v>17533</v>
      </c>
      <c r="I134" s="3634">
        <f t="shared" ca="1" si="5"/>
        <v>135.99</v>
      </c>
    </row>
    <row r="135" spans="1:9">
      <c r="A135" s="3615">
        <v>133</v>
      </c>
      <c r="B135" s="3624" t="s">
        <v>7548</v>
      </c>
      <c r="C135" s="3608" t="s">
        <v>3055</v>
      </c>
      <c r="D135" s="3608">
        <v>4</v>
      </c>
      <c r="E135" s="3608">
        <v>13</v>
      </c>
      <c r="F135" s="3608">
        <v>69.47</v>
      </c>
      <c r="G135" s="3608" t="s">
        <v>1378</v>
      </c>
      <c r="H135" s="3633">
        <f ca="1">'典型户型修正(先权重后修正)'!$R$27</f>
        <v>17533</v>
      </c>
      <c r="I135" s="3634">
        <f t="shared" ca="1" si="5"/>
        <v>121.8</v>
      </c>
    </row>
    <row r="136" spans="1:9">
      <c r="A136" s="3615">
        <v>134</v>
      </c>
      <c r="B136" s="3624" t="s">
        <v>7549</v>
      </c>
      <c r="C136" s="3608" t="s">
        <v>3055</v>
      </c>
      <c r="D136" s="3608">
        <v>4</v>
      </c>
      <c r="E136" s="3608">
        <v>15</v>
      </c>
      <c r="F136" s="3608">
        <v>69.47</v>
      </c>
      <c r="G136" s="3608" t="s">
        <v>1378</v>
      </c>
      <c r="H136" s="3633">
        <f ca="1">'典型户型修正(先权重后修正)'!$R$27</f>
        <v>17533</v>
      </c>
      <c r="I136" s="3634">
        <f t="shared" ca="1" si="5"/>
        <v>121.8</v>
      </c>
    </row>
    <row r="137" spans="1:9">
      <c r="A137" s="3615">
        <v>135</v>
      </c>
      <c r="B137" s="3624" t="s">
        <v>7550</v>
      </c>
      <c r="C137" s="3608" t="s">
        <v>3055</v>
      </c>
      <c r="D137" s="3608">
        <v>4</v>
      </c>
      <c r="E137" s="3608">
        <v>25</v>
      </c>
      <c r="F137" s="3608">
        <v>45.56</v>
      </c>
      <c r="G137" s="3608" t="s">
        <v>1378</v>
      </c>
      <c r="H137" s="3633">
        <f ca="1">'典型户型修正(先权重后修正)'!$R$27</f>
        <v>17533</v>
      </c>
      <c r="I137" s="3634">
        <f t="shared" ca="1" si="5"/>
        <v>79.88</v>
      </c>
    </row>
    <row r="138" spans="1:9">
      <c r="A138" s="3615">
        <v>136</v>
      </c>
      <c r="B138" s="3624" t="s">
        <v>7551</v>
      </c>
      <c r="C138" s="3608" t="s">
        <v>3055</v>
      </c>
      <c r="D138" s="3608">
        <v>4</v>
      </c>
      <c r="E138" s="3608">
        <v>26</v>
      </c>
      <c r="F138" s="3608">
        <v>44.45</v>
      </c>
      <c r="G138" s="3608" t="s">
        <v>1378</v>
      </c>
      <c r="H138" s="3633">
        <f ca="1">'典型户型修正(先权重后修正)'!$R$27</f>
        <v>17533</v>
      </c>
      <c r="I138" s="3634">
        <f t="shared" ca="1" si="5"/>
        <v>77.930000000000007</v>
      </c>
    </row>
    <row r="139" spans="1:9">
      <c r="A139" s="3615">
        <v>137</v>
      </c>
      <c r="B139" s="3624" t="s">
        <v>7552</v>
      </c>
      <c r="C139" s="3608" t="s">
        <v>3055</v>
      </c>
      <c r="D139" s="3608">
        <v>4</v>
      </c>
      <c r="E139" s="3608">
        <v>107</v>
      </c>
      <c r="F139" s="3608">
        <v>42.18</v>
      </c>
      <c r="G139" s="3608" t="s">
        <v>1378</v>
      </c>
      <c r="H139" s="3633">
        <f ca="1">'典型户型修正(先权重后修正)'!$R$27</f>
        <v>17533</v>
      </c>
      <c r="I139" s="3634">
        <f t="shared" ca="1" si="5"/>
        <v>73.95</v>
      </c>
    </row>
    <row r="140" spans="1:9">
      <c r="A140" s="3615">
        <v>138</v>
      </c>
      <c r="B140" s="3624" t="s">
        <v>7553</v>
      </c>
      <c r="C140" s="3608" t="s">
        <v>3055</v>
      </c>
      <c r="D140" s="3608">
        <v>4</v>
      </c>
      <c r="E140" s="3608">
        <v>108</v>
      </c>
      <c r="F140" s="3608">
        <v>35.06</v>
      </c>
      <c r="G140" s="3608" t="s">
        <v>1378</v>
      </c>
      <c r="H140" s="3633">
        <f ca="1">'典型户型修正(先权重后修正)'!$R$27</f>
        <v>17533</v>
      </c>
      <c r="I140" s="3634">
        <f t="shared" ca="1" si="5"/>
        <v>61.47</v>
      </c>
    </row>
    <row r="141" spans="1:9">
      <c r="A141" s="3615">
        <v>139</v>
      </c>
      <c r="B141" s="3624" t="s">
        <v>7222</v>
      </c>
      <c r="C141" s="3612" t="s">
        <v>3055</v>
      </c>
      <c r="D141" s="3612">
        <v>5</v>
      </c>
      <c r="E141" s="3612">
        <v>47</v>
      </c>
      <c r="F141" s="3612">
        <v>39.909999999999997</v>
      </c>
      <c r="G141" s="3608" t="s">
        <v>1378</v>
      </c>
      <c r="H141" s="3633">
        <f ca="1">I141/F141*10000</f>
        <v>17557.003257328917</v>
      </c>
      <c r="I141" s="3634">
        <f ca="1">'典型户型修正(先权重后修正)'!S27-7184.93</f>
        <v>70.069999999999709</v>
      </c>
    </row>
    <row r="142" spans="1:9">
      <c r="A142" s="3615">
        <v>140</v>
      </c>
      <c r="B142" s="3624" t="s">
        <v>7223</v>
      </c>
      <c r="C142" s="3612" t="s">
        <v>3055</v>
      </c>
      <c r="D142" s="3612">
        <v>-1</v>
      </c>
      <c r="E142" s="3612">
        <v>85</v>
      </c>
      <c r="F142" s="3612">
        <v>51.7</v>
      </c>
      <c r="G142" s="3608" t="s">
        <v>1378</v>
      </c>
      <c r="H142" s="3633">
        <f ca="1">'典型户型修正(先权重后修正)'!$R$29</f>
        <v>17533</v>
      </c>
      <c r="I142" s="3634">
        <f t="shared" ref="I142:I158" ca="1" si="6">ROUND(H142*F142/10000,2)</f>
        <v>90.65</v>
      </c>
    </row>
    <row r="143" spans="1:9">
      <c r="A143" s="3615">
        <v>141</v>
      </c>
      <c r="B143" s="3624" t="s">
        <v>7224</v>
      </c>
      <c r="C143" s="3612" t="s">
        <v>3055</v>
      </c>
      <c r="D143" s="3612">
        <v>-1</v>
      </c>
      <c r="E143" s="3612">
        <v>96</v>
      </c>
      <c r="F143" s="3612">
        <v>75.13</v>
      </c>
      <c r="G143" s="3608" t="s">
        <v>1378</v>
      </c>
      <c r="H143" s="3633">
        <f ca="1">'典型户型修正(先权重后修正)'!$R$29</f>
        <v>17533</v>
      </c>
      <c r="I143" s="3634">
        <f t="shared" ca="1" si="6"/>
        <v>131.72999999999999</v>
      </c>
    </row>
    <row r="144" spans="1:9">
      <c r="A144" s="3615">
        <v>142</v>
      </c>
      <c r="B144" s="3624" t="s">
        <v>7225</v>
      </c>
      <c r="C144" s="3612" t="s">
        <v>3055</v>
      </c>
      <c r="D144" s="3612">
        <v>-1</v>
      </c>
      <c r="E144" s="3612">
        <v>105</v>
      </c>
      <c r="F144" s="3612">
        <v>27.26</v>
      </c>
      <c r="G144" s="3608" t="s">
        <v>1378</v>
      </c>
      <c r="H144" s="3633">
        <f ca="1">'典型户型修正(先权重后修正)'!$R$29</f>
        <v>17533</v>
      </c>
      <c r="I144" s="3634">
        <f t="shared" ca="1" si="6"/>
        <v>47.79</v>
      </c>
    </row>
    <row r="145" spans="1:9">
      <c r="A145" s="3615">
        <v>143</v>
      </c>
      <c r="B145" s="3624" t="s">
        <v>7226</v>
      </c>
      <c r="C145" s="3612" t="s">
        <v>3055</v>
      </c>
      <c r="D145" s="3612">
        <v>-1</v>
      </c>
      <c r="E145" s="3612">
        <v>183</v>
      </c>
      <c r="F145" s="3612">
        <v>101.16</v>
      </c>
      <c r="G145" s="3608" t="s">
        <v>1378</v>
      </c>
      <c r="H145" s="3633">
        <f ca="1">'典型户型修正(先权重后修正)'!$R$29</f>
        <v>17533</v>
      </c>
      <c r="I145" s="3634">
        <f t="shared" ca="1" si="6"/>
        <v>177.36</v>
      </c>
    </row>
    <row r="146" spans="1:9">
      <c r="A146" s="3615">
        <v>144</v>
      </c>
      <c r="B146" s="3624" t="s">
        <v>7227</v>
      </c>
      <c r="C146" s="3612" t="s">
        <v>3055</v>
      </c>
      <c r="D146" s="3612">
        <v>-1</v>
      </c>
      <c r="E146" s="3612">
        <v>230</v>
      </c>
      <c r="F146" s="3612">
        <v>56.53</v>
      </c>
      <c r="G146" s="3608" t="s">
        <v>1378</v>
      </c>
      <c r="H146" s="3633">
        <f ca="1">'典型户型修正(先权重后修正)'!$R$29</f>
        <v>17533</v>
      </c>
      <c r="I146" s="3634">
        <f t="shared" ca="1" si="6"/>
        <v>99.11</v>
      </c>
    </row>
    <row r="147" spans="1:9">
      <c r="A147" s="3615">
        <v>145</v>
      </c>
      <c r="B147" s="3624" t="s">
        <v>7554</v>
      </c>
      <c r="C147" s="3608" t="s">
        <v>3055</v>
      </c>
      <c r="D147" s="3608">
        <v>-1</v>
      </c>
      <c r="E147" s="3608">
        <v>71</v>
      </c>
      <c r="F147" s="3608">
        <v>57.51</v>
      </c>
      <c r="G147" s="3608" t="s">
        <v>1378</v>
      </c>
      <c r="H147" s="3633">
        <f ca="1">'典型户型修正(先权重后修正)'!$R$29</f>
        <v>17533</v>
      </c>
      <c r="I147" s="3634">
        <f t="shared" ca="1" si="6"/>
        <v>100.83</v>
      </c>
    </row>
    <row r="148" spans="1:9">
      <c r="A148" s="3615">
        <v>146</v>
      </c>
      <c r="B148" s="3624" t="s">
        <v>7555</v>
      </c>
      <c r="C148" s="3608" t="s">
        <v>3055</v>
      </c>
      <c r="D148" s="3608">
        <v>-1</v>
      </c>
      <c r="E148" s="3608">
        <v>90</v>
      </c>
      <c r="F148" s="3608">
        <v>92.41</v>
      </c>
      <c r="G148" s="3608" t="s">
        <v>1378</v>
      </c>
      <c r="H148" s="3633">
        <f ca="1">'典型户型修正(先权重后修正)'!$R$29</f>
        <v>17533</v>
      </c>
      <c r="I148" s="3634">
        <f t="shared" ca="1" si="6"/>
        <v>162.02000000000001</v>
      </c>
    </row>
    <row r="149" spans="1:9">
      <c r="A149" s="3615">
        <v>147</v>
      </c>
      <c r="B149" s="3624" t="s">
        <v>7556</v>
      </c>
      <c r="C149" s="3608" t="s">
        <v>3055</v>
      </c>
      <c r="D149" s="3608">
        <v>-1</v>
      </c>
      <c r="E149" s="3608">
        <v>185</v>
      </c>
      <c r="F149" s="3608">
        <v>155.72</v>
      </c>
      <c r="G149" s="3608" t="s">
        <v>1378</v>
      </c>
      <c r="H149" s="3633">
        <f ca="1">'典型户型修正(先权重后修正)'!$R$29</f>
        <v>17533</v>
      </c>
      <c r="I149" s="3634">
        <f t="shared" ca="1" si="6"/>
        <v>273.02</v>
      </c>
    </row>
    <row r="150" spans="1:9">
      <c r="A150" s="3615">
        <v>148</v>
      </c>
      <c r="B150" s="3624" t="s">
        <v>7557</v>
      </c>
      <c r="C150" s="3608" t="s">
        <v>3055</v>
      </c>
      <c r="D150" s="3608">
        <v>-1</v>
      </c>
      <c r="E150" s="3608">
        <v>192</v>
      </c>
      <c r="F150" s="3608">
        <v>41.14</v>
      </c>
      <c r="G150" s="3608" t="s">
        <v>1378</v>
      </c>
      <c r="H150" s="3633">
        <f ca="1">'典型户型修正(先权重后修正)'!$R$29</f>
        <v>17533</v>
      </c>
      <c r="I150" s="3634">
        <f t="shared" ca="1" si="6"/>
        <v>72.13</v>
      </c>
    </row>
    <row r="151" spans="1:9">
      <c r="A151" s="3615">
        <v>149</v>
      </c>
      <c r="B151" s="3624" t="s">
        <v>7558</v>
      </c>
      <c r="C151" s="3608" t="s">
        <v>3055</v>
      </c>
      <c r="D151" s="3608">
        <v>-1</v>
      </c>
      <c r="E151" s="3608">
        <v>193</v>
      </c>
      <c r="F151" s="3608">
        <v>15.36</v>
      </c>
      <c r="G151" s="3608" t="s">
        <v>1378</v>
      </c>
      <c r="H151" s="3633">
        <f ca="1">'典型户型修正(先权重后修正)'!$R$29</f>
        <v>17533</v>
      </c>
      <c r="I151" s="3634">
        <f t="shared" ca="1" si="6"/>
        <v>26.93</v>
      </c>
    </row>
    <row r="152" spans="1:9">
      <c r="A152" s="3615">
        <v>150</v>
      </c>
      <c r="B152" s="3624" t="s">
        <v>7559</v>
      </c>
      <c r="C152" s="3608" t="s">
        <v>3055</v>
      </c>
      <c r="D152" s="3608">
        <v>-1</v>
      </c>
      <c r="E152" s="3608">
        <v>261</v>
      </c>
      <c r="F152" s="3608">
        <v>108.8</v>
      </c>
      <c r="G152" s="3608" t="s">
        <v>1378</v>
      </c>
      <c r="H152" s="3633">
        <f ca="1">'典型户型修正(先权重后修正)'!$R$29</f>
        <v>17533</v>
      </c>
      <c r="I152" s="3634">
        <f t="shared" ca="1" si="6"/>
        <v>190.76</v>
      </c>
    </row>
    <row r="153" spans="1:9">
      <c r="A153" s="3615">
        <v>151</v>
      </c>
      <c r="B153" s="3624" t="s">
        <v>7560</v>
      </c>
      <c r="C153" s="3608" t="s">
        <v>3055</v>
      </c>
      <c r="D153" s="3608">
        <v>-1</v>
      </c>
      <c r="E153" s="3608">
        <v>262</v>
      </c>
      <c r="F153" s="3608">
        <v>125.96</v>
      </c>
      <c r="G153" s="3608" t="s">
        <v>1378</v>
      </c>
      <c r="H153" s="3633">
        <f ca="1">'典型户型修正(先权重后修正)'!$R$29</f>
        <v>17533</v>
      </c>
      <c r="I153" s="3634">
        <f t="shared" ca="1" si="6"/>
        <v>220.85</v>
      </c>
    </row>
    <row r="154" spans="1:9">
      <c r="A154" s="3615">
        <v>152</v>
      </c>
      <c r="B154" s="3624" t="s">
        <v>7561</v>
      </c>
      <c r="C154" s="3608" t="s">
        <v>3055</v>
      </c>
      <c r="D154" s="3608">
        <v>-1</v>
      </c>
      <c r="E154" s="3608">
        <v>265</v>
      </c>
      <c r="F154" s="3608">
        <v>74.36</v>
      </c>
      <c r="G154" s="3608" t="s">
        <v>1378</v>
      </c>
      <c r="H154" s="3633">
        <f ca="1">'典型户型修正(先权重后修正)'!$R$29</f>
        <v>17533</v>
      </c>
      <c r="I154" s="3634">
        <f t="shared" ca="1" si="6"/>
        <v>130.38</v>
      </c>
    </row>
    <row r="155" spans="1:9">
      <c r="A155" s="3615">
        <v>153</v>
      </c>
      <c r="B155" s="3624" t="s">
        <v>7562</v>
      </c>
      <c r="C155" s="3608" t="s">
        <v>3055</v>
      </c>
      <c r="D155" s="3608">
        <v>-1</v>
      </c>
      <c r="E155" s="3608">
        <v>266</v>
      </c>
      <c r="F155" s="3608">
        <v>74.349999999999994</v>
      </c>
      <c r="G155" s="3608" t="s">
        <v>1378</v>
      </c>
      <c r="H155" s="3633">
        <f ca="1">'典型户型修正(先权重后修正)'!$R$29</f>
        <v>17533</v>
      </c>
      <c r="I155" s="3634">
        <f t="shared" ca="1" si="6"/>
        <v>130.36000000000001</v>
      </c>
    </row>
    <row r="156" spans="1:9">
      <c r="A156" s="3615">
        <v>154</v>
      </c>
      <c r="B156" s="3624" t="s">
        <v>7563</v>
      </c>
      <c r="C156" s="3608" t="s">
        <v>3055</v>
      </c>
      <c r="D156" s="3608">
        <v>-1</v>
      </c>
      <c r="E156" s="3608">
        <v>268</v>
      </c>
      <c r="F156" s="3608">
        <v>74.41</v>
      </c>
      <c r="G156" s="3608" t="s">
        <v>1378</v>
      </c>
      <c r="H156" s="3633">
        <f ca="1">'典型户型修正(先权重后修正)'!$R$29</f>
        <v>17533</v>
      </c>
      <c r="I156" s="3634">
        <f t="shared" ca="1" si="6"/>
        <v>130.46</v>
      </c>
    </row>
    <row r="157" spans="1:9">
      <c r="A157" s="3615">
        <v>155</v>
      </c>
      <c r="B157" s="3624" t="s">
        <v>7564</v>
      </c>
      <c r="C157" s="3608" t="s">
        <v>3055</v>
      </c>
      <c r="D157" s="3608">
        <v>-1</v>
      </c>
      <c r="E157" s="3608">
        <v>269</v>
      </c>
      <c r="F157" s="3608">
        <v>78.56</v>
      </c>
      <c r="G157" s="3608" t="s">
        <v>1378</v>
      </c>
      <c r="H157" s="3633">
        <f ca="1">'典型户型修正(先权重后修正)'!$R$29</f>
        <v>17533</v>
      </c>
      <c r="I157" s="3634">
        <f t="shared" ca="1" si="6"/>
        <v>137.74</v>
      </c>
    </row>
    <row r="158" spans="1:9">
      <c r="A158" s="3615">
        <v>156</v>
      </c>
      <c r="B158" s="3624" t="s">
        <v>7565</v>
      </c>
      <c r="C158" s="3608" t="s">
        <v>3055</v>
      </c>
      <c r="D158" s="3608">
        <v>-1</v>
      </c>
      <c r="E158" s="3608">
        <v>271</v>
      </c>
      <c r="F158" s="3608">
        <v>69.52</v>
      </c>
      <c r="G158" s="3608" t="s">
        <v>1378</v>
      </c>
      <c r="H158" s="3633">
        <f ca="1">'典型户型修正(先权重后修正)'!$R$29</f>
        <v>17533</v>
      </c>
      <c r="I158" s="3634">
        <f t="shared" ca="1" si="6"/>
        <v>121.89</v>
      </c>
    </row>
    <row r="159" spans="1:9">
      <c r="A159" s="3615">
        <v>157</v>
      </c>
      <c r="B159" s="3624" t="s">
        <v>7228</v>
      </c>
      <c r="C159" s="3612" t="s">
        <v>3055</v>
      </c>
      <c r="D159" s="3612">
        <v>-2</v>
      </c>
      <c r="E159" s="3612">
        <v>105</v>
      </c>
      <c r="F159" s="3612">
        <v>74.87</v>
      </c>
      <c r="G159" s="3608" t="s">
        <v>1378</v>
      </c>
      <c r="H159" s="3633">
        <f ca="1">'典型户型修正(先权重后修正)'!$R$30</f>
        <v>14026</v>
      </c>
      <c r="I159" s="3634">
        <f ca="1">ROUND(H159*F159/10000,2)</f>
        <v>105.01</v>
      </c>
    </row>
    <row r="160" spans="1:9">
      <c r="A160" s="3615">
        <v>158</v>
      </c>
      <c r="B160" s="3624" t="s">
        <v>7229</v>
      </c>
      <c r="C160" s="3612" t="s">
        <v>3055</v>
      </c>
      <c r="D160" s="3612">
        <v>-2</v>
      </c>
      <c r="E160" s="3612">
        <v>106</v>
      </c>
      <c r="F160" s="3612">
        <v>125.62</v>
      </c>
      <c r="G160" s="3608" t="s">
        <v>1378</v>
      </c>
      <c r="H160" s="3633">
        <f ca="1">'典型户型修正(先权重后修正)'!$R$30</f>
        <v>14026</v>
      </c>
      <c r="I160" s="3634">
        <f t="shared" ref="I160:I210" ca="1" si="7">ROUND(H160*F160/10000,2)</f>
        <v>176.19</v>
      </c>
    </row>
    <row r="161" spans="1:9">
      <c r="A161" s="3615">
        <v>159</v>
      </c>
      <c r="B161" s="3624" t="s">
        <v>7566</v>
      </c>
      <c r="C161" s="3608" t="s">
        <v>3055</v>
      </c>
      <c r="D161" s="3608">
        <v>-2</v>
      </c>
      <c r="E161" s="3608">
        <v>7</v>
      </c>
      <c r="F161" s="3608">
        <v>71.959999999999994</v>
      </c>
      <c r="G161" s="3608" t="s">
        <v>1378</v>
      </c>
      <c r="H161" s="3633">
        <f ca="1">'典型户型修正(先权重后修正)'!$R$30</f>
        <v>14026</v>
      </c>
      <c r="I161" s="3634">
        <f t="shared" ca="1" si="7"/>
        <v>100.93</v>
      </c>
    </row>
    <row r="162" spans="1:9">
      <c r="A162" s="3615">
        <v>160</v>
      </c>
      <c r="B162" s="3624" t="s">
        <v>7567</v>
      </c>
      <c r="C162" s="3608" t="s">
        <v>3055</v>
      </c>
      <c r="D162" s="3608">
        <v>-2</v>
      </c>
      <c r="E162" s="3608">
        <v>53</v>
      </c>
      <c r="F162" s="3608">
        <v>48.66</v>
      </c>
      <c r="G162" s="3608" t="s">
        <v>1378</v>
      </c>
      <c r="H162" s="3633">
        <f ca="1">'典型户型修正(先权重后修正)'!$R$30</f>
        <v>14026</v>
      </c>
      <c r="I162" s="3634">
        <f t="shared" ca="1" si="7"/>
        <v>68.25</v>
      </c>
    </row>
    <row r="163" spans="1:9">
      <c r="A163" s="3615">
        <v>161</v>
      </c>
      <c r="B163" s="3624" t="s">
        <v>7568</v>
      </c>
      <c r="C163" s="3608" t="s">
        <v>3055</v>
      </c>
      <c r="D163" s="3608">
        <v>-2</v>
      </c>
      <c r="E163" s="3608">
        <v>55</v>
      </c>
      <c r="F163" s="3608">
        <v>48.36</v>
      </c>
      <c r="G163" s="3608" t="s">
        <v>1378</v>
      </c>
      <c r="H163" s="3633">
        <f ca="1">'典型户型修正(先权重后修正)'!$R$30</f>
        <v>14026</v>
      </c>
      <c r="I163" s="3634">
        <f t="shared" ca="1" si="7"/>
        <v>67.83</v>
      </c>
    </row>
    <row r="164" spans="1:9">
      <c r="A164" s="3615">
        <v>162</v>
      </c>
      <c r="B164" s="3624" t="s">
        <v>7569</v>
      </c>
      <c r="C164" s="3608" t="s">
        <v>3055</v>
      </c>
      <c r="D164" s="3608">
        <v>-2</v>
      </c>
      <c r="E164" s="3608">
        <v>76</v>
      </c>
      <c r="F164" s="3608">
        <v>76.66</v>
      </c>
      <c r="G164" s="3608" t="s">
        <v>1378</v>
      </c>
      <c r="H164" s="3633">
        <f ca="1">'典型户型修正(先权重后修正)'!$R$30</f>
        <v>14026</v>
      </c>
      <c r="I164" s="3634">
        <f t="shared" ca="1" si="7"/>
        <v>107.52</v>
      </c>
    </row>
    <row r="165" spans="1:9">
      <c r="A165" s="3615">
        <v>163</v>
      </c>
      <c r="B165" s="3624" t="s">
        <v>7570</v>
      </c>
      <c r="C165" s="3608" t="s">
        <v>3055</v>
      </c>
      <c r="D165" s="3608">
        <v>-2</v>
      </c>
      <c r="E165" s="3608">
        <v>91</v>
      </c>
      <c r="F165" s="3608">
        <v>48.39</v>
      </c>
      <c r="G165" s="3608" t="s">
        <v>1378</v>
      </c>
      <c r="H165" s="3633">
        <f ca="1">'典型户型修正(先权重后修正)'!$R$30</f>
        <v>14026</v>
      </c>
      <c r="I165" s="3634">
        <f t="shared" ca="1" si="7"/>
        <v>67.87</v>
      </c>
    </row>
    <row r="166" spans="1:9">
      <c r="A166" s="3615">
        <v>164</v>
      </c>
      <c r="B166" s="3624" t="s">
        <v>7571</v>
      </c>
      <c r="C166" s="3608" t="s">
        <v>3055</v>
      </c>
      <c r="D166" s="3608">
        <v>-2</v>
      </c>
      <c r="E166" s="3608">
        <v>108</v>
      </c>
      <c r="F166" s="3608">
        <v>182.42</v>
      </c>
      <c r="G166" s="3608" t="s">
        <v>1378</v>
      </c>
      <c r="H166" s="3633">
        <f ca="1">'典型户型修正(先权重后修正)'!$R$30</f>
        <v>14026</v>
      </c>
      <c r="I166" s="3634">
        <f t="shared" ca="1" si="7"/>
        <v>255.86</v>
      </c>
    </row>
    <row r="167" spans="1:9">
      <c r="A167" s="3615">
        <v>165</v>
      </c>
      <c r="B167" s="3624" t="s">
        <v>7572</v>
      </c>
      <c r="C167" s="3608" t="s">
        <v>3055</v>
      </c>
      <c r="D167" s="3608">
        <v>-2</v>
      </c>
      <c r="E167" s="3608">
        <v>109</v>
      </c>
      <c r="F167" s="3608">
        <v>94.19</v>
      </c>
      <c r="G167" s="3608" t="s">
        <v>1378</v>
      </c>
      <c r="H167" s="3633">
        <f ca="1">'典型户型修正(先权重后修正)'!$R$30</f>
        <v>14026</v>
      </c>
      <c r="I167" s="3634">
        <f t="shared" ca="1" si="7"/>
        <v>132.11000000000001</v>
      </c>
    </row>
    <row r="168" spans="1:9">
      <c r="A168" s="3615">
        <v>166</v>
      </c>
      <c r="B168" s="3624" t="s">
        <v>7573</v>
      </c>
      <c r="C168" s="3608" t="s">
        <v>3055</v>
      </c>
      <c r="D168" s="3608">
        <v>-2</v>
      </c>
      <c r="E168" s="3608">
        <v>176</v>
      </c>
      <c r="F168" s="3608">
        <v>60.56</v>
      </c>
      <c r="G168" s="3608" t="s">
        <v>1378</v>
      </c>
      <c r="H168" s="3633">
        <f ca="1">'典型户型修正(先权重后修正)'!$R$30</f>
        <v>14026</v>
      </c>
      <c r="I168" s="3634">
        <f t="shared" ca="1" si="7"/>
        <v>84.94</v>
      </c>
    </row>
    <row r="169" spans="1:9">
      <c r="A169" s="3615">
        <v>167</v>
      </c>
      <c r="B169" s="3624" t="s">
        <v>7574</v>
      </c>
      <c r="C169" s="3608" t="s">
        <v>3055</v>
      </c>
      <c r="D169" s="3608">
        <v>-2</v>
      </c>
      <c r="E169" s="3608">
        <v>177</v>
      </c>
      <c r="F169" s="3608">
        <v>60.56</v>
      </c>
      <c r="G169" s="3608" t="s">
        <v>1378</v>
      </c>
      <c r="H169" s="3633">
        <f ca="1">'典型户型修正(先权重后修正)'!$R$30</f>
        <v>14026</v>
      </c>
      <c r="I169" s="3634">
        <f t="shared" ca="1" si="7"/>
        <v>84.94</v>
      </c>
    </row>
    <row r="170" spans="1:9">
      <c r="A170" s="3615">
        <v>168</v>
      </c>
      <c r="B170" s="3624" t="s">
        <v>7575</v>
      </c>
      <c r="C170" s="3608" t="s">
        <v>3055</v>
      </c>
      <c r="D170" s="3608">
        <v>-2</v>
      </c>
      <c r="E170" s="3608">
        <v>178</v>
      </c>
      <c r="F170" s="3608">
        <v>49</v>
      </c>
      <c r="G170" s="3608" t="s">
        <v>1378</v>
      </c>
      <c r="H170" s="3633">
        <f ca="1">'典型户型修正(先权重后修正)'!$R$30</f>
        <v>14026</v>
      </c>
      <c r="I170" s="3634">
        <f t="shared" ca="1" si="7"/>
        <v>68.73</v>
      </c>
    </row>
    <row r="171" spans="1:9">
      <c r="A171" s="3615">
        <v>169</v>
      </c>
      <c r="B171" s="3624" t="s">
        <v>7576</v>
      </c>
      <c r="C171" s="3608" t="s">
        <v>3055</v>
      </c>
      <c r="D171" s="3608">
        <v>-2</v>
      </c>
      <c r="E171" s="3608">
        <v>179</v>
      </c>
      <c r="F171" s="3608">
        <v>58.17</v>
      </c>
      <c r="G171" s="3608" t="s">
        <v>1378</v>
      </c>
      <c r="H171" s="3633">
        <f ca="1">'典型户型修正(先权重后修正)'!$R$30</f>
        <v>14026</v>
      </c>
      <c r="I171" s="3634">
        <f t="shared" ca="1" si="7"/>
        <v>81.59</v>
      </c>
    </row>
    <row r="172" spans="1:9">
      <c r="A172" s="3615">
        <v>170</v>
      </c>
      <c r="B172" s="3624" t="s">
        <v>7577</v>
      </c>
      <c r="C172" s="3608" t="s">
        <v>3055</v>
      </c>
      <c r="D172" s="3608">
        <v>-2</v>
      </c>
      <c r="E172" s="3608">
        <v>180</v>
      </c>
      <c r="F172" s="3608">
        <v>44.61</v>
      </c>
      <c r="G172" s="3608" t="s">
        <v>1378</v>
      </c>
      <c r="H172" s="3633">
        <f ca="1">'典型户型修正(先权重后修正)'!$R$30</f>
        <v>14026</v>
      </c>
      <c r="I172" s="3634">
        <f t="shared" ca="1" si="7"/>
        <v>62.57</v>
      </c>
    </row>
    <row r="173" spans="1:9">
      <c r="A173" s="3615">
        <v>171</v>
      </c>
      <c r="B173" s="3624" t="s">
        <v>7578</v>
      </c>
      <c r="C173" s="3608" t="s">
        <v>3055</v>
      </c>
      <c r="D173" s="3608">
        <v>-2</v>
      </c>
      <c r="E173" s="3608">
        <v>183</v>
      </c>
      <c r="F173" s="3608">
        <v>72.44</v>
      </c>
      <c r="G173" s="3608" t="s">
        <v>1378</v>
      </c>
      <c r="H173" s="3633">
        <f ca="1">'典型户型修正(先权重后修正)'!$R$30</f>
        <v>14026</v>
      </c>
      <c r="I173" s="3634">
        <f t="shared" ca="1" si="7"/>
        <v>101.6</v>
      </c>
    </row>
    <row r="174" spans="1:9">
      <c r="A174" s="3615">
        <v>172</v>
      </c>
      <c r="B174" s="3624" t="s">
        <v>7579</v>
      </c>
      <c r="C174" s="3608" t="s">
        <v>3055</v>
      </c>
      <c r="D174" s="3608">
        <v>-2</v>
      </c>
      <c r="E174" s="3608">
        <v>185</v>
      </c>
      <c r="F174" s="3608">
        <v>78.680000000000007</v>
      </c>
      <c r="G174" s="3608" t="s">
        <v>1378</v>
      </c>
      <c r="H174" s="3633">
        <f ca="1">'典型户型修正(先权重后修正)'!$R$30</f>
        <v>14026</v>
      </c>
      <c r="I174" s="3634">
        <f t="shared" ca="1" si="7"/>
        <v>110.36</v>
      </c>
    </row>
    <row r="175" spans="1:9">
      <c r="A175" s="3615">
        <v>173</v>
      </c>
      <c r="B175" s="3624" t="s">
        <v>7580</v>
      </c>
      <c r="C175" s="3608" t="s">
        <v>3055</v>
      </c>
      <c r="D175" s="3608">
        <v>-2</v>
      </c>
      <c r="E175" s="3608">
        <v>186</v>
      </c>
      <c r="F175" s="3608">
        <v>167.72</v>
      </c>
      <c r="G175" s="3608" t="s">
        <v>1378</v>
      </c>
      <c r="H175" s="3633">
        <f ca="1">'典型户型修正(先权重后修正)'!$R$30</f>
        <v>14026</v>
      </c>
      <c r="I175" s="3634">
        <f t="shared" ca="1" si="7"/>
        <v>235.24</v>
      </c>
    </row>
    <row r="176" spans="1:9">
      <c r="A176" s="3615">
        <v>174</v>
      </c>
      <c r="B176" s="3624" t="s">
        <v>7581</v>
      </c>
      <c r="C176" s="3608" t="s">
        <v>3055</v>
      </c>
      <c r="D176" s="3608">
        <v>-2</v>
      </c>
      <c r="E176" s="3608">
        <v>187</v>
      </c>
      <c r="F176" s="3608">
        <v>94.21</v>
      </c>
      <c r="G176" s="3608" t="s">
        <v>1378</v>
      </c>
      <c r="H176" s="3633">
        <f ca="1">'典型户型修正(先权重后修正)'!$R$30</f>
        <v>14026</v>
      </c>
      <c r="I176" s="3634">
        <f t="shared" ca="1" si="7"/>
        <v>132.13999999999999</v>
      </c>
    </row>
    <row r="177" spans="1:9">
      <c r="A177" s="3615">
        <v>175</v>
      </c>
      <c r="B177" s="3624" t="s">
        <v>7582</v>
      </c>
      <c r="C177" s="3608" t="s">
        <v>3055</v>
      </c>
      <c r="D177" s="3608">
        <v>-2</v>
      </c>
      <c r="E177" s="3608">
        <v>188</v>
      </c>
      <c r="F177" s="3608">
        <v>95.09</v>
      </c>
      <c r="G177" s="3608" t="s">
        <v>1378</v>
      </c>
      <c r="H177" s="3633">
        <f ca="1">'典型户型修正(先权重后修正)'!$R$30</f>
        <v>14026</v>
      </c>
      <c r="I177" s="3634">
        <f t="shared" ca="1" si="7"/>
        <v>133.37</v>
      </c>
    </row>
    <row r="178" spans="1:9">
      <c r="A178" s="3615">
        <v>176</v>
      </c>
      <c r="B178" s="3624" t="s">
        <v>7583</v>
      </c>
      <c r="C178" s="3608" t="s">
        <v>3055</v>
      </c>
      <c r="D178" s="3608">
        <v>-2</v>
      </c>
      <c r="E178" s="3608">
        <v>189</v>
      </c>
      <c r="F178" s="3608">
        <v>85.55</v>
      </c>
      <c r="G178" s="3608" t="s">
        <v>1378</v>
      </c>
      <c r="H178" s="3633">
        <f ca="1">'典型户型修正(先权重后修正)'!$R$30</f>
        <v>14026</v>
      </c>
      <c r="I178" s="3634">
        <f t="shared" ca="1" si="7"/>
        <v>119.99</v>
      </c>
    </row>
    <row r="179" spans="1:9">
      <c r="A179" s="3615">
        <v>177</v>
      </c>
      <c r="B179" s="3624" t="s">
        <v>7584</v>
      </c>
      <c r="C179" s="3608" t="s">
        <v>3055</v>
      </c>
      <c r="D179" s="3608">
        <v>-2</v>
      </c>
      <c r="E179" s="3608">
        <v>192</v>
      </c>
      <c r="F179" s="3608">
        <v>56.02</v>
      </c>
      <c r="G179" s="3608" t="s">
        <v>1378</v>
      </c>
      <c r="H179" s="3633">
        <f ca="1">'典型户型修正(先权重后修正)'!$R$30</f>
        <v>14026</v>
      </c>
      <c r="I179" s="3634">
        <f t="shared" ca="1" si="7"/>
        <v>78.569999999999993</v>
      </c>
    </row>
    <row r="180" spans="1:9">
      <c r="A180" s="3615">
        <v>178</v>
      </c>
      <c r="B180" s="3624" t="s">
        <v>7585</v>
      </c>
      <c r="C180" s="3608" t="s">
        <v>3055</v>
      </c>
      <c r="D180" s="3608">
        <v>-2</v>
      </c>
      <c r="E180" s="3608">
        <v>193</v>
      </c>
      <c r="F180" s="3608">
        <v>70.66</v>
      </c>
      <c r="G180" s="3608" t="s">
        <v>1378</v>
      </c>
      <c r="H180" s="3633">
        <f ca="1">'典型户型修正(先权重后修正)'!$R$30</f>
        <v>14026</v>
      </c>
      <c r="I180" s="3634">
        <f t="shared" ca="1" si="7"/>
        <v>99.11</v>
      </c>
    </row>
    <row r="181" spans="1:9">
      <c r="A181" s="3615">
        <v>179</v>
      </c>
      <c r="B181" s="3624" t="s">
        <v>7586</v>
      </c>
      <c r="C181" s="3608" t="s">
        <v>3055</v>
      </c>
      <c r="D181" s="3608">
        <v>-2</v>
      </c>
      <c r="E181" s="3608">
        <v>195</v>
      </c>
      <c r="F181" s="3608">
        <v>54.8</v>
      </c>
      <c r="G181" s="3608" t="s">
        <v>1378</v>
      </c>
      <c r="H181" s="3633">
        <f ca="1">'典型户型修正(先权重后修正)'!$R$30</f>
        <v>14026</v>
      </c>
      <c r="I181" s="3634">
        <f t="shared" ca="1" si="7"/>
        <v>76.86</v>
      </c>
    </row>
    <row r="182" spans="1:9">
      <c r="A182" s="3615">
        <v>180</v>
      </c>
      <c r="B182" s="3624" t="s">
        <v>7587</v>
      </c>
      <c r="C182" s="3608" t="s">
        <v>3055</v>
      </c>
      <c r="D182" s="3608">
        <v>-2</v>
      </c>
      <c r="E182" s="3608">
        <v>196</v>
      </c>
      <c r="F182" s="3608">
        <v>71.27</v>
      </c>
      <c r="G182" s="3608" t="s">
        <v>1378</v>
      </c>
      <c r="H182" s="3633">
        <f ca="1">'典型户型修正(先权重后修正)'!$R$30</f>
        <v>14026</v>
      </c>
      <c r="I182" s="3634">
        <f t="shared" ca="1" si="7"/>
        <v>99.96</v>
      </c>
    </row>
    <row r="183" spans="1:9">
      <c r="A183" s="3615">
        <v>181</v>
      </c>
      <c r="B183" s="3624" t="s">
        <v>7588</v>
      </c>
      <c r="C183" s="3608" t="s">
        <v>3055</v>
      </c>
      <c r="D183" s="3608">
        <v>-2</v>
      </c>
      <c r="E183" s="3608">
        <v>197</v>
      </c>
      <c r="F183" s="3608">
        <v>76.78</v>
      </c>
      <c r="G183" s="3608" t="s">
        <v>1378</v>
      </c>
      <c r="H183" s="3633">
        <f ca="1">'典型户型修正(先权重后修正)'!$R$30</f>
        <v>14026</v>
      </c>
      <c r="I183" s="3634">
        <f t="shared" ca="1" si="7"/>
        <v>107.69</v>
      </c>
    </row>
    <row r="184" spans="1:9">
      <c r="A184" s="3615">
        <v>182</v>
      </c>
      <c r="B184" s="3624" t="s">
        <v>7589</v>
      </c>
      <c r="C184" s="3608" t="s">
        <v>3055</v>
      </c>
      <c r="D184" s="3608">
        <v>-2</v>
      </c>
      <c r="E184" s="3608">
        <v>202</v>
      </c>
      <c r="F184" s="3608">
        <v>156.22999999999999</v>
      </c>
      <c r="G184" s="3608" t="s">
        <v>1378</v>
      </c>
      <c r="H184" s="3633">
        <f ca="1">'典型户型修正(先权重后修正)'!$R$30</f>
        <v>14026</v>
      </c>
      <c r="I184" s="3634">
        <f t="shared" ca="1" si="7"/>
        <v>219.13</v>
      </c>
    </row>
    <row r="185" spans="1:9">
      <c r="A185" s="3615">
        <v>183</v>
      </c>
      <c r="B185" s="3624" t="s">
        <v>7590</v>
      </c>
      <c r="C185" s="3608" t="s">
        <v>3055</v>
      </c>
      <c r="D185" s="3608">
        <v>-2</v>
      </c>
      <c r="E185" s="3608">
        <v>203</v>
      </c>
      <c r="F185" s="3608">
        <v>64.56</v>
      </c>
      <c r="G185" s="3608" t="s">
        <v>1378</v>
      </c>
      <c r="H185" s="3633">
        <f ca="1">'典型户型修正(先权重后修正)'!$R$30</f>
        <v>14026</v>
      </c>
      <c r="I185" s="3634">
        <f t="shared" ca="1" si="7"/>
        <v>90.55</v>
      </c>
    </row>
    <row r="186" spans="1:9">
      <c r="A186" s="3615">
        <v>184</v>
      </c>
      <c r="B186" s="3624" t="s">
        <v>7591</v>
      </c>
      <c r="C186" s="3608" t="s">
        <v>3055</v>
      </c>
      <c r="D186" s="3608">
        <v>-2</v>
      </c>
      <c r="E186" s="3608">
        <v>205</v>
      </c>
      <c r="F186" s="3608">
        <v>63.78</v>
      </c>
      <c r="G186" s="3608" t="s">
        <v>1378</v>
      </c>
      <c r="H186" s="3633">
        <f ca="1">'典型户型修正(先权重后修正)'!$R$30</f>
        <v>14026</v>
      </c>
      <c r="I186" s="3634">
        <f t="shared" ca="1" si="7"/>
        <v>89.46</v>
      </c>
    </row>
    <row r="187" spans="1:9">
      <c r="A187" s="3615">
        <v>185</v>
      </c>
      <c r="B187" s="3624" t="s">
        <v>7592</v>
      </c>
      <c r="C187" s="3608" t="s">
        <v>3055</v>
      </c>
      <c r="D187" s="3608">
        <v>-2</v>
      </c>
      <c r="E187" s="3608">
        <v>208</v>
      </c>
      <c r="F187" s="3608">
        <v>33.94</v>
      </c>
      <c r="G187" s="3608" t="s">
        <v>1378</v>
      </c>
      <c r="H187" s="3633">
        <f ca="1">'典型户型修正(先权重后修正)'!$R$30</f>
        <v>14026</v>
      </c>
      <c r="I187" s="3634">
        <f t="shared" ca="1" si="7"/>
        <v>47.6</v>
      </c>
    </row>
    <row r="188" spans="1:9">
      <c r="A188" s="3615">
        <v>186</v>
      </c>
      <c r="B188" s="3624" t="s">
        <v>7593</v>
      </c>
      <c r="C188" s="3608" t="s">
        <v>3055</v>
      </c>
      <c r="D188" s="3608">
        <v>-2</v>
      </c>
      <c r="E188" s="3608">
        <v>209</v>
      </c>
      <c r="F188" s="3608">
        <v>33.94</v>
      </c>
      <c r="G188" s="3608" t="s">
        <v>1378</v>
      </c>
      <c r="H188" s="3633">
        <f ca="1">'典型户型修正(先权重后修正)'!$R$30</f>
        <v>14026</v>
      </c>
      <c r="I188" s="3634">
        <f t="shared" ca="1" si="7"/>
        <v>47.6</v>
      </c>
    </row>
    <row r="189" spans="1:9">
      <c r="A189" s="3615">
        <v>187</v>
      </c>
      <c r="B189" s="3624" t="s">
        <v>7594</v>
      </c>
      <c r="C189" s="3608" t="s">
        <v>3055</v>
      </c>
      <c r="D189" s="3608">
        <v>-2</v>
      </c>
      <c r="E189" s="3608">
        <v>212</v>
      </c>
      <c r="F189" s="3608">
        <v>74.849999999999994</v>
      </c>
      <c r="G189" s="3608" t="s">
        <v>1378</v>
      </c>
      <c r="H189" s="3633">
        <f ca="1">'典型户型修正(先权重后修正)'!$R$30</f>
        <v>14026</v>
      </c>
      <c r="I189" s="3634">
        <f t="shared" ca="1" si="7"/>
        <v>104.98</v>
      </c>
    </row>
    <row r="190" spans="1:9">
      <c r="A190" s="3615">
        <v>188</v>
      </c>
      <c r="B190" s="3624" t="s">
        <v>7595</v>
      </c>
      <c r="C190" s="3608" t="s">
        <v>3055</v>
      </c>
      <c r="D190" s="3608">
        <v>-2</v>
      </c>
      <c r="E190" s="3608">
        <v>232</v>
      </c>
      <c r="F190" s="3608">
        <v>76.02</v>
      </c>
      <c r="G190" s="3608" t="s">
        <v>1378</v>
      </c>
      <c r="H190" s="3633">
        <f ca="1">'典型户型修正(先权重后修正)'!$R$30</f>
        <v>14026</v>
      </c>
      <c r="I190" s="3634">
        <f t="shared" ca="1" si="7"/>
        <v>106.63</v>
      </c>
    </row>
    <row r="191" spans="1:9">
      <c r="A191" s="3615">
        <v>189</v>
      </c>
      <c r="B191" s="3624" t="s">
        <v>7596</v>
      </c>
      <c r="C191" s="3608" t="s">
        <v>3055</v>
      </c>
      <c r="D191" s="3608">
        <v>-2</v>
      </c>
      <c r="E191" s="3608">
        <v>233</v>
      </c>
      <c r="F191" s="3608">
        <v>41.18</v>
      </c>
      <c r="G191" s="3608" t="s">
        <v>1378</v>
      </c>
      <c r="H191" s="3633">
        <f ca="1">'典型户型修正(先权重后修正)'!$R$30</f>
        <v>14026</v>
      </c>
      <c r="I191" s="3634">
        <f t="shared" ca="1" si="7"/>
        <v>57.76</v>
      </c>
    </row>
    <row r="192" spans="1:9">
      <c r="A192" s="3615">
        <v>190</v>
      </c>
      <c r="B192" s="3624" t="s">
        <v>7597</v>
      </c>
      <c r="C192" s="3608" t="s">
        <v>3055</v>
      </c>
      <c r="D192" s="3608">
        <v>-2</v>
      </c>
      <c r="E192" s="3608">
        <v>235</v>
      </c>
      <c r="F192" s="3608">
        <v>41.16</v>
      </c>
      <c r="G192" s="3608" t="s">
        <v>1378</v>
      </c>
      <c r="H192" s="3633">
        <f ca="1">'典型户型修正(先权重后修正)'!$R$30</f>
        <v>14026</v>
      </c>
      <c r="I192" s="3634">
        <f t="shared" ca="1" si="7"/>
        <v>57.73</v>
      </c>
    </row>
    <row r="193" spans="1:9">
      <c r="A193" s="3615">
        <v>191</v>
      </c>
      <c r="B193" s="3624" t="s">
        <v>7598</v>
      </c>
      <c r="C193" s="3608" t="s">
        <v>3055</v>
      </c>
      <c r="D193" s="3608">
        <v>-2</v>
      </c>
      <c r="E193" s="3608">
        <v>236</v>
      </c>
      <c r="F193" s="3608">
        <v>41.17</v>
      </c>
      <c r="G193" s="3608" t="s">
        <v>1378</v>
      </c>
      <c r="H193" s="3633">
        <f ca="1">'典型户型修正(先权重后修正)'!$R$30</f>
        <v>14026</v>
      </c>
      <c r="I193" s="3634">
        <f t="shared" ca="1" si="7"/>
        <v>57.75</v>
      </c>
    </row>
    <row r="194" spans="1:9">
      <c r="A194" s="3615">
        <v>192</v>
      </c>
      <c r="B194" s="3624" t="s">
        <v>7599</v>
      </c>
      <c r="C194" s="3608" t="s">
        <v>3055</v>
      </c>
      <c r="D194" s="3608">
        <v>-2</v>
      </c>
      <c r="E194" s="3608">
        <v>237</v>
      </c>
      <c r="F194" s="3608">
        <v>41.18</v>
      </c>
      <c r="G194" s="3608" t="s">
        <v>1378</v>
      </c>
      <c r="H194" s="3633">
        <f ca="1">'典型户型修正(先权重后修正)'!$R$30</f>
        <v>14026</v>
      </c>
      <c r="I194" s="3634">
        <f t="shared" ca="1" si="7"/>
        <v>57.76</v>
      </c>
    </row>
    <row r="195" spans="1:9">
      <c r="A195" s="3615">
        <v>193</v>
      </c>
      <c r="B195" s="3624" t="s">
        <v>7600</v>
      </c>
      <c r="C195" s="3608" t="s">
        <v>3055</v>
      </c>
      <c r="D195" s="3608">
        <v>-2</v>
      </c>
      <c r="E195" s="3608">
        <v>238</v>
      </c>
      <c r="F195" s="3608">
        <v>43.35</v>
      </c>
      <c r="G195" s="3608" t="s">
        <v>1378</v>
      </c>
      <c r="H195" s="3633">
        <f ca="1">'典型户型修正(先权重后修正)'!$R$30</f>
        <v>14026</v>
      </c>
      <c r="I195" s="3634">
        <f t="shared" ca="1" si="7"/>
        <v>60.8</v>
      </c>
    </row>
    <row r="196" spans="1:9">
      <c r="A196" s="3615">
        <v>194</v>
      </c>
      <c r="B196" s="3624" t="s">
        <v>7601</v>
      </c>
      <c r="C196" s="3608" t="s">
        <v>3055</v>
      </c>
      <c r="D196" s="3608">
        <v>-2</v>
      </c>
      <c r="E196" s="3608">
        <v>239</v>
      </c>
      <c r="F196" s="3608">
        <v>38.83</v>
      </c>
      <c r="G196" s="3608" t="s">
        <v>1378</v>
      </c>
      <c r="H196" s="3633">
        <f ca="1">'典型户型修正(先权重后修正)'!$R$30</f>
        <v>14026</v>
      </c>
      <c r="I196" s="3634">
        <f t="shared" ca="1" si="7"/>
        <v>54.46</v>
      </c>
    </row>
    <row r="197" spans="1:9">
      <c r="A197" s="3615">
        <v>195</v>
      </c>
      <c r="B197" s="3624" t="s">
        <v>7602</v>
      </c>
      <c r="C197" s="3608" t="s">
        <v>3055</v>
      </c>
      <c r="D197" s="3608">
        <v>-2</v>
      </c>
      <c r="E197" s="3608">
        <v>240</v>
      </c>
      <c r="F197" s="3608">
        <v>43.92</v>
      </c>
      <c r="G197" s="3608" t="s">
        <v>1378</v>
      </c>
      <c r="H197" s="3633">
        <f ca="1">'典型户型修正(先权重后修正)'!$R$30</f>
        <v>14026</v>
      </c>
      <c r="I197" s="3634">
        <f t="shared" ca="1" si="7"/>
        <v>61.6</v>
      </c>
    </row>
    <row r="198" spans="1:9">
      <c r="A198" s="3615">
        <v>196</v>
      </c>
      <c r="B198" s="3624" t="s">
        <v>7603</v>
      </c>
      <c r="C198" s="3608" t="s">
        <v>3055</v>
      </c>
      <c r="D198" s="3608">
        <v>-2</v>
      </c>
      <c r="E198" s="3608">
        <v>247</v>
      </c>
      <c r="F198" s="3608">
        <v>41.18</v>
      </c>
      <c r="G198" s="3608" t="s">
        <v>1378</v>
      </c>
      <c r="H198" s="3633">
        <f ca="1">'典型户型修正(先权重后修正)'!$R$30</f>
        <v>14026</v>
      </c>
      <c r="I198" s="3634">
        <f t="shared" ca="1" si="7"/>
        <v>57.76</v>
      </c>
    </row>
    <row r="199" spans="1:9">
      <c r="A199" s="3615">
        <v>197</v>
      </c>
      <c r="B199" s="3624" t="s">
        <v>7604</v>
      </c>
      <c r="C199" s="3608" t="s">
        <v>3055</v>
      </c>
      <c r="D199" s="3608">
        <v>-2</v>
      </c>
      <c r="E199" s="3608">
        <v>248</v>
      </c>
      <c r="F199" s="3608">
        <v>41.18</v>
      </c>
      <c r="G199" s="3608" t="s">
        <v>1378</v>
      </c>
      <c r="H199" s="3633">
        <f ca="1">'典型户型修正(先权重后修正)'!$R$30</f>
        <v>14026</v>
      </c>
      <c r="I199" s="3634">
        <f t="shared" ca="1" si="7"/>
        <v>57.76</v>
      </c>
    </row>
    <row r="200" spans="1:9">
      <c r="A200" s="3615">
        <v>198</v>
      </c>
      <c r="B200" s="3624" t="s">
        <v>7605</v>
      </c>
      <c r="C200" s="3608" t="s">
        <v>3055</v>
      </c>
      <c r="D200" s="3608">
        <v>-2</v>
      </c>
      <c r="E200" s="3608">
        <v>255</v>
      </c>
      <c r="F200" s="3608">
        <v>72.37</v>
      </c>
      <c r="G200" s="3608" t="s">
        <v>1378</v>
      </c>
      <c r="H200" s="3633">
        <f ca="1">'典型户型修正(先权重后修正)'!$R$30</f>
        <v>14026</v>
      </c>
      <c r="I200" s="3634">
        <f t="shared" ca="1" si="7"/>
        <v>101.51</v>
      </c>
    </row>
    <row r="201" spans="1:9">
      <c r="A201" s="3615">
        <v>199</v>
      </c>
      <c r="B201" s="3624" t="s">
        <v>7606</v>
      </c>
      <c r="C201" s="3608" t="s">
        <v>3055</v>
      </c>
      <c r="D201" s="3608">
        <v>-2</v>
      </c>
      <c r="E201" s="3608">
        <v>256</v>
      </c>
      <c r="F201" s="3608">
        <v>72.39</v>
      </c>
      <c r="G201" s="3608" t="s">
        <v>1378</v>
      </c>
      <c r="H201" s="3633">
        <f ca="1">'典型户型修正(先权重后修正)'!$R$30</f>
        <v>14026</v>
      </c>
      <c r="I201" s="3634">
        <f t="shared" ca="1" si="7"/>
        <v>101.53</v>
      </c>
    </row>
    <row r="202" spans="1:9">
      <c r="A202" s="3615">
        <v>200</v>
      </c>
      <c r="B202" s="3624" t="s">
        <v>7607</v>
      </c>
      <c r="C202" s="3608" t="s">
        <v>3055</v>
      </c>
      <c r="D202" s="3608">
        <v>-2</v>
      </c>
      <c r="E202" s="3608">
        <v>262</v>
      </c>
      <c r="F202" s="3608">
        <v>76.510000000000005</v>
      </c>
      <c r="G202" s="3608" t="s">
        <v>1378</v>
      </c>
      <c r="H202" s="3633">
        <f ca="1">'典型户型修正(先权重后修正)'!$R$30</f>
        <v>14026</v>
      </c>
      <c r="I202" s="3634">
        <f t="shared" ca="1" si="7"/>
        <v>107.31</v>
      </c>
    </row>
    <row r="203" spans="1:9">
      <c r="A203" s="3615">
        <v>201</v>
      </c>
      <c r="B203" s="3624" t="s">
        <v>7608</v>
      </c>
      <c r="C203" s="3608" t="s">
        <v>3055</v>
      </c>
      <c r="D203" s="3608">
        <v>-2</v>
      </c>
      <c r="E203" s="3608">
        <v>263</v>
      </c>
      <c r="F203" s="3608">
        <v>68.260000000000005</v>
      </c>
      <c r="G203" s="3608" t="s">
        <v>1378</v>
      </c>
      <c r="H203" s="3633">
        <f ca="1">'典型户型修正(先权重后修正)'!$R$30</f>
        <v>14026</v>
      </c>
      <c r="I203" s="3634">
        <f t="shared" ca="1" si="7"/>
        <v>95.74</v>
      </c>
    </row>
    <row r="204" spans="1:9">
      <c r="A204" s="3615">
        <v>202</v>
      </c>
      <c r="B204" s="3624" t="s">
        <v>7609</v>
      </c>
      <c r="C204" s="3608" t="s">
        <v>3055</v>
      </c>
      <c r="D204" s="3608">
        <v>-2</v>
      </c>
      <c r="E204" s="3608">
        <v>265</v>
      </c>
      <c r="F204" s="3608">
        <v>76.540000000000006</v>
      </c>
      <c r="G204" s="3608" t="s">
        <v>1378</v>
      </c>
      <c r="H204" s="3633">
        <f ca="1">'典型户型修正(先权重后修正)'!$R$30</f>
        <v>14026</v>
      </c>
      <c r="I204" s="3634">
        <f t="shared" ca="1" si="7"/>
        <v>107.36</v>
      </c>
    </row>
    <row r="205" spans="1:9">
      <c r="A205" s="3615">
        <v>203</v>
      </c>
      <c r="B205" s="3624" t="s">
        <v>7610</v>
      </c>
      <c r="C205" s="3608" t="s">
        <v>3055</v>
      </c>
      <c r="D205" s="3608">
        <v>-2</v>
      </c>
      <c r="E205" s="3608">
        <v>266</v>
      </c>
      <c r="F205" s="3608">
        <v>72.38</v>
      </c>
      <c r="G205" s="3608" t="s">
        <v>1378</v>
      </c>
      <c r="H205" s="3633">
        <f ca="1">'典型户型修正(先权重后修正)'!$R$30</f>
        <v>14026</v>
      </c>
      <c r="I205" s="3634">
        <f t="shared" ca="1" si="7"/>
        <v>101.52</v>
      </c>
    </row>
    <row r="206" spans="1:9">
      <c r="A206" s="3615">
        <v>204</v>
      </c>
      <c r="B206" s="3624" t="s">
        <v>7611</v>
      </c>
      <c r="C206" s="3608" t="s">
        <v>3055</v>
      </c>
      <c r="D206" s="3608">
        <v>-2</v>
      </c>
      <c r="E206" s="3608">
        <v>267</v>
      </c>
      <c r="F206" s="3608">
        <v>72.349999999999994</v>
      </c>
      <c r="G206" s="3608" t="s">
        <v>1378</v>
      </c>
      <c r="H206" s="3633">
        <f ca="1">'典型户型修正(先权重后修正)'!$R$30</f>
        <v>14026</v>
      </c>
      <c r="I206" s="3634">
        <f t="shared" ca="1" si="7"/>
        <v>101.48</v>
      </c>
    </row>
    <row r="207" spans="1:9">
      <c r="A207" s="3615">
        <v>205</v>
      </c>
      <c r="B207" s="3624" t="s">
        <v>7612</v>
      </c>
      <c r="C207" s="3608" t="s">
        <v>3055</v>
      </c>
      <c r="D207" s="3608">
        <v>-2</v>
      </c>
      <c r="E207" s="3608">
        <v>268</v>
      </c>
      <c r="F207" s="3608">
        <v>72.349999999999994</v>
      </c>
      <c r="G207" s="3608" t="s">
        <v>1378</v>
      </c>
      <c r="H207" s="3633">
        <f ca="1">'典型户型修正(先权重后修正)'!$R$30</f>
        <v>14026</v>
      </c>
      <c r="I207" s="3634">
        <f t="shared" ca="1" si="7"/>
        <v>101.48</v>
      </c>
    </row>
    <row r="208" spans="1:9">
      <c r="A208" s="3615">
        <v>206</v>
      </c>
      <c r="B208" s="3624" t="s">
        <v>7613</v>
      </c>
      <c r="C208" s="3608" t="s">
        <v>3055</v>
      </c>
      <c r="D208" s="3608">
        <v>-2</v>
      </c>
      <c r="E208" s="3608">
        <v>269</v>
      </c>
      <c r="F208" s="3608">
        <v>72.38</v>
      </c>
      <c r="G208" s="3608" t="s">
        <v>1378</v>
      </c>
      <c r="H208" s="3633">
        <f ca="1">'典型户型修正(先权重后修正)'!$R$30</f>
        <v>14026</v>
      </c>
      <c r="I208" s="3634">
        <f t="shared" ca="1" si="7"/>
        <v>101.52</v>
      </c>
    </row>
    <row r="209" spans="1:9">
      <c r="A209" s="3615">
        <v>207</v>
      </c>
      <c r="B209" s="3624" t="s">
        <v>7614</v>
      </c>
      <c r="C209" s="3608" t="s">
        <v>3055</v>
      </c>
      <c r="D209" s="3608">
        <v>-2</v>
      </c>
      <c r="E209" s="3608">
        <v>270</v>
      </c>
      <c r="F209" s="3608">
        <v>72.39</v>
      </c>
      <c r="G209" s="3608" t="s">
        <v>1378</v>
      </c>
      <c r="H209" s="3633">
        <f ca="1">'典型户型修正(先权重后修正)'!$R$30</f>
        <v>14026</v>
      </c>
      <c r="I209" s="3634">
        <f t="shared" ca="1" si="7"/>
        <v>101.53</v>
      </c>
    </row>
    <row r="210" spans="1:9">
      <c r="A210" s="3615">
        <v>208</v>
      </c>
      <c r="B210" s="3624" t="s">
        <v>7615</v>
      </c>
      <c r="C210" s="3608" t="s">
        <v>3055</v>
      </c>
      <c r="D210" s="3608">
        <v>-2</v>
      </c>
      <c r="E210" s="3608">
        <v>271</v>
      </c>
      <c r="F210" s="3608">
        <v>45.68</v>
      </c>
      <c r="G210" s="3608" t="s">
        <v>1378</v>
      </c>
      <c r="H210" s="3633">
        <f ca="1">'典型户型修正(先权重后修正)'!$R$30</f>
        <v>14026</v>
      </c>
      <c r="I210" s="3634">
        <f t="shared" ca="1" si="7"/>
        <v>64.069999999999993</v>
      </c>
    </row>
    <row r="211" spans="1:9">
      <c r="A211" s="3615">
        <v>209</v>
      </c>
      <c r="B211" s="3624" t="s">
        <v>7230</v>
      </c>
      <c r="C211" s="3612" t="s">
        <v>3056</v>
      </c>
      <c r="D211" s="3612">
        <v>1</v>
      </c>
      <c r="E211" s="3612">
        <v>69</v>
      </c>
      <c r="F211" s="3612">
        <v>52.16</v>
      </c>
      <c r="G211" s="3608" t="s">
        <v>1378</v>
      </c>
      <c r="H211" s="3633">
        <f ca="1">'典型户型修正(先权重后修正)'!$R$24</f>
        <v>35065</v>
      </c>
      <c r="I211" s="3634">
        <f t="shared" ref="I211:I217" ca="1" si="8">ROUND(H211*F211/10000,2)</f>
        <v>182.9</v>
      </c>
    </row>
    <row r="212" spans="1:9">
      <c r="A212" s="3615">
        <v>210</v>
      </c>
      <c r="B212" s="3624" t="s">
        <v>7231</v>
      </c>
      <c r="C212" s="3612" t="s">
        <v>3056</v>
      </c>
      <c r="D212" s="3612">
        <v>1</v>
      </c>
      <c r="E212" s="3612">
        <v>70</v>
      </c>
      <c r="F212" s="3612">
        <v>53.61</v>
      </c>
      <c r="G212" s="3608" t="s">
        <v>1378</v>
      </c>
      <c r="H212" s="3633">
        <f ca="1">'典型户型修正(先权重后修正)'!$R$24</f>
        <v>35065</v>
      </c>
      <c r="I212" s="3634">
        <f t="shared" ca="1" si="8"/>
        <v>187.98</v>
      </c>
    </row>
    <row r="213" spans="1:9">
      <c r="A213" s="3615">
        <v>211</v>
      </c>
      <c r="B213" s="3624" t="s">
        <v>7232</v>
      </c>
      <c r="C213" s="3612" t="s">
        <v>3056</v>
      </c>
      <c r="D213" s="3612">
        <v>1</v>
      </c>
      <c r="E213" s="3612">
        <v>71</v>
      </c>
      <c r="F213" s="3612">
        <v>54.96</v>
      </c>
      <c r="G213" s="3608" t="s">
        <v>1378</v>
      </c>
      <c r="H213" s="3633">
        <f ca="1">'典型户型修正(先权重后修正)'!$R$24</f>
        <v>35065</v>
      </c>
      <c r="I213" s="3634">
        <f t="shared" ca="1" si="8"/>
        <v>192.72</v>
      </c>
    </row>
    <row r="214" spans="1:9">
      <c r="A214" s="3615">
        <v>212</v>
      </c>
      <c r="B214" s="3624" t="s">
        <v>7233</v>
      </c>
      <c r="C214" s="3612" t="s">
        <v>3056</v>
      </c>
      <c r="D214" s="3612">
        <v>1</v>
      </c>
      <c r="E214" s="3612">
        <v>72</v>
      </c>
      <c r="F214" s="3612">
        <v>54.4</v>
      </c>
      <c r="G214" s="3608" t="s">
        <v>1378</v>
      </c>
      <c r="H214" s="3633">
        <f ca="1">'典型户型修正(先权重后修正)'!$R$24</f>
        <v>35065</v>
      </c>
      <c r="I214" s="3634">
        <f t="shared" ca="1" si="8"/>
        <v>190.75</v>
      </c>
    </row>
    <row r="215" spans="1:9">
      <c r="A215" s="3615">
        <v>213</v>
      </c>
      <c r="B215" s="3624" t="s">
        <v>7234</v>
      </c>
      <c r="C215" s="3612" t="s">
        <v>3056</v>
      </c>
      <c r="D215" s="3612">
        <v>1</v>
      </c>
      <c r="E215" s="3612">
        <v>73</v>
      </c>
      <c r="F215" s="3612">
        <v>66.37</v>
      </c>
      <c r="G215" s="3608" t="s">
        <v>1378</v>
      </c>
      <c r="H215" s="3633">
        <f ca="1">'典型户型修正(先权重后修正)'!$R$24</f>
        <v>35065</v>
      </c>
      <c r="I215" s="3634">
        <f t="shared" ca="1" si="8"/>
        <v>232.73</v>
      </c>
    </row>
    <row r="216" spans="1:9">
      <c r="A216" s="3615">
        <v>214</v>
      </c>
      <c r="B216" s="3624" t="s">
        <v>7235</v>
      </c>
      <c r="C216" s="3612" t="s">
        <v>3056</v>
      </c>
      <c r="D216" s="3612">
        <v>1</v>
      </c>
      <c r="E216" s="3612">
        <v>142</v>
      </c>
      <c r="F216" s="3612">
        <v>37.75</v>
      </c>
      <c r="G216" s="3608" t="s">
        <v>1378</v>
      </c>
      <c r="H216" s="3633">
        <f ca="1">'典型户型修正(先权重后修正)'!$R$24</f>
        <v>35065</v>
      </c>
      <c r="I216" s="3634">
        <f t="shared" ca="1" si="8"/>
        <v>132.37</v>
      </c>
    </row>
    <row r="217" spans="1:9">
      <c r="A217" s="3615">
        <v>215</v>
      </c>
      <c r="B217" s="3624" t="s">
        <v>7616</v>
      </c>
      <c r="C217" s="3608" t="s">
        <v>3056</v>
      </c>
      <c r="D217" s="3608">
        <v>1</v>
      </c>
      <c r="E217" s="3608">
        <v>27</v>
      </c>
      <c r="F217" s="3608">
        <v>97.36</v>
      </c>
      <c r="G217" s="3608" t="s">
        <v>1378</v>
      </c>
      <c r="H217" s="3633">
        <f ca="1">'典型户型修正(先权重后修正)'!$R$24</f>
        <v>35065</v>
      </c>
      <c r="I217" s="3634">
        <f t="shared" ca="1" si="8"/>
        <v>341.39</v>
      </c>
    </row>
    <row r="218" spans="1:9">
      <c r="A218" s="3615">
        <v>216</v>
      </c>
      <c r="B218" s="3624" t="s">
        <v>7236</v>
      </c>
      <c r="C218" s="3612" t="s">
        <v>3056</v>
      </c>
      <c r="D218" s="3612">
        <v>2</v>
      </c>
      <c r="E218" s="3612">
        <v>223</v>
      </c>
      <c r="F218" s="3612">
        <v>47.97</v>
      </c>
      <c r="G218" s="3608" t="s">
        <v>1378</v>
      </c>
      <c r="H218" s="3633">
        <f ca="1">I218/F218*10000</f>
        <v>24642.484886387334</v>
      </c>
      <c r="I218" s="3634">
        <f ca="1">'典型户型修正(先权重后修正)'!S25-3817.79</f>
        <v>118.21000000000004</v>
      </c>
    </row>
    <row r="219" spans="1:9">
      <c r="A219" s="3615">
        <v>217</v>
      </c>
      <c r="B219" s="3624" t="s">
        <v>7237</v>
      </c>
      <c r="C219" s="3612" t="s">
        <v>3056</v>
      </c>
      <c r="D219" s="3612">
        <v>3</v>
      </c>
      <c r="E219" s="3612">
        <v>26</v>
      </c>
      <c r="F219" s="3612">
        <v>60.06</v>
      </c>
      <c r="G219" s="3608" t="s">
        <v>1378</v>
      </c>
      <c r="H219" s="3633">
        <f ca="1">'典型户型修正(先权重后修正)'!$R$26</f>
        <v>17533</v>
      </c>
      <c r="I219" s="3634">
        <f ca="1">ROUND(H219*F219/10000,2)</f>
        <v>105.3</v>
      </c>
    </row>
    <row r="220" spans="1:9">
      <c r="A220" s="3615">
        <v>218</v>
      </c>
      <c r="B220" s="3624" t="s">
        <v>7238</v>
      </c>
      <c r="C220" s="3612" t="s">
        <v>3056</v>
      </c>
      <c r="D220" s="3612">
        <v>3</v>
      </c>
      <c r="E220" s="3612">
        <v>37</v>
      </c>
      <c r="F220" s="3612">
        <v>80.92</v>
      </c>
      <c r="G220" s="3608" t="s">
        <v>1378</v>
      </c>
      <c r="H220" s="3633">
        <f ca="1">I220/F220*10000</f>
        <v>17574.14730598122</v>
      </c>
      <c r="I220" s="3634">
        <f ca="1">'典型户型修正(先权重后修正)'!S26-1683.79</f>
        <v>142.21000000000004</v>
      </c>
    </row>
    <row r="221" spans="1:9">
      <c r="A221" s="3615">
        <v>219</v>
      </c>
      <c r="B221" s="3624" t="s">
        <v>7239</v>
      </c>
      <c r="C221" s="3612" t="s">
        <v>3056</v>
      </c>
      <c r="D221" s="3612">
        <v>-1</v>
      </c>
      <c r="E221" s="3612">
        <v>16</v>
      </c>
      <c r="F221" s="3612">
        <v>40.42</v>
      </c>
      <c r="G221" s="3608" t="s">
        <v>1378</v>
      </c>
      <c r="H221" s="3633">
        <f ca="1">'典型户型修正(先权重后修正)'!$R$29</f>
        <v>17533</v>
      </c>
      <c r="I221" s="3634">
        <f t="shared" ref="I221:I284" ca="1" si="9">ROUND(H221*F221/10000,2)</f>
        <v>70.87</v>
      </c>
    </row>
    <row r="222" spans="1:9">
      <c r="A222" s="3615">
        <v>220</v>
      </c>
      <c r="B222" s="3624" t="s">
        <v>7240</v>
      </c>
      <c r="C222" s="3612" t="s">
        <v>3056</v>
      </c>
      <c r="D222" s="3612">
        <v>-1</v>
      </c>
      <c r="E222" s="3612">
        <v>17</v>
      </c>
      <c r="F222" s="3612">
        <v>45.64</v>
      </c>
      <c r="G222" s="3608" t="s">
        <v>1378</v>
      </c>
      <c r="H222" s="3633">
        <f ca="1">'典型户型修正(先权重后修正)'!$R$29</f>
        <v>17533</v>
      </c>
      <c r="I222" s="3634">
        <f t="shared" ca="1" si="9"/>
        <v>80.02</v>
      </c>
    </row>
    <row r="223" spans="1:9">
      <c r="A223" s="3615">
        <v>221</v>
      </c>
      <c r="B223" s="3624" t="s">
        <v>7241</v>
      </c>
      <c r="C223" s="3612" t="s">
        <v>3056</v>
      </c>
      <c r="D223" s="3612">
        <v>-1</v>
      </c>
      <c r="E223" s="3612">
        <v>18</v>
      </c>
      <c r="F223" s="3612">
        <v>45.64</v>
      </c>
      <c r="G223" s="3608" t="s">
        <v>1378</v>
      </c>
      <c r="H223" s="3633">
        <f ca="1">'典型户型修正(先权重后修正)'!$R$29</f>
        <v>17533</v>
      </c>
      <c r="I223" s="3634">
        <f t="shared" ca="1" si="9"/>
        <v>80.02</v>
      </c>
    </row>
    <row r="224" spans="1:9">
      <c r="A224" s="3615">
        <v>222</v>
      </c>
      <c r="B224" s="3624" t="s">
        <v>7242</v>
      </c>
      <c r="C224" s="3612" t="s">
        <v>3056</v>
      </c>
      <c r="D224" s="3612">
        <v>-1</v>
      </c>
      <c r="E224" s="3612">
        <v>19</v>
      </c>
      <c r="F224" s="3612">
        <v>45.56</v>
      </c>
      <c r="G224" s="3608" t="s">
        <v>1378</v>
      </c>
      <c r="H224" s="3633">
        <f ca="1">'典型户型修正(先权重后修正)'!$R$29</f>
        <v>17533</v>
      </c>
      <c r="I224" s="3634">
        <f t="shared" ca="1" si="9"/>
        <v>79.88</v>
      </c>
    </row>
    <row r="225" spans="1:9">
      <c r="A225" s="3615">
        <v>223</v>
      </c>
      <c r="B225" s="3624" t="s">
        <v>7243</v>
      </c>
      <c r="C225" s="3612" t="s">
        <v>3056</v>
      </c>
      <c r="D225" s="3612">
        <v>-1</v>
      </c>
      <c r="E225" s="3612">
        <v>20</v>
      </c>
      <c r="F225" s="3612">
        <v>45.38</v>
      </c>
      <c r="G225" s="3608" t="s">
        <v>1378</v>
      </c>
      <c r="H225" s="3633">
        <f ca="1">'典型户型修正(先权重后修正)'!$R$29</f>
        <v>17533</v>
      </c>
      <c r="I225" s="3634">
        <f t="shared" ca="1" si="9"/>
        <v>79.56</v>
      </c>
    </row>
    <row r="226" spans="1:9">
      <c r="A226" s="3615">
        <v>224</v>
      </c>
      <c r="B226" s="3624" t="s">
        <v>7244</v>
      </c>
      <c r="C226" s="3612" t="s">
        <v>3056</v>
      </c>
      <c r="D226" s="3612">
        <v>-1</v>
      </c>
      <c r="E226" s="3612">
        <v>21</v>
      </c>
      <c r="F226" s="3612">
        <v>45.2</v>
      </c>
      <c r="G226" s="3608" t="s">
        <v>1378</v>
      </c>
      <c r="H226" s="3633">
        <f ca="1">'典型户型修正(先权重后修正)'!$R$29</f>
        <v>17533</v>
      </c>
      <c r="I226" s="3634">
        <f t="shared" ca="1" si="9"/>
        <v>79.25</v>
      </c>
    </row>
    <row r="227" spans="1:9">
      <c r="A227" s="3615">
        <v>225</v>
      </c>
      <c r="B227" s="3624" t="s">
        <v>7245</v>
      </c>
      <c r="C227" s="3612" t="s">
        <v>3056</v>
      </c>
      <c r="D227" s="3612">
        <v>-1</v>
      </c>
      <c r="E227" s="3612">
        <v>35</v>
      </c>
      <c r="F227" s="3612">
        <v>63.81</v>
      </c>
      <c r="G227" s="3608" t="s">
        <v>1378</v>
      </c>
      <c r="H227" s="3633">
        <f ca="1">'典型户型修正(先权重后修正)'!$R$29</f>
        <v>17533</v>
      </c>
      <c r="I227" s="3634">
        <f t="shared" ca="1" si="9"/>
        <v>111.88</v>
      </c>
    </row>
    <row r="228" spans="1:9">
      <c r="A228" s="3615">
        <v>226</v>
      </c>
      <c r="B228" s="3624" t="s">
        <v>7246</v>
      </c>
      <c r="C228" s="3612" t="s">
        <v>3056</v>
      </c>
      <c r="D228" s="3612">
        <v>-1</v>
      </c>
      <c r="E228" s="3612">
        <v>42</v>
      </c>
      <c r="F228" s="3612">
        <v>75.260000000000005</v>
      </c>
      <c r="G228" s="3608" t="s">
        <v>1378</v>
      </c>
      <c r="H228" s="3633">
        <f ca="1">'典型户型修正(先权重后修正)'!$R$29</f>
        <v>17533</v>
      </c>
      <c r="I228" s="3634">
        <f t="shared" ca="1" si="9"/>
        <v>131.94999999999999</v>
      </c>
    </row>
    <row r="229" spans="1:9">
      <c r="A229" s="3615">
        <v>227</v>
      </c>
      <c r="B229" s="3624" t="s">
        <v>7247</v>
      </c>
      <c r="C229" s="3612" t="s">
        <v>3056</v>
      </c>
      <c r="D229" s="3612">
        <v>-1</v>
      </c>
      <c r="E229" s="3612">
        <v>43</v>
      </c>
      <c r="F229" s="3612">
        <v>43.48</v>
      </c>
      <c r="G229" s="3608" t="s">
        <v>1378</v>
      </c>
      <c r="H229" s="3633">
        <f ca="1">'典型户型修正(先权重后修正)'!$R$29</f>
        <v>17533</v>
      </c>
      <c r="I229" s="3634">
        <f t="shared" ca="1" si="9"/>
        <v>76.23</v>
      </c>
    </row>
    <row r="230" spans="1:9">
      <c r="A230" s="3615">
        <v>228</v>
      </c>
      <c r="B230" s="3624" t="s">
        <v>7248</v>
      </c>
      <c r="C230" s="3612" t="s">
        <v>3056</v>
      </c>
      <c r="D230" s="3612">
        <v>-1</v>
      </c>
      <c r="E230" s="3612">
        <v>45</v>
      </c>
      <c r="F230" s="3612">
        <v>33.69</v>
      </c>
      <c r="G230" s="3608" t="s">
        <v>1378</v>
      </c>
      <c r="H230" s="3633">
        <f ca="1">'典型户型修正(先权重后修正)'!$R$29</f>
        <v>17533</v>
      </c>
      <c r="I230" s="3634">
        <f t="shared" ca="1" si="9"/>
        <v>59.07</v>
      </c>
    </row>
    <row r="231" spans="1:9">
      <c r="A231" s="3615">
        <v>229</v>
      </c>
      <c r="B231" s="3624" t="s">
        <v>7249</v>
      </c>
      <c r="C231" s="3612" t="s">
        <v>3056</v>
      </c>
      <c r="D231" s="3612">
        <v>-1</v>
      </c>
      <c r="E231" s="3612">
        <v>46</v>
      </c>
      <c r="F231" s="3612">
        <v>19.23</v>
      </c>
      <c r="G231" s="3608" t="s">
        <v>1378</v>
      </c>
      <c r="H231" s="3633">
        <f ca="1">'典型户型修正(先权重后修正)'!$R$29</f>
        <v>17533</v>
      </c>
      <c r="I231" s="3634">
        <f t="shared" ca="1" si="9"/>
        <v>33.72</v>
      </c>
    </row>
    <row r="232" spans="1:9">
      <c r="A232" s="3615">
        <v>230</v>
      </c>
      <c r="B232" s="3624" t="s">
        <v>7250</v>
      </c>
      <c r="C232" s="3612" t="s">
        <v>3056</v>
      </c>
      <c r="D232" s="3612">
        <v>-1</v>
      </c>
      <c r="E232" s="3612">
        <v>59</v>
      </c>
      <c r="F232" s="3612">
        <v>42.59</v>
      </c>
      <c r="G232" s="3608" t="s">
        <v>1378</v>
      </c>
      <c r="H232" s="3633">
        <f ca="1">'典型户型修正(先权重后修正)'!$R$29</f>
        <v>17533</v>
      </c>
      <c r="I232" s="3634">
        <f t="shared" ca="1" si="9"/>
        <v>74.67</v>
      </c>
    </row>
    <row r="233" spans="1:9">
      <c r="A233" s="3615">
        <v>231</v>
      </c>
      <c r="B233" s="3624" t="s">
        <v>7251</v>
      </c>
      <c r="C233" s="3612" t="s">
        <v>3056</v>
      </c>
      <c r="D233" s="3612">
        <v>-1</v>
      </c>
      <c r="E233" s="3612">
        <v>98</v>
      </c>
      <c r="F233" s="3612">
        <v>34.43</v>
      </c>
      <c r="G233" s="3608" t="s">
        <v>1378</v>
      </c>
      <c r="H233" s="3633">
        <f ca="1">'典型户型修正(先权重后修正)'!$R$29</f>
        <v>17533</v>
      </c>
      <c r="I233" s="3634">
        <f t="shared" ca="1" si="9"/>
        <v>60.37</v>
      </c>
    </row>
    <row r="234" spans="1:9">
      <c r="A234" s="3615">
        <v>232</v>
      </c>
      <c r="B234" s="3624" t="s">
        <v>7252</v>
      </c>
      <c r="C234" s="3612" t="s">
        <v>3056</v>
      </c>
      <c r="D234" s="3612">
        <v>-1</v>
      </c>
      <c r="E234" s="3612">
        <v>99</v>
      </c>
      <c r="F234" s="3612">
        <v>34.43</v>
      </c>
      <c r="G234" s="3608" t="s">
        <v>1378</v>
      </c>
      <c r="H234" s="3633">
        <f ca="1">'典型户型修正(先权重后修正)'!$R$29</f>
        <v>17533</v>
      </c>
      <c r="I234" s="3634">
        <f t="shared" ca="1" si="9"/>
        <v>60.37</v>
      </c>
    </row>
    <row r="235" spans="1:9">
      <c r="A235" s="3615">
        <v>233</v>
      </c>
      <c r="B235" s="3624" t="s">
        <v>7253</v>
      </c>
      <c r="C235" s="3612" t="s">
        <v>3056</v>
      </c>
      <c r="D235" s="3612">
        <v>-1</v>
      </c>
      <c r="E235" s="3612">
        <v>101</v>
      </c>
      <c r="F235" s="3612">
        <v>52.46</v>
      </c>
      <c r="G235" s="3608" t="s">
        <v>1378</v>
      </c>
      <c r="H235" s="3633">
        <f ca="1">'典型户型修正(先权重后修正)'!$R$29</f>
        <v>17533</v>
      </c>
      <c r="I235" s="3634">
        <f t="shared" ca="1" si="9"/>
        <v>91.98</v>
      </c>
    </row>
    <row r="236" spans="1:9">
      <c r="A236" s="3615">
        <v>234</v>
      </c>
      <c r="B236" s="3624" t="s">
        <v>7254</v>
      </c>
      <c r="C236" s="3612" t="s">
        <v>3056</v>
      </c>
      <c r="D236" s="3612">
        <v>-1</v>
      </c>
      <c r="E236" s="3612">
        <v>110</v>
      </c>
      <c r="F236" s="3612">
        <v>62.79</v>
      </c>
      <c r="G236" s="3608" t="s">
        <v>1378</v>
      </c>
      <c r="H236" s="3633">
        <f ca="1">'典型户型修正(先权重后修正)'!$R$29</f>
        <v>17533</v>
      </c>
      <c r="I236" s="3634">
        <f t="shared" ca="1" si="9"/>
        <v>110.09</v>
      </c>
    </row>
    <row r="237" spans="1:9">
      <c r="A237" s="3615">
        <v>235</v>
      </c>
      <c r="B237" s="3624" t="s">
        <v>7255</v>
      </c>
      <c r="C237" s="3612" t="s">
        <v>3056</v>
      </c>
      <c r="D237" s="3612">
        <v>-1</v>
      </c>
      <c r="E237" s="3612">
        <v>113</v>
      </c>
      <c r="F237" s="3612">
        <v>79.95</v>
      </c>
      <c r="G237" s="3608" t="s">
        <v>1378</v>
      </c>
      <c r="H237" s="3633">
        <f ca="1">'典型户型修正(先权重后修正)'!$R$29</f>
        <v>17533</v>
      </c>
      <c r="I237" s="3634">
        <f t="shared" ca="1" si="9"/>
        <v>140.18</v>
      </c>
    </row>
    <row r="238" spans="1:9">
      <c r="A238" s="3615">
        <v>236</v>
      </c>
      <c r="B238" s="3624" t="s">
        <v>7256</v>
      </c>
      <c r="C238" s="3612" t="s">
        <v>3056</v>
      </c>
      <c r="D238" s="3612">
        <v>-1</v>
      </c>
      <c r="E238" s="3612">
        <v>115</v>
      </c>
      <c r="F238" s="3612">
        <v>85.55</v>
      </c>
      <c r="G238" s="3608" t="s">
        <v>1378</v>
      </c>
      <c r="H238" s="3633">
        <f ca="1">'典型户型修正(先权重后修正)'!$R$29</f>
        <v>17533</v>
      </c>
      <c r="I238" s="3634">
        <f t="shared" ca="1" si="9"/>
        <v>149.99</v>
      </c>
    </row>
    <row r="239" spans="1:9">
      <c r="A239" s="3615">
        <v>237</v>
      </c>
      <c r="B239" s="3624" t="s">
        <v>7257</v>
      </c>
      <c r="C239" s="3612" t="s">
        <v>3056</v>
      </c>
      <c r="D239" s="3612">
        <v>-1</v>
      </c>
      <c r="E239" s="3612">
        <v>116</v>
      </c>
      <c r="F239" s="3612">
        <v>63.14</v>
      </c>
      <c r="G239" s="3608" t="s">
        <v>1378</v>
      </c>
      <c r="H239" s="3633">
        <f ca="1">'典型户型修正(先权重后修正)'!$R$29</f>
        <v>17533</v>
      </c>
      <c r="I239" s="3634">
        <f t="shared" ca="1" si="9"/>
        <v>110.7</v>
      </c>
    </row>
    <row r="240" spans="1:9">
      <c r="A240" s="3615">
        <v>238</v>
      </c>
      <c r="B240" s="3624" t="s">
        <v>7258</v>
      </c>
      <c r="C240" s="3612" t="s">
        <v>3056</v>
      </c>
      <c r="D240" s="3612">
        <v>-1</v>
      </c>
      <c r="E240" s="3612">
        <v>117</v>
      </c>
      <c r="F240" s="3612">
        <v>64.78</v>
      </c>
      <c r="G240" s="3608" t="s">
        <v>1378</v>
      </c>
      <c r="H240" s="3633">
        <f ca="1">'典型户型修正(先权重后修正)'!$R$29</f>
        <v>17533</v>
      </c>
      <c r="I240" s="3634">
        <f t="shared" ca="1" si="9"/>
        <v>113.58</v>
      </c>
    </row>
    <row r="241" spans="1:9">
      <c r="A241" s="3615">
        <v>239</v>
      </c>
      <c r="B241" s="3624" t="s">
        <v>7259</v>
      </c>
      <c r="C241" s="3612" t="s">
        <v>3056</v>
      </c>
      <c r="D241" s="3612">
        <v>-1</v>
      </c>
      <c r="E241" s="3612">
        <v>130</v>
      </c>
      <c r="F241" s="3612">
        <v>91.33</v>
      </c>
      <c r="G241" s="3608" t="s">
        <v>1378</v>
      </c>
      <c r="H241" s="3633">
        <f ca="1">'典型户型修正(先权重后修正)'!$R$29</f>
        <v>17533</v>
      </c>
      <c r="I241" s="3634">
        <f t="shared" ca="1" si="9"/>
        <v>160.13</v>
      </c>
    </row>
    <row r="242" spans="1:9">
      <c r="A242" s="3615">
        <v>240</v>
      </c>
      <c r="B242" s="3624" t="s">
        <v>7260</v>
      </c>
      <c r="C242" s="3612" t="s">
        <v>3056</v>
      </c>
      <c r="D242" s="3612">
        <v>-1</v>
      </c>
      <c r="E242" s="3612">
        <v>131</v>
      </c>
      <c r="F242" s="3612">
        <v>113.26</v>
      </c>
      <c r="G242" s="3608" t="s">
        <v>1378</v>
      </c>
      <c r="H242" s="3633">
        <f ca="1">'典型户型修正(先权重后修正)'!$R$29</f>
        <v>17533</v>
      </c>
      <c r="I242" s="3634">
        <f t="shared" ca="1" si="9"/>
        <v>198.58</v>
      </c>
    </row>
    <row r="243" spans="1:9">
      <c r="A243" s="3615">
        <v>241</v>
      </c>
      <c r="B243" s="3624" t="s">
        <v>7261</v>
      </c>
      <c r="C243" s="3612" t="s">
        <v>3056</v>
      </c>
      <c r="D243" s="3612">
        <v>-1</v>
      </c>
      <c r="E243" s="3612">
        <v>146</v>
      </c>
      <c r="F243" s="3612">
        <v>67.39</v>
      </c>
      <c r="G243" s="3608" t="s">
        <v>1378</v>
      </c>
      <c r="H243" s="3633">
        <f ca="1">'典型户型修正(先权重后修正)'!$R$29</f>
        <v>17533</v>
      </c>
      <c r="I243" s="3634">
        <f t="shared" ca="1" si="9"/>
        <v>118.15</v>
      </c>
    </row>
    <row r="244" spans="1:9">
      <c r="A244" s="3615">
        <v>242</v>
      </c>
      <c r="B244" s="3624" t="s">
        <v>7262</v>
      </c>
      <c r="C244" s="3612" t="s">
        <v>3056</v>
      </c>
      <c r="D244" s="3612">
        <v>-1</v>
      </c>
      <c r="E244" s="3612">
        <v>148</v>
      </c>
      <c r="F244" s="3612">
        <v>53.31</v>
      </c>
      <c r="G244" s="3608" t="s">
        <v>1378</v>
      </c>
      <c r="H244" s="3633">
        <f ca="1">'典型户型修正(先权重后修正)'!$R$29</f>
        <v>17533</v>
      </c>
      <c r="I244" s="3634">
        <f t="shared" ca="1" si="9"/>
        <v>93.47</v>
      </c>
    </row>
    <row r="245" spans="1:9">
      <c r="A245" s="3615">
        <v>243</v>
      </c>
      <c r="B245" s="3624" t="s">
        <v>7263</v>
      </c>
      <c r="C245" s="3612" t="s">
        <v>3056</v>
      </c>
      <c r="D245" s="3612">
        <v>-1</v>
      </c>
      <c r="E245" s="3612">
        <v>153</v>
      </c>
      <c r="F245" s="3612">
        <v>61.26</v>
      </c>
      <c r="G245" s="3608" t="s">
        <v>1378</v>
      </c>
      <c r="H245" s="3633">
        <f ca="1">'典型户型修正(先权重后修正)'!$R$29</f>
        <v>17533</v>
      </c>
      <c r="I245" s="3634">
        <f t="shared" ca="1" si="9"/>
        <v>107.41</v>
      </c>
    </row>
    <row r="246" spans="1:9">
      <c r="A246" s="3615">
        <v>244</v>
      </c>
      <c r="B246" s="3624" t="s">
        <v>7264</v>
      </c>
      <c r="C246" s="3612" t="s">
        <v>3056</v>
      </c>
      <c r="D246" s="3612">
        <v>-1</v>
      </c>
      <c r="E246" s="3612">
        <v>155</v>
      </c>
      <c r="F246" s="3612">
        <v>61.78</v>
      </c>
      <c r="G246" s="3608" t="s">
        <v>1378</v>
      </c>
      <c r="H246" s="3633">
        <f ca="1">'典型户型修正(先权重后修正)'!$R$29</f>
        <v>17533</v>
      </c>
      <c r="I246" s="3634">
        <f t="shared" ca="1" si="9"/>
        <v>108.32</v>
      </c>
    </row>
    <row r="247" spans="1:9">
      <c r="A247" s="3615">
        <v>245</v>
      </c>
      <c r="B247" s="3624" t="s">
        <v>7265</v>
      </c>
      <c r="C247" s="3612" t="s">
        <v>3056</v>
      </c>
      <c r="D247" s="3612">
        <v>-1</v>
      </c>
      <c r="E247" s="3612">
        <v>156</v>
      </c>
      <c r="F247" s="3612">
        <v>63.18</v>
      </c>
      <c r="G247" s="3608" t="s">
        <v>1378</v>
      </c>
      <c r="H247" s="3633">
        <f ca="1">'典型户型修正(先权重后修正)'!$R$29</f>
        <v>17533</v>
      </c>
      <c r="I247" s="3634">
        <f t="shared" ca="1" si="9"/>
        <v>110.77</v>
      </c>
    </row>
    <row r="248" spans="1:9">
      <c r="A248" s="3615">
        <v>246</v>
      </c>
      <c r="B248" s="3624" t="s">
        <v>7266</v>
      </c>
      <c r="C248" s="3612" t="s">
        <v>3056</v>
      </c>
      <c r="D248" s="3612">
        <v>-1</v>
      </c>
      <c r="E248" s="3612">
        <v>159</v>
      </c>
      <c r="F248" s="3612">
        <v>194.41</v>
      </c>
      <c r="G248" s="3608" t="s">
        <v>1378</v>
      </c>
      <c r="H248" s="3633">
        <f ca="1">'典型户型修正(先权重后修正)'!$R$29</f>
        <v>17533</v>
      </c>
      <c r="I248" s="3634">
        <f t="shared" ca="1" si="9"/>
        <v>340.86</v>
      </c>
    </row>
    <row r="249" spans="1:9">
      <c r="A249" s="3615">
        <v>247</v>
      </c>
      <c r="B249" s="3624" t="s">
        <v>7267</v>
      </c>
      <c r="C249" s="3612" t="s">
        <v>3056</v>
      </c>
      <c r="D249" s="3612">
        <v>-1</v>
      </c>
      <c r="E249" s="3612">
        <v>190</v>
      </c>
      <c r="F249" s="3612">
        <v>70.83</v>
      </c>
      <c r="G249" s="3608" t="s">
        <v>1378</v>
      </c>
      <c r="H249" s="3633">
        <f ca="1">'典型户型修正(先权重后修正)'!$R$29</f>
        <v>17533</v>
      </c>
      <c r="I249" s="3634">
        <f t="shared" ca="1" si="9"/>
        <v>124.19</v>
      </c>
    </row>
    <row r="250" spans="1:9">
      <c r="A250" s="3615">
        <v>248</v>
      </c>
      <c r="B250" s="3624" t="s">
        <v>7268</v>
      </c>
      <c r="C250" s="3612" t="s">
        <v>3056</v>
      </c>
      <c r="D250" s="3612">
        <v>-1</v>
      </c>
      <c r="E250" s="3612">
        <v>195</v>
      </c>
      <c r="F250" s="3612">
        <v>62.67</v>
      </c>
      <c r="G250" s="3608" t="s">
        <v>1378</v>
      </c>
      <c r="H250" s="3633">
        <f ca="1">'典型户型修正(先权重后修正)'!$R$29</f>
        <v>17533</v>
      </c>
      <c r="I250" s="3634">
        <f t="shared" ca="1" si="9"/>
        <v>109.88</v>
      </c>
    </row>
    <row r="251" spans="1:9">
      <c r="A251" s="3615">
        <v>249</v>
      </c>
      <c r="B251" s="3624" t="s">
        <v>7269</v>
      </c>
      <c r="C251" s="3612" t="s">
        <v>3056</v>
      </c>
      <c r="D251" s="3612">
        <v>-1</v>
      </c>
      <c r="E251" s="3612">
        <v>202</v>
      </c>
      <c r="F251" s="3612">
        <v>78.87</v>
      </c>
      <c r="G251" s="3608" t="s">
        <v>1378</v>
      </c>
      <c r="H251" s="3633">
        <f ca="1">'典型户型修正(先权重后修正)'!$R$29</f>
        <v>17533</v>
      </c>
      <c r="I251" s="3634">
        <f t="shared" ca="1" si="9"/>
        <v>138.28</v>
      </c>
    </row>
    <row r="252" spans="1:9">
      <c r="A252" s="3615">
        <v>250</v>
      </c>
      <c r="B252" s="3624" t="s">
        <v>7270</v>
      </c>
      <c r="C252" s="3612" t="s">
        <v>3056</v>
      </c>
      <c r="D252" s="3612">
        <v>-1</v>
      </c>
      <c r="E252" s="3612">
        <v>208</v>
      </c>
      <c r="F252" s="3612">
        <v>73.37</v>
      </c>
      <c r="G252" s="3608" t="s">
        <v>1378</v>
      </c>
      <c r="H252" s="3633">
        <f ca="1">'典型户型修正(先权重后修正)'!$R$29</f>
        <v>17533</v>
      </c>
      <c r="I252" s="3634">
        <f t="shared" ca="1" si="9"/>
        <v>128.63999999999999</v>
      </c>
    </row>
    <row r="253" spans="1:9">
      <c r="A253" s="3615">
        <v>251</v>
      </c>
      <c r="B253" s="3615" t="s">
        <v>7271</v>
      </c>
      <c r="C253" s="3617" t="s">
        <v>3056</v>
      </c>
      <c r="D253" s="3617">
        <v>-1</v>
      </c>
      <c r="E253" s="3617">
        <v>211</v>
      </c>
      <c r="F253" s="3617">
        <v>43.83</v>
      </c>
      <c r="G253" s="3616" t="s">
        <v>1378</v>
      </c>
      <c r="H253" s="3633">
        <f ca="1">'典型户型修正(先权重后修正)'!$R$29</f>
        <v>17533</v>
      </c>
      <c r="I253" s="3634">
        <f t="shared" ca="1" si="9"/>
        <v>76.849999999999994</v>
      </c>
    </row>
    <row r="254" spans="1:9">
      <c r="A254" s="3615">
        <v>252</v>
      </c>
      <c r="B254" s="3615" t="s">
        <v>7272</v>
      </c>
      <c r="C254" s="3617" t="s">
        <v>3056</v>
      </c>
      <c r="D254" s="3617">
        <v>-1</v>
      </c>
      <c r="E254" s="3617">
        <v>213</v>
      </c>
      <c r="F254" s="3617">
        <v>45.59</v>
      </c>
      <c r="G254" s="3616" t="s">
        <v>1378</v>
      </c>
      <c r="H254" s="3633">
        <f ca="1">'典型户型修正(先权重后修正)'!$R$29</f>
        <v>17533</v>
      </c>
      <c r="I254" s="3634">
        <f t="shared" ca="1" si="9"/>
        <v>79.930000000000007</v>
      </c>
    </row>
    <row r="255" spans="1:9">
      <c r="A255" s="3615">
        <v>253</v>
      </c>
      <c r="B255" s="3615" t="s">
        <v>7273</v>
      </c>
      <c r="C255" s="3617" t="s">
        <v>3056</v>
      </c>
      <c r="D255" s="3617">
        <v>-1</v>
      </c>
      <c r="E255" s="3617">
        <v>215</v>
      </c>
      <c r="F255" s="3617">
        <v>65.5</v>
      </c>
      <c r="G255" s="3616" t="s">
        <v>1378</v>
      </c>
      <c r="H255" s="3633">
        <f ca="1">'典型户型修正(先权重后修正)'!$R$29</f>
        <v>17533</v>
      </c>
      <c r="I255" s="3634">
        <f t="shared" ca="1" si="9"/>
        <v>114.84</v>
      </c>
    </row>
    <row r="256" spans="1:9">
      <c r="A256" s="3615">
        <v>254</v>
      </c>
      <c r="B256" s="3615" t="s">
        <v>7274</v>
      </c>
      <c r="C256" s="3617" t="s">
        <v>3056</v>
      </c>
      <c r="D256" s="3617">
        <v>-1</v>
      </c>
      <c r="E256" s="3617">
        <v>221</v>
      </c>
      <c r="F256" s="3617">
        <v>83.41</v>
      </c>
      <c r="G256" s="3616" t="s">
        <v>1378</v>
      </c>
      <c r="H256" s="3633">
        <f ca="1">'典型户型修正(先权重后修正)'!$R$29</f>
        <v>17533</v>
      </c>
      <c r="I256" s="3634">
        <f t="shared" ca="1" si="9"/>
        <v>146.24</v>
      </c>
    </row>
    <row r="257" spans="1:9">
      <c r="A257" s="3615">
        <v>255</v>
      </c>
      <c r="B257" s="3615" t="s">
        <v>7617</v>
      </c>
      <c r="C257" s="3617" t="s">
        <v>3056</v>
      </c>
      <c r="D257" s="3617">
        <v>-1</v>
      </c>
      <c r="E257" s="3617">
        <v>226</v>
      </c>
      <c r="F257" s="3617">
        <v>66.86</v>
      </c>
      <c r="G257" s="3616" t="s">
        <v>1378</v>
      </c>
      <c r="H257" s="3633">
        <f ca="1">'典型户型修正(先权重后修正)'!$R$29</f>
        <v>17533</v>
      </c>
      <c r="I257" s="3634">
        <f t="shared" ca="1" si="9"/>
        <v>117.23</v>
      </c>
    </row>
    <row r="258" spans="1:9">
      <c r="A258" s="3615">
        <v>256</v>
      </c>
      <c r="B258" s="3615" t="s">
        <v>7275</v>
      </c>
      <c r="C258" s="3617" t="s">
        <v>3056</v>
      </c>
      <c r="D258" s="3617">
        <v>-1</v>
      </c>
      <c r="E258" s="3617">
        <v>228</v>
      </c>
      <c r="F258" s="3617">
        <v>67.709999999999994</v>
      </c>
      <c r="G258" s="3616" t="s">
        <v>1378</v>
      </c>
      <c r="H258" s="3633">
        <f ca="1">'典型户型修正(先权重后修正)'!$R$29</f>
        <v>17533</v>
      </c>
      <c r="I258" s="3634">
        <f t="shared" ca="1" si="9"/>
        <v>118.72</v>
      </c>
    </row>
    <row r="259" spans="1:9">
      <c r="A259" s="3615">
        <v>257</v>
      </c>
      <c r="B259" s="3624" t="s">
        <v>7276</v>
      </c>
      <c r="C259" s="3612" t="s">
        <v>3056</v>
      </c>
      <c r="D259" s="3612">
        <v>-1</v>
      </c>
      <c r="E259" s="3612">
        <v>229</v>
      </c>
      <c r="F259" s="3612">
        <v>70.98</v>
      </c>
      <c r="G259" s="3608" t="s">
        <v>1378</v>
      </c>
      <c r="H259" s="3633">
        <f ca="1">'典型户型修正(先权重后修正)'!$R$29</f>
        <v>17533</v>
      </c>
      <c r="I259" s="3634">
        <f t="shared" ca="1" si="9"/>
        <v>124.45</v>
      </c>
    </row>
    <row r="260" spans="1:9">
      <c r="A260" s="3615">
        <v>258</v>
      </c>
      <c r="B260" s="3624" t="s">
        <v>7277</v>
      </c>
      <c r="C260" s="3612" t="s">
        <v>3056</v>
      </c>
      <c r="D260" s="3612">
        <v>-1</v>
      </c>
      <c r="E260" s="3612">
        <v>232</v>
      </c>
      <c r="F260" s="3612">
        <v>59.79</v>
      </c>
      <c r="G260" s="3608" t="s">
        <v>1378</v>
      </c>
      <c r="H260" s="3633">
        <f ca="1">'典型户型修正(先权重后修正)'!$R$29</f>
        <v>17533</v>
      </c>
      <c r="I260" s="3634">
        <f t="shared" ca="1" si="9"/>
        <v>104.83</v>
      </c>
    </row>
    <row r="261" spans="1:9">
      <c r="A261" s="3615">
        <v>259</v>
      </c>
      <c r="B261" s="3624" t="s">
        <v>7278</v>
      </c>
      <c r="C261" s="3612" t="s">
        <v>3056</v>
      </c>
      <c r="D261" s="3612">
        <v>-1</v>
      </c>
      <c r="E261" s="3612">
        <v>233</v>
      </c>
      <c r="F261" s="3612">
        <v>70.52</v>
      </c>
      <c r="G261" s="3608" t="s">
        <v>1378</v>
      </c>
      <c r="H261" s="3633">
        <f ca="1">'典型户型修正(先权重后修正)'!$R$29</f>
        <v>17533</v>
      </c>
      <c r="I261" s="3634">
        <f t="shared" ca="1" si="9"/>
        <v>123.64</v>
      </c>
    </row>
    <row r="262" spans="1:9">
      <c r="A262" s="3615">
        <v>260</v>
      </c>
      <c r="B262" s="3624" t="s">
        <v>7279</v>
      </c>
      <c r="C262" s="3612" t="s">
        <v>3056</v>
      </c>
      <c r="D262" s="3612">
        <v>-1</v>
      </c>
      <c r="E262" s="3612">
        <v>235</v>
      </c>
      <c r="F262" s="3612">
        <v>73.31</v>
      </c>
      <c r="G262" s="3608" t="s">
        <v>1378</v>
      </c>
      <c r="H262" s="3633">
        <f ca="1">'典型户型修正(先权重后修正)'!$R$29</f>
        <v>17533</v>
      </c>
      <c r="I262" s="3634">
        <f t="shared" ca="1" si="9"/>
        <v>128.53</v>
      </c>
    </row>
    <row r="263" spans="1:9">
      <c r="A263" s="3615">
        <v>261</v>
      </c>
      <c r="B263" s="3624" t="s">
        <v>7280</v>
      </c>
      <c r="C263" s="3612" t="s">
        <v>3056</v>
      </c>
      <c r="D263" s="3612">
        <v>-1</v>
      </c>
      <c r="E263" s="3612">
        <v>236</v>
      </c>
      <c r="F263" s="3612">
        <v>59.42</v>
      </c>
      <c r="G263" s="3608" t="s">
        <v>1378</v>
      </c>
      <c r="H263" s="3633">
        <f ca="1">'典型户型修正(先权重后修正)'!$R$29</f>
        <v>17533</v>
      </c>
      <c r="I263" s="3634">
        <f t="shared" ca="1" si="9"/>
        <v>104.18</v>
      </c>
    </row>
    <row r="264" spans="1:9">
      <c r="A264" s="3615">
        <v>262</v>
      </c>
      <c r="B264" s="3624" t="s">
        <v>7281</v>
      </c>
      <c r="C264" s="3612" t="s">
        <v>3056</v>
      </c>
      <c r="D264" s="3612">
        <v>-1</v>
      </c>
      <c r="E264" s="3612">
        <v>237</v>
      </c>
      <c r="F264" s="3612">
        <v>54.99</v>
      </c>
      <c r="G264" s="3608" t="s">
        <v>1378</v>
      </c>
      <c r="H264" s="3633">
        <f ca="1">'典型户型修正(先权重后修正)'!$R$29</f>
        <v>17533</v>
      </c>
      <c r="I264" s="3634">
        <f t="shared" ca="1" si="9"/>
        <v>96.41</v>
      </c>
    </row>
    <row r="265" spans="1:9">
      <c r="A265" s="3615">
        <v>263</v>
      </c>
      <c r="B265" s="3624" t="s">
        <v>7282</v>
      </c>
      <c r="C265" s="3612" t="s">
        <v>3056</v>
      </c>
      <c r="D265" s="3612">
        <v>-1</v>
      </c>
      <c r="E265" s="3612">
        <v>238</v>
      </c>
      <c r="F265" s="3612">
        <v>53.03</v>
      </c>
      <c r="G265" s="3608" t="s">
        <v>1378</v>
      </c>
      <c r="H265" s="3633">
        <f ca="1">'典型户型修正(先权重后修正)'!$R$29</f>
        <v>17533</v>
      </c>
      <c r="I265" s="3634">
        <f t="shared" ca="1" si="9"/>
        <v>92.98</v>
      </c>
    </row>
    <row r="266" spans="1:9">
      <c r="A266" s="3615">
        <v>264</v>
      </c>
      <c r="B266" s="3624" t="s">
        <v>7283</v>
      </c>
      <c r="C266" s="3612" t="s">
        <v>3056</v>
      </c>
      <c r="D266" s="3612">
        <v>-1</v>
      </c>
      <c r="E266" s="3612">
        <v>239</v>
      </c>
      <c r="F266" s="3612">
        <v>53.03</v>
      </c>
      <c r="G266" s="3608" t="s">
        <v>1378</v>
      </c>
      <c r="H266" s="3633">
        <f ca="1">'典型户型修正(先权重后修正)'!$R$29</f>
        <v>17533</v>
      </c>
      <c r="I266" s="3634">
        <f t="shared" ca="1" si="9"/>
        <v>92.98</v>
      </c>
    </row>
    <row r="267" spans="1:9">
      <c r="A267" s="3615">
        <v>265</v>
      </c>
      <c r="B267" s="3624" t="s">
        <v>7284</v>
      </c>
      <c r="C267" s="3612" t="s">
        <v>3056</v>
      </c>
      <c r="D267" s="3612">
        <v>-1</v>
      </c>
      <c r="E267" s="3612">
        <v>243</v>
      </c>
      <c r="F267" s="3612">
        <v>78.56</v>
      </c>
      <c r="G267" s="3608" t="s">
        <v>1378</v>
      </c>
      <c r="H267" s="3633">
        <f ca="1">'典型户型修正(先权重后修正)'!$R$29</f>
        <v>17533</v>
      </c>
      <c r="I267" s="3634">
        <f t="shared" ca="1" si="9"/>
        <v>137.74</v>
      </c>
    </row>
    <row r="268" spans="1:9">
      <c r="A268" s="3615">
        <v>266</v>
      </c>
      <c r="B268" s="3624" t="s">
        <v>7285</v>
      </c>
      <c r="C268" s="3612" t="s">
        <v>3056</v>
      </c>
      <c r="D268" s="3612">
        <v>-1</v>
      </c>
      <c r="E268" s="3612">
        <v>245</v>
      </c>
      <c r="F268" s="3612">
        <v>72.61</v>
      </c>
      <c r="G268" s="3608" t="s">
        <v>1378</v>
      </c>
      <c r="H268" s="3633">
        <f ca="1">'典型户型修正(先权重后修正)'!$R$29</f>
        <v>17533</v>
      </c>
      <c r="I268" s="3634">
        <f t="shared" ca="1" si="9"/>
        <v>127.31</v>
      </c>
    </row>
    <row r="269" spans="1:9">
      <c r="A269" s="3615">
        <v>267</v>
      </c>
      <c r="B269" s="3624" t="s">
        <v>7286</v>
      </c>
      <c r="C269" s="3612" t="s">
        <v>3056</v>
      </c>
      <c r="D269" s="3612">
        <v>-1</v>
      </c>
      <c r="E269" s="3612">
        <v>246</v>
      </c>
      <c r="F269" s="3612">
        <v>75.650000000000006</v>
      </c>
      <c r="G269" s="3608" t="s">
        <v>1378</v>
      </c>
      <c r="H269" s="3633">
        <f ca="1">'典型户型修正(先权重后修正)'!$R$29</f>
        <v>17533</v>
      </c>
      <c r="I269" s="3634">
        <f t="shared" ca="1" si="9"/>
        <v>132.63999999999999</v>
      </c>
    </row>
    <row r="270" spans="1:9">
      <c r="A270" s="3615">
        <v>268</v>
      </c>
      <c r="B270" s="3624" t="s">
        <v>7287</v>
      </c>
      <c r="C270" s="3612" t="s">
        <v>3056</v>
      </c>
      <c r="D270" s="3612">
        <v>-1</v>
      </c>
      <c r="E270" s="3612">
        <v>248</v>
      </c>
      <c r="F270" s="3612">
        <v>83.54</v>
      </c>
      <c r="G270" s="3608" t="s">
        <v>1378</v>
      </c>
      <c r="H270" s="3633">
        <f ca="1">'典型户型修正(先权重后修正)'!$R$29</f>
        <v>17533</v>
      </c>
      <c r="I270" s="3634">
        <f t="shared" ca="1" si="9"/>
        <v>146.47</v>
      </c>
    </row>
    <row r="271" spans="1:9">
      <c r="A271" s="3615">
        <v>269</v>
      </c>
      <c r="B271" s="3624" t="s">
        <v>7288</v>
      </c>
      <c r="C271" s="3612" t="s">
        <v>3056</v>
      </c>
      <c r="D271" s="3612">
        <v>-1</v>
      </c>
      <c r="E271" s="3612">
        <v>251</v>
      </c>
      <c r="F271" s="3612">
        <v>105.02</v>
      </c>
      <c r="G271" s="3608" t="s">
        <v>1378</v>
      </c>
      <c r="H271" s="3633">
        <f ca="1">'典型户型修正(先权重后修正)'!$R$29</f>
        <v>17533</v>
      </c>
      <c r="I271" s="3634">
        <f t="shared" ca="1" si="9"/>
        <v>184.13</v>
      </c>
    </row>
    <row r="272" spans="1:9">
      <c r="A272" s="3615">
        <v>270</v>
      </c>
      <c r="B272" s="3624" t="s">
        <v>7289</v>
      </c>
      <c r="C272" s="3612" t="s">
        <v>3056</v>
      </c>
      <c r="D272" s="3612">
        <v>-1</v>
      </c>
      <c r="E272" s="3612">
        <v>257</v>
      </c>
      <c r="F272" s="3612">
        <v>87.45</v>
      </c>
      <c r="G272" s="3608" t="s">
        <v>1378</v>
      </c>
      <c r="H272" s="3633">
        <f ca="1">'典型户型修正(先权重后修正)'!$R$29</f>
        <v>17533</v>
      </c>
      <c r="I272" s="3634">
        <f t="shared" ca="1" si="9"/>
        <v>153.33000000000001</v>
      </c>
    </row>
    <row r="273" spans="1:9">
      <c r="A273" s="3615">
        <v>271</v>
      </c>
      <c r="B273" s="3624" t="s">
        <v>7290</v>
      </c>
      <c r="C273" s="3612" t="s">
        <v>3056</v>
      </c>
      <c r="D273" s="3612">
        <v>-1</v>
      </c>
      <c r="E273" s="3612">
        <v>258</v>
      </c>
      <c r="F273" s="3612">
        <v>79.98</v>
      </c>
      <c r="G273" s="3608" t="s">
        <v>1378</v>
      </c>
      <c r="H273" s="3633">
        <f ca="1">'典型户型修正(先权重后修正)'!$R$29</f>
        <v>17533</v>
      </c>
      <c r="I273" s="3634">
        <f t="shared" ca="1" si="9"/>
        <v>140.22999999999999</v>
      </c>
    </row>
    <row r="274" spans="1:9">
      <c r="A274" s="3615">
        <v>272</v>
      </c>
      <c r="B274" s="3624" t="s">
        <v>7291</v>
      </c>
      <c r="C274" s="3612" t="s">
        <v>3056</v>
      </c>
      <c r="D274" s="3612">
        <v>-1</v>
      </c>
      <c r="E274" s="3612">
        <v>259</v>
      </c>
      <c r="F274" s="3612">
        <v>75.63</v>
      </c>
      <c r="G274" s="3608" t="s">
        <v>1378</v>
      </c>
      <c r="H274" s="3633">
        <f ca="1">'典型户型修正(先权重后修正)'!$R$29</f>
        <v>17533</v>
      </c>
      <c r="I274" s="3634">
        <f t="shared" ca="1" si="9"/>
        <v>132.6</v>
      </c>
    </row>
    <row r="275" spans="1:9">
      <c r="A275" s="3615">
        <v>273</v>
      </c>
      <c r="B275" s="3624" t="s">
        <v>7292</v>
      </c>
      <c r="C275" s="3612" t="s">
        <v>3056</v>
      </c>
      <c r="D275" s="3612">
        <v>-1</v>
      </c>
      <c r="E275" s="3612">
        <v>260</v>
      </c>
      <c r="F275" s="3612">
        <v>72.61</v>
      </c>
      <c r="G275" s="3608" t="s">
        <v>1378</v>
      </c>
      <c r="H275" s="3633">
        <f ca="1">'典型户型修正(先权重后修正)'!$R$29</f>
        <v>17533</v>
      </c>
      <c r="I275" s="3634">
        <f t="shared" ca="1" si="9"/>
        <v>127.31</v>
      </c>
    </row>
    <row r="276" spans="1:9">
      <c r="A276" s="3615">
        <v>274</v>
      </c>
      <c r="B276" s="3624" t="s">
        <v>7293</v>
      </c>
      <c r="C276" s="3612" t="s">
        <v>3056</v>
      </c>
      <c r="D276" s="3612">
        <v>-1</v>
      </c>
      <c r="E276" s="3612">
        <v>262</v>
      </c>
      <c r="F276" s="3612">
        <v>36.39</v>
      </c>
      <c r="G276" s="3608" t="s">
        <v>1378</v>
      </c>
      <c r="H276" s="3633">
        <f ca="1">'典型户型修正(先权重后修正)'!$R$29</f>
        <v>17533</v>
      </c>
      <c r="I276" s="3634">
        <f t="shared" ca="1" si="9"/>
        <v>63.8</v>
      </c>
    </row>
    <row r="277" spans="1:9">
      <c r="A277" s="3615">
        <v>275</v>
      </c>
      <c r="B277" s="3624" t="s">
        <v>7294</v>
      </c>
      <c r="C277" s="3612" t="s">
        <v>3056</v>
      </c>
      <c r="D277" s="3612">
        <v>-1</v>
      </c>
      <c r="E277" s="3612">
        <v>263</v>
      </c>
      <c r="F277" s="3612">
        <v>72.95</v>
      </c>
      <c r="G277" s="3608" t="s">
        <v>1378</v>
      </c>
      <c r="H277" s="3633">
        <f ca="1">'典型户型修正(先权重后修正)'!$R$29</f>
        <v>17533</v>
      </c>
      <c r="I277" s="3634">
        <f t="shared" ca="1" si="9"/>
        <v>127.9</v>
      </c>
    </row>
    <row r="278" spans="1:9">
      <c r="A278" s="3615">
        <v>276</v>
      </c>
      <c r="B278" s="3624" t="s">
        <v>7295</v>
      </c>
      <c r="C278" s="3612" t="s">
        <v>3056</v>
      </c>
      <c r="D278" s="3612">
        <v>-1</v>
      </c>
      <c r="E278" s="3612">
        <v>289</v>
      </c>
      <c r="F278" s="3612">
        <v>39.119999999999997</v>
      </c>
      <c r="G278" s="3608" t="s">
        <v>1378</v>
      </c>
      <c r="H278" s="3633">
        <f ca="1">'典型户型修正(先权重后修正)'!$R$29</f>
        <v>17533</v>
      </c>
      <c r="I278" s="3634">
        <f t="shared" ca="1" si="9"/>
        <v>68.59</v>
      </c>
    </row>
    <row r="279" spans="1:9">
      <c r="A279" s="3615">
        <v>277</v>
      </c>
      <c r="B279" s="3624" t="s">
        <v>7296</v>
      </c>
      <c r="C279" s="3612" t="s">
        <v>3056</v>
      </c>
      <c r="D279" s="3612">
        <v>-1</v>
      </c>
      <c r="E279" s="3612">
        <v>290</v>
      </c>
      <c r="F279" s="3612">
        <v>39.119999999999997</v>
      </c>
      <c r="G279" s="3608" t="s">
        <v>1378</v>
      </c>
      <c r="H279" s="3633">
        <f ca="1">'典型户型修正(先权重后修正)'!$R$29</f>
        <v>17533</v>
      </c>
      <c r="I279" s="3634">
        <f t="shared" ca="1" si="9"/>
        <v>68.59</v>
      </c>
    </row>
    <row r="280" spans="1:9">
      <c r="A280" s="3615">
        <v>278</v>
      </c>
      <c r="B280" s="3624" t="s">
        <v>7297</v>
      </c>
      <c r="C280" s="3612" t="s">
        <v>3056</v>
      </c>
      <c r="D280" s="3612">
        <v>-1</v>
      </c>
      <c r="E280" s="3612">
        <v>291</v>
      </c>
      <c r="F280" s="3612">
        <v>39.119999999999997</v>
      </c>
      <c r="G280" s="3608" t="s">
        <v>1378</v>
      </c>
      <c r="H280" s="3633">
        <f ca="1">'典型户型修正(先权重后修正)'!$R$29</f>
        <v>17533</v>
      </c>
      <c r="I280" s="3634">
        <f t="shared" ca="1" si="9"/>
        <v>68.59</v>
      </c>
    </row>
    <row r="281" spans="1:9">
      <c r="A281" s="3615">
        <v>279</v>
      </c>
      <c r="B281" s="3624" t="s">
        <v>7298</v>
      </c>
      <c r="C281" s="3612" t="s">
        <v>3056</v>
      </c>
      <c r="D281" s="3612">
        <v>-1</v>
      </c>
      <c r="E281" s="3612">
        <v>292</v>
      </c>
      <c r="F281" s="3612">
        <v>39.119999999999997</v>
      </c>
      <c r="G281" s="3608" t="s">
        <v>1378</v>
      </c>
      <c r="H281" s="3633">
        <f ca="1">'典型户型修正(先权重后修正)'!$R$29</f>
        <v>17533</v>
      </c>
      <c r="I281" s="3634">
        <f t="shared" ca="1" si="9"/>
        <v>68.59</v>
      </c>
    </row>
    <row r="282" spans="1:9">
      <c r="A282" s="3615">
        <v>280</v>
      </c>
      <c r="B282" s="3624" t="s">
        <v>7299</v>
      </c>
      <c r="C282" s="3612" t="s">
        <v>3056</v>
      </c>
      <c r="D282" s="3612">
        <v>-1</v>
      </c>
      <c r="E282" s="3612">
        <v>293</v>
      </c>
      <c r="F282" s="3612">
        <v>39.119999999999997</v>
      </c>
      <c r="G282" s="3608" t="s">
        <v>1378</v>
      </c>
      <c r="H282" s="3633">
        <f ca="1">'典型户型修正(先权重后修正)'!$R$29</f>
        <v>17533</v>
      </c>
      <c r="I282" s="3634">
        <f t="shared" ca="1" si="9"/>
        <v>68.59</v>
      </c>
    </row>
    <row r="283" spans="1:9">
      <c r="A283" s="3615">
        <v>281</v>
      </c>
      <c r="B283" s="3624" t="s">
        <v>7300</v>
      </c>
      <c r="C283" s="3612" t="s">
        <v>3056</v>
      </c>
      <c r="D283" s="3612">
        <v>-1</v>
      </c>
      <c r="E283" s="3612">
        <v>295</v>
      </c>
      <c r="F283" s="3612">
        <v>39.119999999999997</v>
      </c>
      <c r="G283" s="3608" t="s">
        <v>1378</v>
      </c>
      <c r="H283" s="3633">
        <f ca="1">'典型户型修正(先权重后修正)'!$R$29</f>
        <v>17533</v>
      </c>
      <c r="I283" s="3634">
        <f t="shared" ca="1" si="9"/>
        <v>68.59</v>
      </c>
    </row>
    <row r="284" spans="1:9">
      <c r="A284" s="3615">
        <v>282</v>
      </c>
      <c r="B284" s="3624" t="s">
        <v>7301</v>
      </c>
      <c r="C284" s="3612" t="s">
        <v>3056</v>
      </c>
      <c r="D284" s="3612">
        <v>-1</v>
      </c>
      <c r="E284" s="3612">
        <v>296</v>
      </c>
      <c r="F284" s="3612">
        <v>39.119999999999997</v>
      </c>
      <c r="G284" s="3608" t="s">
        <v>1378</v>
      </c>
      <c r="H284" s="3633">
        <f ca="1">'典型户型修正(先权重后修正)'!$R$29</f>
        <v>17533</v>
      </c>
      <c r="I284" s="3634">
        <f t="shared" ca="1" si="9"/>
        <v>68.59</v>
      </c>
    </row>
    <row r="285" spans="1:9">
      <c r="A285" s="3615">
        <v>283</v>
      </c>
      <c r="B285" s="3624" t="s">
        <v>7302</v>
      </c>
      <c r="C285" s="3612" t="s">
        <v>3056</v>
      </c>
      <c r="D285" s="3612">
        <v>-1</v>
      </c>
      <c r="E285" s="3612">
        <v>300</v>
      </c>
      <c r="F285" s="3612">
        <v>39.119999999999997</v>
      </c>
      <c r="G285" s="3608" t="s">
        <v>1378</v>
      </c>
      <c r="H285" s="3633">
        <f ca="1">'典型户型修正(先权重后修正)'!$R$29</f>
        <v>17533</v>
      </c>
      <c r="I285" s="3634">
        <f t="shared" ref="I285:I321" ca="1" si="10">ROUND(H285*F285/10000,2)</f>
        <v>68.59</v>
      </c>
    </row>
    <row r="286" spans="1:9">
      <c r="A286" s="3615">
        <v>284</v>
      </c>
      <c r="B286" s="3624" t="s">
        <v>7303</v>
      </c>
      <c r="C286" s="3612" t="s">
        <v>3056</v>
      </c>
      <c r="D286" s="3612">
        <v>-1</v>
      </c>
      <c r="E286" s="3612">
        <v>301</v>
      </c>
      <c r="F286" s="3612">
        <v>39.119999999999997</v>
      </c>
      <c r="G286" s="3608" t="s">
        <v>1378</v>
      </c>
      <c r="H286" s="3633">
        <f ca="1">'典型户型修正(先权重后修正)'!$R$29</f>
        <v>17533</v>
      </c>
      <c r="I286" s="3634">
        <f t="shared" ca="1" si="10"/>
        <v>68.59</v>
      </c>
    </row>
    <row r="287" spans="1:9">
      <c r="A287" s="3615">
        <v>285</v>
      </c>
      <c r="B287" s="3624" t="s">
        <v>7304</v>
      </c>
      <c r="C287" s="3612" t="s">
        <v>3056</v>
      </c>
      <c r="D287" s="3612">
        <v>-1</v>
      </c>
      <c r="E287" s="3612">
        <v>302</v>
      </c>
      <c r="F287" s="3612">
        <v>39.119999999999997</v>
      </c>
      <c r="G287" s="3608" t="s">
        <v>1378</v>
      </c>
      <c r="H287" s="3633">
        <f ca="1">'典型户型修正(先权重后修正)'!$R$29</f>
        <v>17533</v>
      </c>
      <c r="I287" s="3634">
        <f t="shared" ca="1" si="10"/>
        <v>68.59</v>
      </c>
    </row>
    <row r="288" spans="1:9">
      <c r="A288" s="3615">
        <v>286</v>
      </c>
      <c r="B288" s="3624" t="s">
        <v>7305</v>
      </c>
      <c r="C288" s="3612" t="s">
        <v>3056</v>
      </c>
      <c r="D288" s="3612">
        <v>-1</v>
      </c>
      <c r="E288" s="3612">
        <v>303</v>
      </c>
      <c r="F288" s="3612">
        <v>39.119999999999997</v>
      </c>
      <c r="G288" s="3608" t="s">
        <v>1378</v>
      </c>
      <c r="H288" s="3633">
        <f ca="1">'典型户型修正(先权重后修正)'!$R$29</f>
        <v>17533</v>
      </c>
      <c r="I288" s="3634">
        <f t="shared" ca="1" si="10"/>
        <v>68.59</v>
      </c>
    </row>
    <row r="289" spans="1:9">
      <c r="A289" s="3615">
        <v>287</v>
      </c>
      <c r="B289" s="3615" t="s">
        <v>7306</v>
      </c>
      <c r="C289" s="3617" t="s">
        <v>3056</v>
      </c>
      <c r="D289" s="3617">
        <v>-1</v>
      </c>
      <c r="E289" s="3617">
        <v>305</v>
      </c>
      <c r="F289" s="3617">
        <v>39.119999999999997</v>
      </c>
      <c r="G289" s="3616" t="s">
        <v>1378</v>
      </c>
      <c r="H289" s="3633">
        <f ca="1">'典型户型修正(先权重后修正)'!$R$29</f>
        <v>17533</v>
      </c>
      <c r="I289" s="3634">
        <f t="shared" ca="1" si="10"/>
        <v>68.59</v>
      </c>
    </row>
    <row r="290" spans="1:9">
      <c r="A290" s="3615">
        <v>288</v>
      </c>
      <c r="B290" s="3615" t="s">
        <v>7307</v>
      </c>
      <c r="C290" s="3617" t="s">
        <v>3056</v>
      </c>
      <c r="D290" s="3617">
        <v>-1</v>
      </c>
      <c r="E290" s="3617">
        <v>310</v>
      </c>
      <c r="F290" s="3617">
        <v>101.65</v>
      </c>
      <c r="G290" s="3616" t="s">
        <v>1378</v>
      </c>
      <c r="H290" s="3633">
        <f ca="1">'典型户型修正(先权重后修正)'!$R$29</f>
        <v>17533</v>
      </c>
      <c r="I290" s="3634">
        <f t="shared" ca="1" si="10"/>
        <v>178.22</v>
      </c>
    </row>
    <row r="291" spans="1:9">
      <c r="A291" s="3615">
        <v>289</v>
      </c>
      <c r="B291" s="3615" t="s">
        <v>7308</v>
      </c>
      <c r="C291" s="3617" t="s">
        <v>3056</v>
      </c>
      <c r="D291" s="3617">
        <v>-1</v>
      </c>
      <c r="E291" s="3617">
        <v>317</v>
      </c>
      <c r="F291" s="3617">
        <v>64.33</v>
      </c>
      <c r="G291" s="3616" t="s">
        <v>1378</v>
      </c>
      <c r="H291" s="3633">
        <f ca="1">'典型户型修正(先权重后修正)'!$R$29</f>
        <v>17533</v>
      </c>
      <c r="I291" s="3634">
        <f t="shared" ca="1" si="10"/>
        <v>112.79</v>
      </c>
    </row>
    <row r="292" spans="1:9">
      <c r="A292" s="3615">
        <v>290</v>
      </c>
      <c r="B292" s="3615" t="s">
        <v>7309</v>
      </c>
      <c r="C292" s="3617" t="s">
        <v>3056</v>
      </c>
      <c r="D292" s="3617">
        <v>-1</v>
      </c>
      <c r="E292" s="3617">
        <v>318</v>
      </c>
      <c r="F292" s="3617">
        <v>64.33</v>
      </c>
      <c r="G292" s="3616" t="s">
        <v>1378</v>
      </c>
      <c r="H292" s="3633">
        <f ca="1">'典型户型修正(先权重后修正)'!$R$29</f>
        <v>17533</v>
      </c>
      <c r="I292" s="3634">
        <f t="shared" ca="1" si="10"/>
        <v>112.79</v>
      </c>
    </row>
    <row r="293" spans="1:9">
      <c r="A293" s="3615">
        <v>291</v>
      </c>
      <c r="B293" s="3615" t="s">
        <v>7310</v>
      </c>
      <c r="C293" s="3617" t="s">
        <v>3056</v>
      </c>
      <c r="D293" s="3617">
        <v>-1</v>
      </c>
      <c r="E293" s="3617">
        <v>319</v>
      </c>
      <c r="F293" s="3617">
        <v>64.33</v>
      </c>
      <c r="G293" s="3616" t="s">
        <v>1378</v>
      </c>
      <c r="H293" s="3633">
        <f ca="1">'典型户型修正(先权重后修正)'!$R$29</f>
        <v>17533</v>
      </c>
      <c r="I293" s="3634">
        <f t="shared" ca="1" si="10"/>
        <v>112.79</v>
      </c>
    </row>
    <row r="294" spans="1:9">
      <c r="A294" s="3615">
        <v>292</v>
      </c>
      <c r="B294" s="3615" t="s">
        <v>7311</v>
      </c>
      <c r="C294" s="3617" t="s">
        <v>3056</v>
      </c>
      <c r="D294" s="3617">
        <v>-1</v>
      </c>
      <c r="E294" s="3617">
        <v>320</v>
      </c>
      <c r="F294" s="3617">
        <v>64.33</v>
      </c>
      <c r="G294" s="3616" t="s">
        <v>1378</v>
      </c>
      <c r="H294" s="3633">
        <f ca="1">'典型户型修正(先权重后修正)'!$R$29</f>
        <v>17533</v>
      </c>
      <c r="I294" s="3634">
        <f t="shared" ca="1" si="10"/>
        <v>112.79</v>
      </c>
    </row>
    <row r="295" spans="1:9">
      <c r="A295" s="3615">
        <v>293</v>
      </c>
      <c r="B295" s="3624" t="s">
        <v>7312</v>
      </c>
      <c r="C295" s="3612" t="s">
        <v>3056</v>
      </c>
      <c r="D295" s="3612">
        <v>-1</v>
      </c>
      <c r="E295" s="3612">
        <v>321</v>
      </c>
      <c r="F295" s="3612">
        <v>64.33</v>
      </c>
      <c r="G295" s="3608" t="s">
        <v>1378</v>
      </c>
      <c r="H295" s="3633">
        <f ca="1">'典型户型修正(先权重后修正)'!$R$29</f>
        <v>17533</v>
      </c>
      <c r="I295" s="3634">
        <f t="shared" ca="1" si="10"/>
        <v>112.79</v>
      </c>
    </row>
    <row r="296" spans="1:9">
      <c r="A296" s="3615">
        <v>294</v>
      </c>
      <c r="B296" s="3624" t="s">
        <v>7313</v>
      </c>
      <c r="C296" s="3612" t="s">
        <v>3056</v>
      </c>
      <c r="D296" s="3612">
        <v>-1</v>
      </c>
      <c r="E296" s="3612">
        <v>322</v>
      </c>
      <c r="F296" s="3612">
        <v>65.44</v>
      </c>
      <c r="G296" s="3608" t="s">
        <v>1378</v>
      </c>
      <c r="H296" s="3633">
        <f ca="1">'典型户型修正(先权重后修正)'!$R$29</f>
        <v>17533</v>
      </c>
      <c r="I296" s="3634">
        <f t="shared" ca="1" si="10"/>
        <v>114.74</v>
      </c>
    </row>
    <row r="297" spans="1:9">
      <c r="A297" s="3615">
        <v>295</v>
      </c>
      <c r="B297" s="3624" t="s">
        <v>7314</v>
      </c>
      <c r="C297" s="3612" t="s">
        <v>3056</v>
      </c>
      <c r="D297" s="3612">
        <v>-1</v>
      </c>
      <c r="E297" s="3612">
        <v>323</v>
      </c>
      <c r="F297" s="3612">
        <v>68.010000000000005</v>
      </c>
      <c r="G297" s="3608" t="s">
        <v>1378</v>
      </c>
      <c r="H297" s="3633">
        <f ca="1">'典型户型修正(先权重后修正)'!$R$29</f>
        <v>17533</v>
      </c>
      <c r="I297" s="3634">
        <f t="shared" ca="1" si="10"/>
        <v>119.24</v>
      </c>
    </row>
    <row r="298" spans="1:9">
      <c r="A298" s="3615">
        <v>296</v>
      </c>
      <c r="B298" s="3624" t="s">
        <v>7315</v>
      </c>
      <c r="C298" s="3612" t="s">
        <v>3056</v>
      </c>
      <c r="D298" s="3612">
        <v>-1</v>
      </c>
      <c r="E298" s="3612">
        <v>325</v>
      </c>
      <c r="F298" s="3612">
        <v>64.33</v>
      </c>
      <c r="G298" s="3608" t="s">
        <v>1378</v>
      </c>
      <c r="H298" s="3633">
        <f ca="1">'典型户型修正(先权重后修正)'!$R$29</f>
        <v>17533</v>
      </c>
      <c r="I298" s="3634">
        <f t="shared" ca="1" si="10"/>
        <v>112.79</v>
      </c>
    </row>
    <row r="299" spans="1:9">
      <c r="A299" s="3615">
        <v>297</v>
      </c>
      <c r="B299" s="3624" t="s">
        <v>7316</v>
      </c>
      <c r="C299" s="3612" t="s">
        <v>3056</v>
      </c>
      <c r="D299" s="3612">
        <v>-1</v>
      </c>
      <c r="E299" s="3612">
        <v>326</v>
      </c>
      <c r="F299" s="3612">
        <v>64.33</v>
      </c>
      <c r="G299" s="3608" t="s">
        <v>1378</v>
      </c>
      <c r="H299" s="3633">
        <f ca="1">'典型户型修正(先权重后修正)'!$R$29</f>
        <v>17533</v>
      </c>
      <c r="I299" s="3634">
        <f t="shared" ca="1" si="10"/>
        <v>112.79</v>
      </c>
    </row>
    <row r="300" spans="1:9">
      <c r="A300" s="3615">
        <v>298</v>
      </c>
      <c r="B300" s="3624" t="s">
        <v>7317</v>
      </c>
      <c r="C300" s="3612" t="s">
        <v>3056</v>
      </c>
      <c r="D300" s="3612">
        <v>-1</v>
      </c>
      <c r="E300" s="3612">
        <v>327</v>
      </c>
      <c r="F300" s="3612">
        <v>64.33</v>
      </c>
      <c r="G300" s="3608" t="s">
        <v>1378</v>
      </c>
      <c r="H300" s="3633">
        <f ca="1">'典型户型修正(先权重后修正)'!$R$29</f>
        <v>17533</v>
      </c>
      <c r="I300" s="3634">
        <f t="shared" ca="1" si="10"/>
        <v>112.79</v>
      </c>
    </row>
    <row r="301" spans="1:9">
      <c r="A301" s="3615">
        <v>299</v>
      </c>
      <c r="B301" s="3624" t="s">
        <v>7318</v>
      </c>
      <c r="C301" s="3612" t="s">
        <v>3056</v>
      </c>
      <c r="D301" s="3612">
        <v>-1</v>
      </c>
      <c r="E301" s="3612">
        <v>328</v>
      </c>
      <c r="F301" s="3612">
        <v>64.33</v>
      </c>
      <c r="G301" s="3608" t="s">
        <v>1378</v>
      </c>
      <c r="H301" s="3633">
        <f ca="1">'典型户型修正(先权重后修正)'!$R$29</f>
        <v>17533</v>
      </c>
      <c r="I301" s="3634">
        <f t="shared" ca="1" si="10"/>
        <v>112.79</v>
      </c>
    </row>
    <row r="302" spans="1:9">
      <c r="A302" s="3615">
        <v>300</v>
      </c>
      <c r="B302" s="3624" t="s">
        <v>7618</v>
      </c>
      <c r="C302" s="3608" t="s">
        <v>3056</v>
      </c>
      <c r="D302" s="3608">
        <v>-1</v>
      </c>
      <c r="E302" s="3608">
        <v>247</v>
      </c>
      <c r="F302" s="3608">
        <v>80</v>
      </c>
      <c r="G302" s="3608" t="s">
        <v>1378</v>
      </c>
      <c r="H302" s="3633">
        <f ca="1">'典型户型修正(先权重后修正)'!$R$29</f>
        <v>17533</v>
      </c>
      <c r="I302" s="3634">
        <f t="shared" ca="1" si="10"/>
        <v>140.26</v>
      </c>
    </row>
    <row r="303" spans="1:9">
      <c r="A303" s="3615">
        <v>301</v>
      </c>
      <c r="B303" s="3624" t="s">
        <v>7619</v>
      </c>
      <c r="C303" s="3608" t="s">
        <v>3056</v>
      </c>
      <c r="D303" s="3608">
        <v>-1</v>
      </c>
      <c r="E303" s="3608">
        <v>308</v>
      </c>
      <c r="F303" s="3608">
        <v>38.67</v>
      </c>
      <c r="G303" s="3608" t="s">
        <v>1378</v>
      </c>
      <c r="H303" s="3633">
        <f ca="1">'典型户型修正(先权重后修正)'!$R$29</f>
        <v>17533</v>
      </c>
      <c r="I303" s="3634">
        <f t="shared" ca="1" si="10"/>
        <v>67.8</v>
      </c>
    </row>
    <row r="304" spans="1:9">
      <c r="A304" s="3615">
        <v>302</v>
      </c>
      <c r="B304" s="3624" t="s">
        <v>7620</v>
      </c>
      <c r="C304" s="3608" t="s">
        <v>3056</v>
      </c>
      <c r="D304" s="3608">
        <v>-1</v>
      </c>
      <c r="E304" s="3608">
        <v>313</v>
      </c>
      <c r="F304" s="3608">
        <v>64.33</v>
      </c>
      <c r="G304" s="3608" t="s">
        <v>1378</v>
      </c>
      <c r="H304" s="3633">
        <f ca="1">'典型户型修正(先权重后修正)'!$R$29</f>
        <v>17533</v>
      </c>
      <c r="I304" s="3634">
        <f t="shared" ca="1" si="10"/>
        <v>112.79</v>
      </c>
    </row>
    <row r="305" spans="1:9">
      <c r="A305" s="3615">
        <v>303</v>
      </c>
      <c r="B305" s="3624" t="s">
        <v>7621</v>
      </c>
      <c r="C305" s="3608" t="s">
        <v>3056</v>
      </c>
      <c r="D305" s="3608">
        <v>-1</v>
      </c>
      <c r="E305" s="3608">
        <v>315</v>
      </c>
      <c r="F305" s="3608">
        <v>64.33</v>
      </c>
      <c r="G305" s="3608" t="s">
        <v>1378</v>
      </c>
      <c r="H305" s="3633">
        <f ca="1">'典型户型修正(先权重后修正)'!$R$29</f>
        <v>17533</v>
      </c>
      <c r="I305" s="3634">
        <f t="shared" ca="1" si="10"/>
        <v>112.79</v>
      </c>
    </row>
    <row r="306" spans="1:9">
      <c r="A306" s="3615">
        <v>304</v>
      </c>
      <c r="B306" s="3624" t="s">
        <v>7622</v>
      </c>
      <c r="C306" s="3608" t="s">
        <v>3056</v>
      </c>
      <c r="D306" s="3608">
        <v>-1</v>
      </c>
      <c r="E306" s="3608">
        <v>336</v>
      </c>
      <c r="F306" s="3608">
        <v>64.33</v>
      </c>
      <c r="G306" s="3608" t="s">
        <v>1378</v>
      </c>
      <c r="H306" s="3633">
        <f ca="1">'典型户型修正(先权重后修正)'!$R$29</f>
        <v>17533</v>
      </c>
      <c r="I306" s="3634">
        <f t="shared" ca="1" si="10"/>
        <v>112.79</v>
      </c>
    </row>
    <row r="307" spans="1:9">
      <c r="A307" s="3615">
        <v>305</v>
      </c>
      <c r="B307" s="3624" t="s">
        <v>7623</v>
      </c>
      <c r="C307" s="3608" t="s">
        <v>3056</v>
      </c>
      <c r="D307" s="3608">
        <v>-1</v>
      </c>
      <c r="E307" s="3608">
        <v>337</v>
      </c>
      <c r="F307" s="3608">
        <v>62.5</v>
      </c>
      <c r="G307" s="3608" t="s">
        <v>1378</v>
      </c>
      <c r="H307" s="3633">
        <f ca="1">'典型户型修正(先权重后修正)'!$R$29</f>
        <v>17533</v>
      </c>
      <c r="I307" s="3634">
        <f t="shared" ca="1" si="10"/>
        <v>109.58</v>
      </c>
    </row>
    <row r="308" spans="1:9">
      <c r="A308" s="3615">
        <v>306</v>
      </c>
      <c r="B308" s="3624" t="s">
        <v>7624</v>
      </c>
      <c r="C308" s="3608" t="s">
        <v>3056</v>
      </c>
      <c r="D308" s="3608">
        <v>-1</v>
      </c>
      <c r="E308" s="3608">
        <v>6</v>
      </c>
      <c r="F308" s="3608">
        <v>69.19</v>
      </c>
      <c r="G308" s="3608" t="s">
        <v>1378</v>
      </c>
      <c r="H308" s="3633">
        <f ca="1">'典型户型修正(先权重后修正)'!$R$29</f>
        <v>17533</v>
      </c>
      <c r="I308" s="3634">
        <f t="shared" ca="1" si="10"/>
        <v>121.31</v>
      </c>
    </row>
    <row r="309" spans="1:9">
      <c r="A309" s="3615">
        <v>307</v>
      </c>
      <c r="B309" s="3624" t="s">
        <v>7625</v>
      </c>
      <c r="C309" s="3608" t="s">
        <v>3056</v>
      </c>
      <c r="D309" s="3608">
        <v>-1</v>
      </c>
      <c r="E309" s="3608">
        <v>32</v>
      </c>
      <c r="F309" s="3608">
        <v>36.58</v>
      </c>
      <c r="G309" s="3608" t="s">
        <v>1378</v>
      </c>
      <c r="H309" s="3633">
        <f ca="1">'典型户型修正(先权重后修正)'!$R$29</f>
        <v>17533</v>
      </c>
      <c r="I309" s="3634">
        <f t="shared" ca="1" si="10"/>
        <v>64.14</v>
      </c>
    </row>
    <row r="310" spans="1:9">
      <c r="A310" s="3615">
        <v>308</v>
      </c>
      <c r="B310" s="3624" t="s">
        <v>7626</v>
      </c>
      <c r="C310" s="3608" t="s">
        <v>3056</v>
      </c>
      <c r="D310" s="3608">
        <v>-1</v>
      </c>
      <c r="E310" s="3608">
        <v>37</v>
      </c>
      <c r="F310" s="3608">
        <v>39.799999999999997</v>
      </c>
      <c r="G310" s="3608" t="s">
        <v>1378</v>
      </c>
      <c r="H310" s="3633">
        <f ca="1">'典型户型修正(先权重后修正)'!$R$29</f>
        <v>17533</v>
      </c>
      <c r="I310" s="3634">
        <f t="shared" ca="1" si="10"/>
        <v>69.78</v>
      </c>
    </row>
    <row r="311" spans="1:9">
      <c r="A311" s="3615">
        <v>309</v>
      </c>
      <c r="B311" s="3624" t="s">
        <v>7627</v>
      </c>
      <c r="C311" s="3608" t="s">
        <v>3056</v>
      </c>
      <c r="D311" s="3608">
        <v>-1</v>
      </c>
      <c r="E311" s="3608">
        <v>149</v>
      </c>
      <c r="F311" s="3608">
        <v>50.9</v>
      </c>
      <c r="G311" s="3608" t="s">
        <v>1378</v>
      </c>
      <c r="H311" s="3633">
        <f ca="1">'典型户型修正(先权重后修正)'!$R$29</f>
        <v>17533</v>
      </c>
      <c r="I311" s="3634">
        <f t="shared" ca="1" si="10"/>
        <v>89.24</v>
      </c>
    </row>
    <row r="312" spans="1:9">
      <c r="A312" s="3615">
        <v>310</v>
      </c>
      <c r="B312" s="3624" t="s">
        <v>7628</v>
      </c>
      <c r="C312" s="3608" t="s">
        <v>3056</v>
      </c>
      <c r="D312" s="3608">
        <v>-1</v>
      </c>
      <c r="E312" s="3608">
        <v>150</v>
      </c>
      <c r="F312" s="3608">
        <v>69.680000000000007</v>
      </c>
      <c r="G312" s="3608" t="s">
        <v>1378</v>
      </c>
      <c r="H312" s="3633">
        <f ca="1">'典型户型修正(先权重后修正)'!$R$29</f>
        <v>17533</v>
      </c>
      <c r="I312" s="3634">
        <f t="shared" ca="1" si="10"/>
        <v>122.17</v>
      </c>
    </row>
    <row r="313" spans="1:9">
      <c r="A313" s="3615">
        <v>311</v>
      </c>
      <c r="B313" s="3624" t="s">
        <v>7629</v>
      </c>
      <c r="C313" s="3608" t="s">
        <v>3056</v>
      </c>
      <c r="D313" s="3608">
        <v>-1</v>
      </c>
      <c r="E313" s="3608">
        <v>151</v>
      </c>
      <c r="F313" s="3608">
        <v>85.72</v>
      </c>
      <c r="G313" s="3608" t="s">
        <v>1378</v>
      </c>
      <c r="H313" s="3633">
        <f ca="1">'典型户型修正(先权重后修正)'!$R$29</f>
        <v>17533</v>
      </c>
      <c r="I313" s="3634">
        <f t="shared" ca="1" si="10"/>
        <v>150.29</v>
      </c>
    </row>
    <row r="314" spans="1:9">
      <c r="A314" s="3615">
        <v>312</v>
      </c>
      <c r="B314" s="3624" t="s">
        <v>7630</v>
      </c>
      <c r="C314" s="3608" t="s">
        <v>3056</v>
      </c>
      <c r="D314" s="3608">
        <v>-1</v>
      </c>
      <c r="E314" s="3608">
        <v>158</v>
      </c>
      <c r="F314" s="3608">
        <v>56.32</v>
      </c>
      <c r="G314" s="3608" t="s">
        <v>1378</v>
      </c>
      <c r="H314" s="3633">
        <f ca="1">'典型户型修正(先权重后修正)'!$R$29</f>
        <v>17533</v>
      </c>
      <c r="I314" s="3634">
        <f t="shared" ca="1" si="10"/>
        <v>98.75</v>
      </c>
    </row>
    <row r="315" spans="1:9">
      <c r="A315" s="3615">
        <v>313</v>
      </c>
      <c r="B315" s="3624" t="s">
        <v>7631</v>
      </c>
      <c r="C315" s="3608" t="s">
        <v>3056</v>
      </c>
      <c r="D315" s="3608">
        <v>-2</v>
      </c>
      <c r="E315" s="3608">
        <v>173</v>
      </c>
      <c r="F315" s="3608">
        <v>47.77</v>
      </c>
      <c r="G315" s="3608" t="s">
        <v>1378</v>
      </c>
      <c r="H315" s="3633">
        <f ca="1">'典型户型修正(先权重后修正)'!$R$30</f>
        <v>14026</v>
      </c>
      <c r="I315" s="3634">
        <f t="shared" ca="1" si="10"/>
        <v>67</v>
      </c>
    </row>
    <row r="316" spans="1:9">
      <c r="A316" s="3615">
        <v>314</v>
      </c>
      <c r="B316" s="3624" t="s">
        <v>7632</v>
      </c>
      <c r="C316" s="3608" t="s">
        <v>3056</v>
      </c>
      <c r="D316" s="3608">
        <v>-2</v>
      </c>
      <c r="E316" s="3608">
        <v>175</v>
      </c>
      <c r="F316" s="3608">
        <v>101.56</v>
      </c>
      <c r="G316" s="3608" t="s">
        <v>1378</v>
      </c>
      <c r="H316" s="3633">
        <f ca="1">'典型户型修正(先权重后修正)'!$R$30</f>
        <v>14026</v>
      </c>
      <c r="I316" s="3634">
        <f t="shared" ca="1" si="10"/>
        <v>142.44999999999999</v>
      </c>
    </row>
    <row r="317" spans="1:9">
      <c r="A317" s="3615">
        <v>315</v>
      </c>
      <c r="B317" s="3624" t="s">
        <v>7633</v>
      </c>
      <c r="C317" s="3608" t="s">
        <v>3056</v>
      </c>
      <c r="D317" s="3608">
        <v>-2</v>
      </c>
      <c r="E317" s="3608">
        <v>176</v>
      </c>
      <c r="F317" s="3608">
        <v>69.599999999999994</v>
      </c>
      <c r="G317" s="3608" t="s">
        <v>1378</v>
      </c>
      <c r="H317" s="3633">
        <f ca="1">'典型户型修正(先权重后修正)'!$R$30</f>
        <v>14026</v>
      </c>
      <c r="I317" s="3634">
        <f t="shared" ca="1" si="10"/>
        <v>97.62</v>
      </c>
    </row>
    <row r="318" spans="1:9">
      <c r="A318" s="3615">
        <v>316</v>
      </c>
      <c r="B318" s="3624" t="s">
        <v>7634</v>
      </c>
      <c r="C318" s="3608" t="s">
        <v>3056</v>
      </c>
      <c r="D318" s="3608">
        <v>-2</v>
      </c>
      <c r="E318" s="3608">
        <v>177</v>
      </c>
      <c r="F318" s="3608">
        <v>104.6</v>
      </c>
      <c r="G318" s="3608" t="s">
        <v>1378</v>
      </c>
      <c r="H318" s="3633">
        <f ca="1">'典型户型修正(先权重后修正)'!$R$30</f>
        <v>14026</v>
      </c>
      <c r="I318" s="3634">
        <f t="shared" ca="1" si="10"/>
        <v>146.71</v>
      </c>
    </row>
    <row r="319" spans="1:9">
      <c r="A319" s="3615">
        <v>317</v>
      </c>
      <c r="B319" s="3624" t="s">
        <v>7635</v>
      </c>
      <c r="C319" s="3608" t="s">
        <v>3056</v>
      </c>
      <c r="D319" s="3608">
        <v>-2</v>
      </c>
      <c r="E319" s="3608">
        <v>178</v>
      </c>
      <c r="F319" s="3608">
        <v>83.73</v>
      </c>
      <c r="G319" s="3608" t="s">
        <v>1378</v>
      </c>
      <c r="H319" s="3633">
        <f ca="1">'典型户型修正(先权重后修正)'!$R$30</f>
        <v>14026</v>
      </c>
      <c r="I319" s="3634">
        <f t="shared" ca="1" si="10"/>
        <v>117.44</v>
      </c>
    </row>
    <row r="320" spans="1:9">
      <c r="A320" s="3615">
        <v>318</v>
      </c>
      <c r="B320" s="3624" t="s">
        <v>7636</v>
      </c>
      <c r="C320" s="3608" t="s">
        <v>3056</v>
      </c>
      <c r="D320" s="3608">
        <v>-2</v>
      </c>
      <c r="E320" s="3608">
        <v>185</v>
      </c>
      <c r="F320" s="3608">
        <v>76.78</v>
      </c>
      <c r="G320" s="3608" t="s">
        <v>1378</v>
      </c>
      <c r="H320" s="3633">
        <f ca="1">'典型户型修正(先权重后修正)'!$R$30</f>
        <v>14026</v>
      </c>
      <c r="I320" s="3634">
        <f t="shared" ca="1" si="10"/>
        <v>107.69</v>
      </c>
    </row>
    <row r="321" spans="1:9">
      <c r="A321" s="3615">
        <v>319</v>
      </c>
      <c r="B321" s="3624" t="s">
        <v>7637</v>
      </c>
      <c r="C321" s="3608" t="s">
        <v>3056</v>
      </c>
      <c r="D321" s="3608">
        <v>-2</v>
      </c>
      <c r="E321" s="3608">
        <v>186</v>
      </c>
      <c r="F321" s="3608">
        <v>75.790000000000006</v>
      </c>
      <c r="G321" s="3608" t="s">
        <v>1378</v>
      </c>
      <c r="H321" s="3633">
        <f ca="1">'典型户型修正(先权重后修正)'!$R$30</f>
        <v>14026</v>
      </c>
      <c r="I321" s="3634">
        <f t="shared" ca="1" si="10"/>
        <v>106.3</v>
      </c>
    </row>
    <row r="322" spans="1:9">
      <c r="A322" s="3615">
        <v>320</v>
      </c>
      <c r="B322" s="3624" t="s">
        <v>7638</v>
      </c>
      <c r="C322" s="3608" t="s">
        <v>3057</v>
      </c>
      <c r="D322" s="3608">
        <v>1</v>
      </c>
      <c r="E322" s="3608">
        <v>22</v>
      </c>
      <c r="F322" s="3608">
        <v>70.260000000000005</v>
      </c>
      <c r="G322" s="3608" t="s">
        <v>1378</v>
      </c>
      <c r="H322" s="3633">
        <f ca="1">'典型户型修正(先权重后修正)'!$R$24</f>
        <v>35065</v>
      </c>
      <c r="I322" s="3634">
        <f t="shared" ref="I322:I374" ca="1" si="11">ROUND(H322*F322/10000,2)</f>
        <v>246.37</v>
      </c>
    </row>
    <row r="323" spans="1:9">
      <c r="A323" s="3615">
        <v>321</v>
      </c>
      <c r="B323" s="3624" t="s">
        <v>7639</v>
      </c>
      <c r="C323" s="3608" t="s">
        <v>3057</v>
      </c>
      <c r="D323" s="3608">
        <v>1</v>
      </c>
      <c r="E323" s="3608">
        <v>151</v>
      </c>
      <c r="F323" s="3608">
        <v>81.45</v>
      </c>
      <c r="G323" s="3608" t="s">
        <v>1378</v>
      </c>
      <c r="H323" s="3633">
        <f ca="1">'典型户型修正(先权重后修正)'!$R$24</f>
        <v>35065</v>
      </c>
      <c r="I323" s="3634">
        <f t="shared" ca="1" si="11"/>
        <v>285.60000000000002</v>
      </c>
    </row>
    <row r="324" spans="1:9">
      <c r="A324" s="3615">
        <v>322</v>
      </c>
      <c r="B324" s="3624" t="s">
        <v>7640</v>
      </c>
      <c r="C324" s="3608" t="s">
        <v>3057</v>
      </c>
      <c r="D324" s="3608">
        <v>1</v>
      </c>
      <c r="E324" s="3608">
        <v>152</v>
      </c>
      <c r="F324" s="3608">
        <v>38.130000000000003</v>
      </c>
      <c r="G324" s="3608" t="s">
        <v>1378</v>
      </c>
      <c r="H324" s="3633">
        <f ca="1">'典型户型修正(先权重后修正)'!$R$24</f>
        <v>35065</v>
      </c>
      <c r="I324" s="3634">
        <f t="shared" ca="1" si="11"/>
        <v>133.69999999999999</v>
      </c>
    </row>
    <row r="325" spans="1:9">
      <c r="A325" s="3615">
        <v>323</v>
      </c>
      <c r="B325" s="3624" t="s">
        <v>7641</v>
      </c>
      <c r="C325" s="3608" t="s">
        <v>3057</v>
      </c>
      <c r="D325" s="3608">
        <v>1</v>
      </c>
      <c r="E325" s="3608">
        <v>13</v>
      </c>
      <c r="F325" s="3608">
        <v>63.95</v>
      </c>
      <c r="G325" s="3608" t="s">
        <v>1378</v>
      </c>
      <c r="H325" s="3633">
        <f ca="1">'典型户型修正(先权重后修正)'!$R$24</f>
        <v>35065</v>
      </c>
      <c r="I325" s="3634">
        <f t="shared" ca="1" si="11"/>
        <v>224.24</v>
      </c>
    </row>
    <row r="326" spans="1:9">
      <c r="A326" s="3615">
        <v>324</v>
      </c>
      <c r="B326" s="3624" t="s">
        <v>7642</v>
      </c>
      <c r="C326" s="3608" t="s">
        <v>3057</v>
      </c>
      <c r="D326" s="3608">
        <v>1</v>
      </c>
      <c r="E326" s="3608">
        <v>15</v>
      </c>
      <c r="F326" s="3608">
        <v>67.86</v>
      </c>
      <c r="G326" s="3608" t="s">
        <v>1378</v>
      </c>
      <c r="H326" s="3633">
        <f ca="1">'典型户型修正(先权重后修正)'!$R$24</f>
        <v>35065</v>
      </c>
      <c r="I326" s="3634">
        <f t="shared" ca="1" si="11"/>
        <v>237.95</v>
      </c>
    </row>
    <row r="327" spans="1:9">
      <c r="A327" s="3615">
        <v>325</v>
      </c>
      <c r="B327" s="3624" t="s">
        <v>7643</v>
      </c>
      <c r="C327" s="3608" t="s">
        <v>3057</v>
      </c>
      <c r="D327" s="3608">
        <v>1</v>
      </c>
      <c r="E327" s="3608">
        <v>71</v>
      </c>
      <c r="F327" s="3608">
        <v>128.85</v>
      </c>
      <c r="G327" s="3608" t="s">
        <v>1378</v>
      </c>
      <c r="H327" s="3633">
        <f ca="1">'典型户型修正(先权重后修正)'!$R$24</f>
        <v>35065</v>
      </c>
      <c r="I327" s="3634">
        <f t="shared" ca="1" si="11"/>
        <v>451.81</v>
      </c>
    </row>
    <row r="328" spans="1:9">
      <c r="A328" s="3615">
        <v>326</v>
      </c>
      <c r="B328" s="3624" t="s">
        <v>7644</v>
      </c>
      <c r="C328" s="3608" t="s">
        <v>3057</v>
      </c>
      <c r="D328" s="3608">
        <v>1</v>
      </c>
      <c r="E328" s="3608">
        <v>75</v>
      </c>
      <c r="F328" s="3608">
        <v>138.1</v>
      </c>
      <c r="G328" s="3608" t="s">
        <v>1378</v>
      </c>
      <c r="H328" s="3633">
        <f ca="1">'典型户型修正(先权重后修正)'!$R$24</f>
        <v>35065</v>
      </c>
      <c r="I328" s="3634">
        <f t="shared" ca="1" si="11"/>
        <v>484.25</v>
      </c>
    </row>
    <row r="329" spans="1:9">
      <c r="A329" s="3615">
        <v>327</v>
      </c>
      <c r="B329" s="3624" t="s">
        <v>7645</v>
      </c>
      <c r="C329" s="3608" t="s">
        <v>3057</v>
      </c>
      <c r="D329" s="3608">
        <v>1</v>
      </c>
      <c r="E329" s="3608">
        <v>78</v>
      </c>
      <c r="F329" s="3608">
        <v>113.95</v>
      </c>
      <c r="G329" s="3608" t="s">
        <v>1378</v>
      </c>
      <c r="H329" s="3633">
        <f ca="1">'典型户型修正(先权重后修正)'!$R$24</f>
        <v>35065</v>
      </c>
      <c r="I329" s="3634">
        <f t="shared" ca="1" si="11"/>
        <v>399.57</v>
      </c>
    </row>
    <row r="330" spans="1:9">
      <c r="A330" s="3615">
        <v>328</v>
      </c>
      <c r="B330" s="3624" t="s">
        <v>7646</v>
      </c>
      <c r="C330" s="3608" t="s">
        <v>3057</v>
      </c>
      <c r="D330" s="3608">
        <v>1</v>
      </c>
      <c r="E330" s="3608">
        <v>80</v>
      </c>
      <c r="F330" s="3608">
        <v>65.540000000000006</v>
      </c>
      <c r="G330" s="3608" t="s">
        <v>1378</v>
      </c>
      <c r="H330" s="3633">
        <f ca="1">'典型户型修正(先权重后修正)'!$R$24</f>
        <v>35065</v>
      </c>
      <c r="I330" s="3634">
        <f t="shared" ca="1" si="11"/>
        <v>229.82</v>
      </c>
    </row>
    <row r="331" spans="1:9">
      <c r="A331" s="3615">
        <v>329</v>
      </c>
      <c r="B331" s="3624" t="s">
        <v>7647</v>
      </c>
      <c r="C331" s="3608" t="s">
        <v>3057</v>
      </c>
      <c r="D331" s="3608">
        <v>1</v>
      </c>
      <c r="E331" s="3608">
        <v>81</v>
      </c>
      <c r="F331" s="3608">
        <v>129.52000000000001</v>
      </c>
      <c r="G331" s="3608" t="s">
        <v>1378</v>
      </c>
      <c r="H331" s="3633">
        <f ca="1">'典型户型修正(先权重后修正)'!$R$24</f>
        <v>35065</v>
      </c>
      <c r="I331" s="3634">
        <f t="shared" ca="1" si="11"/>
        <v>454.16</v>
      </c>
    </row>
    <row r="332" spans="1:9">
      <c r="A332" s="3615">
        <v>330</v>
      </c>
      <c r="B332" s="3624" t="s">
        <v>7648</v>
      </c>
      <c r="C332" s="3608" t="s">
        <v>3057</v>
      </c>
      <c r="D332" s="3608">
        <v>1</v>
      </c>
      <c r="E332" s="3608">
        <v>143</v>
      </c>
      <c r="F332" s="3608">
        <v>69.94</v>
      </c>
      <c r="G332" s="3608" t="s">
        <v>1378</v>
      </c>
      <c r="H332" s="3633">
        <f ca="1">'典型户型修正(先权重后修正)'!$R$24</f>
        <v>35065</v>
      </c>
      <c r="I332" s="3634">
        <f t="shared" ca="1" si="11"/>
        <v>245.24</v>
      </c>
    </row>
    <row r="333" spans="1:9">
      <c r="A333" s="3615">
        <v>331</v>
      </c>
      <c r="B333" s="3615" t="s">
        <v>7649</v>
      </c>
      <c r="C333" s="3616" t="s">
        <v>3057</v>
      </c>
      <c r="D333" s="3616">
        <v>1</v>
      </c>
      <c r="E333" s="3616">
        <v>145</v>
      </c>
      <c r="F333" s="3616">
        <v>154.38</v>
      </c>
      <c r="G333" s="3616" t="s">
        <v>1378</v>
      </c>
      <c r="H333" s="3633">
        <f ca="1">'典型户型修正(先权重后修正)'!$R$24</f>
        <v>35065</v>
      </c>
      <c r="I333" s="3634">
        <f t="shared" ca="1" si="11"/>
        <v>541.33000000000004</v>
      </c>
    </row>
    <row r="334" spans="1:9">
      <c r="A334" s="3615">
        <v>332</v>
      </c>
      <c r="B334" s="3615" t="s">
        <v>7650</v>
      </c>
      <c r="C334" s="3616" t="s">
        <v>3057</v>
      </c>
      <c r="D334" s="3616">
        <v>1</v>
      </c>
      <c r="E334" s="3616">
        <v>146</v>
      </c>
      <c r="F334" s="3616">
        <v>106.5</v>
      </c>
      <c r="G334" s="3616" t="s">
        <v>1378</v>
      </c>
      <c r="H334" s="3633">
        <f ca="1">'典型户型修正(先权重后修正)'!$R$24</f>
        <v>35065</v>
      </c>
      <c r="I334" s="3634">
        <f t="shared" ca="1" si="11"/>
        <v>373.44</v>
      </c>
    </row>
    <row r="335" spans="1:9">
      <c r="A335" s="3615">
        <v>333</v>
      </c>
      <c r="B335" s="3615" t="s">
        <v>7651</v>
      </c>
      <c r="C335" s="3616" t="s">
        <v>3057</v>
      </c>
      <c r="D335" s="3616">
        <v>1</v>
      </c>
      <c r="E335" s="3616">
        <v>147</v>
      </c>
      <c r="F335" s="3616">
        <v>106.5</v>
      </c>
      <c r="G335" s="3616" t="s">
        <v>1378</v>
      </c>
      <c r="H335" s="3633">
        <f ca="1">'典型户型修正(先权重后修正)'!$R$24</f>
        <v>35065</v>
      </c>
      <c r="I335" s="3634">
        <f t="shared" ca="1" si="11"/>
        <v>373.44</v>
      </c>
    </row>
    <row r="336" spans="1:9">
      <c r="A336" s="3615">
        <v>334</v>
      </c>
      <c r="B336" s="3615" t="s">
        <v>7652</v>
      </c>
      <c r="C336" s="3616" t="s">
        <v>3057</v>
      </c>
      <c r="D336" s="3616">
        <v>1</v>
      </c>
      <c r="E336" s="3616">
        <v>148</v>
      </c>
      <c r="F336" s="3616">
        <v>106.67</v>
      </c>
      <c r="G336" s="3616" t="s">
        <v>1378</v>
      </c>
      <c r="H336" s="3633">
        <f ca="1">'典型户型修正(先权重后修正)'!$R$24</f>
        <v>35065</v>
      </c>
      <c r="I336" s="3634">
        <f t="shared" ca="1" si="11"/>
        <v>374.04</v>
      </c>
    </row>
    <row r="337" spans="1:9">
      <c r="A337" s="3615">
        <v>335</v>
      </c>
      <c r="B337" s="3615" t="s">
        <v>7653</v>
      </c>
      <c r="C337" s="3616" t="s">
        <v>3057</v>
      </c>
      <c r="D337" s="3616">
        <v>1</v>
      </c>
      <c r="E337" s="3616">
        <v>149</v>
      </c>
      <c r="F337" s="3616">
        <v>103.44</v>
      </c>
      <c r="G337" s="3616" t="s">
        <v>1378</v>
      </c>
      <c r="H337" s="3633">
        <f ca="1">'典型户型修正(先权重后修正)'!$R$24</f>
        <v>35065</v>
      </c>
      <c r="I337" s="3634">
        <f t="shared" ca="1" si="11"/>
        <v>362.71</v>
      </c>
    </row>
    <row r="338" spans="1:9">
      <c r="A338" s="3615">
        <v>336</v>
      </c>
      <c r="B338" s="3615" t="s">
        <v>7654</v>
      </c>
      <c r="C338" s="3616" t="s">
        <v>3057</v>
      </c>
      <c r="D338" s="3616">
        <v>1</v>
      </c>
      <c r="E338" s="3616">
        <v>150</v>
      </c>
      <c r="F338" s="3616">
        <v>109.92</v>
      </c>
      <c r="G338" s="3616" t="s">
        <v>1378</v>
      </c>
      <c r="H338" s="3633">
        <f ca="1">'典型户型修正(先权重后修正)'!$R$24</f>
        <v>35065</v>
      </c>
      <c r="I338" s="3634">
        <f t="shared" ca="1" si="11"/>
        <v>385.43</v>
      </c>
    </row>
    <row r="339" spans="1:9">
      <c r="A339" s="3615">
        <v>337</v>
      </c>
      <c r="B339" s="3615" t="s">
        <v>7655</v>
      </c>
      <c r="C339" s="3616" t="s">
        <v>3057</v>
      </c>
      <c r="D339" s="3616">
        <v>1</v>
      </c>
      <c r="E339" s="3616">
        <v>155</v>
      </c>
      <c r="F339" s="3616">
        <v>91.42</v>
      </c>
      <c r="G339" s="3616" t="s">
        <v>1378</v>
      </c>
      <c r="H339" s="3633">
        <f ca="1">'典型户型修正(先权重后修正)'!$R$24</f>
        <v>35065</v>
      </c>
      <c r="I339" s="3634">
        <f t="shared" ca="1" si="11"/>
        <v>320.56</v>
      </c>
    </row>
    <row r="340" spans="1:9">
      <c r="A340" s="3615">
        <v>338</v>
      </c>
      <c r="B340" s="3615" t="s">
        <v>7656</v>
      </c>
      <c r="C340" s="3616" t="s">
        <v>3057</v>
      </c>
      <c r="D340" s="3616">
        <v>1</v>
      </c>
      <c r="E340" s="3616">
        <v>156</v>
      </c>
      <c r="F340" s="3616">
        <v>162.84</v>
      </c>
      <c r="G340" s="3616" t="s">
        <v>1378</v>
      </c>
      <c r="H340" s="3633">
        <f ca="1">'典型户型修正(先权重后修正)'!$R$24</f>
        <v>35065</v>
      </c>
      <c r="I340" s="3634">
        <f t="shared" ca="1" si="11"/>
        <v>571</v>
      </c>
    </row>
    <row r="341" spans="1:9">
      <c r="A341" s="3615">
        <v>339</v>
      </c>
      <c r="B341" s="3615" t="s">
        <v>7657</v>
      </c>
      <c r="C341" s="3616" t="s">
        <v>3057</v>
      </c>
      <c r="D341" s="3616">
        <v>1</v>
      </c>
      <c r="E341" s="3616">
        <v>157</v>
      </c>
      <c r="F341" s="3616">
        <v>51.15</v>
      </c>
      <c r="G341" s="3616" t="s">
        <v>1378</v>
      </c>
      <c r="H341" s="3633">
        <f ca="1">'典型户型修正(先权重后修正)'!$R$24</f>
        <v>35065</v>
      </c>
      <c r="I341" s="3634">
        <f t="shared" ca="1" si="11"/>
        <v>179.36</v>
      </c>
    </row>
    <row r="342" spans="1:9">
      <c r="A342" s="3615">
        <v>340</v>
      </c>
      <c r="B342" s="3615" t="s">
        <v>7658</v>
      </c>
      <c r="C342" s="3616" t="s">
        <v>3057</v>
      </c>
      <c r="D342" s="3616">
        <v>1</v>
      </c>
      <c r="E342" s="3616">
        <v>158</v>
      </c>
      <c r="F342" s="3616">
        <v>18.11</v>
      </c>
      <c r="G342" s="3616" t="s">
        <v>1378</v>
      </c>
      <c r="H342" s="3633">
        <f ca="1">'典型户型修正(先权重后修正)'!$R$24</f>
        <v>35065</v>
      </c>
      <c r="I342" s="3634">
        <f t="shared" ca="1" si="11"/>
        <v>63.5</v>
      </c>
    </row>
    <row r="343" spans="1:9">
      <c r="A343" s="3615">
        <v>341</v>
      </c>
      <c r="B343" s="3615" t="s">
        <v>7659</v>
      </c>
      <c r="C343" s="3616" t="s">
        <v>3057</v>
      </c>
      <c r="D343" s="3616">
        <v>1</v>
      </c>
      <c r="E343" s="3616">
        <v>159</v>
      </c>
      <c r="F343" s="3616">
        <v>117.83</v>
      </c>
      <c r="G343" s="3616" t="s">
        <v>1378</v>
      </c>
      <c r="H343" s="3633">
        <f ca="1">'典型户型修正(先权重后修正)'!$R$24</f>
        <v>35065</v>
      </c>
      <c r="I343" s="3634">
        <f t="shared" ca="1" si="11"/>
        <v>413.17</v>
      </c>
    </row>
    <row r="344" spans="1:9">
      <c r="A344" s="3615">
        <v>342</v>
      </c>
      <c r="B344" s="3615" t="s">
        <v>7660</v>
      </c>
      <c r="C344" s="3616" t="s">
        <v>3057</v>
      </c>
      <c r="D344" s="3616">
        <v>1</v>
      </c>
      <c r="E344" s="3616">
        <v>160</v>
      </c>
      <c r="F344" s="3616">
        <v>57.6</v>
      </c>
      <c r="G344" s="3616" t="s">
        <v>1378</v>
      </c>
      <c r="H344" s="3633">
        <f ca="1">'典型户型修正(先权重后修正)'!$R$24</f>
        <v>35065</v>
      </c>
      <c r="I344" s="3634">
        <f t="shared" ca="1" si="11"/>
        <v>201.97</v>
      </c>
    </row>
    <row r="345" spans="1:9">
      <c r="A345" s="3615">
        <v>343</v>
      </c>
      <c r="B345" s="3615" t="s">
        <v>7661</v>
      </c>
      <c r="C345" s="3616" t="s">
        <v>3057</v>
      </c>
      <c r="D345" s="3616">
        <v>1</v>
      </c>
      <c r="E345" s="3616">
        <v>161</v>
      </c>
      <c r="F345" s="3616">
        <v>100.72</v>
      </c>
      <c r="G345" s="3616" t="s">
        <v>1378</v>
      </c>
      <c r="H345" s="3633">
        <f ca="1">'典型户型修正(先权重后修正)'!$R$24</f>
        <v>35065</v>
      </c>
      <c r="I345" s="3634">
        <f t="shared" ca="1" si="11"/>
        <v>353.17</v>
      </c>
    </row>
    <row r="346" spans="1:9">
      <c r="A346" s="3615">
        <v>344</v>
      </c>
      <c r="B346" s="3615" t="s">
        <v>7662</v>
      </c>
      <c r="C346" s="3616" t="s">
        <v>3057</v>
      </c>
      <c r="D346" s="3616">
        <v>-1</v>
      </c>
      <c r="E346" s="3616">
        <v>286</v>
      </c>
      <c r="F346" s="3616">
        <v>74.37</v>
      </c>
      <c r="G346" s="3616" t="s">
        <v>1378</v>
      </c>
      <c r="H346" s="3633">
        <f ca="1">'典型户型修正(先权重后修正)'!$R$29</f>
        <v>17533</v>
      </c>
      <c r="I346" s="3634">
        <f t="shared" ca="1" si="11"/>
        <v>130.38999999999999</v>
      </c>
    </row>
    <row r="347" spans="1:9">
      <c r="A347" s="3615">
        <v>345</v>
      </c>
      <c r="B347" s="3615" t="s">
        <v>7663</v>
      </c>
      <c r="C347" s="3616" t="s">
        <v>3057</v>
      </c>
      <c r="D347" s="3616">
        <v>-1</v>
      </c>
      <c r="E347" s="3616">
        <v>287</v>
      </c>
      <c r="F347" s="3616">
        <v>75.97</v>
      </c>
      <c r="G347" s="3616" t="s">
        <v>1378</v>
      </c>
      <c r="H347" s="3633">
        <f ca="1">'典型户型修正(先权重后修正)'!$R$29</f>
        <v>17533</v>
      </c>
      <c r="I347" s="3634">
        <f t="shared" ca="1" si="11"/>
        <v>133.19999999999999</v>
      </c>
    </row>
    <row r="348" spans="1:9">
      <c r="A348" s="3615">
        <v>346</v>
      </c>
      <c r="B348" s="3624" t="s">
        <v>7664</v>
      </c>
      <c r="C348" s="3608" t="s">
        <v>3057</v>
      </c>
      <c r="D348" s="3608">
        <v>-1</v>
      </c>
      <c r="E348" s="3608">
        <v>288</v>
      </c>
      <c r="F348" s="3608">
        <v>76</v>
      </c>
      <c r="G348" s="3608" t="s">
        <v>1378</v>
      </c>
      <c r="H348" s="3633">
        <f ca="1">'典型户型修正(先权重后修正)'!$R$29</f>
        <v>17533</v>
      </c>
      <c r="I348" s="3634">
        <f t="shared" ca="1" si="11"/>
        <v>133.25</v>
      </c>
    </row>
    <row r="349" spans="1:9">
      <c r="A349" s="3615">
        <v>347</v>
      </c>
      <c r="B349" s="3624" t="s">
        <v>7665</v>
      </c>
      <c r="C349" s="3608" t="s">
        <v>3057</v>
      </c>
      <c r="D349" s="3608">
        <v>-1</v>
      </c>
      <c r="E349" s="3608">
        <v>289</v>
      </c>
      <c r="F349" s="3608">
        <v>76.03</v>
      </c>
      <c r="G349" s="3608" t="s">
        <v>1378</v>
      </c>
      <c r="H349" s="3633">
        <f ca="1">'典型户型修正(先权重后修正)'!$R$29</f>
        <v>17533</v>
      </c>
      <c r="I349" s="3634">
        <f t="shared" ca="1" si="11"/>
        <v>133.30000000000001</v>
      </c>
    </row>
    <row r="350" spans="1:9">
      <c r="A350" s="3615">
        <v>348</v>
      </c>
      <c r="B350" s="3624" t="s">
        <v>7666</v>
      </c>
      <c r="C350" s="3608" t="s">
        <v>3057</v>
      </c>
      <c r="D350" s="3608">
        <v>-1</v>
      </c>
      <c r="E350" s="3608">
        <v>290</v>
      </c>
      <c r="F350" s="3608">
        <v>76.06</v>
      </c>
      <c r="G350" s="3608" t="s">
        <v>1378</v>
      </c>
      <c r="H350" s="3633">
        <f ca="1">'典型户型修正(先权重后修正)'!$R$29</f>
        <v>17533</v>
      </c>
      <c r="I350" s="3634">
        <f t="shared" ca="1" si="11"/>
        <v>133.36000000000001</v>
      </c>
    </row>
    <row r="351" spans="1:9">
      <c r="A351" s="3615">
        <v>349</v>
      </c>
      <c r="B351" s="3624" t="s">
        <v>7667</v>
      </c>
      <c r="C351" s="3608" t="s">
        <v>3057</v>
      </c>
      <c r="D351" s="3608">
        <v>-1</v>
      </c>
      <c r="E351" s="3608">
        <v>291</v>
      </c>
      <c r="F351" s="3608">
        <v>76.09</v>
      </c>
      <c r="G351" s="3608" t="s">
        <v>1378</v>
      </c>
      <c r="H351" s="3633">
        <f ca="1">'典型户型修正(先权重后修正)'!$R$29</f>
        <v>17533</v>
      </c>
      <c r="I351" s="3634">
        <f t="shared" ca="1" si="11"/>
        <v>133.41</v>
      </c>
    </row>
    <row r="352" spans="1:9">
      <c r="A352" s="3615">
        <v>350</v>
      </c>
      <c r="B352" s="3624" t="s">
        <v>7668</v>
      </c>
      <c r="C352" s="3608" t="s">
        <v>3057</v>
      </c>
      <c r="D352" s="3608">
        <v>-1</v>
      </c>
      <c r="E352" s="3608">
        <v>292</v>
      </c>
      <c r="F352" s="3608">
        <v>76.12</v>
      </c>
      <c r="G352" s="3608" t="s">
        <v>1378</v>
      </c>
      <c r="H352" s="3633">
        <f ca="1">'典型户型修正(先权重后修正)'!$R$29</f>
        <v>17533</v>
      </c>
      <c r="I352" s="3634">
        <f t="shared" ca="1" si="11"/>
        <v>133.46</v>
      </c>
    </row>
    <row r="353" spans="1:9">
      <c r="A353" s="3615">
        <v>351</v>
      </c>
      <c r="B353" s="3624" t="s">
        <v>7669</v>
      </c>
      <c r="C353" s="3608" t="s">
        <v>3057</v>
      </c>
      <c r="D353" s="3608">
        <v>-1</v>
      </c>
      <c r="E353" s="3608">
        <v>293</v>
      </c>
      <c r="F353" s="3608">
        <v>76.150000000000006</v>
      </c>
      <c r="G353" s="3608" t="s">
        <v>1378</v>
      </c>
      <c r="H353" s="3633">
        <f ca="1">'典型户型修正(先权重后修正)'!$R$29</f>
        <v>17533</v>
      </c>
      <c r="I353" s="3634">
        <f t="shared" ca="1" si="11"/>
        <v>133.51</v>
      </c>
    </row>
    <row r="354" spans="1:9">
      <c r="A354" s="3615">
        <v>352</v>
      </c>
      <c r="B354" s="3624" t="s">
        <v>7670</v>
      </c>
      <c r="C354" s="3608" t="s">
        <v>3057</v>
      </c>
      <c r="D354" s="3608">
        <v>-1</v>
      </c>
      <c r="E354" s="3608">
        <v>295</v>
      </c>
      <c r="F354" s="3608">
        <v>76.19</v>
      </c>
      <c r="G354" s="3608" t="s">
        <v>1378</v>
      </c>
      <c r="H354" s="3633">
        <f ca="1">'典型户型修正(先权重后修正)'!$R$29</f>
        <v>17533</v>
      </c>
      <c r="I354" s="3634">
        <f t="shared" ca="1" si="11"/>
        <v>133.58000000000001</v>
      </c>
    </row>
    <row r="355" spans="1:9">
      <c r="A355" s="3615">
        <v>353</v>
      </c>
      <c r="B355" s="3624" t="s">
        <v>7671</v>
      </c>
      <c r="C355" s="3608" t="s">
        <v>3057</v>
      </c>
      <c r="D355" s="3608">
        <v>-1</v>
      </c>
      <c r="E355" s="3608">
        <v>299</v>
      </c>
      <c r="F355" s="3608">
        <v>23.08</v>
      </c>
      <c r="G355" s="3608" t="s">
        <v>1378</v>
      </c>
      <c r="H355" s="3633">
        <f ca="1">'典型户型修正(先权重后修正)'!$R$29</f>
        <v>17533</v>
      </c>
      <c r="I355" s="3634">
        <f t="shared" ca="1" si="11"/>
        <v>40.47</v>
      </c>
    </row>
    <row r="356" spans="1:9">
      <c r="A356" s="3615">
        <v>354</v>
      </c>
      <c r="B356" s="3624" t="s">
        <v>7672</v>
      </c>
      <c r="C356" s="3608" t="s">
        <v>3057</v>
      </c>
      <c r="D356" s="3608">
        <v>-1</v>
      </c>
      <c r="E356" s="3608">
        <v>300</v>
      </c>
      <c r="F356" s="3608">
        <v>21.46</v>
      </c>
      <c r="G356" s="3608" t="s">
        <v>1378</v>
      </c>
      <c r="H356" s="3633">
        <f ca="1">'典型户型修正(先权重后修正)'!$R$29</f>
        <v>17533</v>
      </c>
      <c r="I356" s="3634">
        <f t="shared" ca="1" si="11"/>
        <v>37.630000000000003</v>
      </c>
    </row>
    <row r="357" spans="1:9">
      <c r="A357" s="3615">
        <v>355</v>
      </c>
      <c r="B357" s="3624" t="s">
        <v>7673</v>
      </c>
      <c r="C357" s="3608" t="s">
        <v>3057</v>
      </c>
      <c r="D357" s="3608">
        <v>-1</v>
      </c>
      <c r="E357" s="3608">
        <v>308</v>
      </c>
      <c r="F357" s="3608">
        <v>30.26</v>
      </c>
      <c r="G357" s="3608" t="s">
        <v>1378</v>
      </c>
      <c r="H357" s="3633">
        <f ca="1">'典型户型修正(先权重后修正)'!$R$29</f>
        <v>17533</v>
      </c>
      <c r="I357" s="3634">
        <f t="shared" ca="1" si="11"/>
        <v>53.05</v>
      </c>
    </row>
    <row r="358" spans="1:9">
      <c r="A358" s="3615">
        <v>356</v>
      </c>
      <c r="B358" s="3624" t="s">
        <v>7674</v>
      </c>
      <c r="C358" s="3608" t="s">
        <v>3057</v>
      </c>
      <c r="D358" s="3608">
        <v>-1</v>
      </c>
      <c r="E358" s="3608">
        <v>309</v>
      </c>
      <c r="F358" s="3608">
        <v>30.29</v>
      </c>
      <c r="G358" s="3608" t="s">
        <v>1378</v>
      </c>
      <c r="H358" s="3633">
        <f ca="1">'典型户型修正(先权重后修正)'!$R$29</f>
        <v>17533</v>
      </c>
      <c r="I358" s="3634">
        <f t="shared" ca="1" si="11"/>
        <v>53.11</v>
      </c>
    </row>
    <row r="359" spans="1:9">
      <c r="A359" s="3615">
        <v>357</v>
      </c>
      <c r="B359" s="3624" t="s">
        <v>7675</v>
      </c>
      <c r="C359" s="3608" t="s">
        <v>3057</v>
      </c>
      <c r="D359" s="3608">
        <v>-1</v>
      </c>
      <c r="E359" s="3608">
        <v>310</v>
      </c>
      <c r="F359" s="3608">
        <v>30.33</v>
      </c>
      <c r="G359" s="3608" t="s">
        <v>1378</v>
      </c>
      <c r="H359" s="3633">
        <f ca="1">'典型户型修正(先权重后修正)'!$R$29</f>
        <v>17533</v>
      </c>
      <c r="I359" s="3634">
        <f t="shared" ca="1" si="11"/>
        <v>53.18</v>
      </c>
    </row>
    <row r="360" spans="1:9">
      <c r="A360" s="3615">
        <v>358</v>
      </c>
      <c r="B360" s="3624" t="s">
        <v>7676</v>
      </c>
      <c r="C360" s="3608" t="s">
        <v>3057</v>
      </c>
      <c r="D360" s="3608">
        <v>-1</v>
      </c>
      <c r="E360" s="3608">
        <v>311</v>
      </c>
      <c r="F360" s="3608">
        <v>30.35</v>
      </c>
      <c r="G360" s="3608" t="s">
        <v>1378</v>
      </c>
      <c r="H360" s="3633">
        <f ca="1">'典型户型修正(先权重后修正)'!$R$29</f>
        <v>17533</v>
      </c>
      <c r="I360" s="3634">
        <f t="shared" ca="1" si="11"/>
        <v>53.21</v>
      </c>
    </row>
    <row r="361" spans="1:9">
      <c r="A361" s="3615">
        <v>359</v>
      </c>
      <c r="B361" s="3624" t="s">
        <v>7677</v>
      </c>
      <c r="C361" s="3608" t="s">
        <v>3057</v>
      </c>
      <c r="D361" s="3608">
        <v>-1</v>
      </c>
      <c r="E361" s="3608">
        <v>436</v>
      </c>
      <c r="F361" s="3608">
        <v>29.02</v>
      </c>
      <c r="G361" s="3608" t="s">
        <v>1378</v>
      </c>
      <c r="H361" s="3633">
        <f ca="1">'典型户型修正(先权重后修正)'!$R$29</f>
        <v>17533</v>
      </c>
      <c r="I361" s="3634">
        <f t="shared" ca="1" si="11"/>
        <v>50.88</v>
      </c>
    </row>
    <row r="362" spans="1:9">
      <c r="A362" s="3615">
        <v>360</v>
      </c>
      <c r="B362" s="3624" t="s">
        <v>7678</v>
      </c>
      <c r="C362" s="3608" t="s">
        <v>3057</v>
      </c>
      <c r="D362" s="3608">
        <v>-1</v>
      </c>
      <c r="E362" s="3608">
        <v>437</v>
      </c>
      <c r="F362" s="3608">
        <v>57.47</v>
      </c>
      <c r="G362" s="3608" t="s">
        <v>1378</v>
      </c>
      <c r="H362" s="3633">
        <f ca="1">'典型户型修正(先权重后修正)'!$R$29</f>
        <v>17533</v>
      </c>
      <c r="I362" s="3634">
        <f t="shared" ca="1" si="11"/>
        <v>100.76</v>
      </c>
    </row>
    <row r="363" spans="1:9">
      <c r="A363" s="3615">
        <v>361</v>
      </c>
      <c r="B363" s="3624" t="s">
        <v>7679</v>
      </c>
      <c r="C363" s="3608" t="s">
        <v>3057</v>
      </c>
      <c r="D363" s="3608">
        <v>-1</v>
      </c>
      <c r="E363" s="3608">
        <v>438</v>
      </c>
      <c r="F363" s="3608">
        <v>42.5</v>
      </c>
      <c r="G363" s="3608" t="s">
        <v>1378</v>
      </c>
      <c r="H363" s="3633">
        <f ca="1">'典型户型修正(先权重后修正)'!$R$29</f>
        <v>17533</v>
      </c>
      <c r="I363" s="3634">
        <f t="shared" ca="1" si="11"/>
        <v>74.52</v>
      </c>
    </row>
    <row r="364" spans="1:9">
      <c r="A364" s="3615">
        <v>362</v>
      </c>
      <c r="B364" s="3624" t="s">
        <v>7680</v>
      </c>
      <c r="C364" s="3608" t="s">
        <v>3057</v>
      </c>
      <c r="D364" s="3608">
        <v>-1</v>
      </c>
      <c r="E364" s="3608">
        <v>439</v>
      </c>
      <c r="F364" s="3608">
        <v>42.5</v>
      </c>
      <c r="G364" s="3608" t="s">
        <v>1378</v>
      </c>
      <c r="H364" s="3633">
        <f ca="1">'典型户型修正(先权重后修正)'!$R$29</f>
        <v>17533</v>
      </c>
      <c r="I364" s="3634">
        <f t="shared" ca="1" si="11"/>
        <v>74.52</v>
      </c>
    </row>
    <row r="365" spans="1:9">
      <c r="A365" s="3615">
        <v>363</v>
      </c>
      <c r="B365" s="3624" t="s">
        <v>7681</v>
      </c>
      <c r="C365" s="3608" t="s">
        <v>3057</v>
      </c>
      <c r="D365" s="3608">
        <v>-1</v>
      </c>
      <c r="E365" s="3608">
        <v>440</v>
      </c>
      <c r="F365" s="3608">
        <v>42.5</v>
      </c>
      <c r="G365" s="3608" t="s">
        <v>1378</v>
      </c>
      <c r="H365" s="3633">
        <f ca="1">'典型户型修正(先权重后修正)'!$R$29</f>
        <v>17533</v>
      </c>
      <c r="I365" s="3634">
        <f t="shared" ca="1" si="11"/>
        <v>74.52</v>
      </c>
    </row>
    <row r="366" spans="1:9">
      <c r="A366" s="3615">
        <v>364</v>
      </c>
      <c r="B366" s="3624" t="s">
        <v>7682</v>
      </c>
      <c r="C366" s="3608" t="s">
        <v>3057</v>
      </c>
      <c r="D366" s="3608">
        <v>-1</v>
      </c>
      <c r="E366" s="3608">
        <v>441</v>
      </c>
      <c r="F366" s="3608">
        <v>42.5</v>
      </c>
      <c r="G366" s="3608" t="s">
        <v>1378</v>
      </c>
      <c r="H366" s="3633">
        <f ca="1">'典型户型修正(先权重后修正)'!$R$29</f>
        <v>17533</v>
      </c>
      <c r="I366" s="3634">
        <f t="shared" ca="1" si="11"/>
        <v>74.52</v>
      </c>
    </row>
    <row r="367" spans="1:9">
      <c r="A367" s="3615">
        <v>365</v>
      </c>
      <c r="B367" s="3624" t="s">
        <v>7683</v>
      </c>
      <c r="C367" s="3608" t="s">
        <v>3057</v>
      </c>
      <c r="D367" s="3608">
        <v>-1</v>
      </c>
      <c r="E367" s="3608">
        <v>442</v>
      </c>
      <c r="F367" s="3608">
        <v>87.92</v>
      </c>
      <c r="G367" s="3608" t="s">
        <v>1378</v>
      </c>
      <c r="H367" s="3633">
        <f ca="1">'典型户型修正(先权重后修正)'!$R$29</f>
        <v>17533</v>
      </c>
      <c r="I367" s="3634">
        <f t="shared" ca="1" si="11"/>
        <v>154.15</v>
      </c>
    </row>
    <row r="368" spans="1:9">
      <c r="A368" s="3615">
        <v>366</v>
      </c>
      <c r="B368" s="3624" t="s">
        <v>7684</v>
      </c>
      <c r="C368" s="3608" t="s">
        <v>3057</v>
      </c>
      <c r="D368" s="3608">
        <v>-1</v>
      </c>
      <c r="E368" s="3608">
        <v>443</v>
      </c>
      <c r="F368" s="3608">
        <v>71.14</v>
      </c>
      <c r="G368" s="3608" t="s">
        <v>1378</v>
      </c>
      <c r="H368" s="3633">
        <f ca="1">'典型户型修正(先权重后修正)'!$R$29</f>
        <v>17533</v>
      </c>
      <c r="I368" s="3634">
        <f t="shared" ca="1" si="11"/>
        <v>124.73</v>
      </c>
    </row>
    <row r="369" spans="1:10">
      <c r="A369" s="3615">
        <v>367</v>
      </c>
      <c r="B369" s="3624" t="s">
        <v>7685</v>
      </c>
      <c r="C369" s="3608" t="s">
        <v>3057</v>
      </c>
      <c r="D369" s="3608">
        <v>-1</v>
      </c>
      <c r="E369" s="3608">
        <v>445</v>
      </c>
      <c r="F369" s="3608">
        <v>61.07</v>
      </c>
      <c r="G369" s="3608" t="s">
        <v>1378</v>
      </c>
      <c r="H369" s="3633">
        <f ca="1">'典型户型修正(先权重后修正)'!$R$29</f>
        <v>17533</v>
      </c>
      <c r="I369" s="3634">
        <f t="shared" ca="1" si="11"/>
        <v>107.07</v>
      </c>
    </row>
    <row r="370" spans="1:10">
      <c r="A370" s="3615">
        <v>368</v>
      </c>
      <c r="B370" s="3624" t="s">
        <v>7686</v>
      </c>
      <c r="C370" s="3608" t="s">
        <v>3057</v>
      </c>
      <c r="D370" s="3608">
        <v>-1</v>
      </c>
      <c r="E370" s="3608">
        <v>446</v>
      </c>
      <c r="F370" s="3608">
        <v>61.07</v>
      </c>
      <c r="G370" s="3608" t="s">
        <v>1378</v>
      </c>
      <c r="H370" s="3633">
        <f ca="1">'典型户型修正(先权重后修正)'!$R$29</f>
        <v>17533</v>
      </c>
      <c r="I370" s="3634">
        <f t="shared" ca="1" si="11"/>
        <v>107.07</v>
      </c>
    </row>
    <row r="371" spans="1:10">
      <c r="A371" s="3615">
        <v>369</v>
      </c>
      <c r="B371" s="3624" t="s">
        <v>7687</v>
      </c>
      <c r="C371" s="3608" t="s">
        <v>3057</v>
      </c>
      <c r="D371" s="3608">
        <v>-1</v>
      </c>
      <c r="E371" s="3608">
        <v>447</v>
      </c>
      <c r="F371" s="3608">
        <v>61.07</v>
      </c>
      <c r="G371" s="3608" t="s">
        <v>1378</v>
      </c>
      <c r="H371" s="3633">
        <f ca="1">'典型户型修正(先权重后修正)'!$R$29</f>
        <v>17533</v>
      </c>
      <c r="I371" s="3634">
        <f t="shared" ca="1" si="11"/>
        <v>107.07</v>
      </c>
    </row>
    <row r="372" spans="1:10">
      <c r="A372" s="3615">
        <v>370</v>
      </c>
      <c r="B372" s="3624" t="s">
        <v>7688</v>
      </c>
      <c r="C372" s="3608" t="s">
        <v>3057</v>
      </c>
      <c r="D372" s="3608">
        <v>-1</v>
      </c>
      <c r="E372" s="3608">
        <v>448</v>
      </c>
      <c r="F372" s="3608">
        <v>61.07</v>
      </c>
      <c r="G372" s="3608" t="s">
        <v>1378</v>
      </c>
      <c r="H372" s="3633">
        <f ca="1">'典型户型修正(先权重后修正)'!$R$29</f>
        <v>17533</v>
      </c>
      <c r="I372" s="3634">
        <f t="shared" ca="1" si="11"/>
        <v>107.07</v>
      </c>
    </row>
    <row r="373" spans="1:10">
      <c r="A373" s="3615">
        <v>371</v>
      </c>
      <c r="B373" s="3615" t="s">
        <v>7689</v>
      </c>
      <c r="C373" s="3616" t="s">
        <v>3057</v>
      </c>
      <c r="D373" s="3616">
        <v>-1</v>
      </c>
      <c r="E373" s="3616">
        <v>449</v>
      </c>
      <c r="F373" s="3616">
        <v>61.07</v>
      </c>
      <c r="G373" s="3616" t="s">
        <v>1378</v>
      </c>
      <c r="H373" s="3633">
        <f ca="1">'典型户型修正(先权重后修正)'!$R$29</f>
        <v>17533</v>
      </c>
      <c r="I373" s="3634">
        <f t="shared" ca="1" si="11"/>
        <v>107.07</v>
      </c>
    </row>
    <row r="374" spans="1:10">
      <c r="A374" s="3615">
        <v>372</v>
      </c>
      <c r="B374" s="3615" t="s">
        <v>7690</v>
      </c>
      <c r="C374" s="3616" t="s">
        <v>3057</v>
      </c>
      <c r="D374" s="3616">
        <v>-1</v>
      </c>
      <c r="E374" s="3616">
        <v>457</v>
      </c>
      <c r="F374" s="3616">
        <v>61.08</v>
      </c>
      <c r="G374" s="3616" t="s">
        <v>1378</v>
      </c>
      <c r="H374" s="3633">
        <f ca="1">'典型户型修正(先权重后修正)'!$R$29</f>
        <v>17533</v>
      </c>
      <c r="I374" s="3634">
        <f t="shared" ca="1" si="11"/>
        <v>107.09</v>
      </c>
    </row>
    <row r="375" spans="1:10">
      <c r="A375" s="3615">
        <v>373</v>
      </c>
      <c r="B375" s="3615" t="s">
        <v>7691</v>
      </c>
      <c r="C375" s="3616">
        <v>9</v>
      </c>
      <c r="D375" s="3616">
        <v>1</v>
      </c>
      <c r="E375" s="3616">
        <v>67</v>
      </c>
      <c r="F375" s="3616">
        <v>55.42</v>
      </c>
      <c r="G375" s="3616" t="s">
        <v>1378</v>
      </c>
      <c r="H375" s="3633">
        <f ca="1">'典型户型修正(先权重后修正)'!$R$24</f>
        <v>35065</v>
      </c>
      <c r="I375" s="3634">
        <f t="shared" ref="I375:I386" ca="1" si="12">ROUND(H375*F375/10000,2)</f>
        <v>194.33</v>
      </c>
      <c r="J375" s="3629" t="s">
        <v>7847</v>
      </c>
    </row>
    <row r="376" spans="1:10">
      <c r="A376" s="3615">
        <v>374</v>
      </c>
      <c r="B376" s="3615" t="s">
        <v>7319</v>
      </c>
      <c r="C376" s="3617">
        <v>9</v>
      </c>
      <c r="D376" s="3617">
        <v>-1</v>
      </c>
      <c r="E376" s="3617">
        <v>69</v>
      </c>
      <c r="F376" s="3617">
        <v>79.8</v>
      </c>
      <c r="G376" s="3616" t="s">
        <v>1378</v>
      </c>
      <c r="H376" s="3633">
        <f ca="1">'典型户型修正(先权重后修正)'!$R$29</f>
        <v>17533</v>
      </c>
      <c r="I376" s="3634">
        <f t="shared" ca="1" si="12"/>
        <v>139.91</v>
      </c>
    </row>
    <row r="377" spans="1:10">
      <c r="A377" s="3615">
        <v>375</v>
      </c>
      <c r="B377" s="3615" t="s">
        <v>7320</v>
      </c>
      <c r="C377" s="3621">
        <v>9</v>
      </c>
      <c r="D377" s="3621">
        <v>-1</v>
      </c>
      <c r="E377" s="3621">
        <v>77</v>
      </c>
      <c r="F377" s="3621">
        <v>41.44</v>
      </c>
      <c r="G377" s="3616" t="s">
        <v>1378</v>
      </c>
      <c r="H377" s="3633">
        <f ca="1">'典型户型修正(先权重后修正)'!$R$29</f>
        <v>17533</v>
      </c>
      <c r="I377" s="3634">
        <f t="shared" ca="1" si="12"/>
        <v>72.66</v>
      </c>
    </row>
    <row r="378" spans="1:10">
      <c r="A378" s="3615">
        <v>376</v>
      </c>
      <c r="B378" s="3615" t="s">
        <v>7321</v>
      </c>
      <c r="C378" s="3621">
        <v>9</v>
      </c>
      <c r="D378" s="3621">
        <v>-1</v>
      </c>
      <c r="E378" s="3621">
        <v>78</v>
      </c>
      <c r="F378" s="3621">
        <v>83.21</v>
      </c>
      <c r="G378" s="3616" t="s">
        <v>1378</v>
      </c>
      <c r="H378" s="3633">
        <f ca="1">'典型户型修正(先权重后修正)'!$R$29</f>
        <v>17533</v>
      </c>
      <c r="I378" s="3634">
        <f t="shared" ca="1" si="12"/>
        <v>145.88999999999999</v>
      </c>
    </row>
    <row r="379" spans="1:10">
      <c r="A379" s="3615">
        <v>377</v>
      </c>
      <c r="B379" s="3615" t="s">
        <v>7322</v>
      </c>
      <c r="C379" s="3621">
        <v>9</v>
      </c>
      <c r="D379" s="3621">
        <v>-1</v>
      </c>
      <c r="E379" s="3621">
        <v>97</v>
      </c>
      <c r="F379" s="3621">
        <v>62.34</v>
      </c>
      <c r="G379" s="3616" t="s">
        <v>1378</v>
      </c>
      <c r="H379" s="3633">
        <f ca="1">'典型户型修正(先权重后修正)'!$R$29</f>
        <v>17533</v>
      </c>
      <c r="I379" s="3634">
        <f t="shared" ca="1" si="12"/>
        <v>109.3</v>
      </c>
    </row>
    <row r="380" spans="1:10">
      <c r="A380" s="3615">
        <v>378</v>
      </c>
      <c r="B380" s="3624" t="s">
        <v>7323</v>
      </c>
      <c r="C380" s="3607">
        <v>9</v>
      </c>
      <c r="D380" s="3607">
        <v>-1</v>
      </c>
      <c r="E380" s="3607">
        <v>98</v>
      </c>
      <c r="F380" s="3607">
        <v>59.51</v>
      </c>
      <c r="G380" s="3608" t="s">
        <v>1378</v>
      </c>
      <c r="H380" s="3633">
        <f ca="1">'典型户型修正(先权重后修正)'!$R$29</f>
        <v>17533</v>
      </c>
      <c r="I380" s="3634">
        <f t="shared" ca="1" si="12"/>
        <v>104.34</v>
      </c>
    </row>
    <row r="381" spans="1:10">
      <c r="A381" s="3615">
        <v>379</v>
      </c>
      <c r="B381" s="3624" t="s">
        <v>7324</v>
      </c>
      <c r="C381" s="3607">
        <v>9</v>
      </c>
      <c r="D381" s="3607">
        <v>-1</v>
      </c>
      <c r="E381" s="3607">
        <v>102</v>
      </c>
      <c r="F381" s="3607">
        <v>62.33</v>
      </c>
      <c r="G381" s="3608" t="s">
        <v>1378</v>
      </c>
      <c r="H381" s="3633">
        <f ca="1">'典型户型修正(先权重后修正)'!$R$29</f>
        <v>17533</v>
      </c>
      <c r="I381" s="3634">
        <f t="shared" ca="1" si="12"/>
        <v>109.28</v>
      </c>
    </row>
    <row r="382" spans="1:10">
      <c r="A382" s="3615">
        <v>380</v>
      </c>
      <c r="B382" s="3624" t="s">
        <v>7325</v>
      </c>
      <c r="C382" s="3607">
        <v>9</v>
      </c>
      <c r="D382" s="3607">
        <v>-1</v>
      </c>
      <c r="E382" s="3607">
        <v>108</v>
      </c>
      <c r="F382" s="3607">
        <v>59.51</v>
      </c>
      <c r="G382" s="3608" t="s">
        <v>1378</v>
      </c>
      <c r="H382" s="3633">
        <f ca="1">'典型户型修正(先权重后修正)'!$R$29</f>
        <v>17533</v>
      </c>
      <c r="I382" s="3634">
        <f t="shared" ca="1" si="12"/>
        <v>104.34</v>
      </c>
    </row>
    <row r="383" spans="1:10">
      <c r="A383" s="3615">
        <v>381</v>
      </c>
      <c r="B383" s="3624" t="s">
        <v>7326</v>
      </c>
      <c r="C383" s="3607">
        <v>9</v>
      </c>
      <c r="D383" s="3607">
        <v>-1</v>
      </c>
      <c r="E383" s="3607">
        <v>133</v>
      </c>
      <c r="F383" s="3607">
        <v>71.39</v>
      </c>
      <c r="G383" s="3608" t="s">
        <v>1378</v>
      </c>
      <c r="H383" s="3633">
        <f ca="1">'典型户型修正(先权重后修正)'!$R$29</f>
        <v>17533</v>
      </c>
      <c r="I383" s="3634">
        <f t="shared" ca="1" si="12"/>
        <v>125.17</v>
      </c>
    </row>
    <row r="384" spans="1:10">
      <c r="A384" s="3615">
        <v>382</v>
      </c>
      <c r="B384" s="3624" t="s">
        <v>7327</v>
      </c>
      <c r="C384" s="3607">
        <v>9</v>
      </c>
      <c r="D384" s="3607">
        <v>-2</v>
      </c>
      <c r="E384" s="3607">
        <v>23</v>
      </c>
      <c r="F384" s="3607">
        <v>75.02</v>
      </c>
      <c r="G384" s="3608" t="s">
        <v>1378</v>
      </c>
      <c r="H384" s="3633">
        <f ca="1">'典型户型修正(先权重后修正)'!$R$30</f>
        <v>14026</v>
      </c>
      <c r="I384" s="3634">
        <f t="shared" ca="1" si="12"/>
        <v>105.22</v>
      </c>
    </row>
    <row r="385" spans="1:9">
      <c r="A385" s="3615">
        <v>383</v>
      </c>
      <c r="B385" s="3624" t="s">
        <v>7328</v>
      </c>
      <c r="C385" s="3607">
        <v>9</v>
      </c>
      <c r="D385" s="3607">
        <v>-2</v>
      </c>
      <c r="E385" s="3607">
        <v>25</v>
      </c>
      <c r="F385" s="3607">
        <v>75.02</v>
      </c>
      <c r="G385" s="3608" t="s">
        <v>1378</v>
      </c>
      <c r="H385" s="3633">
        <f ca="1">'典型户型修正(先权重后修正)'!$R$30</f>
        <v>14026</v>
      </c>
      <c r="I385" s="3634">
        <f t="shared" ca="1" si="12"/>
        <v>105.22</v>
      </c>
    </row>
    <row r="386" spans="1:9">
      <c r="A386" s="3615">
        <v>384</v>
      </c>
      <c r="B386" s="3624" t="s">
        <v>7329</v>
      </c>
      <c r="C386" s="3607">
        <v>9</v>
      </c>
      <c r="D386" s="3607">
        <v>-2</v>
      </c>
      <c r="E386" s="3607">
        <v>95</v>
      </c>
      <c r="F386" s="3607">
        <v>95.25</v>
      </c>
      <c r="G386" s="3608" t="s">
        <v>1378</v>
      </c>
      <c r="H386" s="3633">
        <f ca="1">'典型户型修正(先权重后修正)'!$R$30</f>
        <v>14026</v>
      </c>
      <c r="I386" s="3634">
        <f t="shared" ca="1" si="12"/>
        <v>133.6</v>
      </c>
    </row>
    <row r="387" spans="1:9">
      <c r="A387" s="3615">
        <v>385</v>
      </c>
      <c r="B387" s="3624" t="s">
        <v>7330</v>
      </c>
      <c r="C387" s="3607">
        <v>11</v>
      </c>
      <c r="D387" s="3607">
        <v>1</v>
      </c>
      <c r="E387" s="3607">
        <v>36</v>
      </c>
      <c r="F387" s="3607">
        <v>68.489999999999995</v>
      </c>
      <c r="G387" s="3608" t="s">
        <v>1378</v>
      </c>
      <c r="H387" s="3633">
        <f ca="1">'典型户型修正(先权重后修正)'!$R$24</f>
        <v>35065</v>
      </c>
      <c r="I387" s="3634">
        <f t="shared" ref="I387:I450" ca="1" si="13">ROUND(H387*F387/10000,2)</f>
        <v>240.16</v>
      </c>
    </row>
    <row r="388" spans="1:9">
      <c r="A388" s="3615">
        <v>386</v>
      </c>
      <c r="B388" s="3624" t="s">
        <v>7331</v>
      </c>
      <c r="C388" s="3607">
        <v>11</v>
      </c>
      <c r="D388" s="3607">
        <v>1</v>
      </c>
      <c r="E388" s="3607">
        <v>61</v>
      </c>
      <c r="F388" s="3607">
        <v>39.5</v>
      </c>
      <c r="G388" s="3608" t="s">
        <v>1378</v>
      </c>
      <c r="H388" s="3633">
        <f ca="1">'典型户型修正(先权重后修正)'!$R$24</f>
        <v>35065</v>
      </c>
      <c r="I388" s="3634">
        <f t="shared" ca="1" si="13"/>
        <v>138.51</v>
      </c>
    </row>
    <row r="389" spans="1:9">
      <c r="A389" s="3615">
        <v>387</v>
      </c>
      <c r="B389" s="3624" t="s">
        <v>7332</v>
      </c>
      <c r="C389" s="3607">
        <v>11</v>
      </c>
      <c r="D389" s="3607">
        <v>1</v>
      </c>
      <c r="E389" s="3607">
        <v>81</v>
      </c>
      <c r="F389" s="3607">
        <v>45.72</v>
      </c>
      <c r="G389" s="3608" t="s">
        <v>1378</v>
      </c>
      <c r="H389" s="3633">
        <f ca="1">'典型户型修正(先权重后修正)'!$R$24</f>
        <v>35065</v>
      </c>
      <c r="I389" s="3634">
        <f t="shared" ca="1" si="13"/>
        <v>160.32</v>
      </c>
    </row>
    <row r="390" spans="1:9">
      <c r="A390" s="3615">
        <v>388</v>
      </c>
      <c r="B390" s="3624" t="s">
        <v>7333</v>
      </c>
      <c r="C390" s="3607">
        <v>11</v>
      </c>
      <c r="D390" s="3607">
        <v>1</v>
      </c>
      <c r="E390" s="3607">
        <v>146</v>
      </c>
      <c r="F390" s="3607">
        <v>53.91</v>
      </c>
      <c r="G390" s="3608" t="s">
        <v>1378</v>
      </c>
      <c r="H390" s="3633">
        <f ca="1">'典型户型修正(先权重后修正)'!$R$24</f>
        <v>35065</v>
      </c>
      <c r="I390" s="3634">
        <f t="shared" ca="1" si="13"/>
        <v>189.04</v>
      </c>
    </row>
    <row r="391" spans="1:9">
      <c r="A391" s="3615">
        <v>389</v>
      </c>
      <c r="B391" s="3624" t="s">
        <v>7334</v>
      </c>
      <c r="C391" s="3607">
        <v>11</v>
      </c>
      <c r="D391" s="3607">
        <v>1</v>
      </c>
      <c r="E391" s="3607">
        <v>147</v>
      </c>
      <c r="F391" s="3607">
        <v>87.65</v>
      </c>
      <c r="G391" s="3608" t="s">
        <v>1378</v>
      </c>
      <c r="H391" s="3633">
        <f ca="1">'典型户型修正(先权重后修正)'!$R$24</f>
        <v>35065</v>
      </c>
      <c r="I391" s="3634">
        <f t="shared" ca="1" si="13"/>
        <v>307.33999999999997</v>
      </c>
    </row>
    <row r="392" spans="1:9">
      <c r="A392" s="3615">
        <v>390</v>
      </c>
      <c r="B392" s="3624" t="s">
        <v>7335</v>
      </c>
      <c r="C392" s="3607">
        <v>11</v>
      </c>
      <c r="D392" s="3607">
        <v>1</v>
      </c>
      <c r="E392" s="3607">
        <v>1</v>
      </c>
      <c r="F392" s="3607">
        <v>45.34</v>
      </c>
      <c r="G392" s="3608" t="s">
        <v>1378</v>
      </c>
      <c r="H392" s="3633">
        <f ca="1">'典型户型修正(先权重后修正)'!$R$24</f>
        <v>35065</v>
      </c>
      <c r="I392" s="3634">
        <f t="shared" ca="1" si="13"/>
        <v>158.97999999999999</v>
      </c>
    </row>
    <row r="393" spans="1:9">
      <c r="A393" s="3615">
        <v>391</v>
      </c>
      <c r="B393" s="3624" t="s">
        <v>7336</v>
      </c>
      <c r="C393" s="3607">
        <v>11</v>
      </c>
      <c r="D393" s="3607">
        <v>1</v>
      </c>
      <c r="E393" s="3607">
        <v>35</v>
      </c>
      <c r="F393" s="3607">
        <v>44.44</v>
      </c>
      <c r="G393" s="3608" t="s">
        <v>1378</v>
      </c>
      <c r="H393" s="3633">
        <f ca="1">'典型户型修正(先权重后修正)'!$R$24</f>
        <v>35065</v>
      </c>
      <c r="I393" s="3634">
        <f t="shared" ca="1" si="13"/>
        <v>155.83000000000001</v>
      </c>
    </row>
    <row r="394" spans="1:9">
      <c r="A394" s="3615">
        <v>392</v>
      </c>
      <c r="B394" s="3624" t="s">
        <v>7337</v>
      </c>
      <c r="C394" s="3607">
        <v>11</v>
      </c>
      <c r="D394" s="3607">
        <v>1</v>
      </c>
      <c r="E394" s="3607">
        <v>41</v>
      </c>
      <c r="F394" s="3607">
        <v>41.15</v>
      </c>
      <c r="G394" s="3608" t="s">
        <v>1378</v>
      </c>
      <c r="H394" s="3633">
        <f ca="1">'典型户型修正(先权重后修正)'!$R$24</f>
        <v>35065</v>
      </c>
      <c r="I394" s="3634">
        <f t="shared" ca="1" si="13"/>
        <v>144.29</v>
      </c>
    </row>
    <row r="395" spans="1:9">
      <c r="A395" s="3615">
        <v>393</v>
      </c>
      <c r="B395" s="3624" t="s">
        <v>7338</v>
      </c>
      <c r="C395" s="3612">
        <v>11</v>
      </c>
      <c r="D395" s="3612">
        <v>1</v>
      </c>
      <c r="E395" s="3612">
        <v>148</v>
      </c>
      <c r="F395" s="3612">
        <v>38.61</v>
      </c>
      <c r="G395" s="3608" t="s">
        <v>1378</v>
      </c>
      <c r="H395" s="3633">
        <f ca="1">'典型户型修正(先权重后修正)'!$R$24</f>
        <v>35065</v>
      </c>
      <c r="I395" s="3634">
        <f t="shared" ca="1" si="13"/>
        <v>135.38999999999999</v>
      </c>
    </row>
    <row r="396" spans="1:9">
      <c r="A396" s="3615">
        <v>394</v>
      </c>
      <c r="B396" s="3624" t="s">
        <v>7339</v>
      </c>
      <c r="C396" s="3612">
        <v>11</v>
      </c>
      <c r="D396" s="3612">
        <v>1</v>
      </c>
      <c r="E396" s="3612">
        <v>149</v>
      </c>
      <c r="F396" s="3612">
        <v>39.06</v>
      </c>
      <c r="G396" s="3608" t="s">
        <v>1378</v>
      </c>
      <c r="H396" s="3633">
        <f ca="1">'典型户型修正(先权重后修正)'!$R$24</f>
        <v>35065</v>
      </c>
      <c r="I396" s="3634">
        <f t="shared" ca="1" si="13"/>
        <v>136.96</v>
      </c>
    </row>
    <row r="397" spans="1:9">
      <c r="A397" s="3615">
        <v>395</v>
      </c>
      <c r="B397" s="3624" t="s">
        <v>7340</v>
      </c>
      <c r="C397" s="3612">
        <v>11</v>
      </c>
      <c r="D397" s="3612">
        <v>1</v>
      </c>
      <c r="E397" s="3612">
        <v>46</v>
      </c>
      <c r="F397" s="3612">
        <v>44.65</v>
      </c>
      <c r="G397" s="3608" t="s">
        <v>1378</v>
      </c>
      <c r="H397" s="3633">
        <f ca="1">'典型户型修正(先权重后修正)'!$R$24</f>
        <v>35065</v>
      </c>
      <c r="I397" s="3634">
        <f t="shared" ca="1" si="13"/>
        <v>156.57</v>
      </c>
    </row>
    <row r="398" spans="1:9">
      <c r="A398" s="3615">
        <v>396</v>
      </c>
      <c r="B398" s="3624" t="s">
        <v>7341</v>
      </c>
      <c r="C398" s="3612">
        <v>11</v>
      </c>
      <c r="D398" s="3612">
        <v>1</v>
      </c>
      <c r="E398" s="3612">
        <v>47</v>
      </c>
      <c r="F398" s="3612">
        <v>44.65</v>
      </c>
      <c r="G398" s="3608" t="s">
        <v>1378</v>
      </c>
      <c r="H398" s="3633">
        <f ca="1">'典型户型修正(先权重后修正)'!$R$24</f>
        <v>35065</v>
      </c>
      <c r="I398" s="3634">
        <f t="shared" ca="1" si="13"/>
        <v>156.57</v>
      </c>
    </row>
    <row r="399" spans="1:9">
      <c r="A399" s="3615">
        <v>397</v>
      </c>
      <c r="B399" s="3624" t="s">
        <v>7342</v>
      </c>
      <c r="C399" s="3612">
        <v>11</v>
      </c>
      <c r="D399" s="3612">
        <v>1</v>
      </c>
      <c r="E399" s="3612">
        <v>100</v>
      </c>
      <c r="F399" s="3612">
        <v>72.5</v>
      </c>
      <c r="G399" s="3608" t="s">
        <v>1378</v>
      </c>
      <c r="H399" s="3633">
        <f ca="1">'典型户型修正(先权重后修正)'!$R$24</f>
        <v>35065</v>
      </c>
      <c r="I399" s="3634">
        <f t="shared" ca="1" si="13"/>
        <v>254.22</v>
      </c>
    </row>
    <row r="400" spans="1:9">
      <c r="A400" s="3615">
        <v>398</v>
      </c>
      <c r="B400" s="3624" t="s">
        <v>7343</v>
      </c>
      <c r="C400" s="3612">
        <v>11</v>
      </c>
      <c r="D400" s="3612">
        <v>1</v>
      </c>
      <c r="E400" s="3612">
        <v>120</v>
      </c>
      <c r="F400" s="3612">
        <v>41.05</v>
      </c>
      <c r="G400" s="3608" t="s">
        <v>1378</v>
      </c>
      <c r="H400" s="3633">
        <f ca="1">'典型户型修正(先权重后修正)'!$R$24</f>
        <v>35065</v>
      </c>
      <c r="I400" s="3634">
        <f t="shared" ca="1" si="13"/>
        <v>143.94</v>
      </c>
    </row>
    <row r="401" spans="1:9">
      <c r="A401" s="3615">
        <v>399</v>
      </c>
      <c r="B401" s="3624" t="s">
        <v>7344</v>
      </c>
      <c r="C401" s="3612">
        <v>11</v>
      </c>
      <c r="D401" s="3612">
        <v>1</v>
      </c>
      <c r="E401" s="3612">
        <v>142</v>
      </c>
      <c r="F401" s="3612">
        <v>44.03</v>
      </c>
      <c r="G401" s="3608" t="s">
        <v>1378</v>
      </c>
      <c r="H401" s="3633">
        <f ca="1">'典型户型修正(先权重后修正)'!$R$24</f>
        <v>35065</v>
      </c>
      <c r="I401" s="3634">
        <f t="shared" ca="1" si="13"/>
        <v>154.38999999999999</v>
      </c>
    </row>
    <row r="402" spans="1:9">
      <c r="A402" s="3615">
        <v>400</v>
      </c>
      <c r="B402" s="3624" t="s">
        <v>7692</v>
      </c>
      <c r="C402" s="3608">
        <v>11</v>
      </c>
      <c r="D402" s="3608">
        <v>1</v>
      </c>
      <c r="E402" s="3608">
        <v>2</v>
      </c>
      <c r="F402" s="3608">
        <v>93.34</v>
      </c>
      <c r="G402" s="3608" t="s">
        <v>1378</v>
      </c>
      <c r="H402" s="3633">
        <f ca="1">'典型户型修正(先权重后修正)'!$R$24</f>
        <v>35065</v>
      </c>
      <c r="I402" s="3634">
        <f t="shared" ca="1" si="13"/>
        <v>327.3</v>
      </c>
    </row>
    <row r="403" spans="1:9">
      <c r="A403" s="3615">
        <v>401</v>
      </c>
      <c r="B403" s="3624" t="s">
        <v>7693</v>
      </c>
      <c r="C403" s="3608">
        <v>11</v>
      </c>
      <c r="D403" s="3608">
        <v>1</v>
      </c>
      <c r="E403" s="3608">
        <v>3</v>
      </c>
      <c r="F403" s="3608">
        <v>56.08</v>
      </c>
      <c r="G403" s="3608" t="s">
        <v>1378</v>
      </c>
      <c r="H403" s="3633">
        <f ca="1">'典型户型修正(先权重后修正)'!$R$24</f>
        <v>35065</v>
      </c>
      <c r="I403" s="3634">
        <f t="shared" ca="1" si="13"/>
        <v>196.64</v>
      </c>
    </row>
    <row r="404" spans="1:9">
      <c r="A404" s="3615">
        <v>402</v>
      </c>
      <c r="B404" s="3624" t="s">
        <v>7694</v>
      </c>
      <c r="C404" s="3608">
        <v>11</v>
      </c>
      <c r="D404" s="3608">
        <v>1</v>
      </c>
      <c r="E404" s="3608">
        <v>5</v>
      </c>
      <c r="F404" s="3608">
        <v>46.18</v>
      </c>
      <c r="G404" s="3608" t="s">
        <v>1378</v>
      </c>
      <c r="H404" s="3633">
        <f ca="1">'典型户型修正(先权重后修正)'!$R$24</f>
        <v>35065</v>
      </c>
      <c r="I404" s="3634">
        <f t="shared" ca="1" si="13"/>
        <v>161.93</v>
      </c>
    </row>
    <row r="405" spans="1:9">
      <c r="A405" s="3615">
        <v>403</v>
      </c>
      <c r="B405" s="3624" t="s">
        <v>7695</v>
      </c>
      <c r="C405" s="3608">
        <v>11</v>
      </c>
      <c r="D405" s="3608">
        <v>1</v>
      </c>
      <c r="E405" s="3608">
        <v>6</v>
      </c>
      <c r="F405" s="3608">
        <v>44.08</v>
      </c>
      <c r="G405" s="3608" t="s">
        <v>1378</v>
      </c>
      <c r="H405" s="3633">
        <f ca="1">'典型户型修正(先权重后修正)'!$R$24</f>
        <v>35065</v>
      </c>
      <c r="I405" s="3634">
        <f t="shared" ca="1" si="13"/>
        <v>154.57</v>
      </c>
    </row>
    <row r="406" spans="1:9">
      <c r="A406" s="3615">
        <v>404</v>
      </c>
      <c r="B406" s="3624" t="s">
        <v>7696</v>
      </c>
      <c r="C406" s="3608">
        <v>11</v>
      </c>
      <c r="D406" s="3608">
        <v>1</v>
      </c>
      <c r="E406" s="3608">
        <v>7</v>
      </c>
      <c r="F406" s="3608">
        <v>44.08</v>
      </c>
      <c r="G406" s="3608" t="s">
        <v>1378</v>
      </c>
      <c r="H406" s="3633">
        <f ca="1">'典型户型修正(先权重后修正)'!$R$24</f>
        <v>35065</v>
      </c>
      <c r="I406" s="3634">
        <f t="shared" ca="1" si="13"/>
        <v>154.57</v>
      </c>
    </row>
    <row r="407" spans="1:9">
      <c r="A407" s="3615">
        <v>405</v>
      </c>
      <c r="B407" s="3624" t="s">
        <v>7697</v>
      </c>
      <c r="C407" s="3608">
        <v>11</v>
      </c>
      <c r="D407" s="3608">
        <v>1</v>
      </c>
      <c r="E407" s="3608">
        <v>8</v>
      </c>
      <c r="F407" s="3608">
        <v>45.76</v>
      </c>
      <c r="G407" s="3608" t="s">
        <v>1378</v>
      </c>
      <c r="H407" s="3633">
        <f ca="1">'典型户型修正(先权重后修正)'!$R$24</f>
        <v>35065</v>
      </c>
      <c r="I407" s="3634">
        <f t="shared" ca="1" si="13"/>
        <v>160.46</v>
      </c>
    </row>
    <row r="408" spans="1:9">
      <c r="A408" s="3615">
        <v>406</v>
      </c>
      <c r="B408" s="3624" t="s">
        <v>7698</v>
      </c>
      <c r="C408" s="3608">
        <v>11</v>
      </c>
      <c r="D408" s="3608">
        <v>1</v>
      </c>
      <c r="E408" s="3608">
        <v>9</v>
      </c>
      <c r="F408" s="3608">
        <v>44.05</v>
      </c>
      <c r="G408" s="3608" t="s">
        <v>1378</v>
      </c>
      <c r="H408" s="3633">
        <f ca="1">'典型户型修正(先权重后修正)'!$R$24</f>
        <v>35065</v>
      </c>
      <c r="I408" s="3634">
        <f t="shared" ca="1" si="13"/>
        <v>154.46</v>
      </c>
    </row>
    <row r="409" spans="1:9">
      <c r="A409" s="3615">
        <v>407</v>
      </c>
      <c r="B409" s="3624" t="s">
        <v>7699</v>
      </c>
      <c r="C409" s="3608">
        <v>11</v>
      </c>
      <c r="D409" s="3608">
        <v>1</v>
      </c>
      <c r="E409" s="3608">
        <v>10</v>
      </c>
      <c r="F409" s="3608">
        <v>29.84</v>
      </c>
      <c r="G409" s="3608" t="s">
        <v>1378</v>
      </c>
      <c r="H409" s="3633">
        <f ca="1">'典型户型修正(先权重后修正)'!$R$24</f>
        <v>35065</v>
      </c>
      <c r="I409" s="3634">
        <f t="shared" ca="1" si="13"/>
        <v>104.63</v>
      </c>
    </row>
    <row r="410" spans="1:9">
      <c r="A410" s="3615">
        <v>408</v>
      </c>
      <c r="B410" s="3624" t="s">
        <v>7700</v>
      </c>
      <c r="C410" s="3608">
        <v>11</v>
      </c>
      <c r="D410" s="3608">
        <v>1</v>
      </c>
      <c r="E410" s="3608">
        <v>13</v>
      </c>
      <c r="F410" s="3608">
        <v>44.08</v>
      </c>
      <c r="G410" s="3608" t="s">
        <v>1378</v>
      </c>
      <c r="H410" s="3633">
        <f ca="1">'典型户型修正(先权重后修正)'!$R$24</f>
        <v>35065</v>
      </c>
      <c r="I410" s="3634">
        <f t="shared" ca="1" si="13"/>
        <v>154.57</v>
      </c>
    </row>
    <row r="411" spans="1:9">
      <c r="A411" s="3615">
        <v>409</v>
      </c>
      <c r="B411" s="3624" t="s">
        <v>7701</v>
      </c>
      <c r="C411" s="3608">
        <v>11</v>
      </c>
      <c r="D411" s="3608">
        <v>1</v>
      </c>
      <c r="E411" s="3608">
        <v>15</v>
      </c>
      <c r="F411" s="3608">
        <v>44.08</v>
      </c>
      <c r="G411" s="3608" t="s">
        <v>1378</v>
      </c>
      <c r="H411" s="3633">
        <f ca="1">'典型户型修正(先权重后修正)'!$R$24</f>
        <v>35065</v>
      </c>
      <c r="I411" s="3634">
        <f t="shared" ca="1" si="13"/>
        <v>154.57</v>
      </c>
    </row>
    <row r="412" spans="1:9">
      <c r="A412" s="3615">
        <v>410</v>
      </c>
      <c r="B412" s="3624" t="s">
        <v>7702</v>
      </c>
      <c r="C412" s="3608">
        <v>11</v>
      </c>
      <c r="D412" s="3608">
        <v>1</v>
      </c>
      <c r="E412" s="3608">
        <v>16</v>
      </c>
      <c r="F412" s="3608">
        <v>44.08</v>
      </c>
      <c r="G412" s="3608" t="s">
        <v>1378</v>
      </c>
      <c r="H412" s="3633">
        <f ca="1">'典型户型修正(先权重后修正)'!$R$24</f>
        <v>35065</v>
      </c>
      <c r="I412" s="3634">
        <f t="shared" ca="1" si="13"/>
        <v>154.57</v>
      </c>
    </row>
    <row r="413" spans="1:9">
      <c r="A413" s="3615">
        <v>411</v>
      </c>
      <c r="B413" s="3624" t="s">
        <v>7703</v>
      </c>
      <c r="C413" s="3608">
        <v>11</v>
      </c>
      <c r="D413" s="3608">
        <v>1</v>
      </c>
      <c r="E413" s="3608">
        <v>17</v>
      </c>
      <c r="F413" s="3608">
        <v>46.18</v>
      </c>
      <c r="G413" s="3608" t="s">
        <v>1378</v>
      </c>
      <c r="H413" s="3633">
        <f ca="1">'典型户型修正(先权重后修正)'!$R$24</f>
        <v>35065</v>
      </c>
      <c r="I413" s="3634">
        <f t="shared" ca="1" si="13"/>
        <v>161.93</v>
      </c>
    </row>
    <row r="414" spans="1:9">
      <c r="A414" s="3615">
        <v>412</v>
      </c>
      <c r="B414" s="3624" t="s">
        <v>7704</v>
      </c>
      <c r="C414" s="3608">
        <v>11</v>
      </c>
      <c r="D414" s="3608">
        <v>1</v>
      </c>
      <c r="E414" s="3608">
        <v>18</v>
      </c>
      <c r="F414" s="3608">
        <v>56.08</v>
      </c>
      <c r="G414" s="3608" t="s">
        <v>1378</v>
      </c>
      <c r="H414" s="3633">
        <f ca="1">'典型户型修正(先权重后修正)'!$R$24</f>
        <v>35065</v>
      </c>
      <c r="I414" s="3634">
        <f t="shared" ca="1" si="13"/>
        <v>196.64</v>
      </c>
    </row>
    <row r="415" spans="1:9">
      <c r="A415" s="3615">
        <v>413</v>
      </c>
      <c r="B415" s="3624" t="s">
        <v>7705</v>
      </c>
      <c r="C415" s="3608">
        <v>11</v>
      </c>
      <c r="D415" s="3608">
        <v>1</v>
      </c>
      <c r="E415" s="3608">
        <v>21</v>
      </c>
      <c r="F415" s="3608">
        <v>94.52</v>
      </c>
      <c r="G415" s="3608" t="s">
        <v>1378</v>
      </c>
      <c r="H415" s="3633">
        <f ca="1">'典型户型修正(先权重后修正)'!$R$24</f>
        <v>35065</v>
      </c>
      <c r="I415" s="3634">
        <f t="shared" ca="1" si="13"/>
        <v>331.43</v>
      </c>
    </row>
    <row r="416" spans="1:9">
      <c r="A416" s="3615">
        <v>414</v>
      </c>
      <c r="B416" s="3624" t="s">
        <v>7706</v>
      </c>
      <c r="C416" s="3608">
        <v>11</v>
      </c>
      <c r="D416" s="3608">
        <v>1</v>
      </c>
      <c r="E416" s="3608">
        <v>23</v>
      </c>
      <c r="F416" s="3608">
        <v>43.21</v>
      </c>
      <c r="G416" s="3608" t="s">
        <v>1378</v>
      </c>
      <c r="H416" s="3633">
        <f ca="1">'典型户型修正(先权重后修正)'!$R$24</f>
        <v>35065</v>
      </c>
      <c r="I416" s="3634">
        <f t="shared" ca="1" si="13"/>
        <v>151.52000000000001</v>
      </c>
    </row>
    <row r="417" spans="1:9">
      <c r="A417" s="3615">
        <v>415</v>
      </c>
      <c r="B417" s="3624" t="s">
        <v>7707</v>
      </c>
      <c r="C417" s="3608">
        <v>11</v>
      </c>
      <c r="D417" s="3608">
        <v>1</v>
      </c>
      <c r="E417" s="3608">
        <v>25</v>
      </c>
      <c r="F417" s="3608">
        <v>43.21</v>
      </c>
      <c r="G417" s="3608" t="s">
        <v>1378</v>
      </c>
      <c r="H417" s="3633">
        <f ca="1">'典型户型修正(先权重后修正)'!$R$24</f>
        <v>35065</v>
      </c>
      <c r="I417" s="3634">
        <f t="shared" ca="1" si="13"/>
        <v>151.52000000000001</v>
      </c>
    </row>
    <row r="418" spans="1:9">
      <c r="A418" s="3615">
        <v>416</v>
      </c>
      <c r="B418" s="3624" t="s">
        <v>7708</v>
      </c>
      <c r="C418" s="3608">
        <v>11</v>
      </c>
      <c r="D418" s="3608">
        <v>1</v>
      </c>
      <c r="E418" s="3608">
        <v>26</v>
      </c>
      <c r="F418" s="3608">
        <v>43.21</v>
      </c>
      <c r="G418" s="3608" t="s">
        <v>1378</v>
      </c>
      <c r="H418" s="3633">
        <f ca="1">'典型户型修正(先权重后修正)'!$R$24</f>
        <v>35065</v>
      </c>
      <c r="I418" s="3634">
        <f t="shared" ca="1" si="13"/>
        <v>151.52000000000001</v>
      </c>
    </row>
    <row r="419" spans="1:9">
      <c r="A419" s="3615">
        <v>417</v>
      </c>
      <c r="B419" s="3624" t="s">
        <v>7709</v>
      </c>
      <c r="C419" s="3608">
        <v>11</v>
      </c>
      <c r="D419" s="3608">
        <v>1</v>
      </c>
      <c r="E419" s="3608">
        <v>27</v>
      </c>
      <c r="F419" s="3608">
        <v>43.21</v>
      </c>
      <c r="G419" s="3608" t="s">
        <v>1378</v>
      </c>
      <c r="H419" s="3633">
        <f ca="1">'典型户型修正(先权重后修正)'!$R$24</f>
        <v>35065</v>
      </c>
      <c r="I419" s="3634">
        <f t="shared" ca="1" si="13"/>
        <v>151.52000000000001</v>
      </c>
    </row>
    <row r="420" spans="1:9">
      <c r="A420" s="3615">
        <v>418</v>
      </c>
      <c r="B420" s="3624" t="s">
        <v>7710</v>
      </c>
      <c r="C420" s="3608">
        <v>11</v>
      </c>
      <c r="D420" s="3608">
        <v>1</v>
      </c>
      <c r="E420" s="3608">
        <v>28</v>
      </c>
      <c r="F420" s="3608">
        <v>45.27</v>
      </c>
      <c r="G420" s="3608" t="s">
        <v>1378</v>
      </c>
      <c r="H420" s="3633">
        <f ca="1">'典型户型修正(先权重后修正)'!$R$24</f>
        <v>35065</v>
      </c>
      <c r="I420" s="3634">
        <f t="shared" ca="1" si="13"/>
        <v>158.74</v>
      </c>
    </row>
    <row r="421" spans="1:9">
      <c r="A421" s="3615">
        <v>419</v>
      </c>
      <c r="B421" s="3624" t="s">
        <v>7711</v>
      </c>
      <c r="C421" s="3608">
        <v>11</v>
      </c>
      <c r="D421" s="3608">
        <v>1</v>
      </c>
      <c r="E421" s="3608">
        <v>29</v>
      </c>
      <c r="F421" s="3608">
        <v>35.25</v>
      </c>
      <c r="G421" s="3608" t="s">
        <v>1378</v>
      </c>
      <c r="H421" s="3633">
        <f ca="1">'典型户型修正(先权重后修正)'!$R$24</f>
        <v>35065</v>
      </c>
      <c r="I421" s="3634">
        <f t="shared" ca="1" si="13"/>
        <v>123.6</v>
      </c>
    </row>
    <row r="422" spans="1:9">
      <c r="A422" s="3615">
        <v>420</v>
      </c>
      <c r="B422" s="3624" t="s">
        <v>7712</v>
      </c>
      <c r="C422" s="3608">
        <v>11</v>
      </c>
      <c r="D422" s="3608">
        <v>1</v>
      </c>
      <c r="E422" s="3608">
        <v>30</v>
      </c>
      <c r="F422" s="3608">
        <v>37.79</v>
      </c>
      <c r="G422" s="3608" t="s">
        <v>1378</v>
      </c>
      <c r="H422" s="3633">
        <f ca="1">'典型户型修正(先权重后修正)'!$R$24</f>
        <v>35065</v>
      </c>
      <c r="I422" s="3634">
        <f t="shared" ca="1" si="13"/>
        <v>132.51</v>
      </c>
    </row>
    <row r="423" spans="1:9">
      <c r="A423" s="3615">
        <v>421</v>
      </c>
      <c r="B423" s="3624" t="s">
        <v>7713</v>
      </c>
      <c r="C423" s="3608">
        <v>11</v>
      </c>
      <c r="D423" s="3608">
        <v>1</v>
      </c>
      <c r="E423" s="3608">
        <v>31</v>
      </c>
      <c r="F423" s="3608">
        <v>43.21</v>
      </c>
      <c r="G423" s="3608" t="s">
        <v>1378</v>
      </c>
      <c r="H423" s="3633">
        <f ca="1">'典型户型修正(先权重后修正)'!$R$24</f>
        <v>35065</v>
      </c>
      <c r="I423" s="3634">
        <f t="shared" ca="1" si="13"/>
        <v>151.52000000000001</v>
      </c>
    </row>
    <row r="424" spans="1:9">
      <c r="A424" s="3615">
        <v>422</v>
      </c>
      <c r="B424" s="3624" t="s">
        <v>7714</v>
      </c>
      <c r="C424" s="3608">
        <v>11</v>
      </c>
      <c r="D424" s="3608">
        <v>1</v>
      </c>
      <c r="E424" s="3608">
        <v>32</v>
      </c>
      <c r="F424" s="3608">
        <v>43.21</v>
      </c>
      <c r="G424" s="3608" t="s">
        <v>1378</v>
      </c>
      <c r="H424" s="3633">
        <f ca="1">'典型户型修正(先权重后修正)'!$R$24</f>
        <v>35065</v>
      </c>
      <c r="I424" s="3634">
        <f t="shared" ca="1" si="13"/>
        <v>151.52000000000001</v>
      </c>
    </row>
    <row r="425" spans="1:9">
      <c r="A425" s="3615">
        <v>423</v>
      </c>
      <c r="B425" s="3624" t="s">
        <v>7715</v>
      </c>
      <c r="C425" s="3608">
        <v>11</v>
      </c>
      <c r="D425" s="3608">
        <v>1</v>
      </c>
      <c r="E425" s="3608">
        <v>33</v>
      </c>
      <c r="F425" s="3608">
        <v>45.26</v>
      </c>
      <c r="G425" s="3608" t="s">
        <v>1378</v>
      </c>
      <c r="H425" s="3633">
        <f ca="1">'典型户型修正(先权重后修正)'!$R$24</f>
        <v>35065</v>
      </c>
      <c r="I425" s="3634">
        <f t="shared" ca="1" si="13"/>
        <v>158.69999999999999</v>
      </c>
    </row>
    <row r="426" spans="1:9">
      <c r="A426" s="3615">
        <v>424</v>
      </c>
      <c r="B426" s="3624" t="s">
        <v>7716</v>
      </c>
      <c r="C426" s="3608">
        <v>11</v>
      </c>
      <c r="D426" s="3608">
        <v>1</v>
      </c>
      <c r="E426" s="3608">
        <v>37</v>
      </c>
      <c r="F426" s="3608">
        <v>109.79</v>
      </c>
      <c r="G426" s="3608" t="s">
        <v>1378</v>
      </c>
      <c r="H426" s="3633">
        <f ca="1">'典型户型修正(先权重后修正)'!$R$24</f>
        <v>35065</v>
      </c>
      <c r="I426" s="3634">
        <f t="shared" ca="1" si="13"/>
        <v>384.98</v>
      </c>
    </row>
    <row r="427" spans="1:9">
      <c r="A427" s="3615">
        <v>425</v>
      </c>
      <c r="B427" s="3624" t="s">
        <v>7717</v>
      </c>
      <c r="C427" s="3608">
        <v>11</v>
      </c>
      <c r="D427" s="3608">
        <v>1</v>
      </c>
      <c r="E427" s="3608">
        <v>38</v>
      </c>
      <c r="F427" s="3608">
        <v>72.599999999999994</v>
      </c>
      <c r="G427" s="3608" t="s">
        <v>1378</v>
      </c>
      <c r="H427" s="3633">
        <f ca="1">'典型户型修正(先权重后修正)'!$R$24</f>
        <v>35065</v>
      </c>
      <c r="I427" s="3634">
        <f t="shared" ca="1" si="13"/>
        <v>254.57</v>
      </c>
    </row>
    <row r="428" spans="1:9">
      <c r="A428" s="3615">
        <v>426</v>
      </c>
      <c r="B428" s="3624" t="s">
        <v>7718</v>
      </c>
      <c r="C428" s="3608">
        <v>11</v>
      </c>
      <c r="D428" s="3608">
        <v>1</v>
      </c>
      <c r="E428" s="3608">
        <v>39</v>
      </c>
      <c r="F428" s="3608">
        <v>72.599999999999994</v>
      </c>
      <c r="G428" s="3608" t="s">
        <v>1378</v>
      </c>
      <c r="H428" s="3633">
        <f ca="1">'典型户型修正(先权重后修正)'!$R$24</f>
        <v>35065</v>
      </c>
      <c r="I428" s="3634">
        <f t="shared" ca="1" si="13"/>
        <v>254.57</v>
      </c>
    </row>
    <row r="429" spans="1:9">
      <c r="A429" s="3615">
        <v>427</v>
      </c>
      <c r="B429" s="3624" t="s">
        <v>7719</v>
      </c>
      <c r="C429" s="3608">
        <v>11</v>
      </c>
      <c r="D429" s="3608">
        <v>1</v>
      </c>
      <c r="E429" s="3608">
        <v>42</v>
      </c>
      <c r="F429" s="3608">
        <v>8.7899999999999991</v>
      </c>
      <c r="G429" s="3608" t="s">
        <v>1378</v>
      </c>
      <c r="H429" s="3633">
        <f ca="1">'典型户型修正(先权重后修正)'!$R$24</f>
        <v>35065</v>
      </c>
      <c r="I429" s="3634">
        <f t="shared" ca="1" si="13"/>
        <v>30.82</v>
      </c>
    </row>
    <row r="430" spans="1:9">
      <c r="A430" s="3615">
        <v>428</v>
      </c>
      <c r="B430" s="3624" t="s">
        <v>7720</v>
      </c>
      <c r="C430" s="3608">
        <v>11</v>
      </c>
      <c r="D430" s="3608">
        <v>1</v>
      </c>
      <c r="E430" s="3608">
        <v>48</v>
      </c>
      <c r="F430" s="3608">
        <v>81.67</v>
      </c>
      <c r="G430" s="3608" t="s">
        <v>1378</v>
      </c>
      <c r="H430" s="3633">
        <f ca="1">'典型户型修正(先权重后修正)'!$R$24</f>
        <v>35065</v>
      </c>
      <c r="I430" s="3634">
        <f t="shared" ca="1" si="13"/>
        <v>286.38</v>
      </c>
    </row>
    <row r="431" spans="1:9">
      <c r="A431" s="3615">
        <v>429</v>
      </c>
      <c r="B431" s="3624" t="s">
        <v>7721</v>
      </c>
      <c r="C431" s="3608">
        <v>11</v>
      </c>
      <c r="D431" s="3608">
        <v>1</v>
      </c>
      <c r="E431" s="3608">
        <v>50</v>
      </c>
      <c r="F431" s="3608">
        <v>41.38</v>
      </c>
      <c r="G431" s="3608" t="s">
        <v>1378</v>
      </c>
      <c r="H431" s="3633">
        <f ca="1">'典型户型修正(先权重后修正)'!$R$24</f>
        <v>35065</v>
      </c>
      <c r="I431" s="3634">
        <f t="shared" ca="1" si="13"/>
        <v>145.1</v>
      </c>
    </row>
    <row r="432" spans="1:9">
      <c r="A432" s="3615">
        <v>430</v>
      </c>
      <c r="B432" s="3624" t="s">
        <v>7722</v>
      </c>
      <c r="C432" s="3608">
        <v>11</v>
      </c>
      <c r="D432" s="3608">
        <v>1</v>
      </c>
      <c r="E432" s="3608">
        <v>52</v>
      </c>
      <c r="F432" s="3608">
        <v>39.5</v>
      </c>
      <c r="G432" s="3608" t="s">
        <v>1378</v>
      </c>
      <c r="H432" s="3633">
        <f ca="1">'典型户型修正(先权重后修正)'!$R$24</f>
        <v>35065</v>
      </c>
      <c r="I432" s="3634">
        <f t="shared" ca="1" si="13"/>
        <v>138.51</v>
      </c>
    </row>
    <row r="433" spans="1:9">
      <c r="A433" s="3615">
        <v>431</v>
      </c>
      <c r="B433" s="3624" t="s">
        <v>7723</v>
      </c>
      <c r="C433" s="3608">
        <v>11</v>
      </c>
      <c r="D433" s="3608">
        <v>1</v>
      </c>
      <c r="E433" s="3608">
        <v>53</v>
      </c>
      <c r="F433" s="3608">
        <v>37.24</v>
      </c>
      <c r="G433" s="3608" t="s">
        <v>1378</v>
      </c>
      <c r="H433" s="3633">
        <f ca="1">'典型户型修正(先权重后修正)'!$R$24</f>
        <v>35065</v>
      </c>
      <c r="I433" s="3634">
        <f t="shared" ca="1" si="13"/>
        <v>130.58000000000001</v>
      </c>
    </row>
    <row r="434" spans="1:9">
      <c r="A434" s="3615">
        <v>432</v>
      </c>
      <c r="B434" s="3624" t="s">
        <v>7724</v>
      </c>
      <c r="C434" s="3608">
        <v>11</v>
      </c>
      <c r="D434" s="3608">
        <v>1</v>
      </c>
      <c r="E434" s="3608">
        <v>55</v>
      </c>
      <c r="F434" s="3608">
        <v>90.62</v>
      </c>
      <c r="G434" s="3608" t="s">
        <v>1378</v>
      </c>
      <c r="H434" s="3633">
        <f ca="1">'典型户型修正(先权重后修正)'!$R$24</f>
        <v>35065</v>
      </c>
      <c r="I434" s="3634">
        <f t="shared" ca="1" si="13"/>
        <v>317.76</v>
      </c>
    </row>
    <row r="435" spans="1:9">
      <c r="A435" s="3615">
        <v>433</v>
      </c>
      <c r="B435" s="3624" t="s">
        <v>7725</v>
      </c>
      <c r="C435" s="3608">
        <v>11</v>
      </c>
      <c r="D435" s="3608">
        <v>1</v>
      </c>
      <c r="E435" s="3608">
        <v>56</v>
      </c>
      <c r="F435" s="3608">
        <v>29.81</v>
      </c>
      <c r="G435" s="3608" t="s">
        <v>1378</v>
      </c>
      <c r="H435" s="3633">
        <f ca="1">'典型户型修正(先权重后修正)'!$R$24</f>
        <v>35065</v>
      </c>
      <c r="I435" s="3634">
        <f t="shared" ca="1" si="13"/>
        <v>104.53</v>
      </c>
    </row>
    <row r="436" spans="1:9">
      <c r="A436" s="3615">
        <v>434</v>
      </c>
      <c r="B436" s="3624" t="s">
        <v>7726</v>
      </c>
      <c r="C436" s="3608">
        <v>11</v>
      </c>
      <c r="D436" s="3608">
        <v>1</v>
      </c>
      <c r="E436" s="3608">
        <v>58</v>
      </c>
      <c r="F436" s="3608">
        <v>78.540000000000006</v>
      </c>
      <c r="G436" s="3608" t="s">
        <v>1378</v>
      </c>
      <c r="H436" s="3633">
        <f ca="1">'典型户型修正(先权重后修正)'!$R$24</f>
        <v>35065</v>
      </c>
      <c r="I436" s="3634">
        <f t="shared" ca="1" si="13"/>
        <v>275.39999999999998</v>
      </c>
    </row>
    <row r="437" spans="1:9">
      <c r="A437" s="3615">
        <v>435</v>
      </c>
      <c r="B437" s="3624" t="s">
        <v>7727</v>
      </c>
      <c r="C437" s="3608">
        <v>11</v>
      </c>
      <c r="D437" s="3608">
        <v>1</v>
      </c>
      <c r="E437" s="3608">
        <v>59</v>
      </c>
      <c r="F437" s="3608">
        <v>39.5</v>
      </c>
      <c r="G437" s="3608" t="s">
        <v>1378</v>
      </c>
      <c r="H437" s="3633">
        <f ca="1">'典型户型修正(先权重后修正)'!$R$24</f>
        <v>35065</v>
      </c>
      <c r="I437" s="3634">
        <f t="shared" ca="1" si="13"/>
        <v>138.51</v>
      </c>
    </row>
    <row r="438" spans="1:9">
      <c r="A438" s="3615">
        <v>436</v>
      </c>
      <c r="B438" s="3624" t="s">
        <v>7728</v>
      </c>
      <c r="C438" s="3608">
        <v>11</v>
      </c>
      <c r="D438" s="3608">
        <v>1</v>
      </c>
      <c r="E438" s="3608">
        <v>60</v>
      </c>
      <c r="F438" s="3608">
        <v>39.5</v>
      </c>
      <c r="G438" s="3608" t="s">
        <v>1378</v>
      </c>
      <c r="H438" s="3633">
        <f ca="1">'典型户型修正(先权重后修正)'!$R$24</f>
        <v>35065</v>
      </c>
      <c r="I438" s="3634">
        <f t="shared" ca="1" si="13"/>
        <v>138.51</v>
      </c>
    </row>
    <row r="439" spans="1:9">
      <c r="A439" s="3615">
        <v>437</v>
      </c>
      <c r="B439" s="3624" t="s">
        <v>7729</v>
      </c>
      <c r="C439" s="3608">
        <v>11</v>
      </c>
      <c r="D439" s="3608">
        <v>1</v>
      </c>
      <c r="E439" s="3608">
        <v>63</v>
      </c>
      <c r="F439" s="3608">
        <v>40.47</v>
      </c>
      <c r="G439" s="3608" t="s">
        <v>1378</v>
      </c>
      <c r="H439" s="3633">
        <f ca="1">'典型户型修正(先权重后修正)'!$R$24</f>
        <v>35065</v>
      </c>
      <c r="I439" s="3634">
        <f t="shared" ca="1" si="13"/>
        <v>141.91</v>
      </c>
    </row>
    <row r="440" spans="1:9">
      <c r="A440" s="3615">
        <v>438</v>
      </c>
      <c r="B440" s="3624" t="s">
        <v>7730</v>
      </c>
      <c r="C440" s="3608">
        <v>11</v>
      </c>
      <c r="D440" s="3608">
        <v>1</v>
      </c>
      <c r="E440" s="3608">
        <v>65</v>
      </c>
      <c r="F440" s="3608">
        <v>38.630000000000003</v>
      </c>
      <c r="G440" s="3608" t="s">
        <v>1378</v>
      </c>
      <c r="H440" s="3633">
        <f ca="1">'典型户型修正(先权重后修正)'!$R$24</f>
        <v>35065</v>
      </c>
      <c r="I440" s="3634">
        <f t="shared" ca="1" si="13"/>
        <v>135.46</v>
      </c>
    </row>
    <row r="441" spans="1:9">
      <c r="A441" s="3615">
        <v>439</v>
      </c>
      <c r="B441" s="3624" t="s">
        <v>7731</v>
      </c>
      <c r="C441" s="3608">
        <v>11</v>
      </c>
      <c r="D441" s="3608">
        <v>1</v>
      </c>
      <c r="E441" s="3608">
        <v>66</v>
      </c>
      <c r="F441" s="3608">
        <v>38.630000000000003</v>
      </c>
      <c r="G441" s="3608" t="s">
        <v>1378</v>
      </c>
      <c r="H441" s="3633">
        <f ca="1">'典型户型修正(先权重后修正)'!$R$24</f>
        <v>35065</v>
      </c>
      <c r="I441" s="3634">
        <f t="shared" ca="1" si="13"/>
        <v>135.46</v>
      </c>
    </row>
    <row r="442" spans="1:9">
      <c r="A442" s="3615">
        <v>440</v>
      </c>
      <c r="B442" s="3624" t="s">
        <v>7732</v>
      </c>
      <c r="C442" s="3608">
        <v>11</v>
      </c>
      <c r="D442" s="3608">
        <v>1</v>
      </c>
      <c r="E442" s="3608">
        <v>67</v>
      </c>
      <c r="F442" s="3608">
        <v>38.64</v>
      </c>
      <c r="G442" s="3608" t="s">
        <v>1378</v>
      </c>
      <c r="H442" s="3633">
        <f ca="1">'典型户型修正(先权重后修正)'!$R$24</f>
        <v>35065</v>
      </c>
      <c r="I442" s="3634">
        <f t="shared" ca="1" si="13"/>
        <v>135.49</v>
      </c>
    </row>
    <row r="443" spans="1:9">
      <c r="A443" s="3615">
        <v>441</v>
      </c>
      <c r="B443" s="3624" t="s">
        <v>7733</v>
      </c>
      <c r="C443" s="3608">
        <v>11</v>
      </c>
      <c r="D443" s="3608">
        <v>1</v>
      </c>
      <c r="E443" s="3608">
        <v>68</v>
      </c>
      <c r="F443" s="3608">
        <v>41.15</v>
      </c>
      <c r="G443" s="3608" t="s">
        <v>1378</v>
      </c>
      <c r="H443" s="3633">
        <f ca="1">'典型户型修正(先权重后修正)'!$R$24</f>
        <v>35065</v>
      </c>
      <c r="I443" s="3634">
        <f t="shared" ca="1" si="13"/>
        <v>144.29</v>
      </c>
    </row>
    <row r="444" spans="1:9">
      <c r="A444" s="3615">
        <v>442</v>
      </c>
      <c r="B444" s="3624" t="s">
        <v>7734</v>
      </c>
      <c r="C444" s="3608">
        <v>11</v>
      </c>
      <c r="D444" s="3608">
        <v>1</v>
      </c>
      <c r="E444" s="3608">
        <v>69</v>
      </c>
      <c r="F444" s="3608">
        <v>42.56</v>
      </c>
      <c r="G444" s="3608" t="s">
        <v>1378</v>
      </c>
      <c r="H444" s="3633">
        <f ca="1">'典型户型修正(先权重后修正)'!$R$24</f>
        <v>35065</v>
      </c>
      <c r="I444" s="3634">
        <f t="shared" ca="1" si="13"/>
        <v>149.24</v>
      </c>
    </row>
    <row r="445" spans="1:9">
      <c r="A445" s="3615">
        <v>443</v>
      </c>
      <c r="B445" s="3624" t="s">
        <v>7735</v>
      </c>
      <c r="C445" s="3608">
        <v>11</v>
      </c>
      <c r="D445" s="3608">
        <v>1</v>
      </c>
      <c r="E445" s="3608">
        <v>70</v>
      </c>
      <c r="F445" s="3608">
        <v>51.02</v>
      </c>
      <c r="G445" s="3608" t="s">
        <v>1378</v>
      </c>
      <c r="H445" s="3633">
        <f ca="1">'典型户型修正(先权重后修正)'!$R$24</f>
        <v>35065</v>
      </c>
      <c r="I445" s="3634">
        <f t="shared" ca="1" si="13"/>
        <v>178.9</v>
      </c>
    </row>
    <row r="446" spans="1:9">
      <c r="A446" s="3615">
        <v>444</v>
      </c>
      <c r="B446" s="3624" t="s">
        <v>7736</v>
      </c>
      <c r="C446" s="3608">
        <v>11</v>
      </c>
      <c r="D446" s="3608">
        <v>1</v>
      </c>
      <c r="E446" s="3608">
        <v>71</v>
      </c>
      <c r="F446" s="3608">
        <v>38.630000000000003</v>
      </c>
      <c r="G446" s="3608" t="s">
        <v>1378</v>
      </c>
      <c r="H446" s="3633">
        <f ca="1">'典型户型修正(先权重后修正)'!$R$24</f>
        <v>35065</v>
      </c>
      <c r="I446" s="3634">
        <f t="shared" ca="1" si="13"/>
        <v>135.46</v>
      </c>
    </row>
    <row r="447" spans="1:9">
      <c r="A447" s="3615">
        <v>445</v>
      </c>
      <c r="B447" s="3624" t="s">
        <v>7737</v>
      </c>
      <c r="C447" s="3608">
        <v>11</v>
      </c>
      <c r="D447" s="3608">
        <v>1</v>
      </c>
      <c r="E447" s="3608">
        <v>72</v>
      </c>
      <c r="F447" s="3608">
        <v>38.630000000000003</v>
      </c>
      <c r="G447" s="3608" t="s">
        <v>1378</v>
      </c>
      <c r="H447" s="3633">
        <f ca="1">'典型户型修正(先权重后修正)'!$R$24</f>
        <v>35065</v>
      </c>
      <c r="I447" s="3634">
        <f t="shared" ca="1" si="13"/>
        <v>135.46</v>
      </c>
    </row>
    <row r="448" spans="1:9">
      <c r="A448" s="3615">
        <v>446</v>
      </c>
      <c r="B448" s="3624" t="s">
        <v>7738</v>
      </c>
      <c r="C448" s="3608">
        <v>11</v>
      </c>
      <c r="D448" s="3608">
        <v>1</v>
      </c>
      <c r="E448" s="3608">
        <v>73</v>
      </c>
      <c r="F448" s="3608">
        <v>40.47</v>
      </c>
      <c r="G448" s="3608" t="s">
        <v>1378</v>
      </c>
      <c r="H448" s="3633">
        <f ca="1">'典型户型修正(先权重后修正)'!$R$24</f>
        <v>35065</v>
      </c>
      <c r="I448" s="3634">
        <f t="shared" ca="1" si="13"/>
        <v>141.91</v>
      </c>
    </row>
    <row r="449" spans="1:9">
      <c r="A449" s="3615">
        <v>447</v>
      </c>
      <c r="B449" s="3624" t="s">
        <v>7739</v>
      </c>
      <c r="C449" s="3608">
        <v>11</v>
      </c>
      <c r="D449" s="3608">
        <v>1</v>
      </c>
      <c r="E449" s="3608">
        <v>75</v>
      </c>
      <c r="F449" s="3608">
        <v>105.04</v>
      </c>
      <c r="G449" s="3608" t="s">
        <v>1378</v>
      </c>
      <c r="H449" s="3633">
        <f ca="1">'典型户型修正(先权重后修正)'!$R$24</f>
        <v>35065</v>
      </c>
      <c r="I449" s="3634">
        <f t="shared" ca="1" si="13"/>
        <v>368.32</v>
      </c>
    </row>
    <row r="450" spans="1:9">
      <c r="A450" s="3615">
        <v>448</v>
      </c>
      <c r="B450" s="3624" t="s">
        <v>7740</v>
      </c>
      <c r="C450" s="3608">
        <v>11</v>
      </c>
      <c r="D450" s="3608">
        <v>1</v>
      </c>
      <c r="E450" s="3608">
        <v>76</v>
      </c>
      <c r="F450" s="3608">
        <v>44.48</v>
      </c>
      <c r="G450" s="3608" t="s">
        <v>1378</v>
      </c>
      <c r="H450" s="3633">
        <f ca="1">'典型户型修正(先权重后修正)'!$R$24</f>
        <v>35065</v>
      </c>
      <c r="I450" s="3634">
        <f t="shared" ca="1" si="13"/>
        <v>155.97</v>
      </c>
    </row>
    <row r="451" spans="1:9">
      <c r="A451" s="3615">
        <v>449</v>
      </c>
      <c r="B451" s="3624" t="s">
        <v>7741</v>
      </c>
      <c r="C451" s="3608">
        <v>11</v>
      </c>
      <c r="D451" s="3608">
        <v>1</v>
      </c>
      <c r="E451" s="3608">
        <v>77</v>
      </c>
      <c r="F451" s="3608">
        <v>45.31</v>
      </c>
      <c r="G451" s="3608" t="s">
        <v>1378</v>
      </c>
      <c r="H451" s="3633">
        <f ca="1">'典型户型修正(先权重后修正)'!$R$24</f>
        <v>35065</v>
      </c>
      <c r="I451" s="3634">
        <f t="shared" ref="I451:I514" ca="1" si="14">ROUND(H451*F451/10000,2)</f>
        <v>158.88</v>
      </c>
    </row>
    <row r="452" spans="1:9">
      <c r="A452" s="3615">
        <v>450</v>
      </c>
      <c r="B452" s="3624" t="s">
        <v>7742</v>
      </c>
      <c r="C452" s="3608">
        <v>11</v>
      </c>
      <c r="D452" s="3608">
        <v>1</v>
      </c>
      <c r="E452" s="3608">
        <v>78</v>
      </c>
      <c r="F452" s="3608">
        <v>41.98</v>
      </c>
      <c r="G452" s="3608" t="s">
        <v>1378</v>
      </c>
      <c r="H452" s="3633">
        <f ca="1">'典型户型修正(先权重后修正)'!$R$24</f>
        <v>35065</v>
      </c>
      <c r="I452" s="3634">
        <f t="shared" ca="1" si="14"/>
        <v>147.19999999999999</v>
      </c>
    </row>
    <row r="453" spans="1:9">
      <c r="A453" s="3615">
        <v>451</v>
      </c>
      <c r="B453" s="3624" t="s">
        <v>7743</v>
      </c>
      <c r="C453" s="3608">
        <v>11</v>
      </c>
      <c r="D453" s="3608">
        <v>1</v>
      </c>
      <c r="E453" s="3608">
        <v>79</v>
      </c>
      <c r="F453" s="3608">
        <v>49.18</v>
      </c>
      <c r="G453" s="3608" t="s">
        <v>1378</v>
      </c>
      <c r="H453" s="3633">
        <f ca="1">'典型户型修正(先权重后修正)'!$R$24</f>
        <v>35065</v>
      </c>
      <c r="I453" s="3634">
        <f t="shared" ca="1" si="14"/>
        <v>172.45</v>
      </c>
    </row>
    <row r="454" spans="1:9">
      <c r="A454" s="3615">
        <v>452</v>
      </c>
      <c r="B454" s="3624" t="s">
        <v>7744</v>
      </c>
      <c r="C454" s="3608">
        <v>11</v>
      </c>
      <c r="D454" s="3608">
        <v>1</v>
      </c>
      <c r="E454" s="3608">
        <v>80</v>
      </c>
      <c r="F454" s="3608">
        <v>53.5</v>
      </c>
      <c r="G454" s="3608" t="s">
        <v>1378</v>
      </c>
      <c r="H454" s="3633">
        <f ca="1">'典型户型修正(先权重后修正)'!$R$24</f>
        <v>35065</v>
      </c>
      <c r="I454" s="3634">
        <f t="shared" ca="1" si="14"/>
        <v>187.6</v>
      </c>
    </row>
    <row r="455" spans="1:9">
      <c r="A455" s="3615">
        <v>453</v>
      </c>
      <c r="B455" s="3615" t="s">
        <v>7745</v>
      </c>
      <c r="C455" s="3616">
        <v>11</v>
      </c>
      <c r="D455" s="3616">
        <v>1</v>
      </c>
      <c r="E455" s="3616">
        <v>82</v>
      </c>
      <c r="F455" s="3616">
        <v>46.14</v>
      </c>
      <c r="G455" s="3616" t="s">
        <v>1378</v>
      </c>
      <c r="H455" s="3633">
        <f ca="1">'典型户型修正(先权重后修正)'!$R$24</f>
        <v>35065</v>
      </c>
      <c r="I455" s="3634">
        <f t="shared" ca="1" si="14"/>
        <v>161.79</v>
      </c>
    </row>
    <row r="456" spans="1:9">
      <c r="A456" s="3615">
        <v>454</v>
      </c>
      <c r="B456" s="3624" t="s">
        <v>7746</v>
      </c>
      <c r="C456" s="3608">
        <v>11</v>
      </c>
      <c r="D456" s="3608">
        <v>1</v>
      </c>
      <c r="E456" s="3608">
        <v>83</v>
      </c>
      <c r="F456" s="3608">
        <v>54.01</v>
      </c>
      <c r="G456" s="3608" t="s">
        <v>1378</v>
      </c>
      <c r="H456" s="3633">
        <f ca="1">'典型户型修正(先权重后修正)'!$R$24</f>
        <v>35065</v>
      </c>
      <c r="I456" s="3634">
        <f t="shared" ca="1" si="14"/>
        <v>189.39</v>
      </c>
    </row>
    <row r="457" spans="1:9">
      <c r="A457" s="3615">
        <v>455</v>
      </c>
      <c r="B457" s="3624" t="s">
        <v>7747</v>
      </c>
      <c r="C457" s="3608">
        <v>11</v>
      </c>
      <c r="D457" s="3608">
        <v>1</v>
      </c>
      <c r="E457" s="3608">
        <v>85</v>
      </c>
      <c r="F457" s="3608">
        <v>79.64</v>
      </c>
      <c r="G457" s="3608" t="s">
        <v>1378</v>
      </c>
      <c r="H457" s="3633">
        <f ca="1">'典型户型修正(先权重后修正)'!$R$24</f>
        <v>35065</v>
      </c>
      <c r="I457" s="3634">
        <f t="shared" ca="1" si="14"/>
        <v>279.26</v>
      </c>
    </row>
    <row r="458" spans="1:9">
      <c r="A458" s="3615">
        <v>456</v>
      </c>
      <c r="B458" s="3615" t="s">
        <v>7748</v>
      </c>
      <c r="C458" s="3616">
        <v>11</v>
      </c>
      <c r="D458" s="3616">
        <v>1</v>
      </c>
      <c r="E458" s="3616">
        <v>86</v>
      </c>
      <c r="F458" s="3616">
        <v>64.25</v>
      </c>
      <c r="G458" s="3616" t="s">
        <v>1378</v>
      </c>
      <c r="H458" s="3633">
        <f ca="1">'典型户型修正(先权重后修正)'!$R$24</f>
        <v>35065</v>
      </c>
      <c r="I458" s="3634">
        <f t="shared" ca="1" si="14"/>
        <v>225.29</v>
      </c>
    </row>
    <row r="459" spans="1:9">
      <c r="A459" s="3615">
        <v>457</v>
      </c>
      <c r="B459" s="3615" t="s">
        <v>7749</v>
      </c>
      <c r="C459" s="3616">
        <v>11</v>
      </c>
      <c r="D459" s="3616">
        <v>1</v>
      </c>
      <c r="E459" s="3616">
        <v>87</v>
      </c>
      <c r="F459" s="3616">
        <v>67.59</v>
      </c>
      <c r="G459" s="3616" t="s">
        <v>1378</v>
      </c>
      <c r="H459" s="3633">
        <f ca="1">'典型户型修正(先权重后修正)'!$R$24</f>
        <v>35065</v>
      </c>
      <c r="I459" s="3634">
        <f t="shared" ca="1" si="14"/>
        <v>237</v>
      </c>
    </row>
    <row r="460" spans="1:9">
      <c r="A460" s="3615">
        <v>458</v>
      </c>
      <c r="B460" s="3624" t="s">
        <v>7750</v>
      </c>
      <c r="C460" s="3608">
        <v>11</v>
      </c>
      <c r="D460" s="3608">
        <v>1</v>
      </c>
      <c r="E460" s="3608">
        <v>88</v>
      </c>
      <c r="F460" s="3608">
        <v>68.930000000000007</v>
      </c>
      <c r="G460" s="3608" t="s">
        <v>1378</v>
      </c>
      <c r="H460" s="3633">
        <f ca="1">'典型户型修正(先权重后修正)'!$R$24</f>
        <v>35065</v>
      </c>
      <c r="I460" s="3634">
        <f t="shared" ca="1" si="14"/>
        <v>241.7</v>
      </c>
    </row>
    <row r="461" spans="1:9">
      <c r="A461" s="3615">
        <v>459</v>
      </c>
      <c r="B461" s="3624" t="s">
        <v>7751</v>
      </c>
      <c r="C461" s="3608">
        <v>11</v>
      </c>
      <c r="D461" s="3608">
        <v>1</v>
      </c>
      <c r="E461" s="3608">
        <v>89</v>
      </c>
      <c r="F461" s="3608">
        <v>79.099999999999994</v>
      </c>
      <c r="G461" s="3608" t="s">
        <v>1378</v>
      </c>
      <c r="H461" s="3633">
        <f ca="1">'典型户型修正(先权重后修正)'!$R$24</f>
        <v>35065</v>
      </c>
      <c r="I461" s="3634">
        <f t="shared" ca="1" si="14"/>
        <v>277.36</v>
      </c>
    </row>
    <row r="462" spans="1:9">
      <c r="A462" s="3615">
        <v>460</v>
      </c>
      <c r="B462" s="3624" t="s">
        <v>7752</v>
      </c>
      <c r="C462" s="3608">
        <v>11</v>
      </c>
      <c r="D462" s="3608">
        <v>1</v>
      </c>
      <c r="E462" s="3608">
        <v>91</v>
      </c>
      <c r="F462" s="3608">
        <v>40.14</v>
      </c>
      <c r="G462" s="3608" t="s">
        <v>1378</v>
      </c>
      <c r="H462" s="3633">
        <f ca="1">'典型户型修正(先权重后修正)'!$R$24</f>
        <v>35065</v>
      </c>
      <c r="I462" s="3634">
        <f t="shared" ca="1" si="14"/>
        <v>140.75</v>
      </c>
    </row>
    <row r="463" spans="1:9">
      <c r="A463" s="3615">
        <v>461</v>
      </c>
      <c r="B463" s="3624" t="s">
        <v>7753</v>
      </c>
      <c r="C463" s="3608">
        <v>11</v>
      </c>
      <c r="D463" s="3608">
        <v>1</v>
      </c>
      <c r="E463" s="3608">
        <v>92</v>
      </c>
      <c r="F463" s="3608">
        <v>48.34</v>
      </c>
      <c r="G463" s="3608" t="s">
        <v>1378</v>
      </c>
      <c r="H463" s="3633">
        <f ca="1">'典型户型修正(先权重后修正)'!$R$24</f>
        <v>35065</v>
      </c>
      <c r="I463" s="3634">
        <f t="shared" ca="1" si="14"/>
        <v>169.5</v>
      </c>
    </row>
    <row r="464" spans="1:9">
      <c r="A464" s="3615">
        <v>462</v>
      </c>
      <c r="B464" s="3624" t="s">
        <v>7754</v>
      </c>
      <c r="C464" s="3608">
        <v>11</v>
      </c>
      <c r="D464" s="3608">
        <v>1</v>
      </c>
      <c r="E464" s="3608">
        <v>93</v>
      </c>
      <c r="F464" s="3608">
        <v>46.5</v>
      </c>
      <c r="G464" s="3608" t="s">
        <v>1378</v>
      </c>
      <c r="H464" s="3633">
        <f ca="1">'典型户型修正(先权重后修正)'!$R$24</f>
        <v>35065</v>
      </c>
      <c r="I464" s="3634">
        <f t="shared" ca="1" si="14"/>
        <v>163.05000000000001</v>
      </c>
    </row>
    <row r="465" spans="1:9">
      <c r="A465" s="3615">
        <v>463</v>
      </c>
      <c r="B465" s="3624" t="s">
        <v>7755</v>
      </c>
      <c r="C465" s="3608">
        <v>11</v>
      </c>
      <c r="D465" s="3608">
        <v>1</v>
      </c>
      <c r="E465" s="3608">
        <v>95</v>
      </c>
      <c r="F465" s="3608">
        <v>72.91</v>
      </c>
      <c r="G465" s="3608" t="s">
        <v>1378</v>
      </c>
      <c r="H465" s="3633">
        <f ca="1">'典型户型修正(先权重后修正)'!$R$24</f>
        <v>35065</v>
      </c>
      <c r="I465" s="3634">
        <f t="shared" ca="1" si="14"/>
        <v>255.66</v>
      </c>
    </row>
    <row r="466" spans="1:9">
      <c r="A466" s="3615">
        <v>464</v>
      </c>
      <c r="B466" s="3624" t="s">
        <v>7756</v>
      </c>
      <c r="C466" s="3608">
        <v>11</v>
      </c>
      <c r="D466" s="3608">
        <v>1</v>
      </c>
      <c r="E466" s="3608">
        <v>96</v>
      </c>
      <c r="F466" s="3608">
        <v>77.510000000000005</v>
      </c>
      <c r="G466" s="3608" t="s">
        <v>1378</v>
      </c>
      <c r="H466" s="3633">
        <f ca="1">'典型户型修正(先权重后修正)'!$R$24</f>
        <v>35065</v>
      </c>
      <c r="I466" s="3634">
        <f t="shared" ca="1" si="14"/>
        <v>271.79000000000002</v>
      </c>
    </row>
    <row r="467" spans="1:9">
      <c r="A467" s="3615">
        <v>465</v>
      </c>
      <c r="B467" s="3624" t="s">
        <v>7757</v>
      </c>
      <c r="C467" s="3608">
        <v>11</v>
      </c>
      <c r="D467" s="3608">
        <v>1</v>
      </c>
      <c r="E467" s="3608">
        <v>97</v>
      </c>
      <c r="F467" s="3608">
        <v>70.239999999999995</v>
      </c>
      <c r="G467" s="3608" t="s">
        <v>1378</v>
      </c>
      <c r="H467" s="3633">
        <f ca="1">'典型户型修正(先权重后修正)'!$R$24</f>
        <v>35065</v>
      </c>
      <c r="I467" s="3634">
        <f t="shared" ca="1" si="14"/>
        <v>246.3</v>
      </c>
    </row>
    <row r="468" spans="1:9">
      <c r="A468" s="3615">
        <v>466</v>
      </c>
      <c r="B468" s="3624" t="s">
        <v>7758</v>
      </c>
      <c r="C468" s="3608">
        <v>11</v>
      </c>
      <c r="D468" s="3608">
        <v>1</v>
      </c>
      <c r="E468" s="3608">
        <v>98</v>
      </c>
      <c r="F468" s="3608">
        <v>53.53</v>
      </c>
      <c r="G468" s="3608" t="s">
        <v>1378</v>
      </c>
      <c r="H468" s="3633">
        <f ca="1">'典型户型修正(先权重后修正)'!$R$24</f>
        <v>35065</v>
      </c>
      <c r="I468" s="3634">
        <f t="shared" ca="1" si="14"/>
        <v>187.7</v>
      </c>
    </row>
    <row r="469" spans="1:9">
      <c r="A469" s="3615">
        <v>467</v>
      </c>
      <c r="B469" s="3624" t="s">
        <v>7759</v>
      </c>
      <c r="C469" s="3608">
        <v>11</v>
      </c>
      <c r="D469" s="3608">
        <v>1</v>
      </c>
      <c r="E469" s="3608">
        <v>99</v>
      </c>
      <c r="F469" s="3608">
        <v>73.17</v>
      </c>
      <c r="G469" s="3608" t="s">
        <v>1378</v>
      </c>
      <c r="H469" s="3633">
        <f ca="1">'典型户型修正(先权重后修正)'!$R$24</f>
        <v>35065</v>
      </c>
      <c r="I469" s="3634">
        <f t="shared" ca="1" si="14"/>
        <v>256.57</v>
      </c>
    </row>
    <row r="470" spans="1:9">
      <c r="A470" s="3615">
        <v>468</v>
      </c>
      <c r="B470" s="3624" t="s">
        <v>7760</v>
      </c>
      <c r="C470" s="3608">
        <v>11</v>
      </c>
      <c r="D470" s="3608">
        <v>1</v>
      </c>
      <c r="E470" s="3608">
        <v>103</v>
      </c>
      <c r="F470" s="3608">
        <v>32.51</v>
      </c>
      <c r="G470" s="3608" t="s">
        <v>1378</v>
      </c>
      <c r="H470" s="3633">
        <f ca="1">'典型户型修正(先权重后修正)'!$R$24</f>
        <v>35065</v>
      </c>
      <c r="I470" s="3634">
        <f t="shared" ca="1" si="14"/>
        <v>114</v>
      </c>
    </row>
    <row r="471" spans="1:9">
      <c r="A471" s="3615">
        <v>469</v>
      </c>
      <c r="B471" s="3624" t="s">
        <v>7761</v>
      </c>
      <c r="C471" s="3608">
        <v>11</v>
      </c>
      <c r="D471" s="3608">
        <v>1</v>
      </c>
      <c r="E471" s="3608">
        <v>106</v>
      </c>
      <c r="F471" s="3608">
        <v>72.92</v>
      </c>
      <c r="G471" s="3608" t="s">
        <v>1378</v>
      </c>
      <c r="H471" s="3633">
        <f ca="1">'典型户型修正(先权重后修正)'!$R$24</f>
        <v>35065</v>
      </c>
      <c r="I471" s="3634">
        <f t="shared" ca="1" si="14"/>
        <v>255.69</v>
      </c>
    </row>
    <row r="472" spans="1:9">
      <c r="A472" s="3615">
        <v>470</v>
      </c>
      <c r="B472" s="3624" t="s">
        <v>7762</v>
      </c>
      <c r="C472" s="3608">
        <v>11</v>
      </c>
      <c r="D472" s="3608">
        <v>1</v>
      </c>
      <c r="E472" s="3608">
        <v>107</v>
      </c>
      <c r="F472" s="3608">
        <v>47.86</v>
      </c>
      <c r="G472" s="3608" t="s">
        <v>1378</v>
      </c>
      <c r="H472" s="3633">
        <f ca="1">'典型户型修正(先权重后修正)'!$R$24</f>
        <v>35065</v>
      </c>
      <c r="I472" s="3634">
        <f t="shared" ca="1" si="14"/>
        <v>167.82</v>
      </c>
    </row>
    <row r="473" spans="1:9">
      <c r="A473" s="3615">
        <v>471</v>
      </c>
      <c r="B473" s="3624" t="s">
        <v>7763</v>
      </c>
      <c r="C473" s="3608">
        <v>11</v>
      </c>
      <c r="D473" s="3608">
        <v>1</v>
      </c>
      <c r="E473" s="3608">
        <v>108</v>
      </c>
      <c r="F473" s="3608">
        <v>38.369999999999997</v>
      </c>
      <c r="G473" s="3608" t="s">
        <v>1378</v>
      </c>
      <c r="H473" s="3633">
        <f ca="1">'典型户型修正(先权重后修正)'!$R$24</f>
        <v>35065</v>
      </c>
      <c r="I473" s="3634">
        <f t="shared" ca="1" si="14"/>
        <v>134.54</v>
      </c>
    </row>
    <row r="474" spans="1:9">
      <c r="A474" s="3615">
        <v>472</v>
      </c>
      <c r="B474" s="3624" t="s">
        <v>7764</v>
      </c>
      <c r="C474" s="3608">
        <v>11</v>
      </c>
      <c r="D474" s="3608">
        <v>1</v>
      </c>
      <c r="E474" s="3608">
        <v>109</v>
      </c>
      <c r="F474" s="3608">
        <v>34.79</v>
      </c>
      <c r="G474" s="3608" t="s">
        <v>1378</v>
      </c>
      <c r="H474" s="3633">
        <f ca="1">'典型户型修正(先权重后修正)'!$R$24</f>
        <v>35065</v>
      </c>
      <c r="I474" s="3634">
        <f t="shared" ca="1" si="14"/>
        <v>121.99</v>
      </c>
    </row>
    <row r="475" spans="1:9">
      <c r="A475" s="3615">
        <v>473</v>
      </c>
      <c r="B475" s="3624" t="s">
        <v>7765</v>
      </c>
      <c r="C475" s="3608">
        <v>11</v>
      </c>
      <c r="D475" s="3608">
        <v>1</v>
      </c>
      <c r="E475" s="3608">
        <v>110</v>
      </c>
      <c r="F475" s="3608">
        <v>79.099999999999994</v>
      </c>
      <c r="G475" s="3608" t="s">
        <v>1378</v>
      </c>
      <c r="H475" s="3633">
        <f ca="1">'典型户型修正(先权重后修正)'!$R$24</f>
        <v>35065</v>
      </c>
      <c r="I475" s="3634">
        <f t="shared" ca="1" si="14"/>
        <v>277.36</v>
      </c>
    </row>
    <row r="476" spans="1:9">
      <c r="A476" s="3615">
        <v>474</v>
      </c>
      <c r="B476" s="3624" t="s">
        <v>7766</v>
      </c>
      <c r="C476" s="3608">
        <v>11</v>
      </c>
      <c r="D476" s="3608">
        <v>1</v>
      </c>
      <c r="E476" s="3608">
        <v>117</v>
      </c>
      <c r="F476" s="3608">
        <v>28.62</v>
      </c>
      <c r="G476" s="3608" t="s">
        <v>1378</v>
      </c>
      <c r="H476" s="3633">
        <f ca="1">'典型户型修正(先权重后修正)'!$R$24</f>
        <v>35065</v>
      </c>
      <c r="I476" s="3634">
        <f t="shared" ca="1" si="14"/>
        <v>100.36</v>
      </c>
    </row>
    <row r="477" spans="1:9">
      <c r="A477" s="3615">
        <v>475</v>
      </c>
      <c r="B477" s="3624" t="s">
        <v>7767</v>
      </c>
      <c r="C477" s="3608">
        <v>11</v>
      </c>
      <c r="D477" s="3608">
        <v>1</v>
      </c>
      <c r="E477" s="3608">
        <v>118</v>
      </c>
      <c r="F477" s="3608">
        <v>40.53</v>
      </c>
      <c r="G477" s="3608" t="s">
        <v>1378</v>
      </c>
      <c r="H477" s="3633">
        <f ca="1">'典型户型修正(先权重后修正)'!$R$24</f>
        <v>35065</v>
      </c>
      <c r="I477" s="3634">
        <f t="shared" ca="1" si="14"/>
        <v>142.12</v>
      </c>
    </row>
    <row r="478" spans="1:9">
      <c r="A478" s="3615">
        <v>476</v>
      </c>
      <c r="B478" s="3624" t="s">
        <v>7768</v>
      </c>
      <c r="C478" s="3608">
        <v>11</v>
      </c>
      <c r="D478" s="3608">
        <v>1</v>
      </c>
      <c r="E478" s="3608">
        <v>121</v>
      </c>
      <c r="F478" s="3608">
        <v>33.770000000000003</v>
      </c>
      <c r="G478" s="3608" t="s">
        <v>1378</v>
      </c>
      <c r="H478" s="3633">
        <f ca="1">'典型户型修正(先权重后修正)'!$R$24</f>
        <v>35065</v>
      </c>
      <c r="I478" s="3634">
        <f t="shared" ca="1" si="14"/>
        <v>118.41</v>
      </c>
    </row>
    <row r="479" spans="1:9">
      <c r="A479" s="3615">
        <v>477</v>
      </c>
      <c r="B479" s="3624" t="s">
        <v>7769</v>
      </c>
      <c r="C479" s="3608">
        <v>11</v>
      </c>
      <c r="D479" s="3608">
        <v>1</v>
      </c>
      <c r="E479" s="3608">
        <v>122</v>
      </c>
      <c r="F479" s="3608">
        <v>53.63</v>
      </c>
      <c r="G479" s="3608" t="s">
        <v>1378</v>
      </c>
      <c r="H479" s="3633">
        <f ca="1">'典型户型修正(先权重后修正)'!$R$24</f>
        <v>35065</v>
      </c>
      <c r="I479" s="3634">
        <f t="shared" ca="1" si="14"/>
        <v>188.05</v>
      </c>
    </row>
    <row r="480" spans="1:9">
      <c r="A480" s="3615">
        <v>478</v>
      </c>
      <c r="B480" s="3624" t="s">
        <v>7770</v>
      </c>
      <c r="C480" s="3608">
        <v>11</v>
      </c>
      <c r="D480" s="3608">
        <v>1</v>
      </c>
      <c r="E480" s="3608">
        <v>123</v>
      </c>
      <c r="F480" s="3608">
        <v>8.98</v>
      </c>
      <c r="G480" s="3608" t="s">
        <v>1378</v>
      </c>
      <c r="H480" s="3633">
        <f ca="1">'典型户型修正(先权重后修正)'!$R$24</f>
        <v>35065</v>
      </c>
      <c r="I480" s="3634">
        <f t="shared" ca="1" si="14"/>
        <v>31.49</v>
      </c>
    </row>
    <row r="481" spans="1:9">
      <c r="A481" s="3615">
        <v>479</v>
      </c>
      <c r="B481" s="3624" t="s">
        <v>7771</v>
      </c>
      <c r="C481" s="3608">
        <v>11</v>
      </c>
      <c r="D481" s="3608">
        <v>1</v>
      </c>
      <c r="E481" s="3608">
        <v>125</v>
      </c>
      <c r="F481" s="3608">
        <v>40.69</v>
      </c>
      <c r="G481" s="3608" t="s">
        <v>1378</v>
      </c>
      <c r="H481" s="3633">
        <f ca="1">'典型户型修正(先权重后修正)'!$R$24</f>
        <v>35065</v>
      </c>
      <c r="I481" s="3634">
        <f t="shared" ca="1" si="14"/>
        <v>142.68</v>
      </c>
    </row>
    <row r="482" spans="1:9">
      <c r="A482" s="3615">
        <v>480</v>
      </c>
      <c r="B482" s="3624" t="s">
        <v>7772</v>
      </c>
      <c r="C482" s="3608">
        <v>11</v>
      </c>
      <c r="D482" s="3608">
        <v>1</v>
      </c>
      <c r="E482" s="3608">
        <v>126</v>
      </c>
      <c r="F482" s="3608">
        <v>41.61</v>
      </c>
      <c r="G482" s="3608" t="s">
        <v>1378</v>
      </c>
      <c r="H482" s="3633">
        <f ca="1">'典型户型修正(先权重后修正)'!$R$24</f>
        <v>35065</v>
      </c>
      <c r="I482" s="3634">
        <f t="shared" ca="1" si="14"/>
        <v>145.91</v>
      </c>
    </row>
    <row r="483" spans="1:9">
      <c r="A483" s="3615">
        <v>481</v>
      </c>
      <c r="B483" s="3624" t="s">
        <v>7773</v>
      </c>
      <c r="C483" s="3608">
        <v>11</v>
      </c>
      <c r="D483" s="3608">
        <v>1</v>
      </c>
      <c r="E483" s="3608">
        <v>127</v>
      </c>
      <c r="F483" s="3608">
        <v>73.5</v>
      </c>
      <c r="G483" s="3608" t="s">
        <v>1378</v>
      </c>
      <c r="H483" s="3633">
        <f ca="1">'典型户型修正(先权重后修正)'!$R$24</f>
        <v>35065</v>
      </c>
      <c r="I483" s="3634">
        <f t="shared" ca="1" si="14"/>
        <v>257.73</v>
      </c>
    </row>
    <row r="484" spans="1:9">
      <c r="A484" s="3615">
        <v>482</v>
      </c>
      <c r="B484" s="3624" t="s">
        <v>7774</v>
      </c>
      <c r="C484" s="3608">
        <v>11</v>
      </c>
      <c r="D484" s="3608">
        <v>1</v>
      </c>
      <c r="E484" s="3608">
        <v>128</v>
      </c>
      <c r="F484" s="3608">
        <v>80.91</v>
      </c>
      <c r="G484" s="3608" t="s">
        <v>1378</v>
      </c>
      <c r="H484" s="3633">
        <f ca="1">'典型户型修正(先权重后修正)'!$R$24</f>
        <v>35065</v>
      </c>
      <c r="I484" s="3634">
        <f t="shared" ca="1" si="14"/>
        <v>283.70999999999998</v>
      </c>
    </row>
    <row r="485" spans="1:9">
      <c r="A485" s="3615">
        <v>483</v>
      </c>
      <c r="B485" s="3624" t="s">
        <v>7775</v>
      </c>
      <c r="C485" s="3608">
        <v>11</v>
      </c>
      <c r="D485" s="3608">
        <v>1</v>
      </c>
      <c r="E485" s="3608">
        <v>129</v>
      </c>
      <c r="F485" s="3608">
        <v>79.739999999999995</v>
      </c>
      <c r="G485" s="3608" t="s">
        <v>1378</v>
      </c>
      <c r="H485" s="3633">
        <f ca="1">'典型户型修正(先权重后修正)'!$R$24</f>
        <v>35065</v>
      </c>
      <c r="I485" s="3634">
        <f t="shared" ca="1" si="14"/>
        <v>279.61</v>
      </c>
    </row>
    <row r="486" spans="1:9">
      <c r="A486" s="3615">
        <v>484</v>
      </c>
      <c r="B486" s="3624" t="s">
        <v>7776</v>
      </c>
      <c r="C486" s="3608">
        <v>11</v>
      </c>
      <c r="D486" s="3608">
        <v>1</v>
      </c>
      <c r="E486" s="3608">
        <v>130</v>
      </c>
      <c r="F486" s="3608">
        <v>65.84</v>
      </c>
      <c r="G486" s="3608" t="s">
        <v>1378</v>
      </c>
      <c r="H486" s="3633">
        <f ca="1">'典型户型修正(先权重后修正)'!$R$24</f>
        <v>35065</v>
      </c>
      <c r="I486" s="3634">
        <f t="shared" ca="1" si="14"/>
        <v>230.87</v>
      </c>
    </row>
    <row r="487" spans="1:9">
      <c r="A487" s="3615">
        <v>485</v>
      </c>
      <c r="B487" s="3624" t="s">
        <v>7777</v>
      </c>
      <c r="C487" s="3608">
        <v>11</v>
      </c>
      <c r="D487" s="3608">
        <v>1</v>
      </c>
      <c r="E487" s="3608">
        <v>131</v>
      </c>
      <c r="F487" s="3608">
        <v>64.010000000000005</v>
      </c>
      <c r="G487" s="3608" t="s">
        <v>1378</v>
      </c>
      <c r="H487" s="3633">
        <f ca="1">'典型户型修正(先权重后修正)'!$R$24</f>
        <v>35065</v>
      </c>
      <c r="I487" s="3634">
        <f t="shared" ca="1" si="14"/>
        <v>224.45</v>
      </c>
    </row>
    <row r="488" spans="1:9">
      <c r="A488" s="3615">
        <v>486</v>
      </c>
      <c r="B488" s="3624" t="s">
        <v>7778</v>
      </c>
      <c r="C488" s="3608">
        <v>11</v>
      </c>
      <c r="D488" s="3608">
        <v>1</v>
      </c>
      <c r="E488" s="3608">
        <v>132</v>
      </c>
      <c r="F488" s="3608">
        <v>30.92</v>
      </c>
      <c r="G488" s="3608" t="s">
        <v>1378</v>
      </c>
      <c r="H488" s="3633">
        <f ca="1">'典型户型修正(先权重后修正)'!$R$24</f>
        <v>35065</v>
      </c>
      <c r="I488" s="3634">
        <f t="shared" ca="1" si="14"/>
        <v>108.42</v>
      </c>
    </row>
    <row r="489" spans="1:9">
      <c r="A489" s="3615">
        <v>487</v>
      </c>
      <c r="B489" s="3624" t="s">
        <v>7779</v>
      </c>
      <c r="C489" s="3608">
        <v>11</v>
      </c>
      <c r="D489" s="3608">
        <v>1</v>
      </c>
      <c r="E489" s="3608">
        <v>133</v>
      </c>
      <c r="F489" s="3608">
        <v>31.28</v>
      </c>
      <c r="G489" s="3608" t="s">
        <v>1378</v>
      </c>
      <c r="H489" s="3633">
        <f ca="1">'典型户型修正(先权重后修正)'!$R$24</f>
        <v>35065</v>
      </c>
      <c r="I489" s="3634">
        <f t="shared" ca="1" si="14"/>
        <v>109.68</v>
      </c>
    </row>
    <row r="490" spans="1:9">
      <c r="A490" s="3615">
        <v>488</v>
      </c>
      <c r="B490" s="3624" t="s">
        <v>7780</v>
      </c>
      <c r="C490" s="3608">
        <v>11</v>
      </c>
      <c r="D490" s="3608">
        <v>1</v>
      </c>
      <c r="E490" s="3608">
        <v>135</v>
      </c>
      <c r="F490" s="3608">
        <v>30.86</v>
      </c>
      <c r="G490" s="3608" t="s">
        <v>1378</v>
      </c>
      <c r="H490" s="3633">
        <f ca="1">'典型户型修正(先权重后修正)'!$R$24</f>
        <v>35065</v>
      </c>
      <c r="I490" s="3634">
        <f t="shared" ca="1" si="14"/>
        <v>108.21</v>
      </c>
    </row>
    <row r="491" spans="1:9">
      <c r="A491" s="3615">
        <v>489</v>
      </c>
      <c r="B491" s="3624" t="s">
        <v>7781</v>
      </c>
      <c r="C491" s="3608">
        <v>11</v>
      </c>
      <c r="D491" s="3608">
        <v>1</v>
      </c>
      <c r="E491" s="3608">
        <v>136</v>
      </c>
      <c r="F491" s="3608">
        <v>43.21</v>
      </c>
      <c r="G491" s="3608" t="s">
        <v>1378</v>
      </c>
      <c r="H491" s="3633">
        <f ca="1">'典型户型修正(先权重后修正)'!$R$24</f>
        <v>35065</v>
      </c>
      <c r="I491" s="3634">
        <f t="shared" ca="1" si="14"/>
        <v>151.52000000000001</v>
      </c>
    </row>
    <row r="492" spans="1:9">
      <c r="A492" s="3615">
        <v>490</v>
      </c>
      <c r="B492" s="3624" t="s">
        <v>7782</v>
      </c>
      <c r="C492" s="3608">
        <v>11</v>
      </c>
      <c r="D492" s="3608">
        <v>1</v>
      </c>
      <c r="E492" s="3608">
        <v>139</v>
      </c>
      <c r="F492" s="3608">
        <v>38.909999999999997</v>
      </c>
      <c r="G492" s="3608" t="s">
        <v>1378</v>
      </c>
      <c r="H492" s="3633">
        <f ca="1">'典型户型修正(先权重后修正)'!$R$24</f>
        <v>35065</v>
      </c>
      <c r="I492" s="3634">
        <f t="shared" ca="1" si="14"/>
        <v>136.44</v>
      </c>
    </row>
    <row r="493" spans="1:9">
      <c r="A493" s="3615">
        <v>491</v>
      </c>
      <c r="B493" s="3624" t="s">
        <v>7783</v>
      </c>
      <c r="C493" s="3608">
        <v>11</v>
      </c>
      <c r="D493" s="3608">
        <v>1</v>
      </c>
      <c r="E493" s="3608">
        <v>140</v>
      </c>
      <c r="F493" s="3608">
        <v>33.049999999999997</v>
      </c>
      <c r="G493" s="3608" t="s">
        <v>1378</v>
      </c>
      <c r="H493" s="3633">
        <f ca="1">'典型户型修正(先权重后修正)'!$R$24</f>
        <v>35065</v>
      </c>
      <c r="I493" s="3634">
        <f t="shared" ca="1" si="14"/>
        <v>115.89</v>
      </c>
    </row>
    <row r="494" spans="1:9">
      <c r="A494" s="3615">
        <v>492</v>
      </c>
      <c r="B494" s="3624" t="s">
        <v>7784</v>
      </c>
      <c r="C494" s="3608">
        <v>11</v>
      </c>
      <c r="D494" s="3608">
        <v>1</v>
      </c>
      <c r="E494" s="3608">
        <v>150</v>
      </c>
      <c r="F494" s="3608">
        <v>75.5</v>
      </c>
      <c r="G494" s="3608" t="s">
        <v>1378</v>
      </c>
      <c r="H494" s="3633">
        <f ca="1">'典型户型修正(先权重后修正)'!$R$24</f>
        <v>35065</v>
      </c>
      <c r="I494" s="3634">
        <f t="shared" ca="1" si="14"/>
        <v>264.74</v>
      </c>
    </row>
    <row r="495" spans="1:9">
      <c r="A495" s="3615">
        <v>493</v>
      </c>
      <c r="B495" s="3624" t="s">
        <v>7785</v>
      </c>
      <c r="C495" s="3608">
        <v>11</v>
      </c>
      <c r="D495" s="3608">
        <v>1</v>
      </c>
      <c r="E495" s="3608">
        <v>151</v>
      </c>
      <c r="F495" s="3608">
        <v>94.2</v>
      </c>
      <c r="G495" s="3608" t="s">
        <v>1378</v>
      </c>
      <c r="H495" s="3633">
        <f ca="1">'典型户型修正(先权重后修正)'!$R$24</f>
        <v>35065</v>
      </c>
      <c r="I495" s="3634">
        <f t="shared" ca="1" si="14"/>
        <v>330.31</v>
      </c>
    </row>
    <row r="496" spans="1:9">
      <c r="A496" s="3615">
        <v>494</v>
      </c>
      <c r="B496" s="3624" t="s">
        <v>7786</v>
      </c>
      <c r="C496" s="3608">
        <v>11</v>
      </c>
      <c r="D496" s="3608">
        <v>1</v>
      </c>
      <c r="E496" s="3608">
        <v>152</v>
      </c>
      <c r="F496" s="3608">
        <v>79.099999999999994</v>
      </c>
      <c r="G496" s="3608" t="s">
        <v>1378</v>
      </c>
      <c r="H496" s="3633">
        <f ca="1">'典型户型修正(先权重后修正)'!$R$24</f>
        <v>35065</v>
      </c>
      <c r="I496" s="3634">
        <f t="shared" ca="1" si="14"/>
        <v>277.36</v>
      </c>
    </row>
    <row r="497" spans="1:9">
      <c r="A497" s="3615">
        <v>495</v>
      </c>
      <c r="B497" s="3624" t="s">
        <v>7787</v>
      </c>
      <c r="C497" s="3608">
        <v>11</v>
      </c>
      <c r="D497" s="3608">
        <v>1</v>
      </c>
      <c r="E497" s="3608">
        <v>153</v>
      </c>
      <c r="F497" s="3608">
        <v>75.510000000000005</v>
      </c>
      <c r="G497" s="3608" t="s">
        <v>1378</v>
      </c>
      <c r="H497" s="3633">
        <f ca="1">'典型户型修正(先权重后修正)'!$R$24</f>
        <v>35065</v>
      </c>
      <c r="I497" s="3634">
        <f t="shared" ca="1" si="14"/>
        <v>264.77999999999997</v>
      </c>
    </row>
    <row r="498" spans="1:9">
      <c r="A498" s="3615">
        <v>496</v>
      </c>
      <c r="B498" s="3624" t="s">
        <v>7788</v>
      </c>
      <c r="C498" s="3608">
        <v>11</v>
      </c>
      <c r="D498" s="3608">
        <v>1</v>
      </c>
      <c r="E498" s="3608">
        <v>155</v>
      </c>
      <c r="F498" s="3608">
        <v>75.510000000000005</v>
      </c>
      <c r="G498" s="3608" t="s">
        <v>1378</v>
      </c>
      <c r="H498" s="3633">
        <f ca="1">'典型户型修正(先权重后修正)'!$R$24</f>
        <v>35065</v>
      </c>
      <c r="I498" s="3634">
        <f t="shared" ca="1" si="14"/>
        <v>264.77999999999997</v>
      </c>
    </row>
    <row r="499" spans="1:9">
      <c r="A499" s="3615">
        <v>497</v>
      </c>
      <c r="B499" s="3624" t="s">
        <v>7789</v>
      </c>
      <c r="C499" s="3608">
        <v>11</v>
      </c>
      <c r="D499" s="3608">
        <v>1</v>
      </c>
      <c r="E499" s="3608">
        <v>156</v>
      </c>
      <c r="F499" s="3608">
        <v>75.5</v>
      </c>
      <c r="G499" s="3608" t="s">
        <v>1378</v>
      </c>
      <c r="H499" s="3633">
        <f ca="1">'典型户型修正(先权重后修正)'!$R$24</f>
        <v>35065</v>
      </c>
      <c r="I499" s="3634">
        <f t="shared" ca="1" si="14"/>
        <v>264.74</v>
      </c>
    </row>
    <row r="500" spans="1:9">
      <c r="A500" s="3615">
        <v>498</v>
      </c>
      <c r="B500" s="3624" t="s">
        <v>7790</v>
      </c>
      <c r="C500" s="3608">
        <v>11</v>
      </c>
      <c r="D500" s="3608">
        <v>1</v>
      </c>
      <c r="E500" s="3608">
        <v>157</v>
      </c>
      <c r="F500" s="3608">
        <v>71.03</v>
      </c>
      <c r="G500" s="3608" t="s">
        <v>1378</v>
      </c>
      <c r="H500" s="3633">
        <f ca="1">'典型户型修正(先权重后修正)'!$R$24</f>
        <v>35065</v>
      </c>
      <c r="I500" s="3634">
        <f t="shared" ca="1" si="14"/>
        <v>249.07</v>
      </c>
    </row>
    <row r="501" spans="1:9">
      <c r="A501" s="3615">
        <v>499</v>
      </c>
      <c r="B501" s="3624" t="s">
        <v>7791</v>
      </c>
      <c r="C501" s="3608">
        <v>11</v>
      </c>
      <c r="D501" s="3608">
        <v>1</v>
      </c>
      <c r="E501" s="3608">
        <v>158</v>
      </c>
      <c r="F501" s="3608">
        <v>76.03</v>
      </c>
      <c r="G501" s="3608" t="s">
        <v>1378</v>
      </c>
      <c r="H501" s="3633">
        <f ca="1">'典型户型修正(先权重后修正)'!$R$24</f>
        <v>35065</v>
      </c>
      <c r="I501" s="3634">
        <f t="shared" ca="1" si="14"/>
        <v>266.60000000000002</v>
      </c>
    </row>
    <row r="502" spans="1:9">
      <c r="A502" s="3615">
        <v>500</v>
      </c>
      <c r="B502" s="3624" t="s">
        <v>7792</v>
      </c>
      <c r="C502" s="3608">
        <v>11</v>
      </c>
      <c r="D502" s="3608">
        <v>1</v>
      </c>
      <c r="E502" s="3608">
        <v>159</v>
      </c>
      <c r="F502" s="3608">
        <v>79.099999999999994</v>
      </c>
      <c r="G502" s="3608" t="s">
        <v>1378</v>
      </c>
      <c r="H502" s="3633">
        <f ca="1">'典型户型修正(先权重后修正)'!$R$24</f>
        <v>35065</v>
      </c>
      <c r="I502" s="3634">
        <f t="shared" ca="1" si="14"/>
        <v>277.36</v>
      </c>
    </row>
    <row r="503" spans="1:9">
      <c r="A503" s="3615">
        <v>501</v>
      </c>
      <c r="B503" s="3624" t="s">
        <v>7793</v>
      </c>
      <c r="C503" s="3608">
        <v>11</v>
      </c>
      <c r="D503" s="3608">
        <v>1</v>
      </c>
      <c r="E503" s="3608">
        <v>160</v>
      </c>
      <c r="F503" s="3608">
        <v>75.510000000000005</v>
      </c>
      <c r="G503" s="3608" t="s">
        <v>1378</v>
      </c>
      <c r="H503" s="3633">
        <f ca="1">'典型户型修正(先权重后修正)'!$R$24</f>
        <v>35065</v>
      </c>
      <c r="I503" s="3634">
        <f t="shared" ca="1" si="14"/>
        <v>264.77999999999997</v>
      </c>
    </row>
    <row r="504" spans="1:9">
      <c r="A504" s="3615">
        <v>502</v>
      </c>
      <c r="B504" s="3624" t="s">
        <v>7794</v>
      </c>
      <c r="C504" s="3608">
        <v>11</v>
      </c>
      <c r="D504" s="3608">
        <v>1</v>
      </c>
      <c r="E504" s="3608">
        <v>161</v>
      </c>
      <c r="F504" s="3608">
        <v>75.510000000000005</v>
      </c>
      <c r="G504" s="3608" t="s">
        <v>1378</v>
      </c>
      <c r="H504" s="3633">
        <f ca="1">'典型户型修正(先权重后修正)'!$R$24</f>
        <v>35065</v>
      </c>
      <c r="I504" s="3634">
        <f t="shared" ca="1" si="14"/>
        <v>264.77999999999997</v>
      </c>
    </row>
    <row r="505" spans="1:9">
      <c r="A505" s="3615">
        <v>503</v>
      </c>
      <c r="B505" s="3624" t="s">
        <v>7795</v>
      </c>
      <c r="C505" s="3608">
        <v>11</v>
      </c>
      <c r="D505" s="3608">
        <v>1</v>
      </c>
      <c r="E505" s="3608">
        <v>162</v>
      </c>
      <c r="F505" s="3608">
        <v>75.510000000000005</v>
      </c>
      <c r="G505" s="3608" t="s">
        <v>1378</v>
      </c>
      <c r="H505" s="3633">
        <f ca="1">'典型户型修正(先权重后修正)'!$R$24</f>
        <v>35065</v>
      </c>
      <c r="I505" s="3634">
        <f t="shared" ca="1" si="14"/>
        <v>264.77999999999997</v>
      </c>
    </row>
    <row r="506" spans="1:9">
      <c r="A506" s="3615">
        <v>504</v>
      </c>
      <c r="B506" s="3624" t="s">
        <v>7796</v>
      </c>
      <c r="C506" s="3608">
        <v>11</v>
      </c>
      <c r="D506" s="3608">
        <v>1</v>
      </c>
      <c r="E506" s="3608">
        <v>163</v>
      </c>
      <c r="F506" s="3608">
        <v>75.510000000000005</v>
      </c>
      <c r="G506" s="3608" t="s">
        <v>1378</v>
      </c>
      <c r="H506" s="3633">
        <f ca="1">'典型户型修正(先权重后修正)'!$R$24</f>
        <v>35065</v>
      </c>
      <c r="I506" s="3634">
        <f t="shared" ca="1" si="14"/>
        <v>264.77999999999997</v>
      </c>
    </row>
    <row r="507" spans="1:9">
      <c r="A507" s="3615">
        <v>505</v>
      </c>
      <c r="B507" s="3624" t="s">
        <v>7797</v>
      </c>
      <c r="C507" s="3608">
        <v>11</v>
      </c>
      <c r="D507" s="3608">
        <v>1</v>
      </c>
      <c r="E507" s="3608">
        <v>165</v>
      </c>
      <c r="F507" s="3608">
        <v>79.099999999999994</v>
      </c>
      <c r="G507" s="3608" t="s">
        <v>1378</v>
      </c>
      <c r="H507" s="3633">
        <f ca="1">'典型户型修正(先权重后修正)'!$R$24</f>
        <v>35065</v>
      </c>
      <c r="I507" s="3634">
        <f t="shared" ca="1" si="14"/>
        <v>277.36</v>
      </c>
    </row>
    <row r="508" spans="1:9">
      <c r="A508" s="3615">
        <v>506</v>
      </c>
      <c r="B508" s="3624" t="s">
        <v>7798</v>
      </c>
      <c r="C508" s="3608">
        <v>11</v>
      </c>
      <c r="D508" s="3608">
        <v>1</v>
      </c>
      <c r="E508" s="3608">
        <v>166</v>
      </c>
      <c r="F508" s="3608">
        <v>94.2</v>
      </c>
      <c r="G508" s="3608" t="s">
        <v>1378</v>
      </c>
      <c r="H508" s="3633">
        <f ca="1">'典型户型修正(先权重后修正)'!$R$24</f>
        <v>35065</v>
      </c>
      <c r="I508" s="3634">
        <f t="shared" ca="1" si="14"/>
        <v>330.31</v>
      </c>
    </row>
    <row r="509" spans="1:9">
      <c r="A509" s="3615">
        <v>507</v>
      </c>
      <c r="B509" s="3624" t="s">
        <v>7799</v>
      </c>
      <c r="C509" s="3608">
        <v>11</v>
      </c>
      <c r="D509" s="3608">
        <v>1</v>
      </c>
      <c r="E509" s="3608">
        <v>167</v>
      </c>
      <c r="F509" s="3608">
        <v>75.319999999999993</v>
      </c>
      <c r="G509" s="3608" t="s">
        <v>1378</v>
      </c>
      <c r="H509" s="3633">
        <f ca="1">'典型户型修正(先权重后修正)'!$R$24</f>
        <v>35065</v>
      </c>
      <c r="I509" s="3634">
        <f t="shared" ca="1" si="14"/>
        <v>264.11</v>
      </c>
    </row>
    <row r="510" spans="1:9">
      <c r="A510" s="3615">
        <v>508</v>
      </c>
      <c r="B510" s="3624" t="s">
        <v>7800</v>
      </c>
      <c r="C510" s="3608">
        <v>11</v>
      </c>
      <c r="D510" s="3608">
        <v>1</v>
      </c>
      <c r="E510" s="3608">
        <v>168</v>
      </c>
      <c r="F510" s="3608">
        <v>37.950000000000003</v>
      </c>
      <c r="G510" s="3608" t="s">
        <v>1378</v>
      </c>
      <c r="H510" s="3633">
        <f ca="1">'典型户型修正(先权重后修正)'!$R$24</f>
        <v>35065</v>
      </c>
      <c r="I510" s="3634">
        <f t="shared" ca="1" si="14"/>
        <v>133.07</v>
      </c>
    </row>
    <row r="511" spans="1:9">
      <c r="A511" s="3615">
        <v>509</v>
      </c>
      <c r="B511" s="3624" t="s">
        <v>7801</v>
      </c>
      <c r="C511" s="3608">
        <v>11</v>
      </c>
      <c r="D511" s="3608">
        <v>1</v>
      </c>
      <c r="E511" s="3608">
        <v>169</v>
      </c>
      <c r="F511" s="3608">
        <v>40.69</v>
      </c>
      <c r="G511" s="3608" t="s">
        <v>1378</v>
      </c>
      <c r="H511" s="3633">
        <f ca="1">'典型户型修正(先权重后修正)'!$R$24</f>
        <v>35065</v>
      </c>
      <c r="I511" s="3634">
        <f t="shared" ca="1" si="14"/>
        <v>142.68</v>
      </c>
    </row>
    <row r="512" spans="1:9">
      <c r="A512" s="3615">
        <v>510</v>
      </c>
      <c r="B512" s="3624" t="s">
        <v>7345</v>
      </c>
      <c r="C512" s="3612">
        <v>11</v>
      </c>
      <c r="D512" s="3612">
        <v>-1</v>
      </c>
      <c r="E512" s="3612">
        <v>5</v>
      </c>
      <c r="F512" s="3612">
        <v>108.34</v>
      </c>
      <c r="G512" s="3608" t="s">
        <v>1378</v>
      </c>
      <c r="H512" s="3633">
        <f ca="1">'典型户型修正(先权重后修正)'!$R$29</f>
        <v>17533</v>
      </c>
      <c r="I512" s="3634">
        <f t="shared" ca="1" si="14"/>
        <v>189.95</v>
      </c>
    </row>
    <row r="513" spans="1:9">
      <c r="A513" s="3615">
        <v>511</v>
      </c>
      <c r="B513" s="3624" t="s">
        <v>7346</v>
      </c>
      <c r="C513" s="3612">
        <v>11</v>
      </c>
      <c r="D513" s="3612">
        <v>-1</v>
      </c>
      <c r="E513" s="3612">
        <v>11</v>
      </c>
      <c r="F513" s="3612">
        <v>56.57</v>
      </c>
      <c r="G513" s="3608" t="s">
        <v>1378</v>
      </c>
      <c r="H513" s="3633">
        <f ca="1">'典型户型修正(先权重后修正)'!$R$29</f>
        <v>17533</v>
      </c>
      <c r="I513" s="3634">
        <f t="shared" ca="1" si="14"/>
        <v>99.18</v>
      </c>
    </row>
    <row r="514" spans="1:9">
      <c r="A514" s="3615">
        <v>512</v>
      </c>
      <c r="B514" s="3624" t="s">
        <v>7347</v>
      </c>
      <c r="C514" s="3612">
        <v>11</v>
      </c>
      <c r="D514" s="3612">
        <v>-1</v>
      </c>
      <c r="E514" s="3612">
        <v>13</v>
      </c>
      <c r="F514" s="3612">
        <v>53.58</v>
      </c>
      <c r="G514" s="3608" t="s">
        <v>1378</v>
      </c>
      <c r="H514" s="3633">
        <f ca="1">'典型户型修正(先权重后修正)'!$R$29</f>
        <v>17533</v>
      </c>
      <c r="I514" s="3634">
        <f t="shared" ca="1" si="14"/>
        <v>93.94</v>
      </c>
    </row>
    <row r="515" spans="1:9">
      <c r="A515" s="3615">
        <v>513</v>
      </c>
      <c r="B515" s="3624" t="s">
        <v>7348</v>
      </c>
      <c r="C515" s="3612">
        <v>11</v>
      </c>
      <c r="D515" s="3612">
        <v>-1</v>
      </c>
      <c r="E515" s="3612">
        <v>21</v>
      </c>
      <c r="F515" s="3612">
        <v>106.14</v>
      </c>
      <c r="G515" s="3608" t="s">
        <v>1378</v>
      </c>
      <c r="H515" s="3633">
        <f ca="1">'典型户型修正(先权重后修正)'!$R$29</f>
        <v>17533</v>
      </c>
      <c r="I515" s="3634">
        <f t="shared" ref="I515:I540" ca="1" si="15">ROUND(H515*F515/10000,2)</f>
        <v>186.1</v>
      </c>
    </row>
    <row r="516" spans="1:9">
      <c r="A516" s="3615">
        <v>514</v>
      </c>
      <c r="B516" s="3624" t="s">
        <v>7349</v>
      </c>
      <c r="C516" s="3612">
        <v>11</v>
      </c>
      <c r="D516" s="3612">
        <v>-1</v>
      </c>
      <c r="E516" s="3612">
        <v>39</v>
      </c>
      <c r="F516" s="3612">
        <v>95</v>
      </c>
      <c r="G516" s="3608" t="s">
        <v>1378</v>
      </c>
      <c r="H516" s="3633">
        <f ca="1">'典型户型修正(先权重后修正)'!$R$29</f>
        <v>17533</v>
      </c>
      <c r="I516" s="3634">
        <f t="shared" ca="1" si="15"/>
        <v>166.56</v>
      </c>
    </row>
    <row r="517" spans="1:9">
      <c r="A517" s="3615">
        <v>515</v>
      </c>
      <c r="B517" s="3624" t="s">
        <v>7350</v>
      </c>
      <c r="C517" s="3612">
        <v>11</v>
      </c>
      <c r="D517" s="3612">
        <v>-1</v>
      </c>
      <c r="E517" s="3612">
        <v>41</v>
      </c>
      <c r="F517" s="3612">
        <v>90.68</v>
      </c>
      <c r="G517" s="3608" t="s">
        <v>1378</v>
      </c>
      <c r="H517" s="3633">
        <f ca="1">'典型户型修正(先权重后修正)'!$R$29</f>
        <v>17533</v>
      </c>
      <c r="I517" s="3634">
        <f t="shared" ca="1" si="15"/>
        <v>158.99</v>
      </c>
    </row>
    <row r="518" spans="1:9">
      <c r="A518" s="3615">
        <v>516</v>
      </c>
      <c r="B518" s="3624" t="s">
        <v>7351</v>
      </c>
      <c r="C518" s="3612">
        <v>11</v>
      </c>
      <c r="D518" s="3612">
        <v>-1</v>
      </c>
      <c r="E518" s="3612">
        <v>63</v>
      </c>
      <c r="F518" s="3612">
        <v>130.07</v>
      </c>
      <c r="G518" s="3608" t="s">
        <v>1378</v>
      </c>
      <c r="H518" s="3633">
        <f ca="1">'典型户型修正(先权重后修正)'!$R$29</f>
        <v>17533</v>
      </c>
      <c r="I518" s="3634">
        <f t="shared" ca="1" si="15"/>
        <v>228.05</v>
      </c>
    </row>
    <row r="519" spans="1:9">
      <c r="A519" s="3615">
        <v>517</v>
      </c>
      <c r="B519" s="3624" t="s">
        <v>7352</v>
      </c>
      <c r="C519" s="3612">
        <v>11</v>
      </c>
      <c r="D519" s="3612">
        <v>-1</v>
      </c>
      <c r="E519" s="3612">
        <v>71</v>
      </c>
      <c r="F519" s="3612">
        <v>62.31</v>
      </c>
      <c r="G519" s="3608" t="s">
        <v>1378</v>
      </c>
      <c r="H519" s="3633">
        <f ca="1">'典型户型修正(先权重后修正)'!$R$29</f>
        <v>17533</v>
      </c>
      <c r="I519" s="3634">
        <f t="shared" ca="1" si="15"/>
        <v>109.25</v>
      </c>
    </row>
    <row r="520" spans="1:9">
      <c r="A520" s="3615">
        <v>518</v>
      </c>
      <c r="B520" s="3624" t="s">
        <v>7353</v>
      </c>
      <c r="C520" s="3612">
        <v>11</v>
      </c>
      <c r="D520" s="3612">
        <v>-1</v>
      </c>
      <c r="E520" s="3612">
        <v>78</v>
      </c>
      <c r="F520" s="3612">
        <v>98.1</v>
      </c>
      <c r="G520" s="3608" t="s">
        <v>1378</v>
      </c>
      <c r="H520" s="3633">
        <f ca="1">'典型户型修正(先权重后修正)'!$R$29</f>
        <v>17533</v>
      </c>
      <c r="I520" s="3634">
        <f t="shared" ca="1" si="15"/>
        <v>172</v>
      </c>
    </row>
    <row r="521" spans="1:9">
      <c r="A521" s="3615">
        <v>519</v>
      </c>
      <c r="B521" s="3624" t="s">
        <v>7354</v>
      </c>
      <c r="C521" s="3612">
        <v>11</v>
      </c>
      <c r="D521" s="3612">
        <v>-1</v>
      </c>
      <c r="E521" s="3612">
        <v>113</v>
      </c>
      <c r="F521" s="3612">
        <v>179.45</v>
      </c>
      <c r="G521" s="3608" t="s">
        <v>1378</v>
      </c>
      <c r="H521" s="3633">
        <f ca="1">'典型户型修正(先权重后修正)'!$R$29</f>
        <v>17533</v>
      </c>
      <c r="I521" s="3634">
        <f t="shared" ca="1" si="15"/>
        <v>314.63</v>
      </c>
    </row>
    <row r="522" spans="1:9">
      <c r="A522" s="3615">
        <v>520</v>
      </c>
      <c r="B522" s="3624" t="s">
        <v>7355</v>
      </c>
      <c r="C522" s="3612">
        <v>11</v>
      </c>
      <c r="D522" s="3612">
        <v>-1</v>
      </c>
      <c r="E522" s="3612">
        <v>127</v>
      </c>
      <c r="F522" s="3612">
        <v>35.82</v>
      </c>
      <c r="G522" s="3608" t="s">
        <v>1378</v>
      </c>
      <c r="H522" s="3633">
        <f ca="1">'典型户型修正(先权重后修正)'!$R$29</f>
        <v>17533</v>
      </c>
      <c r="I522" s="3634">
        <f t="shared" ca="1" si="15"/>
        <v>62.8</v>
      </c>
    </row>
    <row r="523" spans="1:9">
      <c r="A523" s="3615">
        <v>521</v>
      </c>
      <c r="B523" s="3624" t="s">
        <v>7356</v>
      </c>
      <c r="C523" s="3612">
        <v>11</v>
      </c>
      <c r="D523" s="3612">
        <v>-1</v>
      </c>
      <c r="E523" s="3612">
        <v>136</v>
      </c>
      <c r="F523" s="3612">
        <v>62.57</v>
      </c>
      <c r="G523" s="3608" t="s">
        <v>1378</v>
      </c>
      <c r="H523" s="3633">
        <f ca="1">'典型户型修正(先权重后修正)'!$R$29</f>
        <v>17533</v>
      </c>
      <c r="I523" s="3634">
        <f t="shared" ca="1" si="15"/>
        <v>109.7</v>
      </c>
    </row>
    <row r="524" spans="1:9">
      <c r="A524" s="3615">
        <v>522</v>
      </c>
      <c r="B524" s="3624" t="s">
        <v>7357</v>
      </c>
      <c r="C524" s="3612">
        <v>11</v>
      </c>
      <c r="D524" s="3612">
        <v>-1</v>
      </c>
      <c r="E524" s="3612">
        <v>140</v>
      </c>
      <c r="F524" s="3612">
        <v>44.9</v>
      </c>
      <c r="G524" s="3608" t="s">
        <v>1378</v>
      </c>
      <c r="H524" s="3633">
        <f ca="1">'典型户型修正(先权重后修正)'!$R$29</f>
        <v>17533</v>
      </c>
      <c r="I524" s="3634">
        <f t="shared" ca="1" si="15"/>
        <v>78.72</v>
      </c>
    </row>
    <row r="525" spans="1:9">
      <c r="A525" s="3615">
        <v>523</v>
      </c>
      <c r="B525" s="3624" t="s">
        <v>7358</v>
      </c>
      <c r="C525" s="3612">
        <v>11</v>
      </c>
      <c r="D525" s="3612">
        <v>-1</v>
      </c>
      <c r="E525" s="3612">
        <v>146</v>
      </c>
      <c r="F525" s="3612">
        <v>87.64</v>
      </c>
      <c r="G525" s="3608" t="s">
        <v>1378</v>
      </c>
      <c r="H525" s="3633">
        <f ca="1">'典型户型修正(先权重后修正)'!$R$29</f>
        <v>17533</v>
      </c>
      <c r="I525" s="3634">
        <f t="shared" ca="1" si="15"/>
        <v>153.66</v>
      </c>
    </row>
    <row r="526" spans="1:9">
      <c r="A526" s="3615">
        <v>524</v>
      </c>
      <c r="B526" s="3624" t="s">
        <v>7359</v>
      </c>
      <c r="C526" s="3612">
        <v>11</v>
      </c>
      <c r="D526" s="3612">
        <v>-1</v>
      </c>
      <c r="E526" s="3612">
        <v>157</v>
      </c>
      <c r="F526" s="3612">
        <v>91.81</v>
      </c>
      <c r="G526" s="3608" t="s">
        <v>1378</v>
      </c>
      <c r="H526" s="3633">
        <f ca="1">'典型户型修正(先权重后修正)'!$R$29</f>
        <v>17533</v>
      </c>
      <c r="I526" s="3634">
        <f t="shared" ca="1" si="15"/>
        <v>160.97</v>
      </c>
    </row>
    <row r="527" spans="1:9">
      <c r="A527" s="3615">
        <v>525</v>
      </c>
      <c r="B527" s="3624" t="s">
        <v>7360</v>
      </c>
      <c r="C527" s="3612">
        <v>11</v>
      </c>
      <c r="D527" s="3612">
        <v>-1</v>
      </c>
      <c r="E527" s="3612">
        <v>7</v>
      </c>
      <c r="F527" s="3612">
        <v>106.14</v>
      </c>
      <c r="G527" s="3608" t="s">
        <v>1378</v>
      </c>
      <c r="H527" s="3633">
        <f ca="1">'典型户型修正(先权重后修正)'!$R$29</f>
        <v>17533</v>
      </c>
      <c r="I527" s="3634">
        <f t="shared" ca="1" si="15"/>
        <v>186.1</v>
      </c>
    </row>
    <row r="528" spans="1:9">
      <c r="A528" s="3615">
        <v>526</v>
      </c>
      <c r="B528" s="3624" t="s">
        <v>7361</v>
      </c>
      <c r="C528" s="3612">
        <v>11</v>
      </c>
      <c r="D528" s="3612">
        <v>-1</v>
      </c>
      <c r="E528" s="3612">
        <v>8</v>
      </c>
      <c r="F528" s="3612">
        <v>101.31</v>
      </c>
      <c r="G528" s="3608" t="s">
        <v>1378</v>
      </c>
      <c r="H528" s="3633">
        <f ca="1">'典型户型修正(先权重后修正)'!$R$29</f>
        <v>17533</v>
      </c>
      <c r="I528" s="3634">
        <f t="shared" ca="1" si="15"/>
        <v>177.63</v>
      </c>
    </row>
    <row r="529" spans="1:9">
      <c r="A529" s="3615">
        <v>527</v>
      </c>
      <c r="B529" s="3624" t="s">
        <v>7362</v>
      </c>
      <c r="C529" s="3612">
        <v>11</v>
      </c>
      <c r="D529" s="3612">
        <v>-1</v>
      </c>
      <c r="E529" s="3612">
        <v>15</v>
      </c>
      <c r="F529" s="3612">
        <v>49.22</v>
      </c>
      <c r="G529" s="3608" t="s">
        <v>1378</v>
      </c>
      <c r="H529" s="3633">
        <f ca="1">'典型户型修正(先权重后修正)'!$R$29</f>
        <v>17533</v>
      </c>
      <c r="I529" s="3634">
        <f t="shared" ca="1" si="15"/>
        <v>86.3</v>
      </c>
    </row>
    <row r="530" spans="1:9">
      <c r="A530" s="3615">
        <v>528</v>
      </c>
      <c r="B530" s="3624" t="s">
        <v>7363</v>
      </c>
      <c r="C530" s="3612">
        <v>11</v>
      </c>
      <c r="D530" s="3612">
        <v>-1</v>
      </c>
      <c r="E530" s="3612">
        <v>18</v>
      </c>
      <c r="F530" s="3612">
        <v>101.31</v>
      </c>
      <c r="G530" s="3608" t="s">
        <v>1378</v>
      </c>
      <c r="H530" s="3633">
        <f ca="1">'典型户型修正(先权重后修正)'!$R$29</f>
        <v>17533</v>
      </c>
      <c r="I530" s="3634">
        <f t="shared" ca="1" si="15"/>
        <v>177.63</v>
      </c>
    </row>
    <row r="531" spans="1:9">
      <c r="A531" s="3615">
        <v>529</v>
      </c>
      <c r="B531" s="3624" t="s">
        <v>7364</v>
      </c>
      <c r="C531" s="3612">
        <v>11</v>
      </c>
      <c r="D531" s="3612">
        <v>-2</v>
      </c>
      <c r="E531" s="3612">
        <v>25</v>
      </c>
      <c r="F531" s="3612">
        <v>47.58</v>
      </c>
      <c r="G531" s="3608" t="s">
        <v>1378</v>
      </c>
      <c r="H531" s="3633">
        <f ca="1">'典型户型修正(先权重后修正)'!$R$30</f>
        <v>14026</v>
      </c>
      <c r="I531" s="3634">
        <f t="shared" ca="1" si="15"/>
        <v>66.739999999999995</v>
      </c>
    </row>
    <row r="532" spans="1:9">
      <c r="A532" s="3615">
        <v>530</v>
      </c>
      <c r="B532" s="3624" t="s">
        <v>7365</v>
      </c>
      <c r="C532" s="3612">
        <v>11</v>
      </c>
      <c r="D532" s="3612">
        <v>-2</v>
      </c>
      <c r="E532" s="3612">
        <v>37</v>
      </c>
      <c r="F532" s="3612">
        <v>46.64</v>
      </c>
      <c r="G532" s="3608" t="s">
        <v>1378</v>
      </c>
      <c r="H532" s="3633">
        <f ca="1">'典型户型修正(先权重后修正)'!$R$30</f>
        <v>14026</v>
      </c>
      <c r="I532" s="3634">
        <f t="shared" ca="1" si="15"/>
        <v>65.42</v>
      </c>
    </row>
    <row r="533" spans="1:9">
      <c r="A533" s="3615">
        <v>531</v>
      </c>
      <c r="B533" s="3624" t="s">
        <v>7366</v>
      </c>
      <c r="C533" s="3612">
        <v>11</v>
      </c>
      <c r="D533" s="3612">
        <v>-2</v>
      </c>
      <c r="E533" s="3612">
        <v>78</v>
      </c>
      <c r="F533" s="3612">
        <v>74.27</v>
      </c>
      <c r="G533" s="3608" t="s">
        <v>1378</v>
      </c>
      <c r="H533" s="3633">
        <f ca="1">'典型户型修正(先权重后修正)'!$R$30</f>
        <v>14026</v>
      </c>
      <c r="I533" s="3634">
        <f t="shared" ca="1" si="15"/>
        <v>104.17</v>
      </c>
    </row>
    <row r="534" spans="1:9">
      <c r="A534" s="3615">
        <v>532</v>
      </c>
      <c r="B534" s="3624" t="s">
        <v>7367</v>
      </c>
      <c r="C534" s="3612">
        <v>11</v>
      </c>
      <c r="D534" s="3612">
        <v>-2</v>
      </c>
      <c r="E534" s="3612">
        <v>80</v>
      </c>
      <c r="F534" s="3612">
        <v>98.48</v>
      </c>
      <c r="G534" s="3608" t="s">
        <v>1378</v>
      </c>
      <c r="H534" s="3633">
        <f ca="1">'典型户型修正(先权重后修正)'!$R$30</f>
        <v>14026</v>
      </c>
      <c r="I534" s="3634">
        <f t="shared" ca="1" si="15"/>
        <v>138.13</v>
      </c>
    </row>
    <row r="535" spans="1:9">
      <c r="A535" s="3615">
        <v>533</v>
      </c>
      <c r="B535" s="3624" t="s">
        <v>7368</v>
      </c>
      <c r="C535" s="3612">
        <v>11</v>
      </c>
      <c r="D535" s="3612">
        <v>-2</v>
      </c>
      <c r="E535" s="3612">
        <v>126</v>
      </c>
      <c r="F535" s="3612">
        <v>43.92</v>
      </c>
      <c r="G535" s="3608" t="s">
        <v>1378</v>
      </c>
      <c r="H535" s="3633">
        <f ca="1">'典型户型修正(先权重后修正)'!$R$30</f>
        <v>14026</v>
      </c>
      <c r="I535" s="3634">
        <f t="shared" ca="1" si="15"/>
        <v>61.6</v>
      </c>
    </row>
    <row r="536" spans="1:9">
      <c r="A536" s="3615">
        <v>534</v>
      </c>
      <c r="B536" s="3624" t="s">
        <v>7369</v>
      </c>
      <c r="C536" s="3612">
        <v>11</v>
      </c>
      <c r="D536" s="3612">
        <v>-2</v>
      </c>
      <c r="E536" s="3612">
        <v>128</v>
      </c>
      <c r="F536" s="3612">
        <v>43.92</v>
      </c>
      <c r="G536" s="3608" t="s">
        <v>1378</v>
      </c>
      <c r="H536" s="3633">
        <f ca="1">'典型户型修正(先权重后修正)'!$R$30</f>
        <v>14026</v>
      </c>
      <c r="I536" s="3634">
        <f t="shared" ca="1" si="15"/>
        <v>61.6</v>
      </c>
    </row>
    <row r="537" spans="1:9">
      <c r="A537" s="3615">
        <v>535</v>
      </c>
      <c r="B537" s="3624" t="s">
        <v>7370</v>
      </c>
      <c r="C537" s="3612">
        <v>11</v>
      </c>
      <c r="D537" s="3612">
        <v>-2</v>
      </c>
      <c r="E537" s="3612">
        <v>147</v>
      </c>
      <c r="F537" s="3612">
        <v>83.09</v>
      </c>
      <c r="G537" s="3608" t="s">
        <v>1378</v>
      </c>
      <c r="H537" s="3633">
        <f ca="1">'典型户型修正(先权重后修正)'!$R$30</f>
        <v>14026</v>
      </c>
      <c r="I537" s="3634">
        <f t="shared" ca="1" si="15"/>
        <v>116.54</v>
      </c>
    </row>
    <row r="538" spans="1:9">
      <c r="A538" s="3615">
        <v>536</v>
      </c>
      <c r="B538" s="3624" t="s">
        <v>7371</v>
      </c>
      <c r="C538" s="3612">
        <v>11</v>
      </c>
      <c r="D538" s="3612">
        <v>-2</v>
      </c>
      <c r="E538" s="3612">
        <v>163</v>
      </c>
      <c r="F538" s="3612">
        <v>18.84</v>
      </c>
      <c r="G538" s="3608" t="s">
        <v>1378</v>
      </c>
      <c r="H538" s="3633">
        <f ca="1">'典型户型修正(先权重后修正)'!$R$30</f>
        <v>14026</v>
      </c>
      <c r="I538" s="3634">
        <f t="shared" ca="1" si="15"/>
        <v>26.42</v>
      </c>
    </row>
    <row r="539" spans="1:9">
      <c r="A539" s="3615">
        <v>537</v>
      </c>
      <c r="B539" s="3624" t="s">
        <v>7372</v>
      </c>
      <c r="C539" s="3612">
        <v>11</v>
      </c>
      <c r="D539" s="3612">
        <v>-2</v>
      </c>
      <c r="E539" s="3612">
        <v>40</v>
      </c>
      <c r="F539" s="3612">
        <v>46.64</v>
      </c>
      <c r="G539" s="3608" t="s">
        <v>1378</v>
      </c>
      <c r="H539" s="3633">
        <f ca="1">'典型户型修正(先权重后修正)'!$R$30</f>
        <v>14026</v>
      </c>
      <c r="I539" s="3634">
        <f t="shared" ca="1" si="15"/>
        <v>65.42</v>
      </c>
    </row>
    <row r="540" spans="1:9">
      <c r="A540" s="3615">
        <v>538</v>
      </c>
      <c r="B540" s="3624" t="s">
        <v>7373</v>
      </c>
      <c r="C540" s="3612">
        <v>11</v>
      </c>
      <c r="D540" s="3612">
        <v>-2</v>
      </c>
      <c r="E540" s="3612">
        <v>138</v>
      </c>
      <c r="F540" s="3612">
        <v>40.33</v>
      </c>
      <c r="G540" s="3608" t="s">
        <v>1378</v>
      </c>
      <c r="H540" s="3633">
        <f ca="1">'典型户型修正(先权重后修正)'!$R$30</f>
        <v>14026</v>
      </c>
      <c r="I540" s="3634">
        <f t="shared" ca="1" si="15"/>
        <v>56.57</v>
      </c>
    </row>
    <row r="541" spans="1:9">
      <c r="A541" s="3615">
        <v>539</v>
      </c>
      <c r="B541" s="3610" t="s">
        <v>7374</v>
      </c>
      <c r="C541" s="3612">
        <v>12</v>
      </c>
      <c r="D541" s="3612">
        <v>1</v>
      </c>
      <c r="E541" s="3612">
        <v>6</v>
      </c>
      <c r="F541" s="3612">
        <v>158.02000000000001</v>
      </c>
      <c r="G541" s="3610" t="s">
        <v>1378</v>
      </c>
      <c r="H541" s="3633">
        <f ca="1">'典型户型修正(先权重后修正)'!$R$24</f>
        <v>35065</v>
      </c>
      <c r="I541" s="3634">
        <f t="shared" ref="I541:I604" ca="1" si="16">ROUND(H541*F541/10000,2)</f>
        <v>554.1</v>
      </c>
    </row>
    <row r="542" spans="1:9">
      <c r="A542" s="3615">
        <v>540</v>
      </c>
      <c r="B542" s="3610" t="s">
        <v>7375</v>
      </c>
      <c r="C542" s="3612">
        <v>12</v>
      </c>
      <c r="D542" s="3612">
        <v>1</v>
      </c>
      <c r="E542" s="3612">
        <v>7</v>
      </c>
      <c r="F542" s="3612">
        <v>150.76</v>
      </c>
      <c r="G542" s="3610" t="s">
        <v>1378</v>
      </c>
      <c r="H542" s="3633">
        <f ca="1">'典型户型修正(先权重后修正)'!$R$24</f>
        <v>35065</v>
      </c>
      <c r="I542" s="3634">
        <f t="shared" ca="1" si="16"/>
        <v>528.64</v>
      </c>
    </row>
    <row r="543" spans="1:9">
      <c r="A543" s="3615">
        <v>541</v>
      </c>
      <c r="B543" s="3610" t="s">
        <v>7376</v>
      </c>
      <c r="C543" s="3612">
        <v>12</v>
      </c>
      <c r="D543" s="3612">
        <v>1</v>
      </c>
      <c r="E543" s="3612">
        <v>30</v>
      </c>
      <c r="F543" s="3612">
        <v>58.23</v>
      </c>
      <c r="G543" s="3610" t="s">
        <v>1378</v>
      </c>
      <c r="H543" s="3633">
        <f ca="1">'典型户型修正(先权重后修正)'!$R$24</f>
        <v>35065</v>
      </c>
      <c r="I543" s="3634">
        <f t="shared" ca="1" si="16"/>
        <v>204.18</v>
      </c>
    </row>
    <row r="544" spans="1:9">
      <c r="A544" s="3615">
        <v>542</v>
      </c>
      <c r="B544" s="3624" t="s">
        <v>7377</v>
      </c>
      <c r="C544" s="3612">
        <v>12</v>
      </c>
      <c r="D544" s="3612">
        <v>1</v>
      </c>
      <c r="E544" s="3612">
        <v>13</v>
      </c>
      <c r="F544" s="3612">
        <v>123.8</v>
      </c>
      <c r="G544" s="3608" t="s">
        <v>1378</v>
      </c>
      <c r="H544" s="3633">
        <f ca="1">'典型户型修正(先权重后修正)'!$R$24</f>
        <v>35065</v>
      </c>
      <c r="I544" s="3634">
        <f t="shared" ca="1" si="16"/>
        <v>434.1</v>
      </c>
    </row>
    <row r="545" spans="1:9">
      <c r="A545" s="3615">
        <v>543</v>
      </c>
      <c r="B545" s="3624" t="s">
        <v>7378</v>
      </c>
      <c r="C545" s="3612">
        <v>12</v>
      </c>
      <c r="D545" s="3612">
        <v>1</v>
      </c>
      <c r="E545" s="3612">
        <v>16</v>
      </c>
      <c r="F545" s="3612">
        <v>129.83000000000001</v>
      </c>
      <c r="G545" s="3608" t="s">
        <v>1378</v>
      </c>
      <c r="H545" s="3633">
        <f ca="1">'典型户型修正(先权重后修正)'!$R$24</f>
        <v>35065</v>
      </c>
      <c r="I545" s="3634">
        <f t="shared" ca="1" si="16"/>
        <v>455.25</v>
      </c>
    </row>
    <row r="546" spans="1:9">
      <c r="A546" s="3615">
        <v>544</v>
      </c>
      <c r="B546" s="3624" t="s">
        <v>7379</v>
      </c>
      <c r="C546" s="3612">
        <v>12</v>
      </c>
      <c r="D546" s="3612">
        <v>1</v>
      </c>
      <c r="E546" s="3612">
        <v>27</v>
      </c>
      <c r="F546" s="3612">
        <v>18.18</v>
      </c>
      <c r="G546" s="3608" t="s">
        <v>1378</v>
      </c>
      <c r="H546" s="3633">
        <f ca="1">'典型户型修正(先权重后修正)'!$R$24</f>
        <v>35065</v>
      </c>
      <c r="I546" s="3634">
        <f t="shared" ca="1" si="16"/>
        <v>63.75</v>
      </c>
    </row>
    <row r="547" spans="1:9">
      <c r="A547" s="3615">
        <v>545</v>
      </c>
      <c r="B547" s="3624" t="s">
        <v>7380</v>
      </c>
      <c r="C547" s="3612">
        <v>12</v>
      </c>
      <c r="D547" s="3612">
        <v>1</v>
      </c>
      <c r="E547" s="3612">
        <v>61</v>
      </c>
      <c r="F547" s="3612">
        <v>40.22</v>
      </c>
      <c r="G547" s="3608" t="s">
        <v>1378</v>
      </c>
      <c r="H547" s="3633">
        <f ca="1">'典型户型修正(先权重后修正)'!$R$24</f>
        <v>35065</v>
      </c>
      <c r="I547" s="3634">
        <f t="shared" ca="1" si="16"/>
        <v>141.03</v>
      </c>
    </row>
    <row r="548" spans="1:9">
      <c r="A548" s="3615">
        <v>546</v>
      </c>
      <c r="B548" s="3624" t="s">
        <v>7381</v>
      </c>
      <c r="C548" s="3612">
        <v>12</v>
      </c>
      <c r="D548" s="3612">
        <v>1</v>
      </c>
      <c r="E548" s="3612">
        <v>78</v>
      </c>
      <c r="F548" s="3612">
        <v>33.909999999999997</v>
      </c>
      <c r="G548" s="3608" t="s">
        <v>1378</v>
      </c>
      <c r="H548" s="3633">
        <f ca="1">'典型户型修正(先权重后修正)'!$R$24</f>
        <v>35065</v>
      </c>
      <c r="I548" s="3634">
        <f t="shared" ca="1" si="16"/>
        <v>118.91</v>
      </c>
    </row>
    <row r="549" spans="1:9">
      <c r="A549" s="3615">
        <v>547</v>
      </c>
      <c r="B549" s="3624" t="s">
        <v>7382</v>
      </c>
      <c r="C549" s="3612">
        <v>12</v>
      </c>
      <c r="D549" s="3612">
        <v>1</v>
      </c>
      <c r="E549" s="3612">
        <v>1</v>
      </c>
      <c r="F549" s="3612">
        <v>84.98</v>
      </c>
      <c r="G549" s="3608" t="s">
        <v>1378</v>
      </c>
      <c r="H549" s="3633">
        <f ca="1">'典型户型修正(先权重后修正)'!$R$24</f>
        <v>35065</v>
      </c>
      <c r="I549" s="3634">
        <f t="shared" ca="1" si="16"/>
        <v>297.98</v>
      </c>
    </row>
    <row r="550" spans="1:9">
      <c r="A550" s="3615">
        <v>548</v>
      </c>
      <c r="B550" s="3624" t="s">
        <v>7383</v>
      </c>
      <c r="C550" s="3612">
        <v>12</v>
      </c>
      <c r="D550" s="3612">
        <v>1</v>
      </c>
      <c r="E550" s="3612">
        <v>2</v>
      </c>
      <c r="F550" s="3612">
        <v>84.48</v>
      </c>
      <c r="G550" s="3608" t="s">
        <v>1378</v>
      </c>
      <c r="H550" s="3633">
        <f ca="1">'典型户型修正(先权重后修正)'!$R$24</f>
        <v>35065</v>
      </c>
      <c r="I550" s="3634">
        <f t="shared" ca="1" si="16"/>
        <v>296.23</v>
      </c>
    </row>
    <row r="551" spans="1:9">
      <c r="A551" s="3615">
        <v>549</v>
      </c>
      <c r="B551" s="3624" t="s">
        <v>7384</v>
      </c>
      <c r="C551" s="3612">
        <v>12</v>
      </c>
      <c r="D551" s="3612">
        <v>1</v>
      </c>
      <c r="E551" s="3612">
        <v>3</v>
      </c>
      <c r="F551" s="3612">
        <v>72.88</v>
      </c>
      <c r="G551" s="3608" t="s">
        <v>1378</v>
      </c>
      <c r="H551" s="3633">
        <f ca="1">'典型户型修正(先权重后修正)'!$R$24</f>
        <v>35065</v>
      </c>
      <c r="I551" s="3634">
        <f t="shared" ca="1" si="16"/>
        <v>255.55</v>
      </c>
    </row>
    <row r="552" spans="1:9">
      <c r="A552" s="3615">
        <v>550</v>
      </c>
      <c r="B552" s="3624" t="s">
        <v>7385</v>
      </c>
      <c r="C552" s="3612">
        <v>12</v>
      </c>
      <c r="D552" s="3612">
        <v>1</v>
      </c>
      <c r="E552" s="3612">
        <v>5</v>
      </c>
      <c r="F552" s="3612">
        <v>73.2</v>
      </c>
      <c r="G552" s="3608" t="s">
        <v>1378</v>
      </c>
      <c r="H552" s="3633">
        <f ca="1">'典型户型修正(先权重后修正)'!$R$24</f>
        <v>35065</v>
      </c>
      <c r="I552" s="3634">
        <f t="shared" ca="1" si="16"/>
        <v>256.68</v>
      </c>
    </row>
    <row r="553" spans="1:9">
      <c r="A553" s="3615">
        <v>551</v>
      </c>
      <c r="B553" s="3624" t="s">
        <v>7386</v>
      </c>
      <c r="C553" s="3612">
        <v>12</v>
      </c>
      <c r="D553" s="3612">
        <v>1</v>
      </c>
      <c r="E553" s="3612">
        <v>42</v>
      </c>
      <c r="F553" s="3612">
        <v>50.77</v>
      </c>
      <c r="G553" s="3608" t="s">
        <v>1378</v>
      </c>
      <c r="H553" s="3633">
        <f ca="1">'典型户型修正(先权重后修正)'!$R$24</f>
        <v>35065</v>
      </c>
      <c r="I553" s="3634">
        <f t="shared" ca="1" si="16"/>
        <v>178.03</v>
      </c>
    </row>
    <row r="554" spans="1:9">
      <c r="A554" s="3615">
        <v>552</v>
      </c>
      <c r="B554" s="3624" t="s">
        <v>7387</v>
      </c>
      <c r="C554" s="3612">
        <v>12</v>
      </c>
      <c r="D554" s="3612">
        <v>1</v>
      </c>
      <c r="E554" s="3612">
        <v>47</v>
      </c>
      <c r="F554" s="3612">
        <v>39.42</v>
      </c>
      <c r="G554" s="3608" t="s">
        <v>1378</v>
      </c>
      <c r="H554" s="3633">
        <f ca="1">'典型户型修正(先权重后修正)'!$R$24</f>
        <v>35065</v>
      </c>
      <c r="I554" s="3634">
        <f t="shared" ca="1" si="16"/>
        <v>138.22999999999999</v>
      </c>
    </row>
    <row r="555" spans="1:9">
      <c r="A555" s="3615">
        <v>553</v>
      </c>
      <c r="B555" s="3624" t="s">
        <v>7388</v>
      </c>
      <c r="C555" s="3612">
        <v>12</v>
      </c>
      <c r="D555" s="3612">
        <v>1</v>
      </c>
      <c r="E555" s="3612">
        <v>63</v>
      </c>
      <c r="F555" s="3612">
        <v>43.99</v>
      </c>
      <c r="G555" s="3608" t="s">
        <v>1378</v>
      </c>
      <c r="H555" s="3633">
        <f ca="1">'典型户型修正(先权重后修正)'!$R$24</f>
        <v>35065</v>
      </c>
      <c r="I555" s="3634">
        <f t="shared" ca="1" si="16"/>
        <v>154.25</v>
      </c>
    </row>
    <row r="556" spans="1:9">
      <c r="A556" s="3615">
        <v>554</v>
      </c>
      <c r="B556" s="3624" t="s">
        <v>7389</v>
      </c>
      <c r="C556" s="3612">
        <v>12</v>
      </c>
      <c r="D556" s="3612">
        <v>1</v>
      </c>
      <c r="E556" s="3612">
        <v>75</v>
      </c>
      <c r="F556" s="3612">
        <v>41.58</v>
      </c>
      <c r="G556" s="3608" t="s">
        <v>1378</v>
      </c>
      <c r="H556" s="3633">
        <f ca="1">'典型户型修正(先权重后修正)'!$R$24</f>
        <v>35065</v>
      </c>
      <c r="I556" s="3634">
        <f t="shared" ca="1" si="16"/>
        <v>145.80000000000001</v>
      </c>
    </row>
    <row r="557" spans="1:9">
      <c r="A557" s="3615">
        <v>555</v>
      </c>
      <c r="B557" s="3624" t="s">
        <v>7390</v>
      </c>
      <c r="C557" s="3612">
        <v>12</v>
      </c>
      <c r="D557" s="3612">
        <v>1</v>
      </c>
      <c r="E557" s="3612">
        <v>76</v>
      </c>
      <c r="F557" s="3612">
        <v>41.57</v>
      </c>
      <c r="G557" s="3608" t="s">
        <v>1378</v>
      </c>
      <c r="H557" s="3633">
        <f ca="1">'典型户型修正(先权重后修正)'!$R$24</f>
        <v>35065</v>
      </c>
      <c r="I557" s="3634">
        <f t="shared" ca="1" si="16"/>
        <v>145.77000000000001</v>
      </c>
    </row>
    <row r="558" spans="1:9">
      <c r="A558" s="3615">
        <v>556</v>
      </c>
      <c r="B558" s="3624" t="s">
        <v>7391</v>
      </c>
      <c r="C558" s="3612">
        <v>12</v>
      </c>
      <c r="D558" s="3612">
        <v>1</v>
      </c>
      <c r="E558" s="3612">
        <v>77</v>
      </c>
      <c r="F558" s="3612">
        <v>43.55</v>
      </c>
      <c r="G558" s="3608" t="s">
        <v>1378</v>
      </c>
      <c r="H558" s="3633">
        <f ca="1">'典型户型修正(先权重后修正)'!$R$24</f>
        <v>35065</v>
      </c>
      <c r="I558" s="3634">
        <f t="shared" ca="1" si="16"/>
        <v>152.71</v>
      </c>
    </row>
    <row r="559" spans="1:9">
      <c r="A559" s="3615">
        <v>557</v>
      </c>
      <c r="B559" s="3624" t="s">
        <v>7392</v>
      </c>
      <c r="C559" s="3612">
        <v>12</v>
      </c>
      <c r="D559" s="3612">
        <v>1</v>
      </c>
      <c r="E559" s="3612">
        <v>95</v>
      </c>
      <c r="F559" s="3612">
        <v>134.43</v>
      </c>
      <c r="G559" s="3608" t="s">
        <v>1378</v>
      </c>
      <c r="H559" s="3633">
        <f ca="1">'典型户型修正(先权重后修正)'!$R$24</f>
        <v>35065</v>
      </c>
      <c r="I559" s="3634">
        <f t="shared" ca="1" si="16"/>
        <v>471.38</v>
      </c>
    </row>
    <row r="560" spans="1:9">
      <c r="A560" s="3615">
        <v>558</v>
      </c>
      <c r="B560" s="3624" t="s">
        <v>7393</v>
      </c>
      <c r="C560" s="3612">
        <v>12</v>
      </c>
      <c r="D560" s="3612">
        <v>1</v>
      </c>
      <c r="E560" s="3612">
        <v>96</v>
      </c>
      <c r="F560" s="3612">
        <v>90.04</v>
      </c>
      <c r="G560" s="3608" t="s">
        <v>1378</v>
      </c>
      <c r="H560" s="3633">
        <f ca="1">'典型户型修正(先权重后修正)'!$R$24</f>
        <v>35065</v>
      </c>
      <c r="I560" s="3634">
        <f t="shared" ca="1" si="16"/>
        <v>315.73</v>
      </c>
    </row>
    <row r="561" spans="1:9">
      <c r="A561" s="3615">
        <v>559</v>
      </c>
      <c r="B561" s="3624" t="s">
        <v>7394</v>
      </c>
      <c r="C561" s="3612">
        <v>12</v>
      </c>
      <c r="D561" s="3612">
        <v>1</v>
      </c>
      <c r="E561" s="3612">
        <v>97</v>
      </c>
      <c r="F561" s="3612">
        <v>76.12</v>
      </c>
      <c r="G561" s="3608" t="s">
        <v>1378</v>
      </c>
      <c r="H561" s="3633">
        <f ca="1">'典型户型修正(先权重后修正)'!$R$24</f>
        <v>35065</v>
      </c>
      <c r="I561" s="3634">
        <f t="shared" ca="1" si="16"/>
        <v>266.91000000000003</v>
      </c>
    </row>
    <row r="562" spans="1:9">
      <c r="A562" s="3615">
        <v>560</v>
      </c>
      <c r="B562" s="3624" t="s">
        <v>7802</v>
      </c>
      <c r="C562" s="3608">
        <v>12</v>
      </c>
      <c r="D562" s="3608">
        <v>1</v>
      </c>
      <c r="E562" s="3608">
        <v>9</v>
      </c>
      <c r="F562" s="3608">
        <v>56.41</v>
      </c>
      <c r="G562" s="3608" t="s">
        <v>1378</v>
      </c>
      <c r="H562" s="3633">
        <f ca="1">'典型户型修正(先权重后修正)'!$R$24</f>
        <v>35065</v>
      </c>
      <c r="I562" s="3634">
        <f t="shared" ca="1" si="16"/>
        <v>197.8</v>
      </c>
    </row>
    <row r="563" spans="1:9">
      <c r="A563" s="3615">
        <v>561</v>
      </c>
      <c r="B563" s="3624" t="s">
        <v>7803</v>
      </c>
      <c r="C563" s="3608">
        <v>12</v>
      </c>
      <c r="D563" s="3608">
        <v>1</v>
      </c>
      <c r="E563" s="3608">
        <v>10</v>
      </c>
      <c r="F563" s="3608">
        <v>169.64</v>
      </c>
      <c r="G563" s="3608" t="s">
        <v>1378</v>
      </c>
      <c r="H563" s="3633">
        <f ca="1">'典型户型修正(先权重后修正)'!$R$24</f>
        <v>35065</v>
      </c>
      <c r="I563" s="3634">
        <f t="shared" ca="1" si="16"/>
        <v>594.84</v>
      </c>
    </row>
    <row r="564" spans="1:9">
      <c r="A564" s="3615">
        <v>562</v>
      </c>
      <c r="B564" s="3624" t="s">
        <v>7804</v>
      </c>
      <c r="C564" s="3608">
        <v>12</v>
      </c>
      <c r="D564" s="3608">
        <v>1</v>
      </c>
      <c r="E564" s="3608">
        <v>12</v>
      </c>
      <c r="F564" s="3608">
        <v>174.44</v>
      </c>
      <c r="G564" s="3608" t="s">
        <v>1378</v>
      </c>
      <c r="H564" s="3633">
        <f ca="1">'典型户型修正(先权重后修正)'!$R$24</f>
        <v>35065</v>
      </c>
      <c r="I564" s="3634">
        <f t="shared" ca="1" si="16"/>
        <v>611.66999999999996</v>
      </c>
    </row>
    <row r="565" spans="1:9">
      <c r="A565" s="3615">
        <v>563</v>
      </c>
      <c r="B565" s="3624" t="s">
        <v>7805</v>
      </c>
      <c r="C565" s="3608">
        <v>12</v>
      </c>
      <c r="D565" s="3608">
        <v>1</v>
      </c>
      <c r="E565" s="3608">
        <v>15</v>
      </c>
      <c r="F565" s="3608">
        <v>81.98</v>
      </c>
      <c r="G565" s="3608" t="s">
        <v>1378</v>
      </c>
      <c r="H565" s="3633">
        <f ca="1">'典型户型修正(先权重后修正)'!$R$24</f>
        <v>35065</v>
      </c>
      <c r="I565" s="3634">
        <f t="shared" ca="1" si="16"/>
        <v>287.45999999999998</v>
      </c>
    </row>
    <row r="566" spans="1:9">
      <c r="A566" s="3615">
        <v>564</v>
      </c>
      <c r="B566" s="3624" t="s">
        <v>7806</v>
      </c>
      <c r="C566" s="3608">
        <v>12</v>
      </c>
      <c r="D566" s="3608">
        <v>1</v>
      </c>
      <c r="E566" s="3608">
        <v>17</v>
      </c>
      <c r="F566" s="3608">
        <v>85.98</v>
      </c>
      <c r="G566" s="3608" t="s">
        <v>1378</v>
      </c>
      <c r="H566" s="3633">
        <f ca="1">'典型户型修正(先权重后修正)'!$R$24</f>
        <v>35065</v>
      </c>
      <c r="I566" s="3634">
        <f t="shared" ca="1" si="16"/>
        <v>301.49</v>
      </c>
    </row>
    <row r="567" spans="1:9">
      <c r="A567" s="3615">
        <v>565</v>
      </c>
      <c r="B567" s="3624" t="s">
        <v>7807</v>
      </c>
      <c r="C567" s="3608">
        <v>12</v>
      </c>
      <c r="D567" s="3608">
        <v>1</v>
      </c>
      <c r="E567" s="3608">
        <v>18</v>
      </c>
      <c r="F567" s="3608">
        <v>160.47</v>
      </c>
      <c r="G567" s="3608" t="s">
        <v>1378</v>
      </c>
      <c r="H567" s="3633">
        <f ca="1">'典型户型修正(先权重后修正)'!$R$24</f>
        <v>35065</v>
      </c>
      <c r="I567" s="3634">
        <f t="shared" ca="1" si="16"/>
        <v>562.69000000000005</v>
      </c>
    </row>
    <row r="568" spans="1:9">
      <c r="A568" s="3615">
        <v>566</v>
      </c>
      <c r="B568" s="3624" t="s">
        <v>7808</v>
      </c>
      <c r="C568" s="3608">
        <v>12</v>
      </c>
      <c r="D568" s="3608">
        <v>1</v>
      </c>
      <c r="E568" s="3608">
        <v>19</v>
      </c>
      <c r="F568" s="3608">
        <v>150.81</v>
      </c>
      <c r="G568" s="3608" t="s">
        <v>1378</v>
      </c>
      <c r="H568" s="3633">
        <f ca="1">'典型户型修正(先权重后修正)'!$R$24</f>
        <v>35065</v>
      </c>
      <c r="I568" s="3634">
        <f t="shared" ca="1" si="16"/>
        <v>528.82000000000005</v>
      </c>
    </row>
    <row r="569" spans="1:9">
      <c r="A569" s="3615">
        <v>567</v>
      </c>
      <c r="B569" s="3624" t="s">
        <v>7809</v>
      </c>
      <c r="C569" s="3608">
        <v>12</v>
      </c>
      <c r="D569" s="3608">
        <v>1</v>
      </c>
      <c r="E569" s="3608">
        <v>20</v>
      </c>
      <c r="F569" s="3608">
        <v>63.63</v>
      </c>
      <c r="G569" s="3608" t="s">
        <v>1378</v>
      </c>
      <c r="H569" s="3633">
        <f ca="1">'典型户型修正(先权重后修正)'!$R$24</f>
        <v>35065</v>
      </c>
      <c r="I569" s="3634">
        <f t="shared" ca="1" si="16"/>
        <v>223.12</v>
      </c>
    </row>
    <row r="570" spans="1:9">
      <c r="A570" s="3615">
        <v>568</v>
      </c>
      <c r="B570" s="3624" t="s">
        <v>7810</v>
      </c>
      <c r="C570" s="3608">
        <v>12</v>
      </c>
      <c r="D570" s="3608">
        <v>1</v>
      </c>
      <c r="E570" s="3608">
        <v>21</v>
      </c>
      <c r="F570" s="3608">
        <v>61.13</v>
      </c>
      <c r="G570" s="3608" t="s">
        <v>1378</v>
      </c>
      <c r="H570" s="3633">
        <f ca="1">'典型户型修正(先权重后修正)'!$R$24</f>
        <v>35065</v>
      </c>
      <c r="I570" s="3634">
        <f t="shared" ca="1" si="16"/>
        <v>214.35</v>
      </c>
    </row>
    <row r="571" spans="1:9">
      <c r="A571" s="3615">
        <v>569</v>
      </c>
      <c r="B571" s="3624" t="s">
        <v>7811</v>
      </c>
      <c r="C571" s="3608">
        <v>12</v>
      </c>
      <c r="D571" s="3608">
        <v>1</v>
      </c>
      <c r="E571" s="3608">
        <v>22</v>
      </c>
      <c r="F571" s="3608">
        <v>5.91</v>
      </c>
      <c r="G571" s="3608" t="s">
        <v>1378</v>
      </c>
      <c r="H571" s="3633">
        <f ca="1">'典型户型修正(先权重后修正)'!$R$24</f>
        <v>35065</v>
      </c>
      <c r="I571" s="3634">
        <f t="shared" ca="1" si="16"/>
        <v>20.72</v>
      </c>
    </row>
    <row r="572" spans="1:9">
      <c r="A572" s="3615">
        <v>570</v>
      </c>
      <c r="B572" s="3624" t="s">
        <v>7812</v>
      </c>
      <c r="C572" s="3608">
        <v>12</v>
      </c>
      <c r="D572" s="3608">
        <v>1</v>
      </c>
      <c r="E572" s="3608">
        <v>26</v>
      </c>
      <c r="F572" s="3608">
        <v>54.49</v>
      </c>
      <c r="G572" s="3608" t="s">
        <v>1378</v>
      </c>
      <c r="H572" s="3633">
        <f ca="1">'典型户型修正(先权重后修正)'!$R$24</f>
        <v>35065</v>
      </c>
      <c r="I572" s="3634">
        <f t="shared" ca="1" si="16"/>
        <v>191.07</v>
      </c>
    </row>
    <row r="573" spans="1:9">
      <c r="A573" s="3615">
        <v>571</v>
      </c>
      <c r="B573" s="3624" t="s">
        <v>7813</v>
      </c>
      <c r="C573" s="3608">
        <v>12</v>
      </c>
      <c r="D573" s="3608">
        <v>1</v>
      </c>
      <c r="E573" s="3608">
        <v>32</v>
      </c>
      <c r="F573" s="3608">
        <v>55.43</v>
      </c>
      <c r="G573" s="3608" t="s">
        <v>1378</v>
      </c>
      <c r="H573" s="3633">
        <f ca="1">'典型户型修正(先权重后修正)'!$R$24</f>
        <v>35065</v>
      </c>
      <c r="I573" s="3634">
        <f t="shared" ca="1" si="16"/>
        <v>194.37</v>
      </c>
    </row>
    <row r="574" spans="1:9">
      <c r="A574" s="3615">
        <v>572</v>
      </c>
      <c r="B574" s="3624" t="s">
        <v>7814</v>
      </c>
      <c r="C574" s="3608">
        <v>12</v>
      </c>
      <c r="D574" s="3608">
        <v>1</v>
      </c>
      <c r="E574" s="3608">
        <v>33</v>
      </c>
      <c r="F574" s="3608">
        <v>49.27</v>
      </c>
      <c r="G574" s="3608" t="s">
        <v>1378</v>
      </c>
      <c r="H574" s="3633">
        <f ca="1">'典型户型修正(先权重后修正)'!$R$24</f>
        <v>35065</v>
      </c>
      <c r="I574" s="3634">
        <f t="shared" ca="1" si="16"/>
        <v>172.77</v>
      </c>
    </row>
    <row r="575" spans="1:9">
      <c r="A575" s="3615">
        <v>573</v>
      </c>
      <c r="B575" s="3624" t="s">
        <v>7815</v>
      </c>
      <c r="C575" s="3608">
        <v>12</v>
      </c>
      <c r="D575" s="3608">
        <v>1</v>
      </c>
      <c r="E575" s="3608">
        <v>36</v>
      </c>
      <c r="F575" s="3608">
        <v>57.46</v>
      </c>
      <c r="G575" s="3608" t="s">
        <v>1378</v>
      </c>
      <c r="H575" s="3633">
        <f ca="1">'典型户型修正(先权重后修正)'!$R$24</f>
        <v>35065</v>
      </c>
      <c r="I575" s="3634">
        <f t="shared" ca="1" si="16"/>
        <v>201.48</v>
      </c>
    </row>
    <row r="576" spans="1:9">
      <c r="A576" s="3615">
        <v>574</v>
      </c>
      <c r="B576" s="3624" t="s">
        <v>7816</v>
      </c>
      <c r="C576" s="3608">
        <v>12</v>
      </c>
      <c r="D576" s="3608">
        <v>1</v>
      </c>
      <c r="E576" s="3608">
        <v>38</v>
      </c>
      <c r="F576" s="3608">
        <v>51.86</v>
      </c>
      <c r="G576" s="3608" t="s">
        <v>1378</v>
      </c>
      <c r="H576" s="3633">
        <f ca="1">'典型户型修正(先权重后修正)'!$R$24</f>
        <v>35065</v>
      </c>
      <c r="I576" s="3634">
        <f t="shared" ca="1" si="16"/>
        <v>181.85</v>
      </c>
    </row>
    <row r="577" spans="1:9">
      <c r="A577" s="3615">
        <v>575</v>
      </c>
      <c r="B577" s="3624" t="s">
        <v>7817</v>
      </c>
      <c r="C577" s="3608">
        <v>12</v>
      </c>
      <c r="D577" s="3608">
        <v>1</v>
      </c>
      <c r="E577" s="3608">
        <v>43</v>
      </c>
      <c r="F577" s="3608">
        <v>59.05</v>
      </c>
      <c r="G577" s="3608" t="s">
        <v>1378</v>
      </c>
      <c r="H577" s="3633">
        <f ca="1">'典型户型修正(先权重后修正)'!$R$24</f>
        <v>35065</v>
      </c>
      <c r="I577" s="3634">
        <f t="shared" ca="1" si="16"/>
        <v>207.06</v>
      </c>
    </row>
    <row r="578" spans="1:9">
      <c r="A578" s="3615">
        <v>576</v>
      </c>
      <c r="B578" s="3624" t="s">
        <v>7818</v>
      </c>
      <c r="C578" s="3608">
        <v>12</v>
      </c>
      <c r="D578" s="3608">
        <v>1</v>
      </c>
      <c r="E578" s="3608">
        <v>45</v>
      </c>
      <c r="F578" s="3608">
        <v>70.59</v>
      </c>
      <c r="G578" s="3608" t="s">
        <v>1378</v>
      </c>
      <c r="H578" s="3633">
        <f ca="1">'典型户型修正(先权重后修正)'!$R$24</f>
        <v>35065</v>
      </c>
      <c r="I578" s="3634">
        <f t="shared" ca="1" si="16"/>
        <v>247.52</v>
      </c>
    </row>
    <row r="579" spans="1:9">
      <c r="A579" s="3615">
        <v>577</v>
      </c>
      <c r="B579" s="3624" t="s">
        <v>7819</v>
      </c>
      <c r="C579" s="3608">
        <v>12</v>
      </c>
      <c r="D579" s="3608">
        <v>1</v>
      </c>
      <c r="E579" s="3608">
        <v>48</v>
      </c>
      <c r="F579" s="3608">
        <v>112</v>
      </c>
      <c r="G579" s="3608" t="s">
        <v>1378</v>
      </c>
      <c r="H579" s="3633">
        <f ca="1">'典型户型修正(先权重后修正)'!$R$24</f>
        <v>35065</v>
      </c>
      <c r="I579" s="3634">
        <f t="shared" ca="1" si="16"/>
        <v>392.73</v>
      </c>
    </row>
    <row r="580" spans="1:9">
      <c r="A580" s="3615">
        <v>578</v>
      </c>
      <c r="B580" s="3624" t="s">
        <v>7820</v>
      </c>
      <c r="C580" s="3608">
        <v>12</v>
      </c>
      <c r="D580" s="3608">
        <v>1</v>
      </c>
      <c r="E580" s="3608">
        <v>49</v>
      </c>
      <c r="F580" s="3608">
        <v>73.91</v>
      </c>
      <c r="G580" s="3608" t="s">
        <v>1378</v>
      </c>
      <c r="H580" s="3633">
        <f ca="1">'典型户型修正(先权重后修正)'!$R$24</f>
        <v>35065</v>
      </c>
      <c r="I580" s="3634">
        <f t="shared" ca="1" si="16"/>
        <v>259.17</v>
      </c>
    </row>
    <row r="581" spans="1:9">
      <c r="A581" s="3615">
        <v>579</v>
      </c>
      <c r="B581" s="3624" t="s">
        <v>7821</v>
      </c>
      <c r="C581" s="3608">
        <v>12</v>
      </c>
      <c r="D581" s="3608">
        <v>1</v>
      </c>
      <c r="E581" s="3608">
        <v>52</v>
      </c>
      <c r="F581" s="3608">
        <v>51.62</v>
      </c>
      <c r="G581" s="3608" t="s">
        <v>1378</v>
      </c>
      <c r="H581" s="3633">
        <f ca="1">'典型户型修正(先权重后修正)'!$R$24</f>
        <v>35065</v>
      </c>
      <c r="I581" s="3634">
        <f t="shared" ca="1" si="16"/>
        <v>181.01</v>
      </c>
    </row>
    <row r="582" spans="1:9">
      <c r="A582" s="3615">
        <v>580</v>
      </c>
      <c r="B582" s="3624" t="s">
        <v>7822</v>
      </c>
      <c r="C582" s="3608">
        <v>12</v>
      </c>
      <c r="D582" s="3608">
        <v>1</v>
      </c>
      <c r="E582" s="3608">
        <v>56</v>
      </c>
      <c r="F582" s="3608">
        <v>76.59</v>
      </c>
      <c r="G582" s="3608" t="s">
        <v>1378</v>
      </c>
      <c r="H582" s="3633">
        <f ca="1">'典型户型修正(先权重后修正)'!$R$24</f>
        <v>35065</v>
      </c>
      <c r="I582" s="3634">
        <f t="shared" ca="1" si="16"/>
        <v>268.56</v>
      </c>
    </row>
    <row r="583" spans="1:9">
      <c r="A583" s="3615">
        <v>581</v>
      </c>
      <c r="B583" s="3624" t="s">
        <v>7823</v>
      </c>
      <c r="C583" s="3608">
        <v>12</v>
      </c>
      <c r="D583" s="3608">
        <v>1</v>
      </c>
      <c r="E583" s="3608">
        <v>57</v>
      </c>
      <c r="F583" s="3608">
        <v>74.459999999999994</v>
      </c>
      <c r="G583" s="3608" t="s">
        <v>1378</v>
      </c>
      <c r="H583" s="3633">
        <f ca="1">'典型户型修正(先权重后修正)'!$R$24</f>
        <v>35065</v>
      </c>
      <c r="I583" s="3634">
        <f t="shared" ca="1" si="16"/>
        <v>261.08999999999997</v>
      </c>
    </row>
    <row r="584" spans="1:9">
      <c r="A584" s="3615">
        <v>582</v>
      </c>
      <c r="B584" s="3624" t="s">
        <v>7824</v>
      </c>
      <c r="C584" s="3608">
        <v>12</v>
      </c>
      <c r="D584" s="3608">
        <v>1</v>
      </c>
      <c r="E584" s="3608">
        <v>58</v>
      </c>
      <c r="F584" s="3608">
        <v>71.58</v>
      </c>
      <c r="G584" s="3608" t="s">
        <v>1378</v>
      </c>
      <c r="H584" s="3633">
        <f ca="1">'典型户型修正(先权重后修正)'!$R$24</f>
        <v>35065</v>
      </c>
      <c r="I584" s="3634">
        <f t="shared" ca="1" si="16"/>
        <v>251</v>
      </c>
    </row>
    <row r="585" spans="1:9">
      <c r="A585" s="3615">
        <v>583</v>
      </c>
      <c r="B585" s="3624" t="s">
        <v>7825</v>
      </c>
      <c r="C585" s="3608">
        <v>12</v>
      </c>
      <c r="D585" s="3608">
        <v>1</v>
      </c>
      <c r="E585" s="3608">
        <v>62</v>
      </c>
      <c r="F585" s="3608">
        <v>34.31</v>
      </c>
      <c r="G585" s="3608" t="s">
        <v>1378</v>
      </c>
      <c r="H585" s="3633">
        <f ca="1">'典型户型修正(先权重后修正)'!$R$24</f>
        <v>35065</v>
      </c>
      <c r="I585" s="3634">
        <f t="shared" ca="1" si="16"/>
        <v>120.31</v>
      </c>
    </row>
    <row r="586" spans="1:9">
      <c r="A586" s="3615">
        <v>584</v>
      </c>
      <c r="B586" s="3624" t="s">
        <v>7826</v>
      </c>
      <c r="C586" s="3608">
        <v>12</v>
      </c>
      <c r="D586" s="3608">
        <v>1</v>
      </c>
      <c r="E586" s="3608">
        <v>65</v>
      </c>
      <c r="F586" s="3608">
        <v>28.14</v>
      </c>
      <c r="G586" s="3608" t="s">
        <v>1378</v>
      </c>
      <c r="H586" s="3633">
        <f ca="1">'典型户型修正(先权重后修正)'!$R$24</f>
        <v>35065</v>
      </c>
      <c r="I586" s="3634">
        <f t="shared" ca="1" si="16"/>
        <v>98.67</v>
      </c>
    </row>
    <row r="587" spans="1:9">
      <c r="A587" s="3615">
        <v>585</v>
      </c>
      <c r="B587" s="3624" t="s">
        <v>7827</v>
      </c>
      <c r="C587" s="3608">
        <v>12</v>
      </c>
      <c r="D587" s="3608">
        <v>1</v>
      </c>
      <c r="E587" s="3608">
        <v>66</v>
      </c>
      <c r="F587" s="3608">
        <v>74.44</v>
      </c>
      <c r="G587" s="3608" t="s">
        <v>1378</v>
      </c>
      <c r="H587" s="3633">
        <f ca="1">'典型户型修正(先权重后修正)'!$R$24</f>
        <v>35065</v>
      </c>
      <c r="I587" s="3634">
        <f t="shared" ca="1" si="16"/>
        <v>261.02</v>
      </c>
    </row>
    <row r="588" spans="1:9">
      <c r="A588" s="3615">
        <v>586</v>
      </c>
      <c r="B588" s="3624" t="s">
        <v>7828</v>
      </c>
      <c r="C588" s="3608">
        <v>12</v>
      </c>
      <c r="D588" s="3608">
        <v>1</v>
      </c>
      <c r="E588" s="3608">
        <v>67</v>
      </c>
      <c r="F588" s="3608">
        <v>75.88</v>
      </c>
      <c r="G588" s="3608" t="s">
        <v>1378</v>
      </c>
      <c r="H588" s="3633">
        <f ca="1">'典型户型修正(先权重后修正)'!$R$24</f>
        <v>35065</v>
      </c>
      <c r="I588" s="3634">
        <f t="shared" ca="1" si="16"/>
        <v>266.07</v>
      </c>
    </row>
    <row r="589" spans="1:9">
      <c r="A589" s="3615">
        <v>587</v>
      </c>
      <c r="B589" s="3624" t="s">
        <v>7829</v>
      </c>
      <c r="C589" s="3608">
        <v>12</v>
      </c>
      <c r="D589" s="3608">
        <v>1</v>
      </c>
      <c r="E589" s="3608">
        <v>68</v>
      </c>
      <c r="F589" s="3608">
        <v>74.45</v>
      </c>
      <c r="G589" s="3608" t="s">
        <v>1378</v>
      </c>
      <c r="H589" s="3633">
        <f ca="1">'典型户型修正(先权重后修正)'!$R$24</f>
        <v>35065</v>
      </c>
      <c r="I589" s="3634">
        <f t="shared" ca="1" si="16"/>
        <v>261.06</v>
      </c>
    </row>
    <row r="590" spans="1:9">
      <c r="A590" s="3615">
        <v>588</v>
      </c>
      <c r="B590" s="3624" t="s">
        <v>7830</v>
      </c>
      <c r="C590" s="3608">
        <v>12</v>
      </c>
      <c r="D590" s="3608">
        <v>1</v>
      </c>
      <c r="E590" s="3608">
        <v>69</v>
      </c>
      <c r="F590" s="3608">
        <v>79.47</v>
      </c>
      <c r="G590" s="3608" t="s">
        <v>1378</v>
      </c>
      <c r="H590" s="3633">
        <f ca="1">'典型户型修正(先权重后修正)'!$R$24</f>
        <v>35065</v>
      </c>
      <c r="I590" s="3634">
        <f t="shared" ca="1" si="16"/>
        <v>278.66000000000003</v>
      </c>
    </row>
    <row r="591" spans="1:9">
      <c r="A591" s="3615">
        <v>589</v>
      </c>
      <c r="B591" s="3624" t="s">
        <v>7831</v>
      </c>
      <c r="C591" s="3608">
        <v>12</v>
      </c>
      <c r="D591" s="3608">
        <v>1</v>
      </c>
      <c r="E591" s="3608">
        <v>70</v>
      </c>
      <c r="F591" s="3608">
        <v>83.87</v>
      </c>
      <c r="G591" s="3608" t="s">
        <v>1378</v>
      </c>
      <c r="H591" s="3633">
        <f ca="1">'典型户型修正(先权重后修正)'!$R$24</f>
        <v>35065</v>
      </c>
      <c r="I591" s="3634">
        <f t="shared" ca="1" si="16"/>
        <v>294.08999999999997</v>
      </c>
    </row>
    <row r="592" spans="1:9">
      <c r="A592" s="3615">
        <v>590</v>
      </c>
      <c r="B592" s="3624" t="s">
        <v>7832</v>
      </c>
      <c r="C592" s="3608">
        <v>12</v>
      </c>
      <c r="D592" s="3608">
        <v>1</v>
      </c>
      <c r="E592" s="3608">
        <v>86</v>
      </c>
      <c r="F592" s="3608">
        <v>37.49</v>
      </c>
      <c r="G592" s="3608" t="s">
        <v>1378</v>
      </c>
      <c r="H592" s="3633">
        <f ca="1">'典型户型修正(先权重后修正)'!$R$24</f>
        <v>35065</v>
      </c>
      <c r="I592" s="3634">
        <f t="shared" ca="1" si="16"/>
        <v>131.46</v>
      </c>
    </row>
    <row r="593" spans="1:9">
      <c r="A593" s="3615">
        <v>591</v>
      </c>
      <c r="B593" s="3624" t="s">
        <v>7833</v>
      </c>
      <c r="C593" s="3608">
        <v>12</v>
      </c>
      <c r="D593" s="3608">
        <v>1</v>
      </c>
      <c r="E593" s="3608">
        <v>90</v>
      </c>
      <c r="F593" s="3608">
        <v>190.95</v>
      </c>
      <c r="G593" s="3608" t="s">
        <v>1378</v>
      </c>
      <c r="H593" s="3633">
        <f ca="1">'典型户型修正(先权重后修正)'!$R$24</f>
        <v>35065</v>
      </c>
      <c r="I593" s="3634">
        <f t="shared" ca="1" si="16"/>
        <v>669.57</v>
      </c>
    </row>
    <row r="594" spans="1:9">
      <c r="A594" s="3615">
        <v>592</v>
      </c>
      <c r="B594" s="3624" t="s">
        <v>7834</v>
      </c>
      <c r="C594" s="3608">
        <v>12</v>
      </c>
      <c r="D594" s="3608">
        <v>1</v>
      </c>
      <c r="E594" s="3608">
        <v>98</v>
      </c>
      <c r="F594" s="3608">
        <v>72.67</v>
      </c>
      <c r="G594" s="3608" t="s">
        <v>1378</v>
      </c>
      <c r="H594" s="3633">
        <f ca="1">'典型户型修正(先权重后修正)'!$R$24</f>
        <v>35065</v>
      </c>
      <c r="I594" s="3634">
        <f t="shared" ca="1" si="16"/>
        <v>254.82</v>
      </c>
    </row>
    <row r="595" spans="1:9">
      <c r="A595" s="3615">
        <v>593</v>
      </c>
      <c r="B595" s="3624" t="s">
        <v>7835</v>
      </c>
      <c r="C595" s="3608">
        <v>12</v>
      </c>
      <c r="D595" s="3608">
        <v>1</v>
      </c>
      <c r="E595" s="3608">
        <v>99</v>
      </c>
      <c r="F595" s="3608">
        <v>71.959999999999994</v>
      </c>
      <c r="G595" s="3608" t="s">
        <v>1378</v>
      </c>
      <c r="H595" s="3633">
        <f ca="1">'典型户型修正(先权重后修正)'!$R$24</f>
        <v>35065</v>
      </c>
      <c r="I595" s="3634">
        <f t="shared" ca="1" si="16"/>
        <v>252.33</v>
      </c>
    </row>
    <row r="596" spans="1:9">
      <c r="A596" s="3615">
        <v>594</v>
      </c>
      <c r="B596" s="3624" t="s">
        <v>7836</v>
      </c>
      <c r="C596" s="3608">
        <v>12</v>
      </c>
      <c r="D596" s="3608">
        <v>1</v>
      </c>
      <c r="E596" s="3608">
        <v>100</v>
      </c>
      <c r="F596" s="3608">
        <v>73.349999999999994</v>
      </c>
      <c r="G596" s="3608" t="s">
        <v>1378</v>
      </c>
      <c r="H596" s="3633">
        <f ca="1">'典型户型修正(先权重后修正)'!$R$24</f>
        <v>35065</v>
      </c>
      <c r="I596" s="3634">
        <f t="shared" ca="1" si="16"/>
        <v>257.2</v>
      </c>
    </row>
    <row r="597" spans="1:9">
      <c r="A597" s="3615">
        <v>595</v>
      </c>
      <c r="B597" s="3624" t="s">
        <v>7837</v>
      </c>
      <c r="C597" s="3608">
        <v>12</v>
      </c>
      <c r="D597" s="3608">
        <v>1</v>
      </c>
      <c r="E597" s="3608">
        <v>101</v>
      </c>
      <c r="F597" s="3608">
        <v>67.86</v>
      </c>
      <c r="G597" s="3608" t="s">
        <v>1378</v>
      </c>
      <c r="H597" s="3633">
        <f ca="1">'典型户型修正(先权重后修正)'!$R$24</f>
        <v>35065</v>
      </c>
      <c r="I597" s="3634">
        <f t="shared" ca="1" si="16"/>
        <v>237.95</v>
      </c>
    </row>
    <row r="598" spans="1:9">
      <c r="A598" s="3615">
        <v>596</v>
      </c>
      <c r="B598" s="3624" t="s">
        <v>7838</v>
      </c>
      <c r="C598" s="3608">
        <v>12</v>
      </c>
      <c r="D598" s="3608">
        <v>1</v>
      </c>
      <c r="E598" s="3608">
        <v>102</v>
      </c>
      <c r="F598" s="3608">
        <v>76.92</v>
      </c>
      <c r="G598" s="3608" t="s">
        <v>1378</v>
      </c>
      <c r="H598" s="3633">
        <f ca="1">'典型户型修正(先权重后修正)'!$R$24</f>
        <v>35065</v>
      </c>
      <c r="I598" s="3634">
        <f t="shared" ca="1" si="16"/>
        <v>269.72000000000003</v>
      </c>
    </row>
    <row r="599" spans="1:9">
      <c r="A599" s="3615">
        <v>597</v>
      </c>
      <c r="B599" s="3624" t="s">
        <v>7839</v>
      </c>
      <c r="C599" s="3608">
        <v>12</v>
      </c>
      <c r="D599" s="3608">
        <v>1</v>
      </c>
      <c r="E599" s="3608">
        <v>103</v>
      </c>
      <c r="F599" s="3608">
        <v>59.82</v>
      </c>
      <c r="G599" s="3608" t="s">
        <v>1378</v>
      </c>
      <c r="H599" s="3633">
        <f ca="1">'典型户型修正(先权重后修正)'!$R$24</f>
        <v>35065</v>
      </c>
      <c r="I599" s="3634">
        <f t="shared" ca="1" si="16"/>
        <v>209.76</v>
      </c>
    </row>
    <row r="600" spans="1:9">
      <c r="A600" s="3615">
        <v>598</v>
      </c>
      <c r="B600" s="3624" t="s">
        <v>7840</v>
      </c>
      <c r="C600" s="3608">
        <v>12</v>
      </c>
      <c r="D600" s="3608">
        <v>1</v>
      </c>
      <c r="E600" s="3608">
        <v>105</v>
      </c>
      <c r="F600" s="3608">
        <v>70.13</v>
      </c>
      <c r="G600" s="3608" t="s">
        <v>1378</v>
      </c>
      <c r="H600" s="3633">
        <f ca="1">'典型户型修正(先权重后修正)'!$R$24</f>
        <v>35065</v>
      </c>
      <c r="I600" s="3634">
        <f t="shared" ca="1" si="16"/>
        <v>245.91</v>
      </c>
    </row>
    <row r="601" spans="1:9">
      <c r="A601" s="3615">
        <v>599</v>
      </c>
      <c r="B601" s="3624" t="s">
        <v>7841</v>
      </c>
      <c r="C601" s="3608">
        <v>12</v>
      </c>
      <c r="D601" s="3608">
        <v>1</v>
      </c>
      <c r="E601" s="3608">
        <v>106</v>
      </c>
      <c r="F601" s="3608">
        <v>72.650000000000006</v>
      </c>
      <c r="G601" s="3608" t="s">
        <v>1378</v>
      </c>
      <c r="H601" s="3633">
        <f ca="1">'典型户型修正(先权重后修正)'!$R$24</f>
        <v>35065</v>
      </c>
      <c r="I601" s="3634">
        <f t="shared" ca="1" si="16"/>
        <v>254.75</v>
      </c>
    </row>
    <row r="602" spans="1:9">
      <c r="A602" s="3615">
        <v>600</v>
      </c>
      <c r="B602" s="3624" t="s">
        <v>7842</v>
      </c>
      <c r="C602" s="3608">
        <v>12</v>
      </c>
      <c r="D602" s="3608">
        <v>1</v>
      </c>
      <c r="E602" s="3608">
        <v>107</v>
      </c>
      <c r="F602" s="3608">
        <v>72.64</v>
      </c>
      <c r="G602" s="3608" t="s">
        <v>1378</v>
      </c>
      <c r="H602" s="3633">
        <f ca="1">'典型户型修正(先权重后修正)'!$R$24</f>
        <v>35065</v>
      </c>
      <c r="I602" s="3634">
        <f t="shared" ca="1" si="16"/>
        <v>254.71</v>
      </c>
    </row>
    <row r="603" spans="1:9">
      <c r="A603" s="3615">
        <v>601</v>
      </c>
      <c r="B603" s="3624" t="s">
        <v>7843</v>
      </c>
      <c r="C603" s="3608">
        <v>12</v>
      </c>
      <c r="D603" s="3608">
        <v>1</v>
      </c>
      <c r="E603" s="3608">
        <v>108</v>
      </c>
      <c r="F603" s="3608">
        <v>72.650000000000006</v>
      </c>
      <c r="G603" s="3608" t="s">
        <v>1378</v>
      </c>
      <c r="H603" s="3633">
        <f ca="1">'典型户型修正(先权重后修正)'!$R$24</f>
        <v>35065</v>
      </c>
      <c r="I603" s="3634">
        <f t="shared" ca="1" si="16"/>
        <v>254.75</v>
      </c>
    </row>
    <row r="604" spans="1:9">
      <c r="A604" s="3615">
        <v>602</v>
      </c>
      <c r="B604" s="3624" t="s">
        <v>7844</v>
      </c>
      <c r="C604" s="3608">
        <v>12</v>
      </c>
      <c r="D604" s="3608">
        <v>1</v>
      </c>
      <c r="E604" s="3608">
        <v>109</v>
      </c>
      <c r="F604" s="3608">
        <v>76.099999999999994</v>
      </c>
      <c r="G604" s="3608" t="s">
        <v>1378</v>
      </c>
      <c r="H604" s="3633">
        <f ca="1">'典型户型修正(先权重后修正)'!$R$24</f>
        <v>35065</v>
      </c>
      <c r="I604" s="3634">
        <f t="shared" ca="1" si="16"/>
        <v>266.83999999999997</v>
      </c>
    </row>
    <row r="605" spans="1:9">
      <c r="A605" s="3615">
        <v>603</v>
      </c>
      <c r="B605" s="3624" t="s">
        <v>7845</v>
      </c>
      <c r="C605" s="3608">
        <v>12</v>
      </c>
      <c r="D605" s="3608">
        <v>1</v>
      </c>
      <c r="E605" s="3608">
        <v>110</v>
      </c>
      <c r="F605" s="3608">
        <v>90.63</v>
      </c>
      <c r="G605" s="3608" t="s">
        <v>1378</v>
      </c>
      <c r="H605" s="3633">
        <f ca="1">'典型户型修正(先权重后修正)'!$R$24</f>
        <v>35065</v>
      </c>
      <c r="I605" s="3634">
        <f t="shared" ref="I605" ca="1" si="17">ROUND(H605*F605/10000,2)</f>
        <v>317.79000000000002</v>
      </c>
    </row>
    <row r="606" spans="1:9">
      <c r="A606" s="3615">
        <v>604</v>
      </c>
      <c r="B606" s="3610" t="s">
        <v>7846</v>
      </c>
      <c r="C606" s="3608">
        <v>12</v>
      </c>
      <c r="D606" s="3608">
        <v>1</v>
      </c>
      <c r="E606" s="3608">
        <v>111</v>
      </c>
      <c r="F606" s="3608">
        <v>148.08000000000001</v>
      </c>
      <c r="G606" s="3608" t="s">
        <v>1378</v>
      </c>
      <c r="H606" s="3633">
        <f ca="1">I606/F606*10000</f>
        <v>35076.310102647447</v>
      </c>
      <c r="I606" s="3634">
        <f ca="1">'典型户型修正(先权重后修正)'!S24-55524.59</f>
        <v>519.41000000000349</v>
      </c>
    </row>
    <row r="607" spans="1:9">
      <c r="A607" s="3615">
        <v>605</v>
      </c>
      <c r="B607" s="3610" t="s">
        <v>7395</v>
      </c>
      <c r="C607" s="3612">
        <v>12</v>
      </c>
      <c r="D607" s="3612">
        <v>-1</v>
      </c>
      <c r="E607" s="3612">
        <v>7</v>
      </c>
      <c r="F607" s="3612">
        <v>61.92</v>
      </c>
      <c r="G607" s="3610" t="s">
        <v>1378</v>
      </c>
      <c r="H607" s="3633">
        <f ca="1">'典型户型修正(先权重后修正)'!$R$29</f>
        <v>17533</v>
      </c>
      <c r="I607" s="3634">
        <f t="shared" ref="I607:I640" ca="1" si="18">ROUND(H607*F607/10000,2)</f>
        <v>108.56</v>
      </c>
    </row>
    <row r="608" spans="1:9">
      <c r="A608" s="3615">
        <v>606</v>
      </c>
      <c r="B608" s="3610" t="s">
        <v>7396</v>
      </c>
      <c r="C608" s="3612">
        <v>12</v>
      </c>
      <c r="D608" s="3612">
        <v>-1</v>
      </c>
      <c r="E608" s="3612">
        <v>9</v>
      </c>
      <c r="F608" s="3612">
        <v>60.01</v>
      </c>
      <c r="G608" s="3610" t="s">
        <v>1378</v>
      </c>
      <c r="H608" s="3633">
        <f ca="1">'典型户型修正(先权重后修正)'!$R$29</f>
        <v>17533</v>
      </c>
      <c r="I608" s="3634">
        <f t="shared" ca="1" si="18"/>
        <v>105.22</v>
      </c>
    </row>
    <row r="609" spans="1:9">
      <c r="A609" s="3615">
        <v>607</v>
      </c>
      <c r="B609" s="3610" t="s">
        <v>7397</v>
      </c>
      <c r="C609" s="3612">
        <v>12</v>
      </c>
      <c r="D609" s="3612">
        <v>-1</v>
      </c>
      <c r="E609" s="3612">
        <v>21</v>
      </c>
      <c r="F609" s="3612">
        <v>61.17</v>
      </c>
      <c r="G609" s="3610" t="s">
        <v>1378</v>
      </c>
      <c r="H609" s="3633">
        <f ca="1">'典型户型修正(先权重后修正)'!$R$29</f>
        <v>17533</v>
      </c>
      <c r="I609" s="3634">
        <f t="shared" ca="1" si="18"/>
        <v>107.25</v>
      </c>
    </row>
    <row r="610" spans="1:9">
      <c r="A610" s="3615">
        <v>608</v>
      </c>
      <c r="B610" s="3610" t="s">
        <v>7398</v>
      </c>
      <c r="C610" s="3612">
        <v>12</v>
      </c>
      <c r="D610" s="3612">
        <v>-1</v>
      </c>
      <c r="E610" s="3612">
        <v>22</v>
      </c>
      <c r="F610" s="3612">
        <v>69.63</v>
      </c>
      <c r="G610" s="3610" t="s">
        <v>1378</v>
      </c>
      <c r="H610" s="3633">
        <f ca="1">'典型户型修正(先权重后修正)'!$R$29</f>
        <v>17533</v>
      </c>
      <c r="I610" s="3634">
        <f t="shared" ca="1" si="18"/>
        <v>122.08</v>
      </c>
    </row>
    <row r="611" spans="1:9">
      <c r="A611" s="3615">
        <v>609</v>
      </c>
      <c r="B611" s="3610" t="s">
        <v>7399</v>
      </c>
      <c r="C611" s="3612">
        <v>12</v>
      </c>
      <c r="D611" s="3612">
        <v>-1</v>
      </c>
      <c r="E611" s="3612">
        <v>25</v>
      </c>
      <c r="F611" s="3612">
        <v>70.209999999999994</v>
      </c>
      <c r="G611" s="3610" t="s">
        <v>1378</v>
      </c>
      <c r="H611" s="3633">
        <f ca="1">'典型户型修正(先权重后修正)'!$R$29</f>
        <v>17533</v>
      </c>
      <c r="I611" s="3634">
        <f t="shared" ca="1" si="18"/>
        <v>123.1</v>
      </c>
    </row>
    <row r="612" spans="1:9">
      <c r="A612" s="3615">
        <v>610</v>
      </c>
      <c r="B612" s="3610" t="s">
        <v>7400</v>
      </c>
      <c r="C612" s="3612">
        <v>12</v>
      </c>
      <c r="D612" s="3612">
        <v>-1</v>
      </c>
      <c r="E612" s="3612">
        <v>30</v>
      </c>
      <c r="F612" s="3612">
        <v>60.68</v>
      </c>
      <c r="G612" s="3610" t="s">
        <v>1378</v>
      </c>
      <c r="H612" s="3633">
        <f ca="1">'典型户型修正(先权重后修正)'!$R$29</f>
        <v>17533</v>
      </c>
      <c r="I612" s="3634">
        <f t="shared" ca="1" si="18"/>
        <v>106.39</v>
      </c>
    </row>
    <row r="613" spans="1:9">
      <c r="A613" s="3615">
        <v>611</v>
      </c>
      <c r="B613" s="3610" t="s">
        <v>7401</v>
      </c>
      <c r="C613" s="3612">
        <v>12</v>
      </c>
      <c r="D613" s="3612">
        <v>-1</v>
      </c>
      <c r="E613" s="3612">
        <v>53</v>
      </c>
      <c r="F613" s="3612">
        <v>69.42</v>
      </c>
      <c r="G613" s="3610" t="s">
        <v>1378</v>
      </c>
      <c r="H613" s="3633">
        <f ca="1">'典型户型修正(先权重后修正)'!$R$29</f>
        <v>17533</v>
      </c>
      <c r="I613" s="3634">
        <f t="shared" ca="1" si="18"/>
        <v>121.71</v>
      </c>
    </row>
    <row r="614" spans="1:9">
      <c r="A614" s="3615">
        <v>612</v>
      </c>
      <c r="B614" s="3610" t="s">
        <v>7402</v>
      </c>
      <c r="C614" s="3612">
        <v>12</v>
      </c>
      <c r="D614" s="3612">
        <v>-1</v>
      </c>
      <c r="E614" s="3612">
        <v>56</v>
      </c>
      <c r="F614" s="3612">
        <v>68.11</v>
      </c>
      <c r="G614" s="3610" t="s">
        <v>1378</v>
      </c>
      <c r="H614" s="3633">
        <f ca="1">'典型户型修正(先权重后修正)'!$R$29</f>
        <v>17533</v>
      </c>
      <c r="I614" s="3634">
        <f t="shared" ca="1" si="18"/>
        <v>119.42</v>
      </c>
    </row>
    <row r="615" spans="1:9">
      <c r="A615" s="3615">
        <v>613</v>
      </c>
      <c r="B615" s="3610" t="s">
        <v>7403</v>
      </c>
      <c r="C615" s="3612">
        <v>12</v>
      </c>
      <c r="D615" s="3612">
        <v>-1</v>
      </c>
      <c r="E615" s="3612">
        <v>80</v>
      </c>
      <c r="F615" s="3612">
        <v>58.94</v>
      </c>
      <c r="G615" s="3610" t="s">
        <v>1378</v>
      </c>
      <c r="H615" s="3633">
        <f ca="1">'典型户型修正(先权重后修正)'!$R$29</f>
        <v>17533</v>
      </c>
      <c r="I615" s="3634">
        <f t="shared" ca="1" si="18"/>
        <v>103.34</v>
      </c>
    </row>
    <row r="616" spans="1:9">
      <c r="A616" s="3615">
        <v>614</v>
      </c>
      <c r="B616" s="3610" t="s">
        <v>7404</v>
      </c>
      <c r="C616" s="3612">
        <v>12</v>
      </c>
      <c r="D616" s="3612">
        <v>-1</v>
      </c>
      <c r="E616" s="3612">
        <v>120</v>
      </c>
      <c r="F616" s="3612">
        <v>113.97</v>
      </c>
      <c r="G616" s="3610" t="s">
        <v>1378</v>
      </c>
      <c r="H616" s="3633">
        <f ca="1">'典型户型修正(先权重后修正)'!$R$29</f>
        <v>17533</v>
      </c>
      <c r="I616" s="3634">
        <f t="shared" ca="1" si="18"/>
        <v>199.82</v>
      </c>
    </row>
    <row r="617" spans="1:9">
      <c r="A617" s="3615">
        <v>615</v>
      </c>
      <c r="B617" s="3610" t="s">
        <v>7405</v>
      </c>
      <c r="C617" s="3612">
        <v>12</v>
      </c>
      <c r="D617" s="3612">
        <v>-1</v>
      </c>
      <c r="E617" s="3612">
        <v>133</v>
      </c>
      <c r="F617" s="3612">
        <v>71.03</v>
      </c>
      <c r="G617" s="3610" t="s">
        <v>1378</v>
      </c>
      <c r="H617" s="3633">
        <f ca="1">'典型户型修正(先权重后修正)'!$R$29</f>
        <v>17533</v>
      </c>
      <c r="I617" s="3634">
        <f t="shared" ca="1" si="18"/>
        <v>124.54</v>
      </c>
    </row>
    <row r="618" spans="1:9">
      <c r="A618" s="3615">
        <v>616</v>
      </c>
      <c r="B618" s="3610" t="s">
        <v>7406</v>
      </c>
      <c r="C618" s="3612">
        <v>12</v>
      </c>
      <c r="D618" s="3612">
        <v>-1</v>
      </c>
      <c r="E618" s="3612">
        <v>176</v>
      </c>
      <c r="F618" s="3612">
        <v>71.150000000000006</v>
      </c>
      <c r="G618" s="3610" t="s">
        <v>1378</v>
      </c>
      <c r="H618" s="3633">
        <f ca="1">'典型户型修正(先权重后修正)'!$R$29</f>
        <v>17533</v>
      </c>
      <c r="I618" s="3634">
        <f t="shared" ca="1" si="18"/>
        <v>124.75</v>
      </c>
    </row>
    <row r="619" spans="1:9">
      <c r="A619" s="3615">
        <v>617</v>
      </c>
      <c r="B619" s="3610" t="s">
        <v>7407</v>
      </c>
      <c r="C619" s="3612">
        <v>12</v>
      </c>
      <c r="D619" s="3612">
        <v>-1</v>
      </c>
      <c r="E619" s="3612">
        <v>203</v>
      </c>
      <c r="F619" s="3612">
        <v>84.43</v>
      </c>
      <c r="G619" s="3610" t="s">
        <v>1378</v>
      </c>
      <c r="H619" s="3633">
        <f ca="1">'典型户型修正(先权重后修正)'!$R$29</f>
        <v>17533</v>
      </c>
      <c r="I619" s="3634">
        <f t="shared" ca="1" si="18"/>
        <v>148.03</v>
      </c>
    </row>
    <row r="620" spans="1:9">
      <c r="A620" s="3615">
        <v>618</v>
      </c>
      <c r="B620" s="3610" t="s">
        <v>7408</v>
      </c>
      <c r="C620" s="3612">
        <v>12</v>
      </c>
      <c r="D620" s="3612">
        <v>-1</v>
      </c>
      <c r="E620" s="3612">
        <v>205</v>
      </c>
      <c r="F620" s="3612">
        <v>86.07</v>
      </c>
      <c r="G620" s="3610" t="s">
        <v>1378</v>
      </c>
      <c r="H620" s="3633">
        <f ca="1">'典型户型修正(先权重后修正)'!$R$29</f>
        <v>17533</v>
      </c>
      <c r="I620" s="3634">
        <f t="shared" ca="1" si="18"/>
        <v>150.91</v>
      </c>
    </row>
    <row r="621" spans="1:9">
      <c r="A621" s="3615">
        <v>619</v>
      </c>
      <c r="B621" s="3610" t="s">
        <v>7409</v>
      </c>
      <c r="C621" s="3612">
        <v>12</v>
      </c>
      <c r="D621" s="3612">
        <v>-1</v>
      </c>
      <c r="E621" s="3612">
        <v>206</v>
      </c>
      <c r="F621" s="3612">
        <v>90.17</v>
      </c>
      <c r="G621" s="3610" t="s">
        <v>1378</v>
      </c>
      <c r="H621" s="3633">
        <f ca="1">'典型户型修正(先权重后修正)'!$R$29</f>
        <v>17533</v>
      </c>
      <c r="I621" s="3634">
        <f t="shared" ca="1" si="18"/>
        <v>158.1</v>
      </c>
    </row>
    <row r="622" spans="1:9">
      <c r="A622" s="3615">
        <v>620</v>
      </c>
      <c r="B622" s="3610" t="s">
        <v>7410</v>
      </c>
      <c r="C622" s="3612">
        <v>12</v>
      </c>
      <c r="D622" s="3612">
        <v>-1</v>
      </c>
      <c r="E622" s="3612">
        <v>208</v>
      </c>
      <c r="F622" s="3612">
        <v>102.94</v>
      </c>
      <c r="G622" s="3610" t="s">
        <v>1378</v>
      </c>
      <c r="H622" s="3633">
        <f ca="1">'典型户型修正(先权重后修正)'!$R$29</f>
        <v>17533</v>
      </c>
      <c r="I622" s="3634">
        <f t="shared" ca="1" si="18"/>
        <v>180.48</v>
      </c>
    </row>
    <row r="623" spans="1:9">
      <c r="A623" s="3615">
        <v>621</v>
      </c>
      <c r="B623" s="3610" t="s">
        <v>7411</v>
      </c>
      <c r="C623" s="3612">
        <v>12</v>
      </c>
      <c r="D623" s="3612">
        <v>-1</v>
      </c>
      <c r="E623" s="3612">
        <v>216</v>
      </c>
      <c r="F623" s="3612">
        <v>47.61</v>
      </c>
      <c r="G623" s="3610" t="s">
        <v>1378</v>
      </c>
      <c r="H623" s="3633">
        <f ca="1">'典型户型修正(先权重后修正)'!$R$29</f>
        <v>17533</v>
      </c>
      <c r="I623" s="3634">
        <f t="shared" ca="1" si="18"/>
        <v>83.47</v>
      </c>
    </row>
    <row r="624" spans="1:9">
      <c r="A624" s="3615">
        <v>622</v>
      </c>
      <c r="B624" s="3610" t="s">
        <v>7412</v>
      </c>
      <c r="C624" s="3612">
        <v>12</v>
      </c>
      <c r="D624" s="3612">
        <v>-1</v>
      </c>
      <c r="E624" s="3612">
        <v>229</v>
      </c>
      <c r="F624" s="3612">
        <v>42.72</v>
      </c>
      <c r="G624" s="3610" t="s">
        <v>1378</v>
      </c>
      <c r="H624" s="3633">
        <f ca="1">'典型户型修正(先权重后修正)'!$R$29</f>
        <v>17533</v>
      </c>
      <c r="I624" s="3634">
        <f t="shared" ca="1" si="18"/>
        <v>74.900000000000006</v>
      </c>
    </row>
    <row r="625" spans="1:9">
      <c r="A625" s="3615">
        <v>623</v>
      </c>
      <c r="B625" s="3610" t="s">
        <v>7413</v>
      </c>
      <c r="C625" s="3612">
        <v>12</v>
      </c>
      <c r="D625" s="3612">
        <v>-1</v>
      </c>
      <c r="E625" s="3612">
        <v>246</v>
      </c>
      <c r="F625" s="3612">
        <v>90.97</v>
      </c>
      <c r="G625" s="3610" t="s">
        <v>1378</v>
      </c>
      <c r="H625" s="3633">
        <f ca="1">'典型户型修正(先权重后修正)'!$R$29</f>
        <v>17533</v>
      </c>
      <c r="I625" s="3634">
        <f t="shared" ca="1" si="18"/>
        <v>159.5</v>
      </c>
    </row>
    <row r="626" spans="1:9">
      <c r="A626" s="3615">
        <v>624</v>
      </c>
      <c r="B626" s="3624" t="s">
        <v>7414</v>
      </c>
      <c r="C626" s="3612">
        <v>12</v>
      </c>
      <c r="D626" s="3612">
        <v>-1</v>
      </c>
      <c r="E626" s="3612">
        <v>1</v>
      </c>
      <c r="F626" s="3612">
        <v>76.14</v>
      </c>
      <c r="G626" s="3608" t="s">
        <v>1378</v>
      </c>
      <c r="H626" s="3633">
        <f ca="1">'典型户型修正(先权重后修正)'!$R$29</f>
        <v>17533</v>
      </c>
      <c r="I626" s="3634">
        <f t="shared" ca="1" si="18"/>
        <v>133.5</v>
      </c>
    </row>
    <row r="627" spans="1:9">
      <c r="A627" s="3615">
        <v>625</v>
      </c>
      <c r="B627" s="3624" t="s">
        <v>7415</v>
      </c>
      <c r="C627" s="3612">
        <v>12</v>
      </c>
      <c r="D627" s="3612">
        <v>-1</v>
      </c>
      <c r="E627" s="3612">
        <v>60</v>
      </c>
      <c r="F627" s="3612">
        <v>63.96</v>
      </c>
      <c r="G627" s="3608" t="s">
        <v>1378</v>
      </c>
      <c r="H627" s="3633">
        <f ca="1">'典型户型修正(先权重后修正)'!$R$29</f>
        <v>17533</v>
      </c>
      <c r="I627" s="3634">
        <f t="shared" ca="1" si="18"/>
        <v>112.14</v>
      </c>
    </row>
    <row r="628" spans="1:9">
      <c r="A628" s="3615">
        <v>626</v>
      </c>
      <c r="B628" s="3624" t="s">
        <v>7416</v>
      </c>
      <c r="C628" s="3612">
        <v>12</v>
      </c>
      <c r="D628" s="3612">
        <v>-1</v>
      </c>
      <c r="E628" s="3612">
        <v>61</v>
      </c>
      <c r="F628" s="3612">
        <v>65.180000000000007</v>
      </c>
      <c r="G628" s="3608" t="s">
        <v>1378</v>
      </c>
      <c r="H628" s="3633">
        <f ca="1">'典型户型修正(先权重后修正)'!$R$29</f>
        <v>17533</v>
      </c>
      <c r="I628" s="3634">
        <f t="shared" ca="1" si="18"/>
        <v>114.28</v>
      </c>
    </row>
    <row r="629" spans="1:9">
      <c r="A629" s="3615">
        <v>627</v>
      </c>
      <c r="B629" s="3624" t="s">
        <v>7417</v>
      </c>
      <c r="C629" s="3612">
        <v>12</v>
      </c>
      <c r="D629" s="3612">
        <v>-1</v>
      </c>
      <c r="E629" s="3612">
        <v>121</v>
      </c>
      <c r="F629" s="3612">
        <v>113.97</v>
      </c>
      <c r="G629" s="3608" t="s">
        <v>1378</v>
      </c>
      <c r="H629" s="3633">
        <f ca="1">'典型户型修正(先权重后修正)'!$R$29</f>
        <v>17533</v>
      </c>
      <c r="I629" s="3634">
        <f t="shared" ca="1" si="18"/>
        <v>199.82</v>
      </c>
    </row>
    <row r="630" spans="1:9">
      <c r="A630" s="3615">
        <v>628</v>
      </c>
      <c r="B630" s="3624" t="s">
        <v>7418</v>
      </c>
      <c r="C630" s="3612">
        <v>12</v>
      </c>
      <c r="D630" s="3612">
        <v>-1</v>
      </c>
      <c r="E630" s="3612">
        <v>130</v>
      </c>
      <c r="F630" s="3612">
        <v>23.67</v>
      </c>
      <c r="G630" s="3608" t="s">
        <v>1378</v>
      </c>
      <c r="H630" s="3633">
        <f ca="1">'典型户型修正(先权重后修正)'!$R$29</f>
        <v>17533</v>
      </c>
      <c r="I630" s="3634">
        <f t="shared" ca="1" si="18"/>
        <v>41.5</v>
      </c>
    </row>
    <row r="631" spans="1:9">
      <c r="A631" s="3615">
        <v>629</v>
      </c>
      <c r="B631" s="3624" t="s">
        <v>7419</v>
      </c>
      <c r="C631" s="3612">
        <v>12</v>
      </c>
      <c r="D631" s="3612">
        <v>-1</v>
      </c>
      <c r="E631" s="3612">
        <v>158</v>
      </c>
      <c r="F631" s="3612">
        <v>74.58</v>
      </c>
      <c r="G631" s="3608" t="s">
        <v>1378</v>
      </c>
      <c r="H631" s="3633">
        <f ca="1">'典型户型修正(先权重后修正)'!$R$29</f>
        <v>17533</v>
      </c>
      <c r="I631" s="3634">
        <f t="shared" ca="1" si="18"/>
        <v>130.76</v>
      </c>
    </row>
    <row r="632" spans="1:9">
      <c r="A632" s="3615">
        <v>630</v>
      </c>
      <c r="B632" s="3624" t="s">
        <v>7420</v>
      </c>
      <c r="C632" s="3612">
        <v>12</v>
      </c>
      <c r="D632" s="3612">
        <v>-1</v>
      </c>
      <c r="E632" s="3612">
        <v>169</v>
      </c>
      <c r="F632" s="3612">
        <v>46.32</v>
      </c>
      <c r="G632" s="3608" t="s">
        <v>1378</v>
      </c>
      <c r="H632" s="3633">
        <f ca="1">'典型户型修正(先权重后修正)'!$R$29</f>
        <v>17533</v>
      </c>
      <c r="I632" s="3634">
        <f t="shared" ca="1" si="18"/>
        <v>81.209999999999994</v>
      </c>
    </row>
    <row r="633" spans="1:9">
      <c r="A633" s="3615">
        <v>631</v>
      </c>
      <c r="B633" s="3624" t="s">
        <v>7421</v>
      </c>
      <c r="C633" s="3612">
        <v>12</v>
      </c>
      <c r="D633" s="3612">
        <v>-1</v>
      </c>
      <c r="E633" s="3612">
        <v>55</v>
      </c>
      <c r="F633" s="3612">
        <v>87.28</v>
      </c>
      <c r="G633" s="3608" t="s">
        <v>1378</v>
      </c>
      <c r="H633" s="3633">
        <f ca="1">'典型户型修正(先权重后修正)'!$R$29</f>
        <v>17533</v>
      </c>
      <c r="I633" s="3634">
        <f t="shared" ca="1" si="18"/>
        <v>153.03</v>
      </c>
    </row>
    <row r="634" spans="1:9">
      <c r="A634" s="3615">
        <v>632</v>
      </c>
      <c r="B634" s="3624" t="s">
        <v>7422</v>
      </c>
      <c r="C634" s="3612">
        <v>12</v>
      </c>
      <c r="D634" s="3612">
        <v>-1</v>
      </c>
      <c r="E634" s="3612">
        <v>126</v>
      </c>
      <c r="F634" s="3612">
        <v>70.53</v>
      </c>
      <c r="G634" s="3608" t="s">
        <v>1378</v>
      </c>
      <c r="H634" s="3633">
        <f ca="1">'典型户型修正(先权重后修正)'!$R$29</f>
        <v>17533</v>
      </c>
      <c r="I634" s="3634">
        <f t="shared" ca="1" si="18"/>
        <v>123.66</v>
      </c>
    </row>
    <row r="635" spans="1:9">
      <c r="A635" s="3615">
        <v>633</v>
      </c>
      <c r="B635" s="3624" t="s">
        <v>7423</v>
      </c>
      <c r="C635" s="3612">
        <v>12</v>
      </c>
      <c r="D635" s="3612">
        <v>-1</v>
      </c>
      <c r="E635" s="3612">
        <v>162</v>
      </c>
      <c r="F635" s="3612">
        <v>52.38</v>
      </c>
      <c r="G635" s="3608" t="s">
        <v>1378</v>
      </c>
      <c r="H635" s="3633">
        <f ca="1">'典型户型修正(先权重后修正)'!$R$29</f>
        <v>17533</v>
      </c>
      <c r="I635" s="3634">
        <f t="shared" ca="1" si="18"/>
        <v>91.84</v>
      </c>
    </row>
    <row r="636" spans="1:9">
      <c r="A636" s="3615">
        <v>634</v>
      </c>
      <c r="B636" s="3624" t="s">
        <v>7424</v>
      </c>
      <c r="C636" s="3612">
        <v>12</v>
      </c>
      <c r="D636" s="3612">
        <v>-1</v>
      </c>
      <c r="E636" s="3612">
        <v>178</v>
      </c>
      <c r="F636" s="3612">
        <v>28.03</v>
      </c>
      <c r="G636" s="3608" t="s">
        <v>1378</v>
      </c>
      <c r="H636" s="3633">
        <f ca="1">'典型户型修正(先权重后修正)'!$R$29</f>
        <v>17533</v>
      </c>
      <c r="I636" s="3634">
        <f t="shared" ca="1" si="18"/>
        <v>49.14</v>
      </c>
    </row>
    <row r="637" spans="1:9">
      <c r="A637" s="3615">
        <v>635</v>
      </c>
      <c r="B637" s="3624" t="s">
        <v>7425</v>
      </c>
      <c r="C637" s="3612">
        <v>12</v>
      </c>
      <c r="D637" s="3612">
        <v>-1</v>
      </c>
      <c r="E637" s="3612">
        <v>217</v>
      </c>
      <c r="F637" s="3612">
        <v>47.61</v>
      </c>
      <c r="G637" s="3608" t="s">
        <v>1378</v>
      </c>
      <c r="H637" s="3633">
        <f ca="1">'典型户型修正(先权重后修正)'!$R$29</f>
        <v>17533</v>
      </c>
      <c r="I637" s="3634">
        <f t="shared" ca="1" si="18"/>
        <v>83.47</v>
      </c>
    </row>
    <row r="638" spans="1:9">
      <c r="A638" s="3615">
        <v>636</v>
      </c>
      <c r="B638" s="3624" t="s">
        <v>7426</v>
      </c>
      <c r="C638" s="3612">
        <v>12</v>
      </c>
      <c r="D638" s="3612">
        <v>-1</v>
      </c>
      <c r="E638" s="3612">
        <v>233</v>
      </c>
      <c r="F638" s="3612">
        <v>83.19</v>
      </c>
      <c r="G638" s="3608" t="s">
        <v>1378</v>
      </c>
      <c r="H638" s="3633">
        <f ca="1">'典型户型修正(先权重后修正)'!$R$29</f>
        <v>17533</v>
      </c>
      <c r="I638" s="3634">
        <f t="shared" ca="1" si="18"/>
        <v>145.86000000000001</v>
      </c>
    </row>
    <row r="639" spans="1:9">
      <c r="A639" s="3615">
        <v>637</v>
      </c>
      <c r="B639" s="3624" t="s">
        <v>7427</v>
      </c>
      <c r="C639" s="3612">
        <v>12</v>
      </c>
      <c r="D639" s="3612">
        <v>-1</v>
      </c>
      <c r="E639" s="3612">
        <v>241</v>
      </c>
      <c r="F639" s="3612">
        <v>83.19</v>
      </c>
      <c r="G639" s="3608" t="s">
        <v>1378</v>
      </c>
      <c r="H639" s="3633">
        <f ca="1">'典型户型修正(先权重后修正)'!$R$29</f>
        <v>17533</v>
      </c>
      <c r="I639" s="3634">
        <f t="shared" ca="1" si="18"/>
        <v>145.86000000000001</v>
      </c>
    </row>
    <row r="640" spans="1:9">
      <c r="A640" s="3615">
        <v>638</v>
      </c>
      <c r="B640" s="3624" t="s">
        <v>7428</v>
      </c>
      <c r="C640" s="3612">
        <v>12</v>
      </c>
      <c r="D640" s="3612">
        <v>-1</v>
      </c>
      <c r="E640" s="3612">
        <v>252</v>
      </c>
      <c r="F640" s="3612">
        <v>103.11</v>
      </c>
      <c r="G640" s="3608" t="s">
        <v>1378</v>
      </c>
      <c r="H640" s="3633">
        <f ca="1">'典型户型修正(先权重后修正)'!$R$29</f>
        <v>17533</v>
      </c>
      <c r="I640" s="3634">
        <f t="shared" ca="1" si="18"/>
        <v>180.78</v>
      </c>
    </row>
    <row r="641" spans="1:9">
      <c r="A641" s="3615">
        <v>639</v>
      </c>
      <c r="B641" s="3624" t="s">
        <v>7429</v>
      </c>
      <c r="C641" s="3612">
        <v>12</v>
      </c>
      <c r="D641" s="3612">
        <v>-1</v>
      </c>
      <c r="E641" s="3612">
        <v>257</v>
      </c>
      <c r="F641" s="3612">
        <v>50.56</v>
      </c>
      <c r="G641" s="3608" t="s">
        <v>1378</v>
      </c>
      <c r="H641" s="3633">
        <f ca="1">I641/F641*10000</f>
        <v>17434.731012658514</v>
      </c>
      <c r="I641" s="3634">
        <f ca="1">'典型户型修正(先权重后修正)'!S29-26100.85</f>
        <v>88.150000000001455</v>
      </c>
    </row>
    <row r="642" spans="1:9">
      <c r="A642" s="3615">
        <v>640</v>
      </c>
      <c r="B642" s="3610" t="s">
        <v>7430</v>
      </c>
      <c r="C642" s="3612">
        <v>12</v>
      </c>
      <c r="D642" s="3612">
        <v>-2</v>
      </c>
      <c r="E642" s="3612">
        <v>22</v>
      </c>
      <c r="F642" s="3612">
        <v>90.66</v>
      </c>
      <c r="G642" s="3610" t="s">
        <v>1378</v>
      </c>
      <c r="H642" s="3633">
        <f ca="1">'典型户型修正(先权重后修正)'!$R$30</f>
        <v>14026</v>
      </c>
      <c r="I642" s="3634">
        <f t="shared" ref="I642:I666" ca="1" si="19">ROUND(H642*F642/10000,2)</f>
        <v>127.16</v>
      </c>
    </row>
    <row r="643" spans="1:9">
      <c r="A643" s="3615">
        <v>641</v>
      </c>
      <c r="B643" s="3624" t="s">
        <v>7431</v>
      </c>
      <c r="C643" s="3612">
        <v>12</v>
      </c>
      <c r="D643" s="3612">
        <v>-2</v>
      </c>
      <c r="E643" s="3612">
        <v>96</v>
      </c>
      <c r="F643" s="3612">
        <v>97.22</v>
      </c>
      <c r="G643" s="3608" t="s">
        <v>1378</v>
      </c>
      <c r="H643" s="3633">
        <f ca="1">'典型户型修正(先权重后修正)'!$R$30</f>
        <v>14026</v>
      </c>
      <c r="I643" s="3634">
        <f t="shared" ca="1" si="19"/>
        <v>136.36000000000001</v>
      </c>
    </row>
    <row r="644" spans="1:9">
      <c r="A644" s="3615">
        <v>642</v>
      </c>
      <c r="B644" s="3624" t="s">
        <v>7432</v>
      </c>
      <c r="C644" s="3612">
        <v>12</v>
      </c>
      <c r="D644" s="3612">
        <v>-2</v>
      </c>
      <c r="E644" s="3612">
        <v>197</v>
      </c>
      <c r="F644" s="3612">
        <v>41.52</v>
      </c>
      <c r="G644" s="3608" t="s">
        <v>1378</v>
      </c>
      <c r="H644" s="3633">
        <f ca="1">'典型户型修正(先权重后修正)'!$R$30</f>
        <v>14026</v>
      </c>
      <c r="I644" s="3634">
        <f t="shared" ca="1" si="19"/>
        <v>58.24</v>
      </c>
    </row>
    <row r="645" spans="1:9">
      <c r="A645" s="3615">
        <v>643</v>
      </c>
      <c r="B645" s="3624" t="s">
        <v>7433</v>
      </c>
      <c r="C645" s="3612">
        <v>12</v>
      </c>
      <c r="D645" s="3612">
        <v>-2</v>
      </c>
      <c r="E645" s="3612">
        <v>215</v>
      </c>
      <c r="F645" s="3612">
        <v>78.040000000000006</v>
      </c>
      <c r="G645" s="3608" t="s">
        <v>1378</v>
      </c>
      <c r="H645" s="3633">
        <f ca="1">'典型户型修正(先权重后修正)'!$R$30</f>
        <v>14026</v>
      </c>
      <c r="I645" s="3634">
        <f t="shared" ca="1" si="19"/>
        <v>109.46</v>
      </c>
    </row>
    <row r="646" spans="1:9">
      <c r="A646" s="3615">
        <v>644</v>
      </c>
      <c r="B646" s="3624" t="s">
        <v>7434</v>
      </c>
      <c r="C646" s="3612">
        <v>12</v>
      </c>
      <c r="D646" s="3612">
        <v>-2</v>
      </c>
      <c r="E646" s="3612">
        <v>270</v>
      </c>
      <c r="F646" s="3612">
        <v>72.52</v>
      </c>
      <c r="G646" s="3608" t="s">
        <v>1378</v>
      </c>
      <c r="H646" s="3633">
        <f ca="1">'典型户型修正(先权重后修正)'!$R$30</f>
        <v>14026</v>
      </c>
      <c r="I646" s="3634">
        <f t="shared" ca="1" si="19"/>
        <v>101.72</v>
      </c>
    </row>
    <row r="647" spans="1:9">
      <c r="A647" s="3615">
        <v>645</v>
      </c>
      <c r="B647" s="3624" t="s">
        <v>7435</v>
      </c>
      <c r="C647" s="3612">
        <v>12</v>
      </c>
      <c r="D647" s="3612">
        <v>-2</v>
      </c>
      <c r="E647" s="3612">
        <v>112</v>
      </c>
      <c r="F647" s="3612">
        <v>75.790000000000006</v>
      </c>
      <c r="G647" s="3608" t="s">
        <v>1378</v>
      </c>
      <c r="H647" s="3633">
        <f ca="1">'典型户型修正(先权重后修正)'!$R$30</f>
        <v>14026</v>
      </c>
      <c r="I647" s="3634">
        <f t="shared" ca="1" si="19"/>
        <v>106.3</v>
      </c>
    </row>
    <row r="648" spans="1:9">
      <c r="A648" s="3615">
        <v>646</v>
      </c>
      <c r="B648" s="3624" t="s">
        <v>7436</v>
      </c>
      <c r="C648" s="3612">
        <v>12</v>
      </c>
      <c r="D648" s="3612">
        <v>-2</v>
      </c>
      <c r="E648" s="3612">
        <v>169</v>
      </c>
      <c r="F648" s="3612">
        <v>67.61</v>
      </c>
      <c r="G648" s="3608" t="s">
        <v>1378</v>
      </c>
      <c r="H648" s="3633">
        <f ca="1">'典型户型修正(先权重后修正)'!$R$30</f>
        <v>14026</v>
      </c>
      <c r="I648" s="3634">
        <f t="shared" ca="1" si="19"/>
        <v>94.83</v>
      </c>
    </row>
    <row r="649" spans="1:9">
      <c r="A649" s="3615">
        <v>647</v>
      </c>
      <c r="B649" s="3624" t="s">
        <v>7437</v>
      </c>
      <c r="C649" s="3612">
        <v>12</v>
      </c>
      <c r="D649" s="3612">
        <v>-2</v>
      </c>
      <c r="E649" s="3612">
        <v>216</v>
      </c>
      <c r="F649" s="3612">
        <v>81.75</v>
      </c>
      <c r="G649" s="3608" t="s">
        <v>1378</v>
      </c>
      <c r="H649" s="3633">
        <f ca="1">'典型户型修正(先权重后修正)'!$R$30</f>
        <v>14026</v>
      </c>
      <c r="I649" s="3634">
        <f t="shared" ca="1" si="19"/>
        <v>114.66</v>
      </c>
    </row>
    <row r="650" spans="1:9">
      <c r="A650" s="3615">
        <v>648</v>
      </c>
      <c r="B650" s="3624" t="s">
        <v>7438</v>
      </c>
      <c r="C650" s="3612">
        <v>12</v>
      </c>
      <c r="D650" s="3612">
        <v>-2</v>
      </c>
      <c r="E650" s="3612">
        <v>230</v>
      </c>
      <c r="F650" s="3612">
        <v>43.16</v>
      </c>
      <c r="G650" s="3608" t="s">
        <v>1378</v>
      </c>
      <c r="H650" s="3633">
        <f ca="1">'典型户型修正(先权重后修正)'!$R$30</f>
        <v>14026</v>
      </c>
      <c r="I650" s="3634">
        <f t="shared" ca="1" si="19"/>
        <v>60.54</v>
      </c>
    </row>
    <row r="651" spans="1:9">
      <c r="A651" s="3615">
        <v>649</v>
      </c>
      <c r="B651" s="3624" t="s">
        <v>7439</v>
      </c>
      <c r="C651" s="3612">
        <v>12</v>
      </c>
      <c r="D651" s="3612">
        <v>-2</v>
      </c>
      <c r="E651" s="3612">
        <v>231</v>
      </c>
      <c r="F651" s="3612">
        <v>43.16</v>
      </c>
      <c r="G651" s="3608" t="s">
        <v>1378</v>
      </c>
      <c r="H651" s="3633">
        <f ca="1">'典型户型修正(先权重后修正)'!$R$30</f>
        <v>14026</v>
      </c>
      <c r="I651" s="3634">
        <f t="shared" ca="1" si="19"/>
        <v>60.54</v>
      </c>
    </row>
    <row r="652" spans="1:9">
      <c r="A652" s="3615">
        <v>650</v>
      </c>
      <c r="B652" s="3624" t="s">
        <v>7440</v>
      </c>
      <c r="C652" s="3612">
        <v>12</v>
      </c>
      <c r="D652" s="3612">
        <v>-2</v>
      </c>
      <c r="E652" s="3612">
        <v>233</v>
      </c>
      <c r="F652" s="3612">
        <v>43.16</v>
      </c>
      <c r="G652" s="3608" t="s">
        <v>1378</v>
      </c>
      <c r="H652" s="3633">
        <f ca="1">'典型户型修正(先权重后修正)'!$R$30</f>
        <v>14026</v>
      </c>
      <c r="I652" s="3634">
        <f t="shared" ca="1" si="19"/>
        <v>60.54</v>
      </c>
    </row>
    <row r="653" spans="1:9">
      <c r="A653" s="3615">
        <v>651</v>
      </c>
      <c r="B653" s="3624" t="s">
        <v>7441</v>
      </c>
      <c r="C653" s="3612">
        <v>12</v>
      </c>
      <c r="D653" s="3612">
        <v>-2</v>
      </c>
      <c r="E653" s="3612">
        <v>238</v>
      </c>
      <c r="F653" s="3612">
        <v>43.16</v>
      </c>
      <c r="G653" s="3608" t="s">
        <v>1378</v>
      </c>
      <c r="H653" s="3633">
        <f ca="1">'典型户型修正(先权重后修正)'!$R$30</f>
        <v>14026</v>
      </c>
      <c r="I653" s="3634">
        <f t="shared" ca="1" si="19"/>
        <v>60.54</v>
      </c>
    </row>
    <row r="654" spans="1:9">
      <c r="A654" s="3615">
        <v>652</v>
      </c>
      <c r="B654" s="3624" t="s">
        <v>7442</v>
      </c>
      <c r="C654" s="3612">
        <v>12</v>
      </c>
      <c r="D654" s="3612">
        <v>-2</v>
      </c>
      <c r="E654" s="3612">
        <v>263</v>
      </c>
      <c r="F654" s="3612">
        <v>75.42</v>
      </c>
      <c r="G654" s="3608" t="s">
        <v>1378</v>
      </c>
      <c r="H654" s="3633">
        <f ca="1">'典型户型修正(先权重后修正)'!$R$30</f>
        <v>14026</v>
      </c>
      <c r="I654" s="3634">
        <f t="shared" ca="1" si="19"/>
        <v>105.78</v>
      </c>
    </row>
    <row r="655" spans="1:9">
      <c r="A655" s="3615">
        <v>653</v>
      </c>
      <c r="B655" s="3624" t="s">
        <v>7443</v>
      </c>
      <c r="C655" s="3612">
        <v>12</v>
      </c>
      <c r="D655" s="3612">
        <v>-2</v>
      </c>
      <c r="E655" s="3612">
        <v>265</v>
      </c>
      <c r="F655" s="3612">
        <v>75.42</v>
      </c>
      <c r="G655" s="3608" t="s">
        <v>1378</v>
      </c>
      <c r="H655" s="3633">
        <f ca="1">'典型户型修正(先权重后修正)'!$R$30</f>
        <v>14026</v>
      </c>
      <c r="I655" s="3634">
        <f t="shared" ca="1" si="19"/>
        <v>105.78</v>
      </c>
    </row>
    <row r="656" spans="1:9">
      <c r="A656" s="3615">
        <v>654</v>
      </c>
      <c r="B656" s="3624" t="s">
        <v>7444</v>
      </c>
      <c r="C656" s="3612">
        <v>12</v>
      </c>
      <c r="D656" s="3612">
        <v>-2</v>
      </c>
      <c r="E656" s="3612">
        <v>118</v>
      </c>
      <c r="F656" s="3612">
        <v>100.91</v>
      </c>
      <c r="G656" s="3608" t="s">
        <v>1378</v>
      </c>
      <c r="H656" s="3633">
        <f ca="1">'典型户型修正(先权重后修正)'!$R$30</f>
        <v>14026</v>
      </c>
      <c r="I656" s="3634">
        <f t="shared" ca="1" si="19"/>
        <v>141.54</v>
      </c>
    </row>
    <row r="657" spans="1:9">
      <c r="A657" s="3615">
        <v>655</v>
      </c>
      <c r="B657" s="3624" t="s">
        <v>7445</v>
      </c>
      <c r="C657" s="3612">
        <v>12</v>
      </c>
      <c r="D657" s="3612">
        <v>-2</v>
      </c>
      <c r="E657" s="3612">
        <v>127</v>
      </c>
      <c r="F657" s="3612">
        <v>85.74</v>
      </c>
      <c r="G657" s="3608" t="s">
        <v>1378</v>
      </c>
      <c r="H657" s="3633">
        <f ca="1">'典型户型修正(先权重后修正)'!$R$30</f>
        <v>14026</v>
      </c>
      <c r="I657" s="3634">
        <f t="shared" ca="1" si="19"/>
        <v>120.26</v>
      </c>
    </row>
    <row r="658" spans="1:9">
      <c r="A658" s="3615">
        <v>656</v>
      </c>
      <c r="B658" s="3624" t="s">
        <v>7446</v>
      </c>
      <c r="C658" s="3612">
        <v>12</v>
      </c>
      <c r="D658" s="3612">
        <v>-2</v>
      </c>
      <c r="E658" s="3612">
        <v>156</v>
      </c>
      <c r="F658" s="3612">
        <v>61.01</v>
      </c>
      <c r="G658" s="3608" t="s">
        <v>1378</v>
      </c>
      <c r="H658" s="3633">
        <f ca="1">'典型户型修正(先权重后修正)'!$R$30</f>
        <v>14026</v>
      </c>
      <c r="I658" s="3634">
        <f t="shared" ca="1" si="19"/>
        <v>85.57</v>
      </c>
    </row>
    <row r="659" spans="1:9">
      <c r="A659" s="3615">
        <v>657</v>
      </c>
      <c r="B659" s="3624" t="s">
        <v>7447</v>
      </c>
      <c r="C659" s="3612">
        <v>12</v>
      </c>
      <c r="D659" s="3612">
        <v>-2</v>
      </c>
      <c r="E659" s="3612">
        <v>157</v>
      </c>
      <c r="F659" s="3612">
        <v>50.2</v>
      </c>
      <c r="G659" s="3608" t="s">
        <v>1378</v>
      </c>
      <c r="H659" s="3633">
        <f ca="1">'典型户型修正(先权重后修正)'!$R$30</f>
        <v>14026</v>
      </c>
      <c r="I659" s="3634">
        <f t="shared" ca="1" si="19"/>
        <v>70.41</v>
      </c>
    </row>
    <row r="660" spans="1:9">
      <c r="A660" s="3615">
        <v>658</v>
      </c>
      <c r="B660" s="3624" t="s">
        <v>7448</v>
      </c>
      <c r="C660" s="3612">
        <v>12</v>
      </c>
      <c r="D660" s="3612">
        <v>-2</v>
      </c>
      <c r="E660" s="3612">
        <v>170</v>
      </c>
      <c r="F660" s="3612">
        <v>77.78</v>
      </c>
      <c r="G660" s="3608" t="s">
        <v>1378</v>
      </c>
      <c r="H660" s="3633">
        <f ca="1">'典型户型修正(先权重后修正)'!$R$30</f>
        <v>14026</v>
      </c>
      <c r="I660" s="3634">
        <f t="shared" ca="1" si="19"/>
        <v>109.09</v>
      </c>
    </row>
    <row r="661" spans="1:9">
      <c r="A661" s="3615">
        <v>659</v>
      </c>
      <c r="B661" s="3624" t="s">
        <v>7449</v>
      </c>
      <c r="C661" s="3612">
        <v>12</v>
      </c>
      <c r="D661" s="3612">
        <v>-2</v>
      </c>
      <c r="E661" s="3612">
        <v>247</v>
      </c>
      <c r="F661" s="3612">
        <v>75.42</v>
      </c>
      <c r="G661" s="3608" t="s">
        <v>1378</v>
      </c>
      <c r="H661" s="3633">
        <f ca="1">'典型户型修正(先权重后修正)'!$R$30</f>
        <v>14026</v>
      </c>
      <c r="I661" s="3634">
        <f t="shared" ca="1" si="19"/>
        <v>105.78</v>
      </c>
    </row>
    <row r="662" spans="1:9">
      <c r="A662" s="3615">
        <v>660</v>
      </c>
      <c r="B662" s="3624" t="s">
        <v>7450</v>
      </c>
      <c r="C662" s="3612">
        <v>12</v>
      </c>
      <c r="D662" s="3612">
        <v>-2</v>
      </c>
      <c r="E662" s="3612">
        <v>255</v>
      </c>
      <c r="F662" s="3612">
        <v>75.42</v>
      </c>
      <c r="G662" s="3608" t="s">
        <v>1378</v>
      </c>
      <c r="H662" s="3633">
        <f ca="1">'典型户型修正(先权重后修正)'!$R$30</f>
        <v>14026</v>
      </c>
      <c r="I662" s="3634">
        <f t="shared" ca="1" si="19"/>
        <v>105.78</v>
      </c>
    </row>
    <row r="663" spans="1:9">
      <c r="A663" s="3615">
        <v>661</v>
      </c>
      <c r="B663" s="3624" t="s">
        <v>7451</v>
      </c>
      <c r="C663" s="3612">
        <v>12</v>
      </c>
      <c r="D663" s="3612">
        <v>-2</v>
      </c>
      <c r="E663" s="3612">
        <v>256</v>
      </c>
      <c r="F663" s="3612">
        <v>75.42</v>
      </c>
      <c r="G663" s="3608" t="s">
        <v>1378</v>
      </c>
      <c r="H663" s="3633">
        <f ca="1">'典型户型修正(先权重后修正)'!$R$30</f>
        <v>14026</v>
      </c>
      <c r="I663" s="3634">
        <f t="shared" ca="1" si="19"/>
        <v>105.78</v>
      </c>
    </row>
    <row r="664" spans="1:9">
      <c r="A664" s="3615">
        <v>662</v>
      </c>
      <c r="B664" s="3624" t="s">
        <v>7452</v>
      </c>
      <c r="C664" s="3612">
        <v>12</v>
      </c>
      <c r="D664" s="3612">
        <v>-2</v>
      </c>
      <c r="E664" s="3612">
        <v>257</v>
      </c>
      <c r="F664" s="3612">
        <v>75.42</v>
      </c>
      <c r="G664" s="3608" t="s">
        <v>1378</v>
      </c>
      <c r="H664" s="3633">
        <f ca="1">'典型户型修正(先权重后修正)'!$R$30</f>
        <v>14026</v>
      </c>
      <c r="I664" s="3634">
        <f t="shared" ca="1" si="19"/>
        <v>105.78</v>
      </c>
    </row>
    <row r="665" spans="1:9">
      <c r="A665" s="3615">
        <v>663</v>
      </c>
      <c r="B665" s="3624" t="s">
        <v>7453</v>
      </c>
      <c r="C665" s="3612">
        <v>12</v>
      </c>
      <c r="D665" s="3612">
        <v>-2</v>
      </c>
      <c r="E665" s="3612">
        <v>258</v>
      </c>
      <c r="F665" s="3612">
        <v>72.81</v>
      </c>
      <c r="G665" s="3608" t="s">
        <v>1378</v>
      </c>
      <c r="H665" s="3633">
        <f ca="1">'典型户型修正(先权重后修正)'!$R$30</f>
        <v>14026</v>
      </c>
      <c r="I665" s="3634">
        <f t="shared" ca="1" si="19"/>
        <v>102.12</v>
      </c>
    </row>
    <row r="666" spans="1:9">
      <c r="A666" s="3615">
        <v>664</v>
      </c>
      <c r="B666" s="3624" t="s">
        <v>7454</v>
      </c>
      <c r="C666" s="3612">
        <v>12</v>
      </c>
      <c r="D666" s="3612">
        <v>-2</v>
      </c>
      <c r="E666" s="3612">
        <v>267</v>
      </c>
      <c r="F666" s="3612">
        <v>93.47</v>
      </c>
      <c r="G666" s="3608" t="s">
        <v>1378</v>
      </c>
      <c r="H666" s="3633">
        <f ca="1">'典型户型修正(先权重后修正)'!$R$30</f>
        <v>14026</v>
      </c>
      <c r="I666" s="3634">
        <f t="shared" ca="1" si="19"/>
        <v>131.1</v>
      </c>
    </row>
    <row r="667" spans="1:9">
      <c r="A667" s="3615">
        <v>665</v>
      </c>
      <c r="B667" s="3624" t="s">
        <v>7455</v>
      </c>
      <c r="C667" s="3612">
        <v>12</v>
      </c>
      <c r="D667" s="3612">
        <v>-2</v>
      </c>
      <c r="E667" s="3612">
        <v>269</v>
      </c>
      <c r="F667" s="3612">
        <v>75.23</v>
      </c>
      <c r="G667" s="3608" t="s">
        <v>1378</v>
      </c>
      <c r="H667" s="3633">
        <f ca="1">I667/F667*10000</f>
        <v>14072.843280606246</v>
      </c>
      <c r="I667" s="3634">
        <f ca="1">'典型户型修正(先权重后修正)'!S30-9451.13</f>
        <v>105.8700000000008</v>
      </c>
    </row>
    <row r="668" spans="1:9">
      <c r="A668" s="3623" t="s">
        <v>37</v>
      </c>
      <c r="B668" s="3611"/>
      <c r="C668" s="3611"/>
      <c r="D668" s="3611"/>
      <c r="E668" s="3611"/>
      <c r="F668" s="3611">
        <f>SUM(F3:F667)</f>
        <v>44516.219999999972</v>
      </c>
      <c r="G668" s="3611"/>
      <c r="H668" s="3635">
        <f ca="1">I668/F668*10000</f>
        <v>23543.593773235942</v>
      </c>
      <c r="I668" s="3636">
        <f t="shared" ref="I668" ca="1" si="20">SUM(I3:I667)</f>
        <v>104807.18000000007</v>
      </c>
    </row>
  </sheetData>
  <autoFilter ref="A2:I668"/>
  <mergeCells count="1">
    <mergeCell ref="A1:I1"/>
  </mergeCells>
  <phoneticPr fontId="143"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G39" sqref="G39"/>
    </sheetView>
  </sheetViews>
  <sheetFormatPr defaultRowHeight="14.25"/>
  <cols>
    <col min="1" max="1" width="23.625" style="3111" customWidth="1"/>
    <col min="2" max="2" width="12" style="3111" customWidth="1"/>
    <col min="3" max="3" width="9" style="3111"/>
    <col min="4" max="4" width="14.125" style="3111" customWidth="1"/>
    <col min="5" max="5" width="9.625" style="3111" bestFit="1" customWidth="1"/>
    <col min="6" max="6" width="12.875" style="3111" customWidth="1"/>
    <col min="7" max="16384" width="9" style="3111"/>
  </cols>
  <sheetData>
    <row r="1" spans="1:6" ht="21">
      <c r="A1" s="3108" t="s">
        <v>2532</v>
      </c>
      <c r="B1" s="3109"/>
      <c r="C1" s="3109"/>
      <c r="D1" s="3109"/>
      <c r="E1" s="3110"/>
    </row>
    <row r="2" spans="1:6" ht="15.75">
      <c r="A2" s="3112" t="s">
        <v>2333</v>
      </c>
      <c r="B2" s="3113">
        <f ca="1">SUMIF(B6:B13,"&lt;&gt;#ref!",B6:B13)</f>
        <v>40001</v>
      </c>
      <c r="C2" s="3114" t="s">
        <v>2525</v>
      </c>
      <c r="D2" s="3115" t="s">
        <v>2526</v>
      </c>
      <c r="E2" s="3116">
        <f>SUM(E6:E13)</f>
        <v>15982.84</v>
      </c>
    </row>
    <row r="3" spans="1:6" ht="15.75">
      <c r="A3" s="3112" t="s">
        <v>1396</v>
      </c>
      <c r="B3" s="3113">
        <f ca="1">ROUND(B2*10000/E2,0)</f>
        <v>25027</v>
      </c>
      <c r="C3" s="3114" t="s">
        <v>2533</v>
      </c>
      <c r="D3" s="3117"/>
      <c r="E3" s="3118"/>
    </row>
    <row r="4" spans="1:6" ht="15.75">
      <c r="A4" s="3119"/>
      <c r="B4" s="3117"/>
      <c r="C4" s="3117"/>
      <c r="D4" s="3117"/>
      <c r="E4" s="3118"/>
    </row>
    <row r="5" spans="1:6" ht="15">
      <c r="A5" s="3120" t="s">
        <v>2527</v>
      </c>
      <c r="B5" s="3881" t="s">
        <v>2528</v>
      </c>
      <c r="C5" s="3881"/>
      <c r="D5" s="3121"/>
      <c r="E5" s="3122" t="s">
        <v>2529</v>
      </c>
      <c r="F5" s="3123" t="s">
        <v>2530</v>
      </c>
    </row>
    <row r="6" spans="1:6">
      <c r="A6" s="3124" t="str">
        <f>'数据-取费表'!AN6</f>
        <v>收益法1层</v>
      </c>
      <c r="B6" s="3123">
        <f ca="1">IF(F6="是",'数据-取费表'!AO6,0)</f>
        <v>40001</v>
      </c>
      <c r="C6" s="3114" t="s">
        <v>2525</v>
      </c>
      <c r="D6" s="3117"/>
      <c r="E6" s="3125">
        <f>IF(OR(A6=0,F6="否"),0,'数据-取费表'!K6+'数据-取费表'!S6)</f>
        <v>15982.84</v>
      </c>
      <c r="F6" s="3126" t="s">
        <v>2531</v>
      </c>
    </row>
    <row r="7" spans="1:6">
      <c r="A7" s="3124">
        <f>'数据-取费表'!AN7</f>
        <v>0</v>
      </c>
      <c r="B7" s="3123" t="e">
        <f ca="1">IF(F7="是",'数据-取费表'!AO7,0)</f>
        <v>#REF!</v>
      </c>
      <c r="C7" s="3114" t="s">
        <v>2525</v>
      </c>
      <c r="D7" s="3117"/>
      <c r="E7" s="3125">
        <f>IF(OR(A7=0,F7="否"),0,'数据-取费表'!K7+'数据-取费表'!S7)</f>
        <v>0</v>
      </c>
      <c r="F7" s="3126" t="s">
        <v>2531</v>
      </c>
    </row>
    <row r="8" spans="1:6">
      <c r="A8" s="3124">
        <f>'数据-取费表'!AN8</f>
        <v>0</v>
      </c>
      <c r="B8" s="3123" t="e">
        <f ca="1">IF(F8="是",'数据-取费表'!AO8,0)</f>
        <v>#REF!</v>
      </c>
      <c r="C8" s="3114" t="s">
        <v>2525</v>
      </c>
      <c r="D8" s="3117"/>
      <c r="E8" s="3125">
        <f>IF(OR(A8=0,F8="否"),0,'数据-取费表'!K8+'数据-取费表'!S8)</f>
        <v>0</v>
      </c>
      <c r="F8" s="3126" t="s">
        <v>2531</v>
      </c>
    </row>
    <row r="9" spans="1:6">
      <c r="A9" s="3124">
        <f>'数据-取费表'!AN9</f>
        <v>0</v>
      </c>
      <c r="B9" s="3123" t="e">
        <f ca="1">IF(F9="是",'数据-取费表'!AO9,0)</f>
        <v>#REF!</v>
      </c>
      <c r="C9" s="3114" t="s">
        <v>2525</v>
      </c>
      <c r="D9" s="3117"/>
      <c r="E9" s="3125">
        <f>IF(OR(A9=0,F9="否"),0,'数据-取费表'!K9+'数据-取费表'!S9)</f>
        <v>0</v>
      </c>
      <c r="F9" s="3126" t="s">
        <v>2531</v>
      </c>
    </row>
    <row r="10" spans="1:6">
      <c r="A10" s="3124">
        <f>'数据-取费表'!AN10</f>
        <v>0</v>
      </c>
      <c r="B10" s="3123" t="e">
        <f ca="1">IF(F10="是",'数据-取费表'!AO10,0)</f>
        <v>#REF!</v>
      </c>
      <c r="C10" s="3114" t="s">
        <v>2525</v>
      </c>
      <c r="D10" s="3117"/>
      <c r="E10" s="3125">
        <f>IF(OR(A10=0,F10="否"),0,'数据-取费表'!K10+'数据-取费表'!S10)</f>
        <v>0</v>
      </c>
      <c r="F10" s="3126" t="s">
        <v>2531</v>
      </c>
    </row>
    <row r="11" spans="1:6">
      <c r="A11" s="3124">
        <f>'数据-取费表'!AN11</f>
        <v>0</v>
      </c>
      <c r="B11" s="3123" t="e">
        <f ca="1">IF(F11="是",'数据-取费表'!AO11,0)</f>
        <v>#REF!</v>
      </c>
      <c r="C11" s="3114" t="s">
        <v>2525</v>
      </c>
      <c r="D11" s="3117"/>
      <c r="E11" s="3125">
        <f>IF(OR(A11=0,F11="否"),0,'数据-取费表'!K11+'数据-取费表'!S11)</f>
        <v>0</v>
      </c>
      <c r="F11" s="3126" t="s">
        <v>2531</v>
      </c>
    </row>
    <row r="12" spans="1:6">
      <c r="A12" s="3124">
        <f>'数据-取费表'!AN12</f>
        <v>0</v>
      </c>
      <c r="B12" s="3123" t="e">
        <f ca="1">IF(F12="是",'数据-取费表'!AO12,0)</f>
        <v>#REF!</v>
      </c>
      <c r="C12" s="3114" t="s">
        <v>2525</v>
      </c>
      <c r="D12" s="3117"/>
      <c r="E12" s="3125">
        <f>IF(OR(A12=0,F12="否"),0,'数据-取费表'!K12+'数据-取费表'!S12)</f>
        <v>0</v>
      </c>
      <c r="F12" s="3126" t="s">
        <v>2531</v>
      </c>
    </row>
    <row r="13" spans="1:6" ht="15" thickBot="1">
      <c r="A13" s="3127">
        <f>'数据-取费表'!AN13</f>
        <v>0</v>
      </c>
      <c r="B13" s="3123" t="e">
        <f ca="1">IF(F13="是",'数据-取费表'!AO13,0)</f>
        <v>#REF!</v>
      </c>
      <c r="C13" s="3128" t="s">
        <v>2525</v>
      </c>
      <c r="D13" s="3129"/>
      <c r="E13" s="3125">
        <f>IF(OR(A13=0,F13="否"),0,'数据-取费表'!K13+'数据-取费表'!S13)</f>
        <v>0</v>
      </c>
      <c r="F13" s="3126" t="s">
        <v>2531</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C38" sqref="C38"/>
    </sheetView>
  </sheetViews>
  <sheetFormatPr defaultRowHeight="13.5"/>
  <cols>
    <col min="1" max="1" width="10.5" customWidth="1"/>
    <col min="2" max="2" width="12.875" customWidth="1"/>
    <col min="3" max="3" width="8.75" customWidth="1"/>
  </cols>
  <sheetData>
    <row r="1" spans="1:9" ht="14.25">
      <c r="A1" s="3882" t="s">
        <v>1076</v>
      </c>
      <c r="B1" s="3883"/>
      <c r="C1" s="3884"/>
      <c r="D1" s="3885">
        <f>SUM(I10,I15,I20,I21,I23)</f>
        <v>0</v>
      </c>
      <c r="E1" s="3885"/>
      <c r="F1" s="3885"/>
      <c r="G1" s="3885"/>
      <c r="H1" s="3885"/>
      <c r="I1" s="3886"/>
    </row>
    <row r="2" spans="1:9">
      <c r="A2" s="3887" t="s">
        <v>1077</v>
      </c>
      <c r="B2" s="3888" t="s">
        <v>1078</v>
      </c>
      <c r="C2" s="3888"/>
      <c r="D2" s="980" t="s">
        <v>1079</v>
      </c>
      <c r="E2" s="980" t="s">
        <v>1080</v>
      </c>
      <c r="F2" s="980" t="s">
        <v>1081</v>
      </c>
      <c r="G2" s="980" t="s">
        <v>1082</v>
      </c>
      <c r="H2" s="980" t="s">
        <v>1083</v>
      </c>
      <c r="I2" s="981" t="s">
        <v>1084</v>
      </c>
    </row>
    <row r="3" spans="1:9">
      <c r="A3" s="3887"/>
      <c r="B3" s="3888" t="s">
        <v>1085</v>
      </c>
      <c r="C3" s="3888"/>
      <c r="D3" s="982"/>
      <c r="E3" s="980"/>
      <c r="F3" s="983"/>
      <c r="G3" s="983"/>
      <c r="H3" s="984"/>
      <c r="I3" s="985">
        <f>ROUND(D3*E3*F3*G3*H3/10000,0)</f>
        <v>0</v>
      </c>
    </row>
    <row r="4" spans="1:9">
      <c r="A4" s="3887"/>
      <c r="B4" s="3888" t="s">
        <v>1086</v>
      </c>
      <c r="C4" s="3888"/>
      <c r="D4" s="982"/>
      <c r="E4" s="980"/>
      <c r="F4" s="983"/>
      <c r="G4" s="983"/>
      <c r="H4" s="984"/>
      <c r="I4" s="985">
        <f t="shared" ref="I4:I9" si="0">ROUND(D4*E4*F4*G4*H4/10000,0)</f>
        <v>0</v>
      </c>
    </row>
    <row r="5" spans="1:9">
      <c r="A5" s="3887"/>
      <c r="B5" s="3888" t="s">
        <v>1087</v>
      </c>
      <c r="C5" s="3888"/>
      <c r="D5" s="982"/>
      <c r="E5" s="980"/>
      <c r="F5" s="983"/>
      <c r="G5" s="983"/>
      <c r="H5" s="984"/>
      <c r="I5" s="985">
        <f t="shared" si="0"/>
        <v>0</v>
      </c>
    </row>
    <row r="6" spans="1:9">
      <c r="A6" s="3887"/>
      <c r="B6" s="3888" t="s">
        <v>1088</v>
      </c>
      <c r="C6" s="3888"/>
      <c r="D6" s="982"/>
      <c r="E6" s="980"/>
      <c r="F6" s="983"/>
      <c r="G6" s="983"/>
      <c r="H6" s="984"/>
      <c r="I6" s="985">
        <f t="shared" si="0"/>
        <v>0</v>
      </c>
    </row>
    <row r="7" spans="1:9">
      <c r="A7" s="3887"/>
      <c r="B7" s="3888" t="s">
        <v>1089</v>
      </c>
      <c r="C7" s="3888"/>
      <c r="D7" s="982"/>
      <c r="E7" s="980"/>
      <c r="F7" s="983"/>
      <c r="G7" s="983"/>
      <c r="H7" s="984"/>
      <c r="I7" s="985">
        <f t="shared" si="0"/>
        <v>0</v>
      </c>
    </row>
    <row r="8" spans="1:9">
      <c r="A8" s="3887"/>
      <c r="B8" s="3888" t="s">
        <v>1090</v>
      </c>
      <c r="C8" s="3888"/>
      <c r="D8" s="982"/>
      <c r="E8" s="980"/>
      <c r="F8" s="983"/>
      <c r="G8" s="983"/>
      <c r="H8" s="984"/>
      <c r="I8" s="985">
        <f t="shared" si="0"/>
        <v>0</v>
      </c>
    </row>
    <row r="9" spans="1:9">
      <c r="A9" s="3887"/>
      <c r="B9" s="3888" t="s">
        <v>1091</v>
      </c>
      <c r="C9" s="3888"/>
      <c r="D9" s="982"/>
      <c r="E9" s="980"/>
      <c r="F9" s="983"/>
      <c r="G9" s="983"/>
      <c r="H9" s="984"/>
      <c r="I9" s="985">
        <f t="shared" si="0"/>
        <v>0</v>
      </c>
    </row>
    <row r="10" spans="1:9">
      <c r="A10" s="3887"/>
      <c r="B10" s="3889" t="s">
        <v>1092</v>
      </c>
      <c r="C10" s="3889"/>
      <c r="D10" s="986"/>
      <c r="E10" s="986" t="e">
        <f>ROUND(D1*10000/D10/H9,0)</f>
        <v>#DIV/0!</v>
      </c>
      <c r="F10" s="987"/>
      <c r="G10" s="987"/>
      <c r="H10" s="988"/>
      <c r="I10" s="989">
        <f>SUM(I3:I9)</f>
        <v>0</v>
      </c>
    </row>
    <row r="11" spans="1:9" ht="14.25">
      <c r="A11" s="3887" t="s">
        <v>1093</v>
      </c>
      <c r="B11" s="3888" t="s">
        <v>1094</v>
      </c>
      <c r="C11" s="3888"/>
      <c r="D11" s="982" t="s">
        <v>1095</v>
      </c>
      <c r="E11" s="982" t="s">
        <v>1096</v>
      </c>
      <c r="F11" s="983" t="s">
        <v>1097</v>
      </c>
      <c r="G11" s="983" t="s">
        <v>1083</v>
      </c>
      <c r="H11" s="990" t="s">
        <v>1098</v>
      </c>
      <c r="I11" s="981" t="s">
        <v>1084</v>
      </c>
    </row>
    <row r="12" spans="1:9">
      <c r="A12" s="3887"/>
      <c r="B12" s="3888" t="s">
        <v>1099</v>
      </c>
      <c r="C12" s="3888"/>
      <c r="D12" s="982"/>
      <c r="E12" s="982"/>
      <c r="F12" s="983"/>
      <c r="G12" s="984"/>
      <c r="H12" s="991"/>
      <c r="I12" s="981">
        <f>ROUND(D12*E12*F12*G12/10000,0)</f>
        <v>0</v>
      </c>
    </row>
    <row r="13" spans="1:9">
      <c r="A13" s="3887"/>
      <c r="B13" s="3888" t="s">
        <v>1100</v>
      </c>
      <c r="C13" s="3888"/>
      <c r="D13" s="982"/>
      <c r="E13" s="982"/>
      <c r="F13" s="983"/>
      <c r="G13" s="984"/>
      <c r="H13" s="991"/>
      <c r="I13" s="981">
        <f>ROUND(D13*E13*F13*G13/10000,0)</f>
        <v>0</v>
      </c>
    </row>
    <row r="14" spans="1:9">
      <c r="A14" s="3887"/>
      <c r="B14" s="3888" t="s">
        <v>1101</v>
      </c>
      <c r="C14" s="3888"/>
      <c r="D14" s="982"/>
      <c r="E14" s="982"/>
      <c r="F14" s="983"/>
      <c r="G14" s="984"/>
      <c r="H14" s="991"/>
      <c r="I14" s="981">
        <f>ROUND(D14*E14*F14*G14/10000,0)</f>
        <v>0</v>
      </c>
    </row>
    <row r="15" spans="1:9">
      <c r="A15" s="3887"/>
      <c r="B15" s="3889" t="s">
        <v>1092</v>
      </c>
      <c r="C15" s="3889"/>
      <c r="D15" s="986"/>
      <c r="E15" s="986">
        <f>SUM(E12:E14)</f>
        <v>0</v>
      </c>
      <c r="F15" s="987"/>
      <c r="G15" s="984"/>
      <c r="H15" s="991"/>
      <c r="I15" s="992">
        <f>SUM(I12:I14)</f>
        <v>0</v>
      </c>
    </row>
    <row r="16" spans="1:9" ht="24">
      <c r="A16" s="3887" t="s">
        <v>1102</v>
      </c>
      <c r="B16" s="3888" t="s">
        <v>1103</v>
      </c>
      <c r="C16" s="3888"/>
      <c r="D16" s="982" t="s">
        <v>1079</v>
      </c>
      <c r="E16" s="993" t="s">
        <v>1104</v>
      </c>
      <c r="F16" s="983" t="s">
        <v>1105</v>
      </c>
      <c r="G16" s="984" t="s">
        <v>1083</v>
      </c>
      <c r="H16" s="990" t="s">
        <v>1098</v>
      </c>
      <c r="I16" s="981" t="s">
        <v>1084</v>
      </c>
    </row>
    <row r="17" spans="1:9" ht="14.25">
      <c r="A17" s="3887"/>
      <c r="B17" s="3888" t="s">
        <v>1106</v>
      </c>
      <c r="C17" s="3888"/>
      <c r="D17" s="982"/>
      <c r="E17" s="982"/>
      <c r="F17" s="983"/>
      <c r="G17" s="984"/>
      <c r="H17" s="994"/>
      <c r="I17" s="995">
        <f>ROUND(D17*E17*F17*G17/10000,0)</f>
        <v>0</v>
      </c>
    </row>
    <row r="18" spans="1:9" ht="14.25">
      <c r="A18" s="3887"/>
      <c r="B18" s="3888" t="s">
        <v>1107</v>
      </c>
      <c r="C18" s="3888"/>
      <c r="D18" s="982"/>
      <c r="E18" s="982"/>
      <c r="F18" s="983"/>
      <c r="G18" s="984"/>
      <c r="H18" s="994"/>
      <c r="I18" s="995">
        <f>ROUND(D18*E18*F18*G18/10000,0)</f>
        <v>0</v>
      </c>
    </row>
    <row r="19" spans="1:9" ht="14.25">
      <c r="A19" s="3887"/>
      <c r="B19" s="3888" t="s">
        <v>1108</v>
      </c>
      <c r="C19" s="3888"/>
      <c r="D19" s="982"/>
      <c r="E19" s="982"/>
      <c r="F19" s="983"/>
      <c r="G19" s="984"/>
      <c r="H19" s="994"/>
      <c r="I19" s="995">
        <f>ROUND(D19*E19*F19*G19/10000,0)</f>
        <v>0</v>
      </c>
    </row>
    <row r="20" spans="1:9">
      <c r="A20" s="3887"/>
      <c r="B20" s="3889" t="s">
        <v>1092</v>
      </c>
      <c r="C20" s="3889"/>
      <c r="D20" s="986">
        <f>SUM(D17:D19)</f>
        <v>0</v>
      </c>
      <c r="E20" s="986"/>
      <c r="F20" s="987"/>
      <c r="G20" s="984"/>
      <c r="H20" s="991"/>
      <c r="I20" s="992">
        <f>SUM(I17:I19)</f>
        <v>0</v>
      </c>
    </row>
    <row r="21" spans="1:9">
      <c r="A21" s="3887" t="s">
        <v>1109</v>
      </c>
      <c r="B21" s="3891"/>
      <c r="C21" s="3891"/>
      <c r="D21" s="3891"/>
      <c r="E21" s="3891"/>
      <c r="F21" s="3891"/>
      <c r="G21" s="3891"/>
      <c r="H21" s="1379">
        <v>0.1</v>
      </c>
      <c r="I21" s="989">
        <f>ROUND(I10*H21,0)</f>
        <v>0</v>
      </c>
    </row>
    <row r="22" spans="1:9" ht="14.25">
      <c r="A22" s="3892" t="s">
        <v>1110</v>
      </c>
      <c r="B22" s="3893"/>
      <c r="C22" s="3894"/>
      <c r="D22" s="996" t="s">
        <v>1111</v>
      </c>
      <c r="E22" s="996" t="s">
        <v>1112</v>
      </c>
      <c r="F22" s="997" t="s">
        <v>1113</v>
      </c>
      <c r="G22" s="997" t="s">
        <v>1114</v>
      </c>
      <c r="H22" s="990" t="s">
        <v>1115</v>
      </c>
      <c r="I22" s="981" t="s">
        <v>1116</v>
      </c>
    </row>
    <row r="23" spans="1:9" ht="14.25" thickBot="1">
      <c r="A23" s="3895"/>
      <c r="B23" s="3896"/>
      <c r="C23" s="3897"/>
      <c r="D23" s="998"/>
      <c r="E23" s="998"/>
      <c r="F23" s="998"/>
      <c r="G23" s="999"/>
      <c r="H23" s="1000"/>
      <c r="I23" s="1001">
        <f>ROUND(E23*D23*F23*(1-G23)/10000,0)</f>
        <v>0</v>
      </c>
    </row>
    <row r="26" spans="1:9">
      <c r="A26" s="1002" t="s">
        <v>1117</v>
      </c>
      <c r="B26" s="1002"/>
      <c r="C26" s="1002"/>
      <c r="D26" s="1002"/>
      <c r="E26" s="3898">
        <f>C27-C30-C31-C32</f>
        <v>0</v>
      </c>
      <c r="F26" s="3898"/>
      <c r="G26" s="3898"/>
      <c r="H26" s="1378" t="s">
        <v>1341</v>
      </c>
    </row>
    <row r="27" spans="1:9">
      <c r="A27" s="1003">
        <v>1</v>
      </c>
      <c r="B27" s="1004" t="s">
        <v>1118</v>
      </c>
      <c r="C27" s="1004">
        <f>C28+C29</f>
        <v>0</v>
      </c>
      <c r="D27" s="1004"/>
      <c r="E27" s="3899"/>
      <c r="F27" s="3899"/>
      <c r="G27" s="3899"/>
    </row>
    <row r="28" spans="1:9">
      <c r="A28" s="1005" t="s">
        <v>1119</v>
      </c>
      <c r="B28" s="1004" t="s">
        <v>1120</v>
      </c>
      <c r="C28" s="1004"/>
      <c r="D28" s="1004"/>
      <c r="E28" s="3899"/>
      <c r="F28" s="3899"/>
      <c r="G28" s="3899"/>
    </row>
    <row r="29" spans="1:9">
      <c r="A29" s="1005" t="s">
        <v>1121</v>
      </c>
      <c r="B29" s="1004" t="s">
        <v>1122</v>
      </c>
      <c r="C29" s="1004"/>
      <c r="D29" s="1004"/>
      <c r="E29" s="1004" t="s">
        <v>1123</v>
      </c>
      <c r="F29" s="1004"/>
      <c r="G29" s="1004"/>
    </row>
    <row r="30" spans="1:9">
      <c r="A30" s="1003">
        <v>2</v>
      </c>
      <c r="B30" s="1004" t="s">
        <v>1124</v>
      </c>
      <c r="C30" s="1004">
        <f>C27*D30</f>
        <v>0</v>
      </c>
      <c r="D30" s="1006">
        <v>0.2</v>
      </c>
      <c r="E30" s="1004" t="s">
        <v>1125</v>
      </c>
      <c r="F30" s="1004"/>
      <c r="G30" s="1004"/>
    </row>
    <row r="31" spans="1:9">
      <c r="A31" s="1003">
        <v>3</v>
      </c>
      <c r="B31" s="1004" t="s">
        <v>1126</v>
      </c>
      <c r="C31" s="1004">
        <f>C25*D31</f>
        <v>0</v>
      </c>
      <c r="D31" s="1006">
        <v>0.15</v>
      </c>
      <c r="E31" s="1004" t="s">
        <v>1127</v>
      </c>
      <c r="F31" s="1004"/>
      <c r="G31" s="1004"/>
    </row>
    <row r="32" spans="1:9">
      <c r="A32" s="1003">
        <v>4</v>
      </c>
      <c r="B32" s="1004" t="s">
        <v>1128</v>
      </c>
      <c r="C32" s="1004">
        <f>C27*D32</f>
        <v>0</v>
      </c>
      <c r="D32" s="1006">
        <v>0.05</v>
      </c>
      <c r="E32" s="3890"/>
      <c r="F32" s="3890"/>
      <c r="G32" s="3890"/>
    </row>
    <row r="33" spans="1:7" hidden="1">
      <c r="A33" s="3900" t="s">
        <v>1129</v>
      </c>
      <c r="B33" s="3901"/>
      <c r="C33" s="3901"/>
      <c r="D33" s="3902"/>
      <c r="E33" s="3898"/>
      <c r="F33" s="3898"/>
      <c r="G33" s="3898"/>
    </row>
    <row r="34" spans="1:7" hidden="1">
      <c r="A34" s="1007">
        <v>1</v>
      </c>
      <c r="B34" s="1004" t="s">
        <v>1130</v>
      </c>
      <c r="C34" s="1004"/>
      <c r="D34" s="1004"/>
      <c r="E34" s="3899"/>
      <c r="F34" s="3899"/>
      <c r="G34" s="3899"/>
    </row>
    <row r="35" spans="1:7" hidden="1">
      <c r="A35" s="1007">
        <v>2</v>
      </c>
      <c r="B35" s="1004" t="s">
        <v>1131</v>
      </c>
      <c r="C35" s="1004"/>
      <c r="D35" s="1004"/>
      <c r="E35" s="3899"/>
      <c r="F35" s="3899"/>
      <c r="G35" s="3899"/>
    </row>
    <row r="36" spans="1:7" hidden="1">
      <c r="A36" s="1007">
        <v>3</v>
      </c>
      <c r="B36" s="1004" t="s">
        <v>1132</v>
      </c>
      <c r="C36" s="1004"/>
      <c r="D36" s="1004"/>
      <c r="E36" s="3899"/>
      <c r="F36" s="3899"/>
      <c r="G36" s="3899"/>
    </row>
    <row r="37" spans="1:7" hidden="1">
      <c r="A37" s="1007">
        <v>4</v>
      </c>
      <c r="B37" s="1004" t="s">
        <v>1133</v>
      </c>
      <c r="C37" s="1004"/>
      <c r="D37" s="1004"/>
      <c r="E37" s="3899"/>
      <c r="F37" s="3899"/>
      <c r="G37" s="3899"/>
    </row>
    <row r="38" spans="1:7" hidden="1">
      <c r="A38" s="3900" t="s">
        <v>1134</v>
      </c>
      <c r="B38" s="3901"/>
      <c r="C38" s="3901"/>
      <c r="D38" s="3902"/>
      <c r="E38" s="3898"/>
      <c r="F38" s="3898"/>
      <c r="G38" s="3898"/>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C38" sqref="C38"/>
    </sheetView>
  </sheetViews>
  <sheetFormatPr defaultRowHeight="14.25"/>
  <cols>
    <col min="1" max="1" width="10.5" style="227" customWidth="1"/>
    <col min="2" max="2" width="15.75" style="227" customWidth="1"/>
    <col min="3" max="3" width="15.125" style="227" customWidth="1"/>
    <col min="4" max="4" width="12.25" style="227" customWidth="1"/>
    <col min="5" max="5" width="14.375" style="227" customWidth="1"/>
    <col min="6" max="6" width="12.25" style="227" customWidth="1"/>
    <col min="7" max="7" width="14.5" style="227" customWidth="1"/>
    <col min="8" max="8" width="12.25" style="227" customWidth="1"/>
    <col min="9" max="9" width="14.5" style="227" customWidth="1"/>
    <col min="10" max="10" width="12.25" style="227" customWidth="1"/>
    <col min="11" max="11" width="12.25" style="318" customWidth="1"/>
    <col min="12" max="12" width="12.25" style="319" customWidth="1"/>
    <col min="13" max="15" width="12.25" style="227" customWidth="1"/>
    <col min="16" max="16" width="4.75" style="1829" customWidth="1"/>
    <col min="17" max="17" width="19.5" style="227" customWidth="1"/>
    <col min="18" max="22" width="6.125" style="227" customWidth="1"/>
    <col min="23" max="23" width="5.75" style="227" customWidth="1"/>
    <col min="24" max="24" width="4.25" style="227" customWidth="1"/>
    <col min="25" max="25" width="3.5" style="227" customWidth="1"/>
    <col min="26" max="26" width="19.75" style="227" customWidth="1"/>
    <col min="27" max="28" width="9.375" style="227" customWidth="1"/>
    <col min="29" max="16384" width="9" style="227"/>
  </cols>
  <sheetData>
    <row r="1" spans="1:29" s="1292" customFormat="1" ht="28.5" customHeight="1" thickBot="1">
      <c r="A1" s="1281" t="s">
        <v>2534</v>
      </c>
      <c r="B1" s="1787" t="s">
        <v>2535</v>
      </c>
      <c r="C1" s="1297" t="s">
        <v>2536</v>
      </c>
      <c r="D1" s="1284"/>
      <c r="E1" s="1788"/>
      <c r="F1" s="1789" t="s">
        <v>2537</v>
      </c>
      <c r="G1" s="1294" t="s">
        <v>2538</v>
      </c>
      <c r="H1" s="1293"/>
      <c r="I1" s="1293"/>
      <c r="J1" s="1293"/>
      <c r="K1" s="1295"/>
      <c r="L1" s="1296"/>
      <c r="M1" s="1297"/>
      <c r="N1" s="1297"/>
      <c r="O1" s="1297"/>
      <c r="P1" s="1790"/>
      <c r="Q1" s="1283"/>
      <c r="R1" s="1283"/>
      <c r="S1" s="1283"/>
      <c r="T1" s="1283"/>
      <c r="U1" s="1283"/>
      <c r="V1" s="1283"/>
      <c r="W1" s="1283"/>
      <c r="X1" s="1283"/>
      <c r="Y1" s="1283"/>
      <c r="Z1" s="1283"/>
      <c r="AA1" s="1283"/>
      <c r="AB1" s="1283"/>
      <c r="AC1" s="1291"/>
    </row>
    <row r="2" spans="1:29" s="217" customFormat="1" ht="28.5" customHeight="1" thickTop="1">
      <c r="A2" s="1280" t="s">
        <v>1395</v>
      </c>
      <c r="B2" s="1084" t="e">
        <f ca="1">IF(C2="——",ROUND(C49*D3/10000,0),ROUND(C49*D3/10000,0)-D2)</f>
        <v>#DIV/0!</v>
      </c>
      <c r="C2" s="1791"/>
      <c r="D2" s="1044" t="e">
        <f ca="1">SUMIF(INDIRECT("'"&amp;F2&amp;"'"&amp;"!A:A"),"承租人权益价值",INDIRECT("'"&amp;F2&amp;"'"&amp;"!c:c"))</f>
        <v>#REF!</v>
      </c>
      <c r="E2" s="1792" t="s">
        <v>2539</v>
      </c>
      <c r="F2" s="1793"/>
      <c r="G2" s="869"/>
      <c r="H2" s="869"/>
      <c r="I2" s="869"/>
      <c r="J2" s="869"/>
      <c r="K2" s="1794"/>
      <c r="L2" s="1795"/>
      <c r="M2" s="1796"/>
      <c r="N2" s="1796"/>
      <c r="O2" s="1796"/>
      <c r="P2" s="1797"/>
      <c r="Q2" s="1798"/>
      <c r="R2" s="1798"/>
      <c r="S2" s="1798"/>
      <c r="T2" s="1798"/>
      <c r="U2" s="1798"/>
      <c r="V2" s="1798"/>
      <c r="W2" s="1798"/>
      <c r="X2" s="1798"/>
      <c r="Y2" s="1798"/>
      <c r="Z2" s="1798"/>
      <c r="AA2" s="1798"/>
      <c r="AB2" s="1798"/>
      <c r="AC2" s="1799"/>
    </row>
    <row r="3" spans="1:29" s="217" customFormat="1" ht="28.5" customHeight="1" thickBot="1">
      <c r="A3" s="73" t="s">
        <v>1396</v>
      </c>
      <c r="B3" s="223" t="e">
        <f ca="1">IF(C2="——",C49,ROUND(B2*10000/D3,0))</f>
        <v>#DIV/0!</v>
      </c>
      <c r="C3" s="224" t="s">
        <v>2540</v>
      </c>
      <c r="D3" s="223">
        <f>IF(D1="",'数据-汇总表'!E3,SUMIF('数据-汇总表'!$C19:$C33,D1,'数据-汇总表'!$E19:$E33))</f>
        <v>44516.22</v>
      </c>
      <c r="E3" s="869"/>
      <c r="F3" s="1800"/>
      <c r="G3" s="869"/>
      <c r="H3" s="869"/>
      <c r="I3" s="869"/>
      <c r="J3" s="869"/>
      <c r="K3" s="1794"/>
      <c r="L3" s="1795"/>
      <c r="M3" s="1796"/>
      <c r="N3" s="1796"/>
      <c r="O3" s="1796"/>
      <c r="P3" s="1797"/>
      <c r="Q3" s="1798"/>
      <c r="R3" s="1798"/>
      <c r="S3" s="1798"/>
      <c r="T3" s="1798"/>
      <c r="U3" s="1798"/>
      <c r="V3" s="1798"/>
      <c r="W3" s="1798"/>
      <c r="X3" s="1798"/>
      <c r="Y3" s="1798"/>
      <c r="Z3" s="1798"/>
      <c r="AA3" s="1798"/>
      <c r="AB3" s="1798"/>
      <c r="AC3" s="962"/>
    </row>
    <row r="4" spans="1:29" ht="15">
      <c r="A4" s="225" t="s">
        <v>2541</v>
      </c>
      <c r="B4" s="226"/>
      <c r="C4" s="3922" t="s">
        <v>2542</v>
      </c>
      <c r="D4" s="3923"/>
      <c r="E4" s="3924" t="s">
        <v>2543</v>
      </c>
      <c r="F4" s="3925"/>
      <c r="G4" s="3922" t="s">
        <v>2544</v>
      </c>
      <c r="H4" s="3923"/>
      <c r="I4" s="3922" t="s">
        <v>2545</v>
      </c>
      <c r="J4" s="3923"/>
      <c r="K4" s="1801" t="s">
        <v>2546</v>
      </c>
      <c r="L4" s="875"/>
      <c r="M4" s="876"/>
      <c r="N4" s="876"/>
      <c r="O4" s="876"/>
      <c r="P4" s="3926" t="s">
        <v>2547</v>
      </c>
      <c r="Q4" s="3927"/>
      <c r="R4" s="3908" t="s">
        <v>2543</v>
      </c>
      <c r="S4" s="3909"/>
      <c r="T4" s="3908" t="s">
        <v>2544</v>
      </c>
      <c r="U4" s="3909"/>
      <c r="V4" s="3934" t="s">
        <v>2545</v>
      </c>
      <c r="W4" s="3934"/>
      <c r="X4" s="1415"/>
      <c r="Y4" s="3908" t="s">
        <v>2547</v>
      </c>
      <c r="Z4" s="3909"/>
      <c r="AA4" s="3903" t="s">
        <v>2543</v>
      </c>
      <c r="AB4" s="3903" t="s">
        <v>2544</v>
      </c>
      <c r="AC4" s="3903" t="s">
        <v>2545</v>
      </c>
    </row>
    <row r="5" spans="1:29" ht="15">
      <c r="A5" s="228"/>
      <c r="B5" s="229"/>
      <c r="C5" s="3914" t="s">
        <v>2548</v>
      </c>
      <c r="D5" s="3915"/>
      <c r="E5" s="3912" t="s">
        <v>2549</v>
      </c>
      <c r="F5" s="3913"/>
      <c r="G5" s="3914" t="s">
        <v>2550</v>
      </c>
      <c r="H5" s="3915"/>
      <c r="I5" s="3914" t="s">
        <v>2551</v>
      </c>
      <c r="J5" s="3915"/>
      <c r="K5" s="1802"/>
      <c r="L5" s="875"/>
      <c r="M5" s="876"/>
      <c r="N5" s="876"/>
      <c r="O5" s="876"/>
      <c r="P5" s="3928"/>
      <c r="Q5" s="3929"/>
      <c r="R5" s="3910"/>
      <c r="S5" s="3911"/>
      <c r="T5" s="3910"/>
      <c r="U5" s="3911"/>
      <c r="V5" s="3934"/>
      <c r="W5" s="3934"/>
      <c r="X5" s="1415"/>
      <c r="Y5" s="3910"/>
      <c r="Z5" s="3911"/>
      <c r="AA5" s="3904"/>
      <c r="AB5" s="3904"/>
      <c r="AC5" s="3904"/>
    </row>
    <row r="6" spans="1:29" ht="15.75" thickBot="1">
      <c r="A6" s="230"/>
      <c r="B6" s="231"/>
      <c r="C6" s="3916" t="s">
        <v>2552</v>
      </c>
      <c r="D6" s="3917"/>
      <c r="E6" s="3918" t="s">
        <v>2552</v>
      </c>
      <c r="F6" s="3919"/>
      <c r="G6" s="3916" t="s">
        <v>2552</v>
      </c>
      <c r="H6" s="3917"/>
      <c r="I6" s="3916" t="s">
        <v>2552</v>
      </c>
      <c r="J6" s="3917"/>
      <c r="K6" s="1802" t="s">
        <v>2553</v>
      </c>
      <c r="L6" s="875"/>
      <c r="M6" s="876"/>
      <c r="N6" s="876"/>
      <c r="O6" s="876"/>
      <c r="P6" s="3930"/>
      <c r="Q6" s="3931"/>
      <c r="R6" s="3910"/>
      <c r="S6" s="3911"/>
      <c r="T6" s="3932"/>
      <c r="U6" s="3933"/>
      <c r="V6" s="3934"/>
      <c r="W6" s="3934"/>
      <c r="X6" s="1415"/>
      <c r="Y6" s="3932"/>
      <c r="Z6" s="3933"/>
      <c r="AA6" s="3905"/>
      <c r="AB6" s="3905"/>
      <c r="AC6" s="3905"/>
    </row>
    <row r="7" spans="1:29" s="51" customFormat="1" ht="15.75" thickBot="1">
      <c r="A7" s="232" t="s">
        <v>2554</v>
      </c>
      <c r="B7" s="233"/>
      <c r="C7" s="234">
        <f>'数据-取费表'!B2</f>
        <v>43071</v>
      </c>
      <c r="D7" s="235">
        <v>100</v>
      </c>
      <c r="E7" s="236"/>
      <c r="F7" s="237">
        <f>SUMIF(58:58,YEAR(E7)&amp;"-"&amp;MONTH(E7),59:59)</f>
        <v>0</v>
      </c>
      <c r="G7" s="236"/>
      <c r="H7" s="235">
        <f>SUMIF(58:58,YEAR(G7)&amp;"-"&amp;MONTH(G7),59:59)</f>
        <v>0</v>
      </c>
      <c r="I7" s="236"/>
      <c r="J7" s="235">
        <f>SUMIF(58:58,YEAR(I7)&amp;"-"&amp;MONTH(I7),59:59)</f>
        <v>0</v>
      </c>
      <c r="K7" s="1803"/>
      <c r="L7" s="877"/>
      <c r="M7" s="878"/>
      <c r="N7" s="878"/>
      <c r="O7" s="878"/>
      <c r="P7" s="3906" t="s">
        <v>2555</v>
      </c>
      <c r="Q7" s="3935"/>
      <c r="R7" s="552" t="s">
        <v>23</v>
      </c>
      <c r="S7" s="553">
        <f t="shared" ref="S7:S15" si="0">F7</f>
        <v>0</v>
      </c>
      <c r="T7" s="552" t="s">
        <v>23</v>
      </c>
      <c r="U7" s="553">
        <f t="shared" ref="U7:U15" si="1">H7</f>
        <v>0</v>
      </c>
      <c r="V7" s="552" t="s">
        <v>23</v>
      </c>
      <c r="W7" s="553">
        <f t="shared" ref="W7:W15" si="2">J7</f>
        <v>0</v>
      </c>
      <c r="X7" s="554"/>
      <c r="Y7" s="3906" t="s">
        <v>2555</v>
      </c>
      <c r="Z7" s="3907"/>
      <c r="AA7" s="555" t="e">
        <f>D7/F7</f>
        <v>#DIV/0!</v>
      </c>
      <c r="AB7" s="555" t="e">
        <f>D7/H7</f>
        <v>#DIV/0!</v>
      </c>
      <c r="AC7" s="555" t="e">
        <f>D7/J7</f>
        <v>#DIV/0!</v>
      </c>
    </row>
    <row r="8" spans="1:29" s="51" customFormat="1" ht="15.75" thickBot="1">
      <c r="A8" s="232" t="s">
        <v>2556</v>
      </c>
      <c r="B8" s="233"/>
      <c r="C8" s="238" t="s">
        <v>2557</v>
      </c>
      <c r="D8" s="235">
        <v>100</v>
      </c>
      <c r="E8" s="1804"/>
      <c r="F8" s="237">
        <f>SUMIF(61:61,E8,62:62)-SUMIF(61:61,C8,62:62)+100</f>
        <v>0</v>
      </c>
      <c r="G8" s="238"/>
      <c r="H8" s="235">
        <f>SUMIF(61:61,G8,62:62)-SUMIF(61:61,C8,62:62)+100</f>
        <v>0</v>
      </c>
      <c r="I8" s="1804"/>
      <c r="J8" s="235">
        <f>SUMIF(61:61,I8,62:62)-SUMIF(61:61,C8,62:62)+100</f>
        <v>0</v>
      </c>
      <c r="K8" s="1803"/>
      <c r="L8" s="877"/>
      <c r="M8" s="878"/>
      <c r="N8" s="878"/>
      <c r="O8" s="878"/>
      <c r="P8" s="3906" t="s">
        <v>2558</v>
      </c>
      <c r="Q8" s="3907"/>
      <c r="R8" s="552" t="s">
        <v>23</v>
      </c>
      <c r="S8" s="553">
        <f t="shared" si="0"/>
        <v>0</v>
      </c>
      <c r="T8" s="552" t="s">
        <v>23</v>
      </c>
      <c r="U8" s="553">
        <f t="shared" si="1"/>
        <v>0</v>
      </c>
      <c r="V8" s="552" t="s">
        <v>23</v>
      </c>
      <c r="W8" s="553">
        <f t="shared" si="2"/>
        <v>0</v>
      </c>
      <c r="X8" s="554"/>
      <c r="Y8" s="3906" t="s">
        <v>2558</v>
      </c>
      <c r="Z8" s="3907"/>
      <c r="AA8" s="555" t="e">
        <f t="shared" ref="AA8:AA19" si="3">D8/F8</f>
        <v>#DIV/0!</v>
      </c>
      <c r="AB8" s="555" t="e">
        <f t="shared" ref="AB8:AB19" si="4">D8/H8</f>
        <v>#DIV/0!</v>
      </c>
      <c r="AC8" s="555" t="e">
        <f t="shared" ref="AC8:AC19" si="5">D8/J8</f>
        <v>#DIV/0!</v>
      </c>
    </row>
    <row r="9" spans="1:29" s="51" customFormat="1">
      <c r="A9" s="239" t="s">
        <v>2559</v>
      </c>
      <c r="B9" s="45" t="s">
        <v>2560</v>
      </c>
      <c r="C9" s="240"/>
      <c r="D9" s="52">
        <v>100</v>
      </c>
      <c r="E9" s="241"/>
      <c r="F9" s="242">
        <f>SUMIF(63:63,E9,64:64)-SUMIF(63:63,C9,64:64)+100</f>
        <v>100</v>
      </c>
      <c r="G9" s="243"/>
      <c r="H9" s="52">
        <f>SUMIF(63:63,G9,64:64)-SUMIF(63:63,C9,64:64)+100</f>
        <v>100</v>
      </c>
      <c r="I9" s="243"/>
      <c r="J9" s="52">
        <f>SUMIF(63:63,I9,64:64)-SUMIF(63:63,C9,64:64)+100</f>
        <v>100</v>
      </c>
      <c r="K9" s="1803"/>
      <c r="L9" s="877"/>
      <c r="M9" s="878"/>
      <c r="N9" s="878"/>
      <c r="O9" s="878"/>
      <c r="P9" s="3920" t="s">
        <v>2561</v>
      </c>
      <c r="Q9" s="1403" t="str">
        <f t="shared" ref="Q9:Q15" si="6">B9</f>
        <v>用途</v>
      </c>
      <c r="R9" s="552" t="s">
        <v>17</v>
      </c>
      <c r="S9" s="553">
        <f t="shared" si="0"/>
        <v>100</v>
      </c>
      <c r="T9" s="552" t="s">
        <v>17</v>
      </c>
      <c r="U9" s="553">
        <f t="shared" si="1"/>
        <v>100</v>
      </c>
      <c r="V9" s="552" t="s">
        <v>17</v>
      </c>
      <c r="W9" s="553">
        <f t="shared" si="2"/>
        <v>100</v>
      </c>
      <c r="X9" s="554"/>
      <c r="Y9" s="3921" t="s">
        <v>2562</v>
      </c>
      <c r="Z9" s="40" t="str">
        <f t="shared" ref="Z9:Z15" si="7">Q9</f>
        <v>用途</v>
      </c>
      <c r="AA9" s="555">
        <f t="shared" si="3"/>
        <v>1</v>
      </c>
      <c r="AB9" s="555">
        <f t="shared" si="4"/>
        <v>1</v>
      </c>
      <c r="AC9" s="555">
        <f t="shared" si="5"/>
        <v>1</v>
      </c>
    </row>
    <row r="10" spans="1:29" s="250" customFormat="1" ht="27">
      <c r="A10" s="244"/>
      <c r="B10" s="245" t="s">
        <v>2563</v>
      </c>
      <c r="C10" s="246"/>
      <c r="D10" s="53">
        <v>100</v>
      </c>
      <c r="E10" s="247"/>
      <c r="F10" s="248">
        <f>SUMIF(65:65,E10,66:66)-SUMIF(65:65,C10,66:66)+100</f>
        <v>100</v>
      </c>
      <c r="G10" s="246"/>
      <c r="H10" s="53">
        <f>SUMIF(65:65,G10,66:66)-SUMIF(65:65,C10,66:66)+100</f>
        <v>100</v>
      </c>
      <c r="I10" s="246"/>
      <c r="J10" s="53">
        <f>SUMIF(65:65,I10,66:66)-SUMIF(65:65,C10,66:66)+100</f>
        <v>100</v>
      </c>
      <c r="K10" s="249"/>
      <c r="L10" s="880"/>
      <c r="M10" s="881"/>
      <c r="N10" s="881"/>
      <c r="O10" s="881"/>
      <c r="P10" s="3920"/>
      <c r="Q10" s="1403" t="str">
        <f t="shared" si="6"/>
        <v>土地使用年限（年）</v>
      </c>
      <c r="R10" s="552" t="s">
        <v>17</v>
      </c>
      <c r="S10" s="553">
        <f t="shared" si="0"/>
        <v>100</v>
      </c>
      <c r="T10" s="552" t="s">
        <v>17</v>
      </c>
      <c r="U10" s="553">
        <f t="shared" si="1"/>
        <v>100</v>
      </c>
      <c r="V10" s="552" t="s">
        <v>17</v>
      </c>
      <c r="W10" s="553">
        <f t="shared" si="2"/>
        <v>100</v>
      </c>
      <c r="X10" s="554"/>
      <c r="Y10" s="3921"/>
      <c r="Z10" s="40" t="str">
        <f t="shared" si="7"/>
        <v>土地使用年限（年）</v>
      </c>
      <c r="AA10" s="555">
        <f t="shared" si="3"/>
        <v>1</v>
      </c>
      <c r="AB10" s="555">
        <f t="shared" si="4"/>
        <v>1</v>
      </c>
      <c r="AC10" s="555">
        <f t="shared" si="5"/>
        <v>1</v>
      </c>
    </row>
    <row r="11" spans="1:29" ht="15">
      <c r="A11" s="251"/>
      <c r="B11" s="245" t="s">
        <v>2564</v>
      </c>
      <c r="C11" s="252"/>
      <c r="D11" s="53">
        <v>100</v>
      </c>
      <c r="E11" s="253"/>
      <c r="F11" s="248" t="e">
        <f>LOOKUP(E11,68:68,69:69)-LOOKUP(C11,68:68,69:69)+100</f>
        <v>#N/A</v>
      </c>
      <c r="G11" s="252"/>
      <c r="H11" s="53" t="e">
        <f>LOOKUP(G11,68:68,69:69)-LOOKUP(C11,68:68,69:69)+100</f>
        <v>#N/A</v>
      </c>
      <c r="I11" s="252"/>
      <c r="J11" s="53" t="e">
        <f>LOOKUP(I11,68:68,69:69)-LOOKUP(C11,68:68,69:69)+100</f>
        <v>#N/A</v>
      </c>
      <c r="K11" s="249"/>
      <c r="L11" s="883"/>
      <c r="M11" s="876"/>
      <c r="N11" s="876"/>
      <c r="O11" s="876"/>
      <c r="P11" s="3920"/>
      <c r="Q11" s="1403" t="str">
        <f t="shared" si="6"/>
        <v>容积率</v>
      </c>
      <c r="R11" s="552" t="s">
        <v>21</v>
      </c>
      <c r="S11" s="553" t="e">
        <f t="shared" si="0"/>
        <v>#N/A</v>
      </c>
      <c r="T11" s="552" t="s">
        <v>21</v>
      </c>
      <c r="U11" s="553" t="e">
        <f t="shared" si="1"/>
        <v>#N/A</v>
      </c>
      <c r="V11" s="552" t="s">
        <v>21</v>
      </c>
      <c r="W11" s="553" t="e">
        <f t="shared" si="2"/>
        <v>#N/A</v>
      </c>
      <c r="X11" s="554"/>
      <c r="Y11" s="3921"/>
      <c r="Z11" s="40" t="str">
        <f t="shared" si="7"/>
        <v>容积率</v>
      </c>
      <c r="AA11" s="555" t="e">
        <f t="shared" si="3"/>
        <v>#N/A</v>
      </c>
      <c r="AB11" s="555" t="e">
        <f t="shared" si="4"/>
        <v>#N/A</v>
      </c>
      <c r="AC11" s="555" t="e">
        <f t="shared" si="5"/>
        <v>#N/A</v>
      </c>
    </row>
    <row r="12" spans="1:29" s="51" customFormat="1" ht="15">
      <c r="A12" s="254"/>
      <c r="B12" s="1805">
        <v>111</v>
      </c>
      <c r="C12" s="255"/>
      <c r="D12" s="256">
        <v>100</v>
      </c>
      <c r="E12" s="255"/>
      <c r="F12" s="248">
        <f>SUMIF(70:70,E12,71:71)-SUMIF(70:70,C12,71:71)+100</f>
        <v>100</v>
      </c>
      <c r="G12" s="255"/>
      <c r="H12" s="53">
        <f>SUMIF(70:70,G12,71:71)-SUMIF(70:70,C12,71:71)+100</f>
        <v>100</v>
      </c>
      <c r="I12" s="255"/>
      <c r="J12" s="53">
        <f>SUMIF(70:70,I12,71:71)-SUMIF(70:70,C12,71:71)+100</f>
        <v>100</v>
      </c>
      <c r="K12" s="1806"/>
      <c r="L12" s="877"/>
      <c r="M12" s="878"/>
      <c r="N12" s="878"/>
      <c r="O12" s="878"/>
      <c r="P12" s="3920"/>
      <c r="Q12" s="1403">
        <f t="shared" si="6"/>
        <v>111</v>
      </c>
      <c r="R12" s="552" t="s">
        <v>21</v>
      </c>
      <c r="S12" s="553">
        <f t="shared" si="0"/>
        <v>100</v>
      </c>
      <c r="T12" s="552" t="s">
        <v>21</v>
      </c>
      <c r="U12" s="553">
        <f t="shared" si="1"/>
        <v>100</v>
      </c>
      <c r="V12" s="552" t="s">
        <v>21</v>
      </c>
      <c r="W12" s="553">
        <f t="shared" si="2"/>
        <v>100</v>
      </c>
      <c r="X12" s="554"/>
      <c r="Y12" s="3921"/>
      <c r="Z12" s="40">
        <f t="shared" si="7"/>
        <v>111</v>
      </c>
      <c r="AA12" s="555">
        <f>D12/F12</f>
        <v>1</v>
      </c>
      <c r="AB12" s="555">
        <f>D12/H12</f>
        <v>1</v>
      </c>
      <c r="AC12" s="555">
        <f>D12/J12</f>
        <v>1</v>
      </c>
    </row>
    <row r="13" spans="1:29" ht="15">
      <c r="A13" s="251"/>
      <c r="B13" s="1805">
        <v>111</v>
      </c>
      <c r="C13" s="257"/>
      <c r="D13" s="258">
        <v>100</v>
      </c>
      <c r="E13" s="257"/>
      <c r="F13" s="248">
        <f>SUMIF(72:72,E13,73:73)-SUMIF(72:72,C13,73:73)+100</f>
        <v>100</v>
      </c>
      <c r="G13" s="257"/>
      <c r="H13" s="258">
        <f>SUMIF(72:72,G13,73:73)-SUMIF(72:72,C13,73:73)+100</f>
        <v>100</v>
      </c>
      <c r="I13" s="257"/>
      <c r="J13" s="258">
        <f>SUMIF(72:72,I13,73:73)-SUMIF(72:72,C13,73:73)+100</f>
        <v>100</v>
      </c>
      <c r="K13" s="1806"/>
      <c r="L13" s="885"/>
      <c r="M13" s="876"/>
      <c r="N13" s="876"/>
      <c r="O13" s="876"/>
      <c r="P13" s="3920"/>
      <c r="Q13" s="1403">
        <f t="shared" si="6"/>
        <v>111</v>
      </c>
      <c r="R13" s="552" t="s">
        <v>21</v>
      </c>
      <c r="S13" s="553">
        <f t="shared" si="0"/>
        <v>100</v>
      </c>
      <c r="T13" s="552" t="s">
        <v>21</v>
      </c>
      <c r="U13" s="553">
        <f t="shared" si="1"/>
        <v>100</v>
      </c>
      <c r="V13" s="552" t="s">
        <v>21</v>
      </c>
      <c r="W13" s="553">
        <f t="shared" si="2"/>
        <v>100</v>
      </c>
      <c r="X13" s="554"/>
      <c r="Y13" s="3921"/>
      <c r="Z13" s="40">
        <f t="shared" si="7"/>
        <v>111</v>
      </c>
      <c r="AA13" s="555">
        <f t="shared" si="3"/>
        <v>1</v>
      </c>
      <c r="AB13" s="555">
        <f t="shared" si="4"/>
        <v>1</v>
      </c>
      <c r="AC13" s="555">
        <f t="shared" si="5"/>
        <v>1</v>
      </c>
    </row>
    <row r="14" spans="1:29" ht="15.75" thickBot="1">
      <c r="A14" s="259"/>
      <c r="B14" s="1807">
        <v>111</v>
      </c>
      <c r="C14" s="260"/>
      <c r="D14" s="261">
        <v>100</v>
      </c>
      <c r="E14" s="260"/>
      <c r="F14" s="262">
        <f>SUMIF(74:74,E14,75:75)-SUMIF(74:74,C14,75:75)+100</f>
        <v>100</v>
      </c>
      <c r="G14" s="260"/>
      <c r="H14" s="261">
        <f>SUMIF(74:74,G14,75:75)-SUMIF(74:74,C14,75:75)+100</f>
        <v>100</v>
      </c>
      <c r="I14" s="260"/>
      <c r="J14" s="261">
        <f>SUMIF(74:74,I14,75:75)-SUMIF(74:74,C14,75:75)+100</f>
        <v>100</v>
      </c>
      <c r="K14" s="1806"/>
      <c r="L14" s="885"/>
      <c r="M14" s="876"/>
      <c r="N14" s="876"/>
      <c r="O14" s="876"/>
      <c r="P14" s="3920"/>
      <c r="Q14" s="1403">
        <f t="shared" si="6"/>
        <v>111</v>
      </c>
      <c r="R14" s="552" t="s">
        <v>21</v>
      </c>
      <c r="S14" s="553">
        <f t="shared" si="0"/>
        <v>100</v>
      </c>
      <c r="T14" s="552" t="s">
        <v>21</v>
      </c>
      <c r="U14" s="553">
        <f t="shared" si="1"/>
        <v>100</v>
      </c>
      <c r="V14" s="552" t="s">
        <v>21</v>
      </c>
      <c r="W14" s="553">
        <f t="shared" si="2"/>
        <v>100</v>
      </c>
      <c r="X14" s="554"/>
      <c r="Y14" s="3921"/>
      <c r="Z14" s="40">
        <f t="shared" si="7"/>
        <v>111</v>
      </c>
      <c r="AA14" s="555">
        <f t="shared" si="3"/>
        <v>1</v>
      </c>
      <c r="AB14" s="555">
        <f t="shared" si="4"/>
        <v>1</v>
      </c>
      <c r="AC14" s="555">
        <f t="shared" si="5"/>
        <v>1</v>
      </c>
    </row>
    <row r="15" spans="1:29" ht="99.75">
      <c r="A15" s="263" t="s">
        <v>2565</v>
      </c>
      <c r="B15" s="43" t="s">
        <v>2090</v>
      </c>
      <c r="C15" s="1808" t="str">
        <f>估价对象房地状况!C3</f>
        <v>估价对象周边居住用地比例、居住小区规模和社区发展完善程度，综合评价居住社区成熟度一般</v>
      </c>
      <c r="D15" s="264">
        <v>100</v>
      </c>
      <c r="E15" s="267"/>
      <c r="F15" s="264">
        <f>SUMIF(76:76,E16,77:77)-SUMIF(76:76,C16,77:77)+100</f>
        <v>100</v>
      </c>
      <c r="G15" s="265"/>
      <c r="H15" s="264">
        <f>SUMIF(76:76,G16,77:77)-SUMIF(76:76,C16,77:77)+100</f>
        <v>100</v>
      </c>
      <c r="I15" s="265"/>
      <c r="J15" s="264">
        <f>SUMIF(76:76,I16,77:77)-SUMIF(76:76,C16,77:77)+100</f>
        <v>100</v>
      </c>
      <c r="K15" s="268"/>
      <c r="L15" s="885"/>
      <c r="M15" s="876"/>
      <c r="N15" s="876"/>
      <c r="O15" s="876"/>
      <c r="P15" s="3948" t="s">
        <v>2566</v>
      </c>
      <c r="Q15" s="1412" t="str">
        <f t="shared" si="6"/>
        <v>居住社区成熟度</v>
      </c>
      <c r="R15" s="556" t="s">
        <v>21</v>
      </c>
      <c r="S15" s="557">
        <f t="shared" si="0"/>
        <v>100</v>
      </c>
      <c r="T15" s="556" t="s">
        <v>21</v>
      </c>
      <c r="U15" s="557">
        <f t="shared" si="1"/>
        <v>100</v>
      </c>
      <c r="V15" s="556" t="s">
        <v>21</v>
      </c>
      <c r="W15" s="557">
        <f t="shared" si="2"/>
        <v>100</v>
      </c>
      <c r="X15" s="1415"/>
      <c r="Y15" s="3941" t="s">
        <v>2566</v>
      </c>
      <c r="Z15" s="1416" t="str">
        <f t="shared" si="7"/>
        <v>居住社区成熟度</v>
      </c>
      <c r="AA15" s="1413">
        <f t="shared" si="3"/>
        <v>1</v>
      </c>
      <c r="AB15" s="1413">
        <f t="shared" si="4"/>
        <v>1</v>
      </c>
      <c r="AC15" s="1413">
        <f t="shared" si="5"/>
        <v>1</v>
      </c>
    </row>
    <row r="16" spans="1:29" ht="15">
      <c r="A16" s="251"/>
      <c r="B16" s="269"/>
      <c r="C16" s="270"/>
      <c r="D16" s="271"/>
      <c r="E16" s="1809"/>
      <c r="F16" s="271"/>
      <c r="G16" s="1810"/>
      <c r="H16" s="273"/>
      <c r="I16" s="1810"/>
      <c r="J16" s="271"/>
      <c r="K16" s="1811"/>
      <c r="L16" s="885"/>
      <c r="M16" s="876"/>
      <c r="N16" s="876"/>
      <c r="O16" s="876"/>
      <c r="P16" s="3949"/>
      <c r="Q16" s="1412"/>
      <c r="R16" s="556"/>
      <c r="S16" s="557"/>
      <c r="T16" s="556"/>
      <c r="U16" s="557"/>
      <c r="V16" s="556"/>
      <c r="W16" s="557"/>
      <c r="X16" s="1415"/>
      <c r="Y16" s="3942"/>
      <c r="Z16" s="1416"/>
      <c r="AA16" s="1413">
        <v>1</v>
      </c>
      <c r="AB16" s="1413">
        <v>1</v>
      </c>
      <c r="AC16" s="1413">
        <v>1</v>
      </c>
    </row>
    <row r="17" spans="1:29" ht="85.5">
      <c r="A17" s="251"/>
      <c r="B17" s="274" t="s">
        <v>2102</v>
      </c>
      <c r="C17" s="1812" t="str">
        <f>估价对象房地状况!C6</f>
        <v>估价对象周边道路状况、公共交通通达情况、停车便捷程度，综合评价交通便捷度较好</v>
      </c>
      <c r="D17" s="273">
        <v>100</v>
      </c>
      <c r="E17" s="277"/>
      <c r="F17" s="273">
        <f>SUMIF(78:78,E18,79:79)-SUMIF(78:78,C18,79:79)+100</f>
        <v>100</v>
      </c>
      <c r="G17" s="275"/>
      <c r="H17" s="278">
        <f>SUMIF(78:78,G18,79:79)-SUMIF(78:78,C18,79:79)+100</f>
        <v>100</v>
      </c>
      <c r="I17" s="275"/>
      <c r="J17" s="278">
        <f>SUMIF(78:78,I18,79:79)-SUMIF(78:78,C18,79:79)+100</f>
        <v>100</v>
      </c>
      <c r="K17" s="268"/>
      <c r="L17" s="885"/>
      <c r="M17" s="876"/>
      <c r="N17" s="876"/>
      <c r="O17" s="876"/>
      <c r="P17" s="3949"/>
      <c r="Q17" s="1412" t="str">
        <f>B17</f>
        <v>交通便捷度</v>
      </c>
      <c r="R17" s="556" t="s">
        <v>21</v>
      </c>
      <c r="S17" s="557">
        <f>F17</f>
        <v>100</v>
      </c>
      <c r="T17" s="556" t="s">
        <v>21</v>
      </c>
      <c r="U17" s="557">
        <f>H17</f>
        <v>100</v>
      </c>
      <c r="V17" s="556" t="s">
        <v>21</v>
      </c>
      <c r="W17" s="557">
        <f>J17</f>
        <v>100</v>
      </c>
      <c r="X17" s="1415"/>
      <c r="Y17" s="3942"/>
      <c r="Z17" s="1416" t="str">
        <f>Q17</f>
        <v>交通便捷度</v>
      </c>
      <c r="AA17" s="1413">
        <f t="shared" si="3"/>
        <v>1</v>
      </c>
      <c r="AB17" s="1413">
        <f t="shared" si="4"/>
        <v>1</v>
      </c>
      <c r="AC17" s="1413">
        <f t="shared" si="5"/>
        <v>1</v>
      </c>
    </row>
    <row r="18" spans="1:29" ht="15">
      <c r="A18" s="251"/>
      <c r="B18" s="279"/>
      <c r="C18" s="1813"/>
      <c r="D18" s="273"/>
      <c r="E18" s="1814"/>
      <c r="F18" s="273"/>
      <c r="G18" s="1815"/>
      <c r="H18" s="271"/>
      <c r="I18" s="1815"/>
      <c r="J18" s="271"/>
      <c r="K18" s="1811"/>
      <c r="L18" s="885"/>
      <c r="M18" s="876"/>
      <c r="N18" s="876"/>
      <c r="O18" s="876"/>
      <c r="P18" s="3949"/>
      <c r="Q18" s="1412"/>
      <c r="R18" s="556"/>
      <c r="S18" s="557"/>
      <c r="T18" s="556"/>
      <c r="U18" s="557"/>
      <c r="V18" s="556"/>
      <c r="W18" s="557"/>
      <c r="X18" s="1415"/>
      <c r="Y18" s="3942"/>
      <c r="Z18" s="1416"/>
      <c r="AA18" s="1413">
        <v>1</v>
      </c>
      <c r="AB18" s="1413">
        <v>1</v>
      </c>
      <c r="AC18" s="1413">
        <v>1</v>
      </c>
    </row>
    <row r="19" spans="1:29" ht="42.75">
      <c r="A19" s="251"/>
      <c r="B19" s="274" t="s">
        <v>2100</v>
      </c>
      <c r="C19" s="1812" t="str">
        <f>估价对象房地状况!C7</f>
        <v>估价对象所在区域公共配套设施齐备情况</v>
      </c>
      <c r="D19" s="278">
        <v>100</v>
      </c>
      <c r="E19" s="282"/>
      <c r="F19" s="278">
        <f>SUMIF(80:80,E20,81:81)-SUMIF(80:80,C20,81:81)+100</f>
        <v>100</v>
      </c>
      <c r="G19" s="280"/>
      <c r="H19" s="273">
        <f>SUMIF(80:80,G20,81:81)-SUMIF(80:80,C20,81:81)+100</f>
        <v>100</v>
      </c>
      <c r="I19" s="280"/>
      <c r="J19" s="273">
        <f>SUMIF(80:80,I20,81:81)-SUMIF(80:80,C20,81:81)+100</f>
        <v>100</v>
      </c>
      <c r="K19" s="268"/>
      <c r="L19" s="885"/>
      <c r="M19" s="876"/>
      <c r="N19" s="876"/>
      <c r="O19" s="876"/>
      <c r="P19" s="3949"/>
      <c r="Q19" s="1412" t="str">
        <f>B19</f>
        <v>公共配套设施</v>
      </c>
      <c r="R19" s="556" t="s">
        <v>21</v>
      </c>
      <c r="S19" s="557">
        <f>F19</f>
        <v>100</v>
      </c>
      <c r="T19" s="556" t="s">
        <v>21</v>
      </c>
      <c r="U19" s="557">
        <f>H19</f>
        <v>100</v>
      </c>
      <c r="V19" s="556" t="s">
        <v>21</v>
      </c>
      <c r="W19" s="557">
        <f>J19</f>
        <v>100</v>
      </c>
      <c r="X19" s="1415"/>
      <c r="Y19" s="3942"/>
      <c r="Z19" s="1416" t="str">
        <f>Q19</f>
        <v>公共配套设施</v>
      </c>
      <c r="AA19" s="1413">
        <f t="shared" si="3"/>
        <v>1</v>
      </c>
      <c r="AB19" s="1413">
        <f t="shared" si="4"/>
        <v>1</v>
      </c>
      <c r="AC19" s="1413">
        <f t="shared" si="5"/>
        <v>1</v>
      </c>
    </row>
    <row r="20" spans="1:29" ht="15">
      <c r="A20" s="251"/>
      <c r="B20" s="279"/>
      <c r="C20" s="270"/>
      <c r="D20" s="271"/>
      <c r="E20" s="1809"/>
      <c r="F20" s="271"/>
      <c r="G20" s="1810"/>
      <c r="H20" s="271"/>
      <c r="I20" s="1810"/>
      <c r="J20" s="271"/>
      <c r="K20" s="1811"/>
      <c r="L20" s="885"/>
      <c r="M20" s="876"/>
      <c r="N20" s="876"/>
      <c r="O20" s="876"/>
      <c r="P20" s="3949"/>
      <c r="Q20" s="1412"/>
      <c r="R20" s="556"/>
      <c r="S20" s="557"/>
      <c r="T20" s="556"/>
      <c r="U20" s="557"/>
      <c r="V20" s="556"/>
      <c r="W20" s="557"/>
      <c r="X20" s="1415"/>
      <c r="Y20" s="3942"/>
      <c r="Z20" s="1416"/>
      <c r="AA20" s="1413">
        <v>1</v>
      </c>
      <c r="AB20" s="1413">
        <v>1</v>
      </c>
      <c r="AC20" s="1413">
        <v>1</v>
      </c>
    </row>
    <row r="21" spans="1:29" ht="28.5">
      <c r="A21" s="251"/>
      <c r="B21" s="1061" t="s">
        <v>2103</v>
      </c>
      <c r="C21" s="1812" t="str">
        <f>估价对象房地状况!C8</f>
        <v>估价对象所在区域基础设施水平</v>
      </c>
      <c r="D21" s="273">
        <v>100</v>
      </c>
      <c r="E21" s="282"/>
      <c r="F21" s="278">
        <f>SUMIF(82:82,E22,83:83)-SUMIF(82:82,C22,83:83)+100</f>
        <v>100</v>
      </c>
      <c r="G21" s="280"/>
      <c r="H21" s="273">
        <f>SUMIF(82:82,G22,83:83)-SUMIF(82:82,C22,83:83)+100</f>
        <v>100</v>
      </c>
      <c r="I21" s="280"/>
      <c r="J21" s="273">
        <f>SUMIF(82:82,I22,83:83)-SUMIF(82:82,C22,83:83)+100</f>
        <v>100</v>
      </c>
      <c r="K21" s="268"/>
      <c r="L21" s="885"/>
      <c r="M21" s="876"/>
      <c r="N21" s="876"/>
      <c r="O21" s="876"/>
      <c r="P21" s="3949"/>
      <c r="Q21" s="1412" t="str">
        <f>B21</f>
        <v>基础设施水平</v>
      </c>
      <c r="R21" s="556" t="s">
        <v>17</v>
      </c>
      <c r="S21" s="557">
        <f>F21</f>
        <v>100</v>
      </c>
      <c r="T21" s="556" t="s">
        <v>17</v>
      </c>
      <c r="U21" s="557">
        <f>H21</f>
        <v>100</v>
      </c>
      <c r="V21" s="556" t="s">
        <v>17</v>
      </c>
      <c r="W21" s="557">
        <f>J21</f>
        <v>100</v>
      </c>
      <c r="X21" s="1415"/>
      <c r="Y21" s="3942"/>
      <c r="Z21" s="1416" t="str">
        <f>Q21</f>
        <v>基础设施水平</v>
      </c>
      <c r="AA21" s="1413">
        <f t="shared" ref="AA21" si="8">D21/F21</f>
        <v>1</v>
      </c>
      <c r="AB21" s="1413">
        <f t="shared" ref="AB21" si="9">D21/H21</f>
        <v>1</v>
      </c>
      <c r="AC21" s="1413">
        <f t="shared" ref="AC21" si="10">D21/J21</f>
        <v>1</v>
      </c>
    </row>
    <row r="22" spans="1:29" ht="15">
      <c r="A22" s="251"/>
      <c r="B22" s="1061"/>
      <c r="C22" s="1813"/>
      <c r="D22" s="271"/>
      <c r="E22" s="270"/>
      <c r="F22" s="271"/>
      <c r="G22" s="1816"/>
      <c r="H22" s="271"/>
      <c r="I22" s="270"/>
      <c r="J22" s="271"/>
      <c r="K22" s="1817"/>
      <c r="L22" s="885"/>
      <c r="M22" s="876"/>
      <c r="N22" s="876"/>
      <c r="O22" s="876"/>
      <c r="P22" s="3949"/>
      <c r="Q22" s="1412"/>
      <c r="R22" s="556"/>
      <c r="S22" s="557"/>
      <c r="T22" s="556"/>
      <c r="U22" s="557"/>
      <c r="V22" s="556"/>
      <c r="W22" s="557"/>
      <c r="X22" s="1415"/>
      <c r="Y22" s="3942"/>
      <c r="Z22" s="1416"/>
      <c r="AA22" s="1413">
        <v>1</v>
      </c>
      <c r="AB22" s="1413">
        <v>1</v>
      </c>
      <c r="AC22" s="1413">
        <v>1</v>
      </c>
    </row>
    <row r="23" spans="1:29" ht="57">
      <c r="A23" s="251"/>
      <c r="B23" s="274" t="s">
        <v>2107</v>
      </c>
      <c r="C23" s="1812" t="str">
        <f>估价对象房地状况!C9</f>
        <v>区域自然环境：；人文环境；综合评价环境状况一般</v>
      </c>
      <c r="D23" s="273">
        <v>100</v>
      </c>
      <c r="E23" s="277"/>
      <c r="F23" s="273">
        <f>SUMIF(84:84,E24,85:85)-SUMIF(84:84,C24,85:85)+100</f>
        <v>100</v>
      </c>
      <c r="G23" s="275"/>
      <c r="H23" s="273">
        <f>SUMIF(84:84,G24,85:85)-SUMIF(84:84,C24,85:85)+100</f>
        <v>100</v>
      </c>
      <c r="I23" s="275"/>
      <c r="J23" s="273">
        <f>SUMIF(84:84,I24,85:85)-SUMIF(84:84,C24,85:85)+100</f>
        <v>100</v>
      </c>
      <c r="K23" s="268"/>
      <c r="L23" s="885"/>
      <c r="M23" s="876"/>
      <c r="N23" s="876"/>
      <c r="O23" s="876"/>
      <c r="P23" s="3949"/>
      <c r="Q23" s="1412" t="str">
        <f>B23</f>
        <v>自然及人文环境</v>
      </c>
      <c r="R23" s="556" t="s">
        <v>21</v>
      </c>
      <c r="S23" s="557">
        <f>F23</f>
        <v>100</v>
      </c>
      <c r="T23" s="556" t="s">
        <v>21</v>
      </c>
      <c r="U23" s="557">
        <f>H23</f>
        <v>100</v>
      </c>
      <c r="V23" s="556" t="s">
        <v>21</v>
      </c>
      <c r="W23" s="557">
        <f>J23</f>
        <v>100</v>
      </c>
      <c r="X23" s="1415"/>
      <c r="Y23" s="3942"/>
      <c r="Z23" s="1416" t="str">
        <f>Q23</f>
        <v>自然及人文环境</v>
      </c>
      <c r="AA23" s="1413">
        <f>D23/F23</f>
        <v>1</v>
      </c>
      <c r="AB23" s="1413">
        <f>D23/H23</f>
        <v>1</v>
      </c>
      <c r="AC23" s="1413">
        <f>D23/J23</f>
        <v>1</v>
      </c>
    </row>
    <row r="24" spans="1:29" ht="15">
      <c r="A24" s="251"/>
      <c r="B24" s="279"/>
      <c r="C24" s="270"/>
      <c r="D24" s="271"/>
      <c r="E24" s="1809"/>
      <c r="F24" s="271"/>
      <c r="G24" s="1810"/>
      <c r="H24" s="271"/>
      <c r="I24" s="1810"/>
      <c r="J24" s="271"/>
      <c r="K24" s="1811"/>
      <c r="L24" s="885"/>
      <c r="M24" s="876"/>
      <c r="N24" s="876"/>
      <c r="O24" s="876"/>
      <c r="P24" s="3949"/>
      <c r="Q24" s="1412"/>
      <c r="R24" s="556"/>
      <c r="S24" s="557"/>
      <c r="T24" s="556"/>
      <c r="U24" s="557"/>
      <c r="V24" s="556"/>
      <c r="W24" s="557"/>
      <c r="X24" s="1415"/>
      <c r="Y24" s="3942"/>
      <c r="Z24" s="1416"/>
      <c r="AA24" s="1413">
        <v>1</v>
      </c>
      <c r="AB24" s="1413">
        <v>1</v>
      </c>
      <c r="AC24" s="1413">
        <v>1</v>
      </c>
    </row>
    <row r="25" spans="1:29" ht="15">
      <c r="A25" s="251"/>
      <c r="B25" s="245" t="s">
        <v>2567</v>
      </c>
      <c r="C25" s="283"/>
      <c r="D25" s="258">
        <v>100</v>
      </c>
      <c r="E25" s="1818"/>
      <c r="F25" s="258">
        <f>SUMIF(86:86,E25,87:87)-SUMIF(86:86,C25,87:87)+100</f>
        <v>100</v>
      </c>
      <c r="G25" s="1819"/>
      <c r="H25" s="258">
        <f>SUMIF(86:86,G25,87:87)-SUMIF(86:86,C25,87:87)+100</f>
        <v>100</v>
      </c>
      <c r="I25" s="1819"/>
      <c r="J25" s="258">
        <f>SUMIF(86:86,I25,87:87)-SUMIF(86:86,C25,87:87)+100</f>
        <v>100</v>
      </c>
      <c r="K25" s="249"/>
      <c r="L25" s="885"/>
      <c r="M25" s="876"/>
      <c r="N25" s="876"/>
      <c r="O25" s="876"/>
      <c r="P25" s="3949"/>
      <c r="Q25" s="1412" t="str">
        <f t="shared" ref="Q25:Q46" si="11">B25</f>
        <v>楼层-1</v>
      </c>
      <c r="R25" s="556" t="s">
        <v>21</v>
      </c>
      <c r="S25" s="557">
        <f t="shared" ref="S25:S46" si="12">F25</f>
        <v>100</v>
      </c>
      <c r="T25" s="556" t="s">
        <v>21</v>
      </c>
      <c r="U25" s="557">
        <f t="shared" ref="U25:U46" si="13">H25</f>
        <v>100</v>
      </c>
      <c r="V25" s="556" t="s">
        <v>21</v>
      </c>
      <c r="W25" s="557">
        <f t="shared" ref="W25:W46" si="14">J25</f>
        <v>100</v>
      </c>
      <c r="X25" s="1415"/>
      <c r="Y25" s="3942"/>
      <c r="Z25" s="1416" t="str">
        <f>Q25</f>
        <v>楼层-1</v>
      </c>
      <c r="AA25" s="1413">
        <f t="shared" ref="AA25:AA46" si="15">D25/F25</f>
        <v>1</v>
      </c>
      <c r="AB25" s="1413">
        <f t="shared" ref="AB25:AB46" si="16">D25/H25</f>
        <v>1</v>
      </c>
      <c r="AC25" s="1413">
        <f t="shared" ref="AC25:AC46" si="17">D25/J25</f>
        <v>1</v>
      </c>
    </row>
    <row r="26" spans="1:29" ht="15">
      <c r="A26" s="251"/>
      <c r="B26" s="245" t="s">
        <v>2568</v>
      </c>
      <c r="C26" s="283"/>
      <c r="D26" s="258">
        <v>100</v>
      </c>
      <c r="E26" s="1818"/>
      <c r="F26" s="258">
        <f>SUMIF(88:88,E26,89:89)-SUMIF(88:88,C26,89:89)+100</f>
        <v>100</v>
      </c>
      <c r="G26" s="1819"/>
      <c r="H26" s="258">
        <f>SUMIF(88:88,G26,89:89)-SUMIF(88:88,C26,89:89)+100</f>
        <v>100</v>
      </c>
      <c r="I26" s="1819"/>
      <c r="J26" s="258">
        <f>SUMIF(88:88,I26,89:89)-SUMIF(88:88,C26,89:89)+100</f>
        <v>100</v>
      </c>
      <c r="K26" s="249"/>
      <c r="L26" s="885"/>
      <c r="M26" s="876"/>
      <c r="N26" s="876"/>
      <c r="O26" s="876"/>
      <c r="P26" s="3949"/>
      <c r="Q26" s="1412" t="str">
        <f t="shared" si="11"/>
        <v>朝向</v>
      </c>
      <c r="R26" s="556" t="s">
        <v>21</v>
      </c>
      <c r="S26" s="557">
        <f t="shared" si="12"/>
        <v>100</v>
      </c>
      <c r="T26" s="556" t="s">
        <v>21</v>
      </c>
      <c r="U26" s="557">
        <f t="shared" si="13"/>
        <v>100</v>
      </c>
      <c r="V26" s="556" t="s">
        <v>21</v>
      </c>
      <c r="W26" s="557">
        <f t="shared" si="14"/>
        <v>100</v>
      </c>
      <c r="X26" s="1415"/>
      <c r="Y26" s="3942"/>
      <c r="Z26" s="1416" t="str">
        <f>Q26</f>
        <v>朝向</v>
      </c>
      <c r="AA26" s="1413">
        <f t="shared" si="15"/>
        <v>1</v>
      </c>
      <c r="AB26" s="1413">
        <f t="shared" si="16"/>
        <v>1</v>
      </c>
      <c r="AC26" s="1413">
        <f t="shared" si="17"/>
        <v>1</v>
      </c>
    </row>
    <row r="27" spans="1:29" s="51" customFormat="1" ht="15">
      <c r="A27" s="254"/>
      <c r="B27" s="1063">
        <v>111</v>
      </c>
      <c r="C27" s="255"/>
      <c r="D27" s="285">
        <v>100</v>
      </c>
      <c r="E27" s="288"/>
      <c r="F27" s="285">
        <f>SUMIF(90:90,E27,91:91)-SUMIF(90:90,C27,91:91)+100</f>
        <v>100</v>
      </c>
      <c r="G27" s="286"/>
      <c r="H27" s="285">
        <f>SUMIF(90:90,G27,91:91)-SUMIF(90:90,C27,91:91)+100</f>
        <v>100</v>
      </c>
      <c r="I27" s="286"/>
      <c r="J27" s="285">
        <f>SUMIF(90:90,I27,91:91)-SUMIF(90:90,C27,91:91)+100</f>
        <v>100</v>
      </c>
      <c r="K27" s="1806"/>
      <c r="L27" s="877"/>
      <c r="M27" s="878"/>
      <c r="N27" s="878"/>
      <c r="O27" s="878"/>
      <c r="P27" s="3949"/>
      <c r="Q27" s="1403">
        <f t="shared" si="11"/>
        <v>111</v>
      </c>
      <c r="R27" s="552" t="s">
        <v>21</v>
      </c>
      <c r="S27" s="553">
        <f t="shared" si="12"/>
        <v>100</v>
      </c>
      <c r="T27" s="552" t="s">
        <v>21</v>
      </c>
      <c r="U27" s="553">
        <f t="shared" si="13"/>
        <v>100</v>
      </c>
      <c r="V27" s="552" t="s">
        <v>21</v>
      </c>
      <c r="W27" s="553">
        <f t="shared" si="14"/>
        <v>100</v>
      </c>
      <c r="X27" s="554"/>
      <c r="Y27" s="3942"/>
      <c r="Z27" s="40">
        <f>Q27</f>
        <v>111</v>
      </c>
      <c r="AA27" s="1413">
        <f t="shared" si="15"/>
        <v>1</v>
      </c>
      <c r="AB27" s="1413">
        <f t="shared" si="16"/>
        <v>1</v>
      </c>
      <c r="AC27" s="1413">
        <f t="shared" si="17"/>
        <v>1</v>
      </c>
    </row>
    <row r="28" spans="1:29" ht="15">
      <c r="A28" s="251"/>
      <c r="B28" s="1063">
        <v>111</v>
      </c>
      <c r="C28" s="257"/>
      <c r="D28" s="258">
        <v>100</v>
      </c>
      <c r="E28" s="257"/>
      <c r="F28" s="258">
        <f>SUMIF(92:92,E28,93:93)-SUMIF(92:92,C28,93:93)+100</f>
        <v>100</v>
      </c>
      <c r="G28" s="1820"/>
      <c r="H28" s="258">
        <f>SUMIF(92:92,G28,93:93)-SUMIF(92:92,C28,93:93)+100</f>
        <v>100</v>
      </c>
      <c r="I28" s="257"/>
      <c r="J28" s="258">
        <f>SUMIF(92:92,I28,93:93)-SUMIF(92:92,C28,93:93)+100</f>
        <v>100</v>
      </c>
      <c r="K28" s="1806"/>
      <c r="L28" s="885"/>
      <c r="M28" s="876"/>
      <c r="N28" s="876"/>
      <c r="O28" s="876"/>
      <c r="P28" s="3949"/>
      <c r="Q28" s="1412">
        <f t="shared" si="11"/>
        <v>111</v>
      </c>
      <c r="R28" s="556" t="s">
        <v>21</v>
      </c>
      <c r="S28" s="557">
        <f t="shared" si="12"/>
        <v>100</v>
      </c>
      <c r="T28" s="556" t="s">
        <v>21</v>
      </c>
      <c r="U28" s="557">
        <f t="shared" si="13"/>
        <v>100</v>
      </c>
      <c r="V28" s="556" t="s">
        <v>21</v>
      </c>
      <c r="W28" s="557">
        <f t="shared" si="14"/>
        <v>100</v>
      </c>
      <c r="X28" s="1415"/>
      <c r="Y28" s="3942"/>
      <c r="Z28" s="1416">
        <f t="shared" ref="Z28:Z46" si="18">Q28</f>
        <v>111</v>
      </c>
      <c r="AA28" s="1413">
        <f t="shared" si="15"/>
        <v>1</v>
      </c>
      <c r="AB28" s="1413">
        <f t="shared" si="16"/>
        <v>1</v>
      </c>
      <c r="AC28" s="1413">
        <f t="shared" si="17"/>
        <v>1</v>
      </c>
    </row>
    <row r="29" spans="1:29" ht="15">
      <c r="A29" s="251"/>
      <c r="B29" s="1063">
        <v>111</v>
      </c>
      <c r="C29" s="257"/>
      <c r="D29" s="258">
        <v>100</v>
      </c>
      <c r="E29" s="257"/>
      <c r="F29" s="258">
        <f>SUMIF(94:94,E29,95:95)-SUMIF(94:94,C29,95:95)+100</f>
        <v>100</v>
      </c>
      <c r="G29" s="1820"/>
      <c r="H29" s="258">
        <f>SUMIF(94:94,G29,95:95)-SUMIF(94:94,C29,95:95)+100</f>
        <v>100</v>
      </c>
      <c r="I29" s="257"/>
      <c r="J29" s="258">
        <f>SUMIF(94:94,I29,95:95)-SUMIF(94:94,C29,95:95)+100</f>
        <v>100</v>
      </c>
      <c r="K29" s="1806"/>
      <c r="L29" s="885"/>
      <c r="M29" s="876"/>
      <c r="N29" s="876"/>
      <c r="O29" s="876"/>
      <c r="P29" s="3949"/>
      <c r="Q29" s="1412">
        <f t="shared" si="11"/>
        <v>111</v>
      </c>
      <c r="R29" s="556" t="s">
        <v>21</v>
      </c>
      <c r="S29" s="557">
        <f t="shared" si="12"/>
        <v>100</v>
      </c>
      <c r="T29" s="556" t="s">
        <v>21</v>
      </c>
      <c r="U29" s="557">
        <f t="shared" si="13"/>
        <v>100</v>
      </c>
      <c r="V29" s="556" t="s">
        <v>21</v>
      </c>
      <c r="W29" s="557">
        <f t="shared" si="14"/>
        <v>100</v>
      </c>
      <c r="X29" s="1415"/>
      <c r="Y29" s="3942"/>
      <c r="Z29" s="1416">
        <f t="shared" si="18"/>
        <v>111</v>
      </c>
      <c r="AA29" s="1413">
        <f t="shared" si="15"/>
        <v>1</v>
      </c>
      <c r="AB29" s="1413">
        <f t="shared" si="16"/>
        <v>1</v>
      </c>
      <c r="AC29" s="1413">
        <f t="shared" si="17"/>
        <v>1</v>
      </c>
    </row>
    <row r="30" spans="1:29" ht="15">
      <c r="A30" s="251"/>
      <c r="B30" s="1063">
        <v>111</v>
      </c>
      <c r="C30" s="257"/>
      <c r="D30" s="258">
        <v>100</v>
      </c>
      <c r="E30" s="257"/>
      <c r="F30" s="258">
        <f>SUMIF(96:96,E30,97:97)-SUMIF(96:96,C30,97:97)+100</f>
        <v>100</v>
      </c>
      <c r="G30" s="1820"/>
      <c r="H30" s="258">
        <f>SUMIF(96:96,G30,97:97)-SUMIF(96:96,C30,97:97)+100</f>
        <v>100</v>
      </c>
      <c r="I30" s="257"/>
      <c r="J30" s="258">
        <f>SUMIF(96:96,I30,97:97)-SUMIF(96:96,C30,97:97)+100</f>
        <v>100</v>
      </c>
      <c r="K30" s="1806"/>
      <c r="L30" s="885"/>
      <c r="M30" s="876"/>
      <c r="N30" s="876"/>
      <c r="O30" s="876"/>
      <c r="P30" s="3949"/>
      <c r="Q30" s="1412">
        <f t="shared" si="11"/>
        <v>111</v>
      </c>
      <c r="R30" s="556" t="s">
        <v>21</v>
      </c>
      <c r="S30" s="557">
        <f t="shared" si="12"/>
        <v>100</v>
      </c>
      <c r="T30" s="556" t="s">
        <v>21</v>
      </c>
      <c r="U30" s="557">
        <f t="shared" si="13"/>
        <v>100</v>
      </c>
      <c r="V30" s="556" t="s">
        <v>21</v>
      </c>
      <c r="W30" s="557">
        <f t="shared" si="14"/>
        <v>100</v>
      </c>
      <c r="X30" s="1415"/>
      <c r="Y30" s="3942"/>
      <c r="Z30" s="1416">
        <f t="shared" si="18"/>
        <v>111</v>
      </c>
      <c r="AA30" s="1413">
        <f t="shared" si="15"/>
        <v>1</v>
      </c>
      <c r="AB30" s="1413">
        <f t="shared" si="16"/>
        <v>1</v>
      </c>
      <c r="AC30" s="1413">
        <f t="shared" si="17"/>
        <v>1</v>
      </c>
    </row>
    <row r="31" spans="1:29" ht="15.75" thickBot="1">
      <c r="A31" s="259"/>
      <c r="B31" s="1063">
        <v>111</v>
      </c>
      <c r="C31" s="260"/>
      <c r="D31" s="261">
        <v>100</v>
      </c>
      <c r="E31" s="260"/>
      <c r="F31" s="261">
        <f>SUMIF(98:98,E31,99:99)-SUMIF(98:98,C31,99:99)+100</f>
        <v>100</v>
      </c>
      <c r="G31" s="1821"/>
      <c r="H31" s="261">
        <f>SUMIF(98:98,G31,99:99)-SUMIF(98:98,C31,99:99)+100</f>
        <v>100</v>
      </c>
      <c r="I31" s="260"/>
      <c r="J31" s="261">
        <f>SUMIF(98:98,I31,99:99)-SUMIF(98:98,C31,99:99)+100</f>
        <v>100</v>
      </c>
      <c r="K31" s="1806"/>
      <c r="L31" s="885"/>
      <c r="M31" s="876"/>
      <c r="N31" s="876"/>
      <c r="O31" s="876"/>
      <c r="P31" s="3949"/>
      <c r="Q31" s="1412">
        <f t="shared" si="11"/>
        <v>111</v>
      </c>
      <c r="R31" s="556" t="s">
        <v>21</v>
      </c>
      <c r="S31" s="557">
        <f t="shared" si="12"/>
        <v>100</v>
      </c>
      <c r="T31" s="556" t="s">
        <v>21</v>
      </c>
      <c r="U31" s="557">
        <f t="shared" si="13"/>
        <v>100</v>
      </c>
      <c r="V31" s="556" t="s">
        <v>21</v>
      </c>
      <c r="W31" s="557">
        <f t="shared" si="14"/>
        <v>100</v>
      </c>
      <c r="X31" s="1415"/>
      <c r="Y31" s="3942"/>
      <c r="Z31" s="1416">
        <f t="shared" si="18"/>
        <v>111</v>
      </c>
      <c r="AA31" s="1413">
        <f t="shared" si="15"/>
        <v>1</v>
      </c>
      <c r="AB31" s="1413">
        <f t="shared" si="16"/>
        <v>1</v>
      </c>
      <c r="AC31" s="1413">
        <f t="shared" si="17"/>
        <v>1</v>
      </c>
    </row>
    <row r="32" spans="1:29" ht="15">
      <c r="A32" s="263" t="s">
        <v>2569</v>
      </c>
      <c r="B32" s="45" t="s">
        <v>2570</v>
      </c>
      <c r="C32" s="1822"/>
      <c r="D32" s="290">
        <v>100</v>
      </c>
      <c r="E32" s="1823"/>
      <c r="F32" s="284">
        <f>SUMIF(100:100,E32,101:101)-SUMIF(100:100,C32,101:101)+100</f>
        <v>100</v>
      </c>
      <c r="G32" s="1822"/>
      <c r="H32" s="290">
        <f>SUMIF(100:100,G32,101:101)-SUMIF(100:100,C32,101:101)+100</f>
        <v>100</v>
      </c>
      <c r="I32" s="1823"/>
      <c r="J32" s="258">
        <f>SUMIF(100:100,I32,101:101)-SUMIF(100:100,C32,101:101)+100</f>
        <v>100</v>
      </c>
      <c r="K32" s="249"/>
      <c r="L32" s="885"/>
      <c r="M32" s="876"/>
      <c r="N32" s="876"/>
      <c r="O32" s="876"/>
      <c r="P32" s="3943" t="s">
        <v>2571</v>
      </c>
      <c r="Q32" s="1412" t="str">
        <f t="shared" si="11"/>
        <v>建筑类型</v>
      </c>
      <c r="R32" s="556" t="s">
        <v>21</v>
      </c>
      <c r="S32" s="557">
        <f t="shared" si="12"/>
        <v>100</v>
      </c>
      <c r="T32" s="556" t="s">
        <v>21</v>
      </c>
      <c r="U32" s="557">
        <f t="shared" si="13"/>
        <v>100</v>
      </c>
      <c r="V32" s="556" t="s">
        <v>21</v>
      </c>
      <c r="W32" s="557">
        <f t="shared" si="14"/>
        <v>100</v>
      </c>
      <c r="X32" s="1415"/>
      <c r="Y32" s="3946" t="s">
        <v>2571</v>
      </c>
      <c r="Z32" s="1416" t="str">
        <f t="shared" si="18"/>
        <v>建筑类型</v>
      </c>
      <c r="AA32" s="1413">
        <f t="shared" si="15"/>
        <v>1</v>
      </c>
      <c r="AB32" s="1413">
        <f t="shared" si="16"/>
        <v>1</v>
      </c>
      <c r="AC32" s="1413">
        <f t="shared" si="17"/>
        <v>1</v>
      </c>
    </row>
    <row r="33" spans="1:29" s="294" customFormat="1" ht="15">
      <c r="A33" s="291"/>
      <c r="B33" s="245" t="s">
        <v>2572</v>
      </c>
      <c r="C33" s="292"/>
      <c r="D33" s="53">
        <v>100</v>
      </c>
      <c r="E33" s="253"/>
      <c r="F33" s="248" t="e">
        <f>LOOKUP(E33,103:103,104:104)-LOOKUP(C33,103:103,104:104)+100</f>
        <v>#N/A</v>
      </c>
      <c r="G33" s="252"/>
      <c r="H33" s="53" t="e">
        <f>LOOKUP(G33,103:103,104:104)-LOOKUP(C33,103:103,104:104)+100</f>
        <v>#N/A</v>
      </c>
      <c r="I33" s="253"/>
      <c r="J33" s="53" t="e">
        <f>LOOKUP(I33,103:103,104:104)-LOOKUP(C33,103:103,104:104)+100</f>
        <v>#N/A</v>
      </c>
      <c r="K33" s="1806"/>
      <c r="L33" s="883"/>
      <c r="M33" s="886"/>
      <c r="N33" s="886"/>
      <c r="O33" s="886"/>
      <c r="P33" s="3944"/>
      <c r="Q33" s="558" t="str">
        <f t="shared" si="11"/>
        <v>项目建筑规模</v>
      </c>
      <c r="R33" s="559" t="s">
        <v>21</v>
      </c>
      <c r="S33" s="560" t="e">
        <f t="shared" si="12"/>
        <v>#N/A</v>
      </c>
      <c r="T33" s="559" t="s">
        <v>21</v>
      </c>
      <c r="U33" s="560" t="e">
        <f t="shared" si="13"/>
        <v>#N/A</v>
      </c>
      <c r="V33" s="559" t="s">
        <v>21</v>
      </c>
      <c r="W33" s="560" t="e">
        <f t="shared" si="14"/>
        <v>#N/A</v>
      </c>
      <c r="X33" s="561"/>
      <c r="Y33" s="3946"/>
      <c r="Z33" s="562" t="str">
        <f t="shared" si="18"/>
        <v>项目建筑规模</v>
      </c>
      <c r="AA33" s="1413" t="e">
        <f t="shared" si="15"/>
        <v>#N/A</v>
      </c>
      <c r="AB33" s="1413" t="e">
        <f t="shared" si="16"/>
        <v>#N/A</v>
      </c>
      <c r="AC33" s="1413" t="e">
        <f t="shared" si="17"/>
        <v>#N/A</v>
      </c>
    </row>
    <row r="34" spans="1:29" ht="15">
      <c r="A34" s="295"/>
      <c r="B34" s="245" t="s">
        <v>2573</v>
      </c>
      <c r="C34" s="1824"/>
      <c r="D34" s="258">
        <v>100</v>
      </c>
      <c r="E34" s="1825"/>
      <c r="F34" s="284">
        <f>SUMIF(105:105,E34,106:106)-SUMIF(105:105,C34,106:106)+100</f>
        <v>100</v>
      </c>
      <c r="G34" s="1824"/>
      <c r="H34" s="258">
        <f>SUMIF(105:105,G34,106:106)-SUMIF(105:105,C34,106:106)+100</f>
        <v>100</v>
      </c>
      <c r="I34" s="1825"/>
      <c r="J34" s="258">
        <f>SUMIF(105:105,I34,106:106)-SUMIF(105:105,C34,106:106)+100</f>
        <v>100</v>
      </c>
      <c r="K34" s="249"/>
      <c r="L34" s="885"/>
      <c r="M34" s="876"/>
      <c r="N34" s="876"/>
      <c r="O34" s="876"/>
      <c r="P34" s="3944"/>
      <c r="Q34" s="1412" t="str">
        <f t="shared" si="11"/>
        <v>建筑结构</v>
      </c>
      <c r="R34" s="556" t="s">
        <v>21</v>
      </c>
      <c r="S34" s="557">
        <f t="shared" si="12"/>
        <v>100</v>
      </c>
      <c r="T34" s="556" t="s">
        <v>21</v>
      </c>
      <c r="U34" s="557">
        <f t="shared" si="13"/>
        <v>100</v>
      </c>
      <c r="V34" s="556" t="s">
        <v>21</v>
      </c>
      <c r="W34" s="557">
        <f t="shared" si="14"/>
        <v>100</v>
      </c>
      <c r="X34" s="1415"/>
      <c r="Y34" s="3946"/>
      <c r="Z34" s="1416" t="str">
        <f t="shared" si="18"/>
        <v>建筑结构</v>
      </c>
      <c r="AA34" s="1413">
        <f t="shared" si="15"/>
        <v>1</v>
      </c>
      <c r="AB34" s="1413">
        <f t="shared" si="16"/>
        <v>1</v>
      </c>
      <c r="AC34" s="1413">
        <f t="shared" si="17"/>
        <v>1</v>
      </c>
    </row>
    <row r="35" spans="1:29" ht="15">
      <c r="A35" s="295"/>
      <c r="B35" s="245" t="s">
        <v>2574</v>
      </c>
      <c r="C35" s="1818"/>
      <c r="D35" s="258">
        <v>100</v>
      </c>
      <c r="E35" s="1819"/>
      <c r="F35" s="284">
        <f>SUMIF(107:107,E35,108:108)-SUMIF(107:107,C35,108:108)+100</f>
        <v>100</v>
      </c>
      <c r="G35" s="1818"/>
      <c r="H35" s="258">
        <f>SUMIF(107:107,G35,108:108)-SUMIF(107:107,C35,108:108)+100</f>
        <v>100</v>
      </c>
      <c r="I35" s="1819"/>
      <c r="J35" s="258">
        <f>SUMIF(107:107,I35,108:108)-SUMIF(107:107,C35,108:108)+100</f>
        <v>100</v>
      </c>
      <c r="K35" s="249"/>
      <c r="L35" s="885"/>
      <c r="M35" s="876"/>
      <c r="N35" s="876"/>
      <c r="O35" s="876"/>
      <c r="P35" s="3944"/>
      <c r="Q35" s="1412" t="str">
        <f t="shared" si="11"/>
        <v>建筑品质</v>
      </c>
      <c r="R35" s="556" t="s">
        <v>21</v>
      </c>
      <c r="S35" s="557">
        <f t="shared" si="12"/>
        <v>100</v>
      </c>
      <c r="T35" s="556" t="s">
        <v>21</v>
      </c>
      <c r="U35" s="557">
        <f t="shared" si="13"/>
        <v>100</v>
      </c>
      <c r="V35" s="556" t="s">
        <v>21</v>
      </c>
      <c r="W35" s="557">
        <f t="shared" si="14"/>
        <v>100</v>
      </c>
      <c r="X35" s="1415"/>
      <c r="Y35" s="3946"/>
      <c r="Z35" s="1416" t="str">
        <f t="shared" si="18"/>
        <v>建筑品质</v>
      </c>
      <c r="AA35" s="1413">
        <f t="shared" si="15"/>
        <v>1</v>
      </c>
      <c r="AB35" s="1413">
        <f t="shared" si="16"/>
        <v>1</v>
      </c>
      <c r="AC35" s="1413">
        <f t="shared" si="17"/>
        <v>1</v>
      </c>
    </row>
    <row r="36" spans="1:29" ht="15">
      <c r="A36" s="295"/>
      <c r="B36" s="245" t="s">
        <v>2575</v>
      </c>
      <c r="C36" s="1818"/>
      <c r="D36" s="258">
        <v>100</v>
      </c>
      <c r="E36" s="1819"/>
      <c r="F36" s="284">
        <f>SUMIF(109:109,E36,110:110)-SUMIF(109:109,C36,110:110)+100</f>
        <v>100</v>
      </c>
      <c r="G36" s="1818"/>
      <c r="H36" s="258">
        <f>SUMIF(109:109,G36,110:110)-SUMIF(109:109,C36,110:110)+100</f>
        <v>100</v>
      </c>
      <c r="I36" s="1819"/>
      <c r="J36" s="258">
        <f>SUMIF(109:109,I36,110:110)-SUMIF(109:109,C36,110:110)+100</f>
        <v>100</v>
      </c>
      <c r="K36" s="249"/>
      <c r="L36" s="885"/>
      <c r="M36" s="876"/>
      <c r="N36" s="876"/>
      <c r="O36" s="876"/>
      <c r="P36" s="3944"/>
      <c r="Q36" s="1412" t="str">
        <f t="shared" si="11"/>
        <v>公共部分装修</v>
      </c>
      <c r="R36" s="556" t="s">
        <v>21</v>
      </c>
      <c r="S36" s="557">
        <f t="shared" si="12"/>
        <v>100</v>
      </c>
      <c r="T36" s="556" t="s">
        <v>21</v>
      </c>
      <c r="U36" s="557">
        <f t="shared" si="13"/>
        <v>100</v>
      </c>
      <c r="V36" s="556" t="s">
        <v>21</v>
      </c>
      <c r="W36" s="557">
        <f t="shared" si="14"/>
        <v>100</v>
      </c>
      <c r="X36" s="1415"/>
      <c r="Y36" s="3946"/>
      <c r="Z36" s="1416" t="str">
        <f t="shared" si="18"/>
        <v>公共部分装修</v>
      </c>
      <c r="AA36" s="1413">
        <f t="shared" si="15"/>
        <v>1</v>
      </c>
      <c r="AB36" s="1413">
        <f t="shared" si="16"/>
        <v>1</v>
      </c>
      <c r="AC36" s="1413">
        <f t="shared" si="17"/>
        <v>1</v>
      </c>
    </row>
    <row r="37" spans="1:29" s="51" customFormat="1" ht="15">
      <c r="A37" s="296"/>
      <c r="B37" s="245" t="s">
        <v>2576</v>
      </c>
      <c r="C37" s="297"/>
      <c r="D37" s="53">
        <v>100</v>
      </c>
      <c r="E37" s="297"/>
      <c r="F37" s="248" t="e">
        <f>LOOKUP(E37,112:112,113:113)-LOOKUP(C37,112:112,113:113)+100</f>
        <v>#N/A</v>
      </c>
      <c r="G37" s="299"/>
      <c r="H37" s="53" t="e">
        <f>LOOKUP(G37,112:112,113:113)-LOOKUP(C37,112:112,113:113)+100</f>
        <v>#N/A</v>
      </c>
      <c r="I37" s="298"/>
      <c r="J37" s="53" t="e">
        <f>LOOKUP(I37,112:112,113:113)-LOOKUP(C37,112:112,113:113)+100</f>
        <v>#N/A</v>
      </c>
      <c r="K37" s="249"/>
      <c r="L37" s="877"/>
      <c r="M37" s="878"/>
      <c r="N37" s="878"/>
      <c r="O37" s="878"/>
      <c r="P37" s="3944"/>
      <c r="Q37" s="1403" t="str">
        <f t="shared" si="11"/>
        <v>成新度</v>
      </c>
      <c r="R37" s="552" t="s">
        <v>21</v>
      </c>
      <c r="S37" s="553" t="e">
        <f t="shared" si="12"/>
        <v>#N/A</v>
      </c>
      <c r="T37" s="552" t="s">
        <v>21</v>
      </c>
      <c r="U37" s="553" t="e">
        <f t="shared" si="13"/>
        <v>#N/A</v>
      </c>
      <c r="V37" s="552" t="s">
        <v>21</v>
      </c>
      <c r="W37" s="553" t="e">
        <f t="shared" si="14"/>
        <v>#N/A</v>
      </c>
      <c r="X37" s="554"/>
      <c r="Y37" s="3946"/>
      <c r="Z37" s="40" t="str">
        <f t="shared" si="18"/>
        <v>成新度</v>
      </c>
      <c r="AA37" s="555" t="e">
        <f t="shared" si="15"/>
        <v>#N/A</v>
      </c>
      <c r="AB37" s="555" t="e">
        <f t="shared" si="16"/>
        <v>#N/A</v>
      </c>
      <c r="AC37" s="555" t="e">
        <f t="shared" si="17"/>
        <v>#N/A</v>
      </c>
    </row>
    <row r="38" spans="1:29" ht="15">
      <c r="A38" s="295"/>
      <c r="B38" s="245" t="s">
        <v>2577</v>
      </c>
      <c r="C38" s="1818"/>
      <c r="D38" s="258">
        <v>100</v>
      </c>
      <c r="E38" s="1819"/>
      <c r="F38" s="284">
        <f>SUMIF(114:114,E38,115:115)-SUMIF(114:114,C38,115:115)+100</f>
        <v>100</v>
      </c>
      <c r="G38" s="1818"/>
      <c r="H38" s="258">
        <f>SUMIF(114:114,G38,115:115)-SUMIF(114:114,C38,115:115)+100</f>
        <v>100</v>
      </c>
      <c r="I38" s="1819"/>
      <c r="J38" s="258">
        <f>SUMIF(114:114,I38,115:115)-SUMIF(114:114,C38,115:115)+100</f>
        <v>100</v>
      </c>
      <c r="K38" s="249"/>
      <c r="L38" s="885"/>
      <c r="M38" s="876"/>
      <c r="N38" s="876"/>
      <c r="O38" s="876"/>
      <c r="P38" s="3944" t="s">
        <v>2571</v>
      </c>
      <c r="Q38" s="1412" t="str">
        <f t="shared" si="11"/>
        <v>物业管理</v>
      </c>
      <c r="R38" s="556" t="s">
        <v>21</v>
      </c>
      <c r="S38" s="557">
        <f t="shared" si="12"/>
        <v>100</v>
      </c>
      <c r="T38" s="556" t="s">
        <v>21</v>
      </c>
      <c r="U38" s="557">
        <f t="shared" si="13"/>
        <v>100</v>
      </c>
      <c r="V38" s="556" t="s">
        <v>21</v>
      </c>
      <c r="W38" s="557">
        <f t="shared" si="14"/>
        <v>100</v>
      </c>
      <c r="X38" s="1415"/>
      <c r="Y38" s="3946" t="s">
        <v>2571</v>
      </c>
      <c r="Z38" s="1416" t="str">
        <f t="shared" si="18"/>
        <v>物业管理</v>
      </c>
      <c r="AA38" s="1413">
        <f t="shared" si="15"/>
        <v>1</v>
      </c>
      <c r="AB38" s="1413">
        <f t="shared" si="16"/>
        <v>1</v>
      </c>
      <c r="AC38" s="1413">
        <f t="shared" si="17"/>
        <v>1</v>
      </c>
    </row>
    <row r="39" spans="1:29" ht="15">
      <c r="A39" s="295"/>
      <c r="B39" s="245" t="s">
        <v>2578</v>
      </c>
      <c r="C39" s="1818"/>
      <c r="D39" s="258">
        <v>100</v>
      </c>
      <c r="E39" s="1819"/>
      <c r="F39" s="284">
        <f>SUMIF(116:116,E39,117:117)-SUMIF(116:116,C39,117:117)+100</f>
        <v>100</v>
      </c>
      <c r="G39" s="1818"/>
      <c r="H39" s="258">
        <f>SUMIF(116:116,G39,117:117)-SUMIF(116:116,C39,117:117)+100</f>
        <v>100</v>
      </c>
      <c r="I39" s="1819"/>
      <c r="J39" s="258">
        <f>SUMIF(116:116,I39,117:117)-SUMIF(116:116,C39,117:117)+100</f>
        <v>100</v>
      </c>
      <c r="K39" s="249"/>
      <c r="L39" s="885"/>
      <c r="M39" s="876"/>
      <c r="N39" s="876"/>
      <c r="O39" s="876"/>
      <c r="P39" s="3944"/>
      <c r="Q39" s="1412" t="str">
        <f t="shared" si="11"/>
        <v>市政基础设施</v>
      </c>
      <c r="R39" s="556" t="s">
        <v>21</v>
      </c>
      <c r="S39" s="557">
        <f t="shared" si="12"/>
        <v>100</v>
      </c>
      <c r="T39" s="556" t="s">
        <v>21</v>
      </c>
      <c r="U39" s="557">
        <f t="shared" si="13"/>
        <v>100</v>
      </c>
      <c r="V39" s="556" t="s">
        <v>21</v>
      </c>
      <c r="W39" s="557">
        <f t="shared" si="14"/>
        <v>100</v>
      </c>
      <c r="X39" s="1415"/>
      <c r="Y39" s="3946"/>
      <c r="Z39" s="1416" t="str">
        <f t="shared" si="18"/>
        <v>市政基础设施</v>
      </c>
      <c r="AA39" s="1413">
        <f t="shared" si="15"/>
        <v>1</v>
      </c>
      <c r="AB39" s="1413">
        <f t="shared" si="16"/>
        <v>1</v>
      </c>
      <c r="AC39" s="1413">
        <f t="shared" si="17"/>
        <v>1</v>
      </c>
    </row>
    <row r="40" spans="1:29" ht="15">
      <c r="A40" s="295"/>
      <c r="B40" s="245" t="s">
        <v>2579</v>
      </c>
      <c r="C40" s="1818"/>
      <c r="D40" s="258">
        <v>100</v>
      </c>
      <c r="E40" s="1819"/>
      <c r="F40" s="284">
        <f>SUMIF(118:118,E40,119:119)-SUMIF(118:118,C40,119:119)+100</f>
        <v>100</v>
      </c>
      <c r="G40" s="1818"/>
      <c r="H40" s="258">
        <f>SUMIF(118:118,G40,119:119)-SUMIF(118:118,C40,119:119)+100</f>
        <v>100</v>
      </c>
      <c r="I40" s="1819"/>
      <c r="J40" s="258">
        <f>SUMIF(118:118,I40,119:119)-SUMIF(118:118,C40,119:119)+100</f>
        <v>100</v>
      </c>
      <c r="K40" s="249"/>
      <c r="L40" s="885"/>
      <c r="M40" s="876"/>
      <c r="N40" s="876"/>
      <c r="O40" s="876"/>
      <c r="P40" s="3944"/>
      <c r="Q40" s="1412" t="str">
        <f t="shared" si="11"/>
        <v>房型</v>
      </c>
      <c r="R40" s="556" t="s">
        <v>21</v>
      </c>
      <c r="S40" s="557">
        <f t="shared" si="12"/>
        <v>100</v>
      </c>
      <c r="T40" s="556" t="s">
        <v>21</v>
      </c>
      <c r="U40" s="557">
        <f t="shared" si="13"/>
        <v>100</v>
      </c>
      <c r="V40" s="556" t="s">
        <v>21</v>
      </c>
      <c r="W40" s="557">
        <f t="shared" si="14"/>
        <v>100</v>
      </c>
      <c r="X40" s="1415"/>
      <c r="Y40" s="3946"/>
      <c r="Z40" s="1416" t="str">
        <f t="shared" si="18"/>
        <v>房型</v>
      </c>
      <c r="AA40" s="1413">
        <f t="shared" si="15"/>
        <v>1</v>
      </c>
      <c r="AB40" s="1413">
        <f t="shared" si="16"/>
        <v>1</v>
      </c>
      <c r="AC40" s="1413">
        <f t="shared" si="17"/>
        <v>1</v>
      </c>
    </row>
    <row r="41" spans="1:29" s="294" customFormat="1" ht="28.5">
      <c r="A41" s="291"/>
      <c r="B41" s="245" t="s">
        <v>2580</v>
      </c>
      <c r="C41" s="292"/>
      <c r="D41" s="53">
        <v>100</v>
      </c>
      <c r="E41" s="253"/>
      <c r="F41" s="248">
        <f>SUMIF(120:120,E41,121:121)-SUMIF(120:120,C41,121:121)+100</f>
        <v>100</v>
      </c>
      <c r="G41" s="252"/>
      <c r="H41" s="53">
        <f>SUMIF(120:120,G41,121:121)-SUMIF(120:120,C41,121:121)+100</f>
        <v>100</v>
      </c>
      <c r="I41" s="300"/>
      <c r="J41" s="258">
        <f>SUMIF(120:120,I41,121:121)-SUMIF(120:120,C41,121:121)+100</f>
        <v>100</v>
      </c>
      <c r="K41" s="1806"/>
      <c r="L41" s="883"/>
      <c r="M41" s="886"/>
      <c r="N41" s="886"/>
      <c r="O41" s="886"/>
      <c r="P41" s="3944"/>
      <c r="Q41" s="558" t="str">
        <f t="shared" si="11"/>
        <v>单套/主力户型建筑面积</v>
      </c>
      <c r="R41" s="559" t="s">
        <v>21</v>
      </c>
      <c r="S41" s="560">
        <f t="shared" si="12"/>
        <v>100</v>
      </c>
      <c r="T41" s="559" t="s">
        <v>21</v>
      </c>
      <c r="U41" s="560">
        <f t="shared" si="13"/>
        <v>100</v>
      </c>
      <c r="V41" s="559" t="s">
        <v>21</v>
      </c>
      <c r="W41" s="560">
        <f t="shared" si="14"/>
        <v>100</v>
      </c>
      <c r="X41" s="561"/>
      <c r="Y41" s="3946"/>
      <c r="Z41" s="562" t="str">
        <f t="shared" si="18"/>
        <v>单套/主力户型建筑面积</v>
      </c>
      <c r="AA41" s="1413">
        <f t="shared" si="15"/>
        <v>1</v>
      </c>
      <c r="AB41" s="1413">
        <f t="shared" si="16"/>
        <v>1</v>
      </c>
      <c r="AC41" s="1413">
        <f t="shared" si="17"/>
        <v>1</v>
      </c>
    </row>
    <row r="42" spans="1:29" ht="15">
      <c r="A42" s="295"/>
      <c r="B42" s="245" t="s">
        <v>2581</v>
      </c>
      <c r="C42" s="1818"/>
      <c r="D42" s="258">
        <v>100</v>
      </c>
      <c r="E42" s="1819"/>
      <c r="F42" s="284">
        <f>SUMIF(122:122,E42,123:123)-SUMIF(122:122,C42,123:123)+100</f>
        <v>100</v>
      </c>
      <c r="G42" s="1818"/>
      <c r="H42" s="258">
        <f>SUMIF(122:122,G42,123:123)-SUMIF(122:122,C42,123:123)+100</f>
        <v>100</v>
      </c>
      <c r="I42" s="1819"/>
      <c r="J42" s="258">
        <f>SUMIF(122:122,I42,123:123)-SUMIF(122:122,C42,123:123)+100</f>
        <v>100</v>
      </c>
      <c r="K42" s="249"/>
      <c r="L42" s="885"/>
      <c r="M42" s="876"/>
      <c r="N42" s="876"/>
      <c r="O42" s="876"/>
      <c r="P42" s="3944"/>
      <c r="Q42" s="1412" t="str">
        <f t="shared" si="11"/>
        <v>内部装修</v>
      </c>
      <c r="R42" s="556" t="s">
        <v>21</v>
      </c>
      <c r="S42" s="557">
        <f t="shared" si="12"/>
        <v>100</v>
      </c>
      <c r="T42" s="556" t="s">
        <v>21</v>
      </c>
      <c r="U42" s="557">
        <f t="shared" si="13"/>
        <v>100</v>
      </c>
      <c r="V42" s="556" t="s">
        <v>21</v>
      </c>
      <c r="W42" s="557">
        <f t="shared" si="14"/>
        <v>100</v>
      </c>
      <c r="X42" s="1415"/>
      <c r="Y42" s="3946"/>
      <c r="Z42" s="1416" t="str">
        <f t="shared" si="18"/>
        <v>内部装修</v>
      </c>
      <c r="AA42" s="1413">
        <f t="shared" si="15"/>
        <v>1</v>
      </c>
      <c r="AB42" s="1413">
        <f t="shared" si="16"/>
        <v>1</v>
      </c>
      <c r="AC42" s="1413">
        <f t="shared" si="17"/>
        <v>1</v>
      </c>
    </row>
    <row r="43" spans="1:29" ht="15">
      <c r="A43" s="295"/>
      <c r="B43" s="245" t="s">
        <v>2582</v>
      </c>
      <c r="C43" s="1818"/>
      <c r="D43" s="258">
        <v>100</v>
      </c>
      <c r="E43" s="1819"/>
      <c r="F43" s="284">
        <f>SUMIF(124:124,E43,125:125)-SUMIF(124:124,C43,125:125)+100</f>
        <v>100</v>
      </c>
      <c r="G43" s="1818"/>
      <c r="H43" s="258">
        <f>SUMIF(124:124,G43,125:125)-SUMIF(124:124,C43,125:125)+100</f>
        <v>100</v>
      </c>
      <c r="I43" s="1819"/>
      <c r="J43" s="258">
        <f>SUMIF(124:124,I43,125:125)-SUMIF(124:124,C43,125:125)+100</f>
        <v>100</v>
      </c>
      <c r="K43" s="249"/>
      <c r="L43" s="885"/>
      <c r="M43" s="876"/>
      <c r="N43" s="876"/>
      <c r="O43" s="876"/>
      <c r="P43" s="3944"/>
      <c r="Q43" s="1412" t="str">
        <f t="shared" si="11"/>
        <v>内部装修维护情况</v>
      </c>
      <c r="R43" s="556" t="s">
        <v>21</v>
      </c>
      <c r="S43" s="557">
        <f t="shared" si="12"/>
        <v>100</v>
      </c>
      <c r="T43" s="556" t="s">
        <v>21</v>
      </c>
      <c r="U43" s="557">
        <f t="shared" si="13"/>
        <v>100</v>
      </c>
      <c r="V43" s="556" t="s">
        <v>21</v>
      </c>
      <c r="W43" s="557">
        <f t="shared" si="14"/>
        <v>100</v>
      </c>
      <c r="X43" s="1415"/>
      <c r="Y43" s="3946"/>
      <c r="Z43" s="1416" t="str">
        <f t="shared" si="18"/>
        <v>内部装修维护情况</v>
      </c>
      <c r="AA43" s="1413">
        <f t="shared" si="15"/>
        <v>1</v>
      </c>
      <c r="AB43" s="1413">
        <f t="shared" si="16"/>
        <v>1</v>
      </c>
      <c r="AC43" s="1413">
        <f t="shared" si="17"/>
        <v>1</v>
      </c>
    </row>
    <row r="44" spans="1:29" s="51" customFormat="1" ht="15">
      <c r="A44" s="296"/>
      <c r="B44" s="1063">
        <v>111</v>
      </c>
      <c r="C44" s="292"/>
      <c r="D44" s="53">
        <v>100</v>
      </c>
      <c r="E44" s="292"/>
      <c r="F44" s="248">
        <f>SUMIF(126:126,E44,127:127)-SUMIF(126:126,C44,127:127)+100</f>
        <v>100</v>
      </c>
      <c r="G44" s="292"/>
      <c r="H44" s="53">
        <f>SUMIF(126:126,G44,127:127)-SUMIF(126:126,C44,127:127)+100</f>
        <v>100</v>
      </c>
      <c r="I44" s="292"/>
      <c r="J44" s="53">
        <f>SUMIF(126:126,I44,127:127)-SUMIF(126:126,C44,127:127)+100</f>
        <v>100</v>
      </c>
      <c r="K44" s="1806"/>
      <c r="L44" s="877"/>
      <c r="M44" s="878"/>
      <c r="N44" s="878"/>
      <c r="O44" s="878"/>
      <c r="P44" s="3944"/>
      <c r="Q44" s="1403">
        <f t="shared" si="11"/>
        <v>111</v>
      </c>
      <c r="R44" s="552" t="s">
        <v>21</v>
      </c>
      <c r="S44" s="553">
        <f t="shared" si="12"/>
        <v>100</v>
      </c>
      <c r="T44" s="552" t="s">
        <v>21</v>
      </c>
      <c r="U44" s="553">
        <f t="shared" si="13"/>
        <v>100</v>
      </c>
      <c r="V44" s="552" t="s">
        <v>21</v>
      </c>
      <c r="W44" s="553">
        <f t="shared" si="14"/>
        <v>100</v>
      </c>
      <c r="X44" s="554"/>
      <c r="Y44" s="3946"/>
      <c r="Z44" s="40">
        <f t="shared" si="18"/>
        <v>111</v>
      </c>
      <c r="AA44" s="555">
        <f t="shared" si="15"/>
        <v>1</v>
      </c>
      <c r="AB44" s="555">
        <f t="shared" si="16"/>
        <v>1</v>
      </c>
      <c r="AC44" s="555">
        <f t="shared" si="17"/>
        <v>1</v>
      </c>
    </row>
    <row r="45" spans="1:29" ht="15">
      <c r="A45" s="295"/>
      <c r="B45" s="1063">
        <v>111</v>
      </c>
      <c r="C45" s="257"/>
      <c r="D45" s="258">
        <v>100</v>
      </c>
      <c r="E45" s="257"/>
      <c r="F45" s="284">
        <f>SUMIF(128:128,E45,129:129)-SUMIF(128:128,C45,129:129)+100</f>
        <v>100</v>
      </c>
      <c r="G45" s="257"/>
      <c r="H45" s="258">
        <f>SUMIF(128:128,G45,129:129)-SUMIF(128:128,C45,129:129)+100</f>
        <v>100</v>
      </c>
      <c r="I45" s="257"/>
      <c r="J45" s="258">
        <f>SUMIF(128:128,I45,129:129)-SUMIF(128:128,C45,129:129)+100</f>
        <v>100</v>
      </c>
      <c r="K45" s="1806"/>
      <c r="L45" s="885"/>
      <c r="M45" s="876"/>
      <c r="N45" s="876"/>
      <c r="O45" s="876"/>
      <c r="P45" s="3944"/>
      <c r="Q45" s="1412">
        <f t="shared" si="11"/>
        <v>111</v>
      </c>
      <c r="R45" s="556" t="s">
        <v>21</v>
      </c>
      <c r="S45" s="557">
        <f t="shared" si="12"/>
        <v>100</v>
      </c>
      <c r="T45" s="556" t="s">
        <v>21</v>
      </c>
      <c r="U45" s="557">
        <f t="shared" si="13"/>
        <v>100</v>
      </c>
      <c r="V45" s="556" t="s">
        <v>21</v>
      </c>
      <c r="W45" s="557">
        <f t="shared" si="14"/>
        <v>100</v>
      </c>
      <c r="X45" s="1415"/>
      <c r="Y45" s="3946"/>
      <c r="Z45" s="1416">
        <f t="shared" si="18"/>
        <v>111</v>
      </c>
      <c r="AA45" s="1413">
        <f t="shared" si="15"/>
        <v>1</v>
      </c>
      <c r="AB45" s="1413">
        <f t="shared" si="16"/>
        <v>1</v>
      </c>
      <c r="AC45" s="1413">
        <f t="shared" si="17"/>
        <v>1</v>
      </c>
    </row>
    <row r="46" spans="1:29" ht="15.75" thickBot="1">
      <c r="A46" s="301"/>
      <c r="B46" s="1807">
        <v>111</v>
      </c>
      <c r="C46" s="260"/>
      <c r="D46" s="261">
        <v>100</v>
      </c>
      <c r="E46" s="260"/>
      <c r="F46" s="262">
        <f>SUMIF(130:130,E46,131:131)-SUMIF(130:130,C46,131:131)+100</f>
        <v>100</v>
      </c>
      <c r="G46" s="260"/>
      <c r="H46" s="261">
        <f>SUMIF(130:130,G46,131:131)-SUMIF(130:130,C46,131:131)+100</f>
        <v>100</v>
      </c>
      <c r="I46" s="260"/>
      <c r="J46" s="261">
        <f>SUMIF(130:130,I46,131:131)-SUMIF(130:130,C46,131:131)+100</f>
        <v>100</v>
      </c>
      <c r="K46" s="1806"/>
      <c r="L46" s="885"/>
      <c r="M46" s="876"/>
      <c r="N46" s="876"/>
      <c r="O46" s="876"/>
      <c r="P46" s="3945"/>
      <c r="Q46" s="1412">
        <f t="shared" si="11"/>
        <v>111</v>
      </c>
      <c r="R46" s="556" t="s">
        <v>20</v>
      </c>
      <c r="S46" s="557">
        <f t="shared" si="12"/>
        <v>100</v>
      </c>
      <c r="T46" s="556" t="s">
        <v>20</v>
      </c>
      <c r="U46" s="557">
        <f t="shared" si="13"/>
        <v>100</v>
      </c>
      <c r="V46" s="556" t="s">
        <v>20</v>
      </c>
      <c r="W46" s="557">
        <f t="shared" si="14"/>
        <v>100</v>
      </c>
      <c r="X46" s="1415"/>
      <c r="Y46" s="3947"/>
      <c r="Z46" s="1416">
        <f t="shared" si="18"/>
        <v>111</v>
      </c>
      <c r="AA46" s="1413">
        <f t="shared" si="15"/>
        <v>1</v>
      </c>
      <c r="AB46" s="1413">
        <f t="shared" si="16"/>
        <v>1</v>
      </c>
      <c r="AC46" s="1413">
        <f t="shared" si="17"/>
        <v>1</v>
      </c>
    </row>
    <row r="47" spans="1:29" ht="15">
      <c r="A47" s="302" t="s">
        <v>2583</v>
      </c>
      <c r="B47" s="303"/>
      <c r="C47" s="1073" t="s">
        <v>19</v>
      </c>
      <c r="D47" s="1074"/>
      <c r="E47" s="1075"/>
      <c r="F47" s="1076"/>
      <c r="G47" s="1077"/>
      <c r="H47" s="1078"/>
      <c r="I47" s="1075"/>
      <c r="J47" s="1078"/>
      <c r="K47" s="1826"/>
      <c r="L47" s="888"/>
      <c r="M47" s="889"/>
      <c r="N47" s="876"/>
      <c r="O47" s="889"/>
      <c r="P47" s="3939" t="str">
        <f>A47</f>
        <v>成交单价（元/平方米）</v>
      </c>
      <c r="Q47" s="3939"/>
      <c r="R47" s="3940">
        <f>E47</f>
        <v>0</v>
      </c>
      <c r="S47" s="3940"/>
      <c r="T47" s="3940">
        <f>G47</f>
        <v>0</v>
      </c>
      <c r="U47" s="3940"/>
      <c r="V47" s="3940">
        <f>I47</f>
        <v>0</v>
      </c>
      <c r="W47" s="3940"/>
      <c r="X47" s="541"/>
      <c r="Y47" s="563"/>
      <c r="Z47" s="541"/>
      <c r="AA47" s="541"/>
      <c r="AB47" s="541"/>
      <c r="AC47" s="541"/>
    </row>
    <row r="48" spans="1:29" ht="15.75" thickBot="1">
      <c r="A48" s="309" t="s">
        <v>2584</v>
      </c>
      <c r="B48" s="310"/>
      <c r="C48" s="1079" t="e">
        <f>R49</f>
        <v>#DIV/0!</v>
      </c>
      <c r="D48" s="1080"/>
      <c r="E48" s="1081" t="e">
        <f>R48</f>
        <v>#DIV/0!</v>
      </c>
      <c r="F48" s="1081"/>
      <c r="G48" s="1079" t="e">
        <f>T48</f>
        <v>#DIV/0!</v>
      </c>
      <c r="H48" s="1080"/>
      <c r="I48" s="1081" t="e">
        <f>V48</f>
        <v>#DIV/0!</v>
      </c>
      <c r="J48" s="1080"/>
      <c r="K48" s="1827"/>
      <c r="L48" s="888"/>
      <c r="M48" s="889"/>
      <c r="N48" s="889"/>
      <c r="O48" s="889"/>
      <c r="P48" s="3939" t="str">
        <f>A48</f>
        <v>比较价值（元/平方米）</v>
      </c>
      <c r="Q48" s="3939"/>
      <c r="R48" s="3940" t="e">
        <f>IF(F1="售价",ROUND(PRODUCT(R47,AA7:AA46),0),ROUND(PRODUCT(R47,AA7:AA46),1))</f>
        <v>#DIV/0!</v>
      </c>
      <c r="S48" s="3940"/>
      <c r="T48" s="3940" t="e">
        <f>IF(F1="售价",ROUND(PRODUCT(T47,AB7:AB46),0),ROUND(PRODUCT(T47,AB7:AB46),1))</f>
        <v>#DIV/0!</v>
      </c>
      <c r="U48" s="3940"/>
      <c r="V48" s="3940" t="e">
        <f>IF(F1="售价",ROUND(PRODUCT(V47,AC7:AC46),0),ROUND(PRODUCT(V47,AC7:AC46),1))</f>
        <v>#DIV/0!</v>
      </c>
      <c r="W48" s="3940"/>
      <c r="X48" s="541"/>
      <c r="Y48" s="541"/>
      <c r="Z48" s="541"/>
      <c r="AA48" s="541"/>
      <c r="AB48" s="541"/>
      <c r="AC48" s="541"/>
    </row>
    <row r="49" spans="1:29" ht="15.75" thickBot="1">
      <c r="A49" s="315" t="s">
        <v>2585</v>
      </c>
      <c r="B49" s="316"/>
      <c r="C49" s="1082" t="e">
        <f>R49</f>
        <v>#DIV/0!</v>
      </c>
      <c r="D49" s="1083"/>
      <c r="E49" s="1083"/>
      <c r="F49" s="1083"/>
      <c r="G49" s="1083"/>
      <c r="H49" s="1083"/>
      <c r="I49" s="1083"/>
      <c r="J49" s="1083"/>
      <c r="K49" s="1828"/>
      <c r="L49" s="888"/>
      <c r="M49" s="889"/>
      <c r="N49" s="889"/>
      <c r="O49" s="889"/>
      <c r="P49" s="3936" t="str">
        <f>A49</f>
        <v>估价对象XX用房的比较价值（楼面单价，元/平方米）</v>
      </c>
      <c r="Q49" s="3937"/>
      <c r="R49" s="3938" t="e">
        <f>IF(F1="售价",ROUND(AVERAGE(R48:V48),0),ROUND(AVERAGE(R48:V48),1))</f>
        <v>#DIV/0!</v>
      </c>
      <c r="S49" s="3938"/>
      <c r="T49" s="3938"/>
      <c r="U49" s="3938"/>
      <c r="V49" s="3938"/>
      <c r="W49" s="3938"/>
      <c r="X49" s="541"/>
      <c r="Y49" s="541"/>
      <c r="Z49" s="541"/>
      <c r="AA49" s="541"/>
      <c r="AB49" s="541"/>
      <c r="AC49" s="541"/>
    </row>
    <row r="50" spans="1:29">
      <c r="A50" s="889"/>
      <c r="B50" s="889"/>
      <c r="C50" s="889"/>
      <c r="D50" s="889"/>
      <c r="E50" s="889"/>
      <c r="F50" s="889"/>
      <c r="G50" s="892"/>
      <c r="H50" s="889"/>
      <c r="I50" s="889"/>
      <c r="J50" s="889"/>
      <c r="K50" s="858"/>
      <c r="L50" s="859"/>
      <c r="M50" s="889"/>
      <c r="N50" s="889"/>
      <c r="O50" s="889"/>
    </row>
    <row r="51" spans="1:29">
      <c r="A51" s="889"/>
      <c r="B51" s="889"/>
      <c r="C51" s="889"/>
      <c r="D51" s="889"/>
      <c r="E51" s="889"/>
      <c r="F51" s="889"/>
      <c r="G51" s="889"/>
      <c r="H51" s="889"/>
      <c r="I51" s="889"/>
      <c r="J51" s="889"/>
      <c r="K51" s="858"/>
      <c r="L51" s="859"/>
      <c r="M51" s="889"/>
      <c r="N51" s="889"/>
      <c r="O51" s="889"/>
    </row>
    <row r="52" spans="1:29" ht="13.5" customHeight="1">
      <c r="A52" s="889"/>
      <c r="B52" s="889"/>
      <c r="C52" s="320" t="s">
        <v>2586</v>
      </c>
      <c r="D52" s="321"/>
      <c r="E52" s="322" t="e">
        <f>IF(E47&lt;E48,E48/E47-1,E47/E48-1)</f>
        <v>#DIV/0!</v>
      </c>
      <c r="F52" s="323" t="e">
        <f>IF(OR(E52&gt;=0.3,E52&lt;=-0.3),"超过30%","")</f>
        <v>#DIV/0!</v>
      </c>
      <c r="G52" s="322" t="e">
        <f>IF(G47&lt;G48,G48/G47-1,G47/G48-1)</f>
        <v>#DIV/0!</v>
      </c>
      <c r="H52" s="323" t="e">
        <f>IF(OR(G52&gt;=0.3,G52&lt;=-0.3),"超过30%","")</f>
        <v>#DIV/0!</v>
      </c>
      <c r="I52" s="322" t="e">
        <f>IF(I47&lt;I48,I48/I47-1,I47/I48-1)</f>
        <v>#DIV/0!</v>
      </c>
      <c r="J52" s="323" t="e">
        <f>IF(OR(I52&gt;=0.3,I52&lt;=-0.3),"超过30%","")</f>
        <v>#DIV/0!</v>
      </c>
      <c r="K52" s="858"/>
      <c r="L52" s="859"/>
      <c r="M52" s="889"/>
      <c r="N52" s="889"/>
      <c r="O52" s="889"/>
    </row>
    <row r="53" spans="1:29" ht="13.5" customHeight="1">
      <c r="A53" s="889"/>
      <c r="B53" s="889"/>
      <c r="C53" s="320" t="s">
        <v>2587</v>
      </c>
      <c r="D53" s="324"/>
      <c r="E53" s="322" t="e">
        <f>IF(E48&lt;G48,G48/E48-1,E48/G48-1)</f>
        <v>#DIV/0!</v>
      </c>
      <c r="F53" s="323" t="e">
        <f>IF(OR(E53&gt;=0.2,E53&lt;=-0.2),"超过20%","")</f>
        <v>#DIV/0!</v>
      </c>
      <c r="G53" s="322" t="e">
        <f>IF(G48&lt;I48,I48/G48-1,G48/I48-1)</f>
        <v>#DIV/0!</v>
      </c>
      <c r="H53" s="323" t="e">
        <f>IF(OR(G53&gt;=0.2,G53&lt;=-0.2),"超过20%","")</f>
        <v>#DIV/0!</v>
      </c>
      <c r="I53" s="322" t="e">
        <f>IF(I48&lt;E48,E48/I48-1,I48/E48-1)</f>
        <v>#DIV/0!</v>
      </c>
      <c r="J53" s="323" t="e">
        <f>IF(OR(I53&gt;=0.2,I53&lt;=-0.2),"超过20%","")</f>
        <v>#DIV/0!</v>
      </c>
      <c r="K53" s="858"/>
      <c r="L53" s="859"/>
      <c r="M53" s="889"/>
      <c r="N53" s="889"/>
      <c r="O53" s="889"/>
    </row>
    <row r="54" spans="1:29" s="325" customFormat="1" ht="13.5" customHeight="1">
      <c r="A54" s="890"/>
      <c r="B54" s="890"/>
      <c r="C54" s="320" t="s">
        <v>2588</v>
      </c>
      <c r="D54" s="324"/>
      <c r="E54" s="322" t="e">
        <f>IF(E47&lt;G47,G47/E47-1,E47/G47-1)</f>
        <v>#DIV/0!</v>
      </c>
      <c r="F54" s="323" t="e">
        <f>IF(OR(E54&gt;=0.3,E54&lt;=-0.3),"超过30%","")</f>
        <v>#DIV/0!</v>
      </c>
      <c r="G54" s="322" t="e">
        <f>IF(G47&lt;I47,I47/G47-1,G47/I47-1)</f>
        <v>#DIV/0!</v>
      </c>
      <c r="H54" s="323" t="e">
        <f>IF(OR(G54&gt;=0.3,G54&lt;=-0.3),"超过30%","")</f>
        <v>#DIV/0!</v>
      </c>
      <c r="I54" s="322" t="e">
        <f>IF(I47&lt;E47,E47/I47-1,I47/E47-1)</f>
        <v>#DIV/0!</v>
      </c>
      <c r="J54" s="323" t="e">
        <f>IF(OR(I54&gt;=0.3,I54&lt;=-0.3),"超过30%","")</f>
        <v>#DIV/0!</v>
      </c>
      <c r="K54" s="893"/>
      <c r="L54" s="894"/>
      <c r="M54" s="890"/>
      <c r="N54" s="890"/>
      <c r="O54" s="890"/>
      <c r="P54" s="1830"/>
    </row>
    <row r="55" spans="1:29" s="325" customFormat="1">
      <c r="A55" s="890"/>
      <c r="B55" s="891"/>
      <c r="C55" s="895"/>
      <c r="D55" s="890"/>
      <c r="E55" s="890"/>
      <c r="F55" s="890"/>
      <c r="G55" s="890"/>
      <c r="H55" s="890"/>
      <c r="I55" s="890"/>
      <c r="J55" s="890"/>
      <c r="K55" s="893"/>
      <c r="L55" s="894"/>
      <c r="M55" s="890"/>
      <c r="N55" s="890"/>
      <c r="O55" s="890"/>
      <c r="P55" s="1830"/>
    </row>
    <row r="56" spans="1:29">
      <c r="A56" s="889"/>
      <c r="B56" s="891"/>
      <c r="C56" s="895"/>
      <c r="D56" s="889"/>
      <c r="E56" s="889"/>
      <c r="F56" s="889"/>
      <c r="G56" s="889"/>
      <c r="H56" s="889"/>
      <c r="I56" s="889"/>
      <c r="J56" s="889"/>
      <c r="K56" s="858"/>
      <c r="L56" s="859"/>
      <c r="M56" s="889"/>
      <c r="N56" s="889"/>
      <c r="O56" s="889"/>
    </row>
    <row r="57" spans="1:29" ht="21.75" thickBot="1">
      <c r="A57" s="545" t="s">
        <v>2589</v>
      </c>
      <c r="B57" s="541"/>
      <c r="C57" s="546"/>
      <c r="D57" s="546"/>
      <c r="E57" s="546"/>
      <c r="F57" s="547"/>
      <c r="G57" s="547"/>
      <c r="H57" s="546"/>
      <c r="I57" s="546"/>
      <c r="J57" s="546"/>
      <c r="K57" s="905"/>
      <c r="L57" s="906"/>
      <c r="M57" s="904"/>
      <c r="N57" s="904"/>
      <c r="O57" s="904"/>
      <c r="P57" s="1831"/>
      <c r="Q57" s="327"/>
    </row>
    <row r="58" spans="1:29" s="331" customFormat="1" ht="15">
      <c r="A58" s="328" t="s">
        <v>2590</v>
      </c>
      <c r="B58" s="329"/>
      <c r="C58" s="1239" t="str">
        <f>YEAR(C7)&amp;"-"&amp;MONTH(C7)</f>
        <v>2017-12</v>
      </c>
      <c r="D58" s="1238">
        <f>EDATE(C58,-1)</f>
        <v>43040</v>
      </c>
      <c r="E58" s="1238">
        <f>EDATE(D58,-1)</f>
        <v>43009</v>
      </c>
      <c r="F58" s="1238">
        <f t="shared" ref="F58:O58" si="19">EDATE(E58,-1)</f>
        <v>42979</v>
      </c>
      <c r="G58" s="1238">
        <f t="shared" si="19"/>
        <v>42948</v>
      </c>
      <c r="H58" s="1238">
        <f t="shared" si="19"/>
        <v>42917</v>
      </c>
      <c r="I58" s="1238">
        <f t="shared" si="19"/>
        <v>42887</v>
      </c>
      <c r="J58" s="1238">
        <f t="shared" si="19"/>
        <v>42856</v>
      </c>
      <c r="K58" s="1238">
        <f t="shared" si="19"/>
        <v>42826</v>
      </c>
      <c r="L58" s="1238">
        <f t="shared" si="19"/>
        <v>42795</v>
      </c>
      <c r="M58" s="1238">
        <f t="shared" si="19"/>
        <v>42767</v>
      </c>
      <c r="N58" s="1238">
        <f t="shared" si="19"/>
        <v>42736</v>
      </c>
      <c r="O58" s="1238">
        <f t="shared" si="19"/>
        <v>42705</v>
      </c>
      <c r="P58" s="1233"/>
    </row>
    <row r="59" spans="1:29" s="51" customFormat="1" ht="15">
      <c r="A59" s="332"/>
      <c r="B59" s="1832"/>
      <c r="C59" s="1236">
        <v>100</v>
      </c>
      <c r="D59" s="334"/>
      <c r="E59" s="335"/>
      <c r="F59" s="335"/>
      <c r="G59" s="335"/>
      <c r="H59" s="335"/>
      <c r="I59" s="335"/>
      <c r="J59" s="335"/>
      <c r="K59" s="335"/>
      <c r="L59" s="335"/>
      <c r="M59" s="336"/>
      <c r="N59" s="335"/>
      <c r="O59" s="336"/>
      <c r="P59" s="1833"/>
    </row>
    <row r="60" spans="1:29" s="51" customFormat="1" ht="15.75" thickBot="1">
      <c r="A60" s="338" t="s">
        <v>2591</v>
      </c>
      <c r="B60" s="339"/>
      <c r="C60" s="340"/>
      <c r="D60" s="341"/>
      <c r="E60" s="341"/>
      <c r="F60" s="341"/>
      <c r="G60" s="341"/>
      <c r="H60" s="341"/>
      <c r="I60" s="341"/>
      <c r="J60" s="341"/>
      <c r="K60" s="341"/>
      <c r="L60" s="341"/>
      <c r="M60" s="342"/>
      <c r="N60" s="341"/>
      <c r="O60" s="342"/>
      <c r="P60" s="1833"/>
      <c r="Q60" s="327"/>
    </row>
    <row r="61" spans="1:29" s="51" customFormat="1" ht="15">
      <c r="A61" s="344" t="s">
        <v>2592</v>
      </c>
      <c r="B61" s="333"/>
      <c r="C61" s="345" t="s">
        <v>2593</v>
      </c>
      <c r="D61" s="346"/>
      <c r="E61" s="346"/>
      <c r="F61" s="346"/>
      <c r="G61" s="346"/>
      <c r="H61" s="346"/>
      <c r="I61" s="346"/>
      <c r="J61" s="346"/>
      <c r="K61" s="346"/>
      <c r="L61" s="347"/>
      <c r="M61" s="348"/>
      <c r="N61" s="896"/>
      <c r="O61" s="896"/>
      <c r="P61" s="1834"/>
      <c r="Q61" s="327"/>
    </row>
    <row r="62" spans="1:29" s="51" customFormat="1" ht="15.75" thickBot="1">
      <c r="A62" s="344"/>
      <c r="B62" s="333"/>
      <c r="C62" s="334">
        <v>100</v>
      </c>
      <c r="D62" s="335"/>
      <c r="E62" s="335"/>
      <c r="F62" s="335"/>
      <c r="G62" s="335"/>
      <c r="H62" s="335"/>
      <c r="I62" s="335"/>
      <c r="J62" s="335"/>
      <c r="K62" s="335"/>
      <c r="L62" s="335"/>
      <c r="M62" s="337"/>
      <c r="N62" s="896"/>
      <c r="O62" s="896"/>
      <c r="P62" s="1833"/>
      <c r="Q62" s="327"/>
    </row>
    <row r="63" spans="1:29">
      <c r="A63" s="350" t="s">
        <v>2594</v>
      </c>
      <c r="B63" s="351" t="s">
        <v>2560</v>
      </c>
      <c r="C63" s="352">
        <f>C9</f>
        <v>0</v>
      </c>
      <c r="D63" s="353"/>
      <c r="E63" s="353"/>
      <c r="F63" s="353"/>
      <c r="G63" s="353"/>
      <c r="H63" s="353"/>
      <c r="I63" s="353"/>
      <c r="J63" s="353"/>
      <c r="K63" s="354"/>
      <c r="L63" s="355"/>
      <c r="M63" s="356"/>
      <c r="N63" s="897"/>
      <c r="O63" s="897"/>
      <c r="P63" s="1835"/>
      <c r="Q63" s="327"/>
    </row>
    <row r="64" spans="1:29" ht="15.75" thickBot="1">
      <c r="A64" s="357"/>
      <c r="B64" s="358"/>
      <c r="C64" s="359">
        <v>100</v>
      </c>
      <c r="D64" s="359"/>
      <c r="E64" s="359"/>
      <c r="F64" s="359"/>
      <c r="G64" s="359"/>
      <c r="H64" s="359"/>
      <c r="I64" s="359"/>
      <c r="J64" s="359"/>
      <c r="K64" s="359"/>
      <c r="L64" s="359"/>
      <c r="M64" s="360"/>
      <c r="N64" s="898"/>
      <c r="O64" s="898"/>
      <c r="P64" s="1835"/>
      <c r="Q64" s="327"/>
    </row>
    <row r="65" spans="1:17" ht="27.75" thickTop="1">
      <c r="A65" s="357"/>
      <c r="B65" s="361" t="s">
        <v>2563</v>
      </c>
      <c r="C65" s="362" t="s">
        <v>2595</v>
      </c>
      <c r="D65" s="362" t="s">
        <v>2596</v>
      </c>
      <c r="E65" s="362" t="s">
        <v>2597</v>
      </c>
      <c r="F65" s="362" t="s">
        <v>2598</v>
      </c>
      <c r="G65" s="362" t="s">
        <v>2599</v>
      </c>
      <c r="H65" s="362" t="s">
        <v>2600</v>
      </c>
      <c r="I65" s="362" t="s">
        <v>2601</v>
      </c>
      <c r="J65" s="362"/>
      <c r="K65" s="363"/>
      <c r="L65" s="364"/>
      <c r="M65" s="365"/>
      <c r="N65" s="897"/>
      <c r="O65" s="897"/>
      <c r="P65" s="1835"/>
      <c r="Q65" s="327"/>
    </row>
    <row r="66" spans="1:17" ht="15.75" thickBot="1">
      <c r="A66" s="357"/>
      <c r="B66" s="366"/>
      <c r="C66" s="367">
        <v>100</v>
      </c>
      <c r="D66" s="367">
        <f t="shared" ref="D66:I66" si="20">C66-$K10</f>
        <v>100</v>
      </c>
      <c r="E66" s="367">
        <f t="shared" si="20"/>
        <v>100</v>
      </c>
      <c r="F66" s="367">
        <f t="shared" si="20"/>
        <v>100</v>
      </c>
      <c r="G66" s="367">
        <f t="shared" si="20"/>
        <v>100</v>
      </c>
      <c r="H66" s="367">
        <f t="shared" si="20"/>
        <v>100</v>
      </c>
      <c r="I66" s="367">
        <f t="shared" si="20"/>
        <v>100</v>
      </c>
      <c r="J66" s="367"/>
      <c r="K66" s="367"/>
      <c r="L66" s="367"/>
      <c r="M66" s="368"/>
      <c r="N66" s="898"/>
      <c r="O66" s="898"/>
      <c r="P66" s="1835"/>
      <c r="Q66" s="327"/>
    </row>
    <row r="67" spans="1:17" ht="15.75" thickTop="1">
      <c r="A67" s="357"/>
      <c r="B67" s="369" t="s">
        <v>2564</v>
      </c>
      <c r="C67" s="370" t="str">
        <f>C68&amp;"（含）"&amp;"-"&amp;D68</f>
        <v>（含）-</v>
      </c>
      <c r="D67" s="370" t="str">
        <f t="shared" ref="D67:L67" si="21">D68&amp;"（含）"&amp;"-"&amp;E68</f>
        <v>（含）-</v>
      </c>
      <c r="E67" s="370" t="str">
        <f t="shared" si="21"/>
        <v>（含）-</v>
      </c>
      <c r="F67" s="370" t="str">
        <f t="shared" si="21"/>
        <v>（含）-</v>
      </c>
      <c r="G67" s="370" t="str">
        <f t="shared" si="21"/>
        <v>（含）-</v>
      </c>
      <c r="H67" s="370" t="str">
        <f t="shared" si="21"/>
        <v>（含）-</v>
      </c>
      <c r="I67" s="370" t="str">
        <f t="shared" si="21"/>
        <v>（含）-</v>
      </c>
      <c r="J67" s="370" t="str">
        <f t="shared" si="21"/>
        <v>（含）-</v>
      </c>
      <c r="K67" s="370" t="str">
        <f>K68&amp;"（含）"&amp;"-"&amp;L68</f>
        <v>（含）-</v>
      </c>
      <c r="L67" s="370" t="str">
        <f t="shared" si="21"/>
        <v>（含）-</v>
      </c>
      <c r="M67" s="271" t="str">
        <f>M68&amp;"（含）"&amp;"-"&amp;P68</f>
        <v>（含）-</v>
      </c>
      <c r="N67" s="898"/>
      <c r="O67" s="898"/>
      <c r="P67" s="1835"/>
      <c r="Q67" s="327"/>
    </row>
    <row r="68" spans="1:17" ht="15">
      <c r="A68" s="357"/>
      <c r="B68" s="371"/>
      <c r="C68" s="372"/>
      <c r="D68" s="372"/>
      <c r="E68" s="372"/>
      <c r="F68" s="372"/>
      <c r="G68" s="372"/>
      <c r="H68" s="372"/>
      <c r="I68" s="372"/>
      <c r="J68" s="372"/>
      <c r="K68" s="373"/>
      <c r="L68" s="374"/>
      <c r="M68" s="375"/>
      <c r="N68" s="897"/>
      <c r="O68" s="897"/>
      <c r="P68" s="1835"/>
      <c r="Q68" s="327"/>
    </row>
    <row r="69" spans="1:17" ht="15.75" thickBot="1">
      <c r="A69" s="357"/>
      <c r="B69" s="358"/>
      <c r="C69" s="367">
        <v>100</v>
      </c>
      <c r="D69" s="367">
        <f t="shared" ref="D69:M69" si="22">C69-$K11</f>
        <v>100</v>
      </c>
      <c r="E69" s="367">
        <f t="shared" si="22"/>
        <v>100</v>
      </c>
      <c r="F69" s="367">
        <f t="shared" si="22"/>
        <v>100</v>
      </c>
      <c r="G69" s="367">
        <f t="shared" si="22"/>
        <v>100</v>
      </c>
      <c r="H69" s="367">
        <f t="shared" si="22"/>
        <v>100</v>
      </c>
      <c r="I69" s="367">
        <f t="shared" si="22"/>
        <v>100</v>
      </c>
      <c r="J69" s="367">
        <f t="shared" si="22"/>
        <v>100</v>
      </c>
      <c r="K69" s="367">
        <f t="shared" si="22"/>
        <v>100</v>
      </c>
      <c r="L69" s="367">
        <f t="shared" si="22"/>
        <v>100</v>
      </c>
      <c r="M69" s="368">
        <f t="shared" si="22"/>
        <v>100</v>
      </c>
      <c r="N69" s="898"/>
      <c r="O69" s="898"/>
      <c r="P69" s="1835"/>
      <c r="Q69" s="327"/>
    </row>
    <row r="70" spans="1:17" s="294" customFormat="1" ht="15.75" thickTop="1">
      <c r="A70" s="376"/>
      <c r="B70" s="361">
        <f>B12</f>
        <v>111</v>
      </c>
      <c r="C70" s="377"/>
      <c r="D70" s="377"/>
      <c r="E70" s="377"/>
      <c r="F70" s="377"/>
      <c r="G70" s="377"/>
      <c r="H70" s="378"/>
      <c r="I70" s="378"/>
      <c r="J70" s="378"/>
      <c r="K70" s="378"/>
      <c r="L70" s="379"/>
      <c r="M70" s="380"/>
      <c r="N70" s="899"/>
      <c r="O70" s="899"/>
      <c r="P70" s="1836"/>
      <c r="Q70" s="382"/>
    </row>
    <row r="71" spans="1:17" s="294" customFormat="1" ht="15.75" thickBot="1">
      <c r="A71" s="376"/>
      <c r="B71" s="366"/>
      <c r="C71" s="383"/>
      <c r="D71" s="359"/>
      <c r="E71" s="359"/>
      <c r="F71" s="359"/>
      <c r="G71" s="359"/>
      <c r="H71" s="359"/>
      <c r="I71" s="359"/>
      <c r="J71" s="359"/>
      <c r="K71" s="359"/>
      <c r="L71" s="359"/>
      <c r="M71" s="360"/>
      <c r="N71" s="898"/>
      <c r="O71" s="898"/>
      <c r="P71" s="1836"/>
      <c r="Q71" s="382"/>
    </row>
    <row r="72" spans="1:17" s="294" customFormat="1" ht="15.75" thickTop="1">
      <c r="A72" s="376"/>
      <c r="B72" s="361">
        <f>B13</f>
        <v>111</v>
      </c>
      <c r="C72" s="377"/>
      <c r="D72" s="377"/>
      <c r="E72" s="377"/>
      <c r="F72" s="377"/>
      <c r="G72" s="377"/>
      <c r="H72" s="378"/>
      <c r="I72" s="378"/>
      <c r="J72" s="378"/>
      <c r="K72" s="378"/>
      <c r="L72" s="379"/>
      <c r="M72" s="380"/>
      <c r="N72" s="899"/>
      <c r="O72" s="899"/>
      <c r="P72" s="1837"/>
      <c r="Q72" s="384"/>
    </row>
    <row r="73" spans="1:17" s="294" customFormat="1" ht="15.75" thickBot="1">
      <c r="A73" s="376"/>
      <c r="B73" s="366"/>
      <c r="C73" s="383"/>
      <c r="D73" s="383"/>
      <c r="E73" s="383"/>
      <c r="F73" s="383"/>
      <c r="G73" s="383"/>
      <c r="H73" s="385"/>
      <c r="I73" s="385"/>
      <c r="J73" s="385"/>
      <c r="K73" s="385"/>
      <c r="L73" s="385"/>
      <c r="M73" s="386"/>
      <c r="N73" s="899"/>
      <c r="O73" s="899"/>
      <c r="P73" s="1836"/>
      <c r="Q73" s="382"/>
    </row>
    <row r="74" spans="1:17" s="294" customFormat="1" ht="15.75" thickTop="1">
      <c r="A74" s="376"/>
      <c r="B74" s="369">
        <f>B14</f>
        <v>111</v>
      </c>
      <c r="C74" s="377"/>
      <c r="D74" s="377"/>
      <c r="E74" s="377"/>
      <c r="F74" s="377"/>
      <c r="G74" s="346"/>
      <c r="H74" s="387"/>
      <c r="I74" s="387"/>
      <c r="J74" s="387"/>
      <c r="K74" s="387"/>
      <c r="L74" s="388"/>
      <c r="M74" s="389"/>
      <c r="N74" s="899"/>
      <c r="O74" s="899"/>
      <c r="P74" s="1838"/>
      <c r="Q74" s="382"/>
    </row>
    <row r="75" spans="1:17" s="294" customFormat="1" ht="15.75" thickBot="1">
      <c r="A75" s="391"/>
      <c r="B75" s="392"/>
      <c r="C75" s="393"/>
      <c r="D75" s="393"/>
      <c r="E75" s="393"/>
      <c r="F75" s="393"/>
      <c r="G75" s="393"/>
      <c r="H75" s="394"/>
      <c r="I75" s="394"/>
      <c r="J75" s="394"/>
      <c r="K75" s="394"/>
      <c r="L75" s="394"/>
      <c r="M75" s="395"/>
      <c r="N75" s="899"/>
      <c r="O75" s="899"/>
      <c r="P75" s="1836"/>
      <c r="Q75" s="382"/>
    </row>
    <row r="76" spans="1:17">
      <c r="A76" s="350" t="s">
        <v>2565</v>
      </c>
      <c r="B76" s="351" t="s">
        <v>2602</v>
      </c>
      <c r="C76" s="396" t="s">
        <v>2603</v>
      </c>
      <c r="D76" s="396" t="s">
        <v>2604</v>
      </c>
      <c r="E76" s="396" t="s">
        <v>2605</v>
      </c>
      <c r="F76" s="396" t="s">
        <v>2606</v>
      </c>
      <c r="G76" s="396" t="s">
        <v>2607</v>
      </c>
      <c r="H76" s="352"/>
      <c r="I76" s="352"/>
      <c r="J76" s="352"/>
      <c r="K76" s="397"/>
      <c r="L76" s="398"/>
      <c r="M76" s="399"/>
      <c r="N76" s="897"/>
      <c r="O76" s="897"/>
      <c r="P76" s="1839"/>
      <c r="Q76" s="327"/>
    </row>
    <row r="77" spans="1:17" ht="15.75" thickBot="1">
      <c r="A77" s="357"/>
      <c r="B77" s="366"/>
      <c r="C77" s="367">
        <v>100</v>
      </c>
      <c r="D77" s="367">
        <f>C77-$K15</f>
        <v>100</v>
      </c>
      <c r="E77" s="367">
        <f>D77-$K15</f>
        <v>100</v>
      </c>
      <c r="F77" s="367">
        <f>E77-$K15</f>
        <v>100</v>
      </c>
      <c r="G77" s="367">
        <f>F77-$K15</f>
        <v>100</v>
      </c>
      <c r="H77" s="367"/>
      <c r="I77" s="367"/>
      <c r="J77" s="367"/>
      <c r="K77" s="367"/>
      <c r="L77" s="367"/>
      <c r="M77" s="368"/>
      <c r="N77" s="898"/>
      <c r="O77" s="898"/>
      <c r="P77" s="1835"/>
      <c r="Q77" s="327"/>
    </row>
    <row r="78" spans="1:17" ht="15.75" thickTop="1">
      <c r="A78" s="357"/>
      <c r="B78" s="361" t="s">
        <v>2608</v>
      </c>
      <c r="C78" s="401" t="s">
        <v>2603</v>
      </c>
      <c r="D78" s="401" t="s">
        <v>2604</v>
      </c>
      <c r="E78" s="401" t="s">
        <v>2605</v>
      </c>
      <c r="F78" s="401" t="s">
        <v>2606</v>
      </c>
      <c r="G78" s="401" t="s">
        <v>2607</v>
      </c>
      <c r="H78" s="362"/>
      <c r="I78" s="362"/>
      <c r="J78" s="362"/>
      <c r="K78" s="363"/>
      <c r="L78" s="364"/>
      <c r="M78" s="365"/>
      <c r="N78" s="897"/>
      <c r="O78" s="897"/>
      <c r="P78" s="1835"/>
      <c r="Q78" s="327"/>
    </row>
    <row r="79" spans="1:17" ht="15.75" thickBot="1">
      <c r="A79" s="357"/>
      <c r="B79" s="366"/>
      <c r="C79" s="367">
        <v>100</v>
      </c>
      <c r="D79" s="367">
        <f>C79-$K17</f>
        <v>100</v>
      </c>
      <c r="E79" s="367">
        <f>D79-$K17</f>
        <v>100</v>
      </c>
      <c r="F79" s="367">
        <f>E79-$K17</f>
        <v>100</v>
      </c>
      <c r="G79" s="367">
        <f>F79-$K17</f>
        <v>100</v>
      </c>
      <c r="H79" s="367"/>
      <c r="I79" s="367"/>
      <c r="J79" s="367"/>
      <c r="K79" s="367"/>
      <c r="L79" s="367"/>
      <c r="M79" s="368"/>
      <c r="N79" s="898"/>
      <c r="O79" s="898"/>
      <c r="P79" s="1835"/>
      <c r="Q79" s="327"/>
    </row>
    <row r="80" spans="1:17" ht="15.75" thickTop="1">
      <c r="A80" s="357"/>
      <c r="B80" s="361" t="s">
        <v>2609</v>
      </c>
      <c r="C80" s="401" t="s">
        <v>2603</v>
      </c>
      <c r="D80" s="401" t="s">
        <v>2604</v>
      </c>
      <c r="E80" s="401" t="s">
        <v>2605</v>
      </c>
      <c r="F80" s="401" t="s">
        <v>2606</v>
      </c>
      <c r="G80" s="401" t="s">
        <v>2607</v>
      </c>
      <c r="H80" s="362"/>
      <c r="I80" s="362"/>
      <c r="J80" s="362"/>
      <c r="K80" s="363"/>
      <c r="L80" s="364"/>
      <c r="M80" s="365"/>
      <c r="N80" s="897"/>
      <c r="O80" s="897"/>
      <c r="P80" s="1835"/>
      <c r="Q80" s="327"/>
    </row>
    <row r="81" spans="1:17" ht="15.75" thickBot="1">
      <c r="A81" s="357"/>
      <c r="B81" s="366"/>
      <c r="C81" s="367">
        <v>100</v>
      </c>
      <c r="D81" s="367">
        <f>C81-$K19</f>
        <v>100</v>
      </c>
      <c r="E81" s="367">
        <f>D81-$K19</f>
        <v>100</v>
      </c>
      <c r="F81" s="367">
        <f>E81-$K19</f>
        <v>100</v>
      </c>
      <c r="G81" s="367">
        <f>F81-$K19</f>
        <v>100</v>
      </c>
      <c r="H81" s="367"/>
      <c r="I81" s="367"/>
      <c r="J81" s="367"/>
      <c r="K81" s="367"/>
      <c r="L81" s="367"/>
      <c r="M81" s="368"/>
      <c r="N81" s="898"/>
      <c r="O81" s="898"/>
      <c r="P81" s="1835"/>
      <c r="Q81" s="327"/>
    </row>
    <row r="82" spans="1:17" ht="15.75" thickTop="1">
      <c r="A82" s="357"/>
      <c r="B82" s="369" t="s">
        <v>2103</v>
      </c>
      <c r="C82" s="362" t="s">
        <v>2610</v>
      </c>
      <c r="D82" s="362" t="s">
        <v>2611</v>
      </c>
      <c r="E82" s="362" t="s">
        <v>2612</v>
      </c>
      <c r="F82" s="362" t="s">
        <v>2613</v>
      </c>
      <c r="G82" s="362" t="s">
        <v>2614</v>
      </c>
      <c r="H82" s="362"/>
      <c r="I82" s="362"/>
      <c r="J82" s="362"/>
      <c r="K82" s="362"/>
      <c r="L82" s="362"/>
      <c r="M82" s="1059"/>
      <c r="N82" s="898"/>
      <c r="O82" s="898"/>
      <c r="P82" s="1835"/>
      <c r="Q82" s="327"/>
    </row>
    <row r="83" spans="1:17" ht="15.75" thickBot="1">
      <c r="A83" s="357"/>
      <c r="B83" s="369"/>
      <c r="C83" s="480">
        <v>100</v>
      </c>
      <c r="D83" s="480">
        <f>C83-$K21</f>
        <v>100</v>
      </c>
      <c r="E83" s="480">
        <f t="shared" ref="E83:G83" si="23">D83-$K21</f>
        <v>100</v>
      </c>
      <c r="F83" s="480">
        <f t="shared" si="23"/>
        <v>100</v>
      </c>
      <c r="G83" s="480">
        <f t="shared" si="23"/>
        <v>100</v>
      </c>
      <c r="H83" s="480"/>
      <c r="I83" s="480"/>
      <c r="J83" s="480"/>
      <c r="K83" s="480"/>
      <c r="L83" s="480"/>
      <c r="M83" s="273"/>
      <c r="N83" s="898"/>
      <c r="O83" s="898"/>
      <c r="P83" s="1835"/>
      <c r="Q83" s="327"/>
    </row>
    <row r="84" spans="1:17" ht="15.75" thickTop="1">
      <c r="A84" s="357"/>
      <c r="B84" s="361" t="s">
        <v>2615</v>
      </c>
      <c r="C84" s="401" t="s">
        <v>2603</v>
      </c>
      <c r="D84" s="401" t="s">
        <v>2604</v>
      </c>
      <c r="E84" s="401" t="s">
        <v>2605</v>
      </c>
      <c r="F84" s="401" t="s">
        <v>2606</v>
      </c>
      <c r="G84" s="401" t="s">
        <v>2607</v>
      </c>
      <c r="H84" s="362"/>
      <c r="I84" s="362"/>
      <c r="J84" s="362"/>
      <c r="K84" s="363"/>
      <c r="L84" s="364"/>
      <c r="M84" s="365"/>
      <c r="N84" s="897"/>
      <c r="O84" s="897"/>
      <c r="P84" s="1835"/>
      <c r="Q84" s="327"/>
    </row>
    <row r="85" spans="1:17" ht="15.75" thickBot="1">
      <c r="A85" s="357"/>
      <c r="B85" s="366"/>
      <c r="C85" s="367">
        <v>100</v>
      </c>
      <c r="D85" s="367">
        <f>C85-$K23</f>
        <v>100</v>
      </c>
      <c r="E85" s="367">
        <f>D85-$K23</f>
        <v>100</v>
      </c>
      <c r="F85" s="367">
        <f>E85-$K23</f>
        <v>100</v>
      </c>
      <c r="G85" s="367">
        <f>F85-$K23</f>
        <v>100</v>
      </c>
      <c r="H85" s="367"/>
      <c r="I85" s="367"/>
      <c r="J85" s="367"/>
      <c r="K85" s="367"/>
      <c r="L85" s="367"/>
      <c r="M85" s="368"/>
      <c r="N85" s="898"/>
      <c r="O85" s="898"/>
      <c r="P85" s="1835"/>
      <c r="Q85" s="327"/>
    </row>
    <row r="86" spans="1:17" s="51" customFormat="1" ht="15.75" thickTop="1">
      <c r="A86" s="402"/>
      <c r="B86" s="361" t="s">
        <v>2616</v>
      </c>
      <c r="C86" s="377"/>
      <c r="D86" s="377"/>
      <c r="E86" s="377"/>
      <c r="F86" s="377"/>
      <c r="G86" s="377"/>
      <c r="H86" s="377"/>
      <c r="I86" s="377"/>
      <c r="J86" s="377"/>
      <c r="K86" s="377"/>
      <c r="L86" s="403"/>
      <c r="M86" s="404"/>
      <c r="N86" s="896"/>
      <c r="O86" s="896"/>
      <c r="P86" s="1835"/>
      <c r="Q86" s="327"/>
    </row>
    <row r="87" spans="1:17" s="51" customFormat="1" ht="15.75" thickBot="1">
      <c r="A87" s="402"/>
      <c r="B87" s="366"/>
      <c r="C87" s="405">
        <v>100</v>
      </c>
      <c r="D87" s="367">
        <f t="shared" ref="D87:M87" si="24">$C$87-($C$86-D86)*$K$25</f>
        <v>100</v>
      </c>
      <c r="E87" s="367">
        <f t="shared" si="24"/>
        <v>100</v>
      </c>
      <c r="F87" s="367">
        <f t="shared" si="24"/>
        <v>100</v>
      </c>
      <c r="G87" s="367">
        <f t="shared" si="24"/>
        <v>100</v>
      </c>
      <c r="H87" s="367">
        <f t="shared" si="24"/>
        <v>100</v>
      </c>
      <c r="I87" s="367">
        <f t="shared" si="24"/>
        <v>100</v>
      </c>
      <c r="J87" s="367">
        <f t="shared" si="24"/>
        <v>100</v>
      </c>
      <c r="K87" s="367">
        <f t="shared" si="24"/>
        <v>100</v>
      </c>
      <c r="L87" s="367">
        <f t="shared" si="24"/>
        <v>100</v>
      </c>
      <c r="M87" s="367">
        <f t="shared" si="24"/>
        <v>100</v>
      </c>
      <c r="N87" s="898"/>
      <c r="O87" s="898"/>
      <c r="P87" s="1835"/>
      <c r="Q87" s="327"/>
    </row>
    <row r="88" spans="1:17" s="51" customFormat="1" ht="15.75" thickTop="1">
      <c r="A88" s="402"/>
      <c r="B88" s="361" t="s">
        <v>2617</v>
      </c>
      <c r="C88" s="377"/>
      <c r="D88" s="377"/>
      <c r="E88" s="377"/>
      <c r="F88" s="1840"/>
      <c r="G88" s="377"/>
      <c r="H88" s="377"/>
      <c r="I88" s="377"/>
      <c r="J88" s="377"/>
      <c r="K88" s="377"/>
      <c r="L88" s="377"/>
      <c r="M88" s="404"/>
      <c r="N88" s="896"/>
      <c r="O88" s="896"/>
      <c r="P88" s="1835"/>
      <c r="Q88" s="327"/>
    </row>
    <row r="89" spans="1:17" s="51" customFormat="1" ht="15.75" thickBot="1">
      <c r="A89" s="402"/>
      <c r="B89" s="366"/>
      <c r="C89" s="405">
        <v>100</v>
      </c>
      <c r="D89" s="367">
        <f t="shared" ref="D89:M89" si="25">C89-$K26</f>
        <v>100</v>
      </c>
      <c r="E89" s="367">
        <f t="shared" si="25"/>
        <v>100</v>
      </c>
      <c r="F89" s="367">
        <f t="shared" si="25"/>
        <v>100</v>
      </c>
      <c r="G89" s="367">
        <f t="shared" si="25"/>
        <v>100</v>
      </c>
      <c r="H89" s="367">
        <f t="shared" si="25"/>
        <v>100</v>
      </c>
      <c r="I89" s="367">
        <f t="shared" si="25"/>
        <v>100</v>
      </c>
      <c r="J89" s="367">
        <f t="shared" si="25"/>
        <v>100</v>
      </c>
      <c r="K89" s="367">
        <f t="shared" si="25"/>
        <v>100</v>
      </c>
      <c r="L89" s="367">
        <f t="shared" si="25"/>
        <v>100</v>
      </c>
      <c r="M89" s="367">
        <f t="shared" si="25"/>
        <v>100</v>
      </c>
      <c r="N89" s="898"/>
      <c r="O89" s="898"/>
      <c r="P89" s="1835"/>
      <c r="Q89" s="327"/>
    </row>
    <row r="90" spans="1:17" s="294" customFormat="1" ht="15.75" thickTop="1">
      <c r="A90" s="376"/>
      <c r="B90" s="361">
        <f>B27</f>
        <v>111</v>
      </c>
      <c r="C90" s="377"/>
      <c r="D90" s="377"/>
      <c r="E90" s="377"/>
      <c r="F90" s="377"/>
      <c r="G90" s="377"/>
      <c r="H90" s="378"/>
      <c r="I90" s="378"/>
      <c r="J90" s="378"/>
      <c r="K90" s="378"/>
      <c r="L90" s="379"/>
      <c r="M90" s="380"/>
      <c r="N90" s="899"/>
      <c r="O90" s="899"/>
      <c r="P90" s="1836"/>
      <c r="Q90" s="382"/>
    </row>
    <row r="91" spans="1:17" s="294" customFormat="1" ht="15.75" thickBot="1">
      <c r="A91" s="376"/>
      <c r="B91" s="366"/>
      <c r="C91" s="383"/>
      <c r="D91" s="383"/>
      <c r="E91" s="383"/>
      <c r="F91" s="383"/>
      <c r="G91" s="383"/>
      <c r="H91" s="385"/>
      <c r="I91" s="385"/>
      <c r="J91" s="385"/>
      <c r="K91" s="385"/>
      <c r="L91" s="385"/>
      <c r="M91" s="386"/>
      <c r="N91" s="899"/>
      <c r="O91" s="899"/>
      <c r="P91" s="1836"/>
      <c r="Q91" s="382"/>
    </row>
    <row r="92" spans="1:17" ht="15.75" thickTop="1">
      <c r="A92" s="357"/>
      <c r="B92" s="361">
        <f>B28</f>
        <v>111</v>
      </c>
      <c r="C92" s="377"/>
      <c r="D92" s="377"/>
      <c r="E92" s="377"/>
      <c r="F92" s="377"/>
      <c r="G92" s="406"/>
      <c r="H92" s="406"/>
      <c r="I92" s="406"/>
      <c r="J92" s="406"/>
      <c r="K92" s="407"/>
      <c r="L92" s="408"/>
      <c r="M92" s="409"/>
      <c r="N92" s="897"/>
      <c r="O92" s="897"/>
      <c r="P92" s="1835"/>
      <c r="Q92" s="327"/>
    </row>
    <row r="93" spans="1:17" ht="15.75" thickBot="1">
      <c r="A93" s="357"/>
      <c r="B93" s="366"/>
      <c r="C93" s="383"/>
      <c r="D93" s="359"/>
      <c r="E93" s="359"/>
      <c r="F93" s="359"/>
      <c r="G93" s="359"/>
      <c r="H93" s="359"/>
      <c r="I93" s="359"/>
      <c r="J93" s="359"/>
      <c r="K93" s="359"/>
      <c r="L93" s="359"/>
      <c r="M93" s="360"/>
      <c r="N93" s="898"/>
      <c r="O93" s="898"/>
      <c r="P93" s="1835"/>
      <c r="Q93" s="327"/>
    </row>
    <row r="94" spans="1:17" ht="15.75" thickTop="1">
      <c r="A94" s="357"/>
      <c r="B94" s="361">
        <f>B29</f>
        <v>111</v>
      </c>
      <c r="C94" s="377"/>
      <c r="D94" s="377"/>
      <c r="E94" s="377"/>
      <c r="F94" s="377"/>
      <c r="G94" s="406"/>
      <c r="H94" s="406"/>
      <c r="I94" s="406"/>
      <c r="J94" s="406"/>
      <c r="K94" s="407"/>
      <c r="L94" s="408"/>
      <c r="M94" s="409"/>
      <c r="N94" s="897"/>
      <c r="O94" s="897"/>
      <c r="P94" s="1835"/>
      <c r="Q94" s="327"/>
    </row>
    <row r="95" spans="1:17" ht="15.75" thickBot="1">
      <c r="A95" s="357"/>
      <c r="B95" s="366"/>
      <c r="C95" s="383"/>
      <c r="D95" s="383"/>
      <c r="E95" s="383"/>
      <c r="F95" s="383"/>
      <c r="G95" s="359"/>
      <c r="H95" s="359"/>
      <c r="I95" s="359"/>
      <c r="J95" s="359"/>
      <c r="K95" s="359"/>
      <c r="L95" s="359"/>
      <c r="M95" s="360"/>
      <c r="N95" s="898"/>
      <c r="O95" s="898"/>
      <c r="P95" s="1835"/>
      <c r="Q95" s="327"/>
    </row>
    <row r="96" spans="1:17" ht="15.75" thickTop="1">
      <c r="A96" s="357"/>
      <c r="B96" s="361">
        <f>B30</f>
        <v>111</v>
      </c>
      <c r="C96" s="377"/>
      <c r="D96" s="377"/>
      <c r="E96" s="377"/>
      <c r="F96" s="377"/>
      <c r="G96" s="406"/>
      <c r="H96" s="406"/>
      <c r="I96" s="406"/>
      <c r="J96" s="406"/>
      <c r="K96" s="407"/>
      <c r="L96" s="408"/>
      <c r="M96" s="409"/>
      <c r="N96" s="897"/>
      <c r="O96" s="897"/>
      <c r="P96" s="1835"/>
      <c r="Q96" s="327"/>
    </row>
    <row r="97" spans="1:17" ht="15.75" thickBot="1">
      <c r="A97" s="357"/>
      <c r="B97" s="366"/>
      <c r="C97" s="393"/>
      <c r="D97" s="393"/>
      <c r="E97" s="393"/>
      <c r="F97" s="393"/>
      <c r="G97" s="359"/>
      <c r="H97" s="359"/>
      <c r="I97" s="359"/>
      <c r="J97" s="359"/>
      <c r="K97" s="359"/>
      <c r="L97" s="359"/>
      <c r="M97" s="360"/>
      <c r="N97" s="898"/>
      <c r="O97" s="898"/>
      <c r="P97" s="1835"/>
      <c r="Q97" s="327"/>
    </row>
    <row r="98" spans="1:17" ht="15.75" thickTop="1">
      <c r="A98" s="357"/>
      <c r="B98" s="369">
        <f>B31</f>
        <v>111</v>
      </c>
      <c r="C98" s="410"/>
      <c r="D98" s="410"/>
      <c r="E98" s="410"/>
      <c r="F98" s="410"/>
      <c r="G98" s="410"/>
      <c r="H98" s="410"/>
      <c r="I98" s="410"/>
      <c r="J98" s="410"/>
      <c r="K98" s="411"/>
      <c r="L98" s="412"/>
      <c r="M98" s="413"/>
      <c r="N98" s="897"/>
      <c r="O98" s="897"/>
      <c r="P98" s="1835"/>
      <c r="Q98" s="327"/>
    </row>
    <row r="99" spans="1:17" ht="15.75" thickBot="1">
      <c r="A99" s="1841"/>
      <c r="B99" s="392"/>
      <c r="C99" s="414"/>
      <c r="D99" s="414"/>
      <c r="E99" s="414"/>
      <c r="F99" s="414"/>
      <c r="G99" s="414"/>
      <c r="H99" s="414"/>
      <c r="I99" s="414"/>
      <c r="J99" s="414"/>
      <c r="K99" s="414"/>
      <c r="L99" s="414"/>
      <c r="M99" s="415"/>
      <c r="N99" s="898"/>
      <c r="O99" s="898"/>
      <c r="P99" s="1835"/>
      <c r="Q99" s="327"/>
    </row>
    <row r="100" spans="1:17">
      <c r="A100" s="350" t="s">
        <v>2569</v>
      </c>
      <c r="B100" s="351" t="s">
        <v>2618</v>
      </c>
      <c r="C100" s="353"/>
      <c r="D100" s="353"/>
      <c r="E100" s="353"/>
      <c r="F100" s="353"/>
      <c r="G100" s="353"/>
      <c r="H100" s="353"/>
      <c r="I100" s="353"/>
      <c r="J100" s="353"/>
      <c r="K100" s="354"/>
      <c r="L100" s="355"/>
      <c r="M100" s="356"/>
      <c r="N100" s="897"/>
      <c r="O100" s="897"/>
      <c r="P100" s="1835"/>
      <c r="Q100" s="327"/>
    </row>
    <row r="101" spans="1:17" ht="15.75" thickBot="1">
      <c r="A101" s="357"/>
      <c r="B101" s="366"/>
      <c r="C101" s="367">
        <v>100</v>
      </c>
      <c r="D101" s="367">
        <f t="shared" ref="D101:M101" si="26">C101-$K32</f>
        <v>100</v>
      </c>
      <c r="E101" s="367">
        <f t="shared" si="26"/>
        <v>100</v>
      </c>
      <c r="F101" s="367">
        <f t="shared" si="26"/>
        <v>100</v>
      </c>
      <c r="G101" s="367">
        <f t="shared" si="26"/>
        <v>100</v>
      </c>
      <c r="H101" s="367">
        <f t="shared" si="26"/>
        <v>100</v>
      </c>
      <c r="I101" s="367">
        <f t="shared" si="26"/>
        <v>100</v>
      </c>
      <c r="J101" s="367">
        <f t="shared" si="26"/>
        <v>100</v>
      </c>
      <c r="K101" s="367">
        <f t="shared" si="26"/>
        <v>100</v>
      </c>
      <c r="L101" s="367">
        <f t="shared" si="26"/>
        <v>100</v>
      </c>
      <c r="M101" s="367">
        <f t="shared" si="26"/>
        <v>100</v>
      </c>
      <c r="N101" s="898"/>
      <c r="O101" s="898"/>
      <c r="P101" s="1835"/>
      <c r="Q101" s="327"/>
    </row>
    <row r="102" spans="1:17" ht="15.75" thickTop="1">
      <c r="A102" s="357"/>
      <c r="B102" s="361" t="s">
        <v>2619</v>
      </c>
      <c r="C102" s="401" t="str">
        <f>C103&amp;"(含)"&amp;"-"&amp;D103</f>
        <v>(含)-</v>
      </c>
      <c r="D102" s="401" t="str">
        <f t="shared" ref="D102:L102" si="27">D103&amp;"(含)"&amp;"-"&amp;E103</f>
        <v>(含)-</v>
      </c>
      <c r="E102" s="401" t="str">
        <f t="shared" si="27"/>
        <v>(含)-</v>
      </c>
      <c r="F102" s="401" t="str">
        <f t="shared" si="27"/>
        <v>(含)-</v>
      </c>
      <c r="G102" s="401" t="str">
        <f t="shared" si="27"/>
        <v>(含)-</v>
      </c>
      <c r="H102" s="401" t="str">
        <f t="shared" si="27"/>
        <v>(含)-</v>
      </c>
      <c r="I102" s="401" t="str">
        <f t="shared" si="27"/>
        <v>(含)-</v>
      </c>
      <c r="J102" s="401" t="str">
        <f t="shared" si="27"/>
        <v>(含)-</v>
      </c>
      <c r="K102" s="401" t="str">
        <f>K103&amp;"(含)"&amp;"-"&amp;L103</f>
        <v>(含)-</v>
      </c>
      <c r="L102" s="401" t="str">
        <f t="shared" si="27"/>
        <v>(含)-</v>
      </c>
      <c r="M102" s="401" t="str">
        <f>M103&amp;"(含)"&amp;"-"&amp;P103</f>
        <v>(含)-</v>
      </c>
      <c r="N102" s="896"/>
      <c r="O102" s="896"/>
      <c r="P102" s="1835"/>
      <c r="Q102" s="327"/>
    </row>
    <row r="103" spans="1:17" s="294" customFormat="1">
      <c r="A103" s="416"/>
      <c r="B103" s="417"/>
      <c r="C103" s="418"/>
      <c r="D103" s="418"/>
      <c r="E103" s="418"/>
      <c r="F103" s="418"/>
      <c r="G103" s="418"/>
      <c r="H103" s="418"/>
      <c r="I103" s="418"/>
      <c r="J103" s="419"/>
      <c r="K103" s="419"/>
      <c r="L103" s="420"/>
      <c r="M103" s="421"/>
      <c r="N103" s="899"/>
      <c r="O103" s="899"/>
      <c r="P103" s="1836"/>
      <c r="Q103" s="382"/>
    </row>
    <row r="104" spans="1:17" s="294" customFormat="1" ht="15.75" thickBot="1">
      <c r="A104" s="376"/>
      <c r="B104" s="366"/>
      <c r="C104" s="383"/>
      <c r="D104" s="359"/>
      <c r="E104" s="359"/>
      <c r="F104" s="359"/>
      <c r="G104" s="359"/>
      <c r="H104" s="359"/>
      <c r="I104" s="359"/>
      <c r="J104" s="359"/>
      <c r="K104" s="359"/>
      <c r="L104" s="359"/>
      <c r="M104" s="359"/>
      <c r="N104" s="898"/>
      <c r="O104" s="898"/>
      <c r="P104" s="1836"/>
      <c r="Q104" s="382"/>
    </row>
    <row r="105" spans="1:17" ht="15" thickTop="1">
      <c r="A105" s="422"/>
      <c r="B105" s="361" t="s">
        <v>2620</v>
      </c>
      <c r="C105" s="377"/>
      <c r="D105" s="377"/>
      <c r="E105" s="406"/>
      <c r="F105" s="406"/>
      <c r="G105" s="406"/>
      <c r="H105" s="406"/>
      <c r="I105" s="406"/>
      <c r="J105" s="406"/>
      <c r="K105" s="407"/>
      <c r="L105" s="408"/>
      <c r="M105" s="409"/>
      <c r="N105" s="897"/>
      <c r="O105" s="897"/>
      <c r="P105" s="1835"/>
      <c r="Q105" s="327"/>
    </row>
    <row r="106" spans="1:17" ht="15.75" thickBot="1">
      <c r="A106" s="357"/>
      <c r="B106" s="366"/>
      <c r="C106" s="367">
        <v>100</v>
      </c>
      <c r="D106" s="367">
        <f t="shared" ref="D106:M106" si="28">C106-$K34</f>
        <v>100</v>
      </c>
      <c r="E106" s="367">
        <f t="shared" si="28"/>
        <v>100</v>
      </c>
      <c r="F106" s="367">
        <f t="shared" si="28"/>
        <v>100</v>
      </c>
      <c r="G106" s="367">
        <f t="shared" si="28"/>
        <v>100</v>
      </c>
      <c r="H106" s="367">
        <f t="shared" si="28"/>
        <v>100</v>
      </c>
      <c r="I106" s="367">
        <f t="shared" si="28"/>
        <v>100</v>
      </c>
      <c r="J106" s="367">
        <f t="shared" si="28"/>
        <v>100</v>
      </c>
      <c r="K106" s="367">
        <f t="shared" si="28"/>
        <v>100</v>
      </c>
      <c r="L106" s="367">
        <f t="shared" si="28"/>
        <v>100</v>
      </c>
      <c r="M106" s="367">
        <f t="shared" si="28"/>
        <v>100</v>
      </c>
      <c r="N106" s="898"/>
      <c r="O106" s="898"/>
      <c r="P106" s="1835"/>
      <c r="Q106" s="327"/>
    </row>
    <row r="107" spans="1:17" ht="15" thickTop="1">
      <c r="A107" s="422"/>
      <c r="B107" s="361" t="s">
        <v>2621</v>
      </c>
      <c r="C107" s="406"/>
      <c r="D107" s="406"/>
      <c r="E107" s="406"/>
      <c r="F107" s="406"/>
      <c r="G107" s="406"/>
      <c r="H107" s="406"/>
      <c r="I107" s="406"/>
      <c r="J107" s="406"/>
      <c r="K107" s="407"/>
      <c r="L107" s="408"/>
      <c r="M107" s="409"/>
      <c r="N107" s="897"/>
      <c r="O107" s="897"/>
      <c r="P107" s="1835"/>
      <c r="Q107" s="327"/>
    </row>
    <row r="108" spans="1:17" ht="15.75" thickBot="1">
      <c r="A108" s="357"/>
      <c r="B108" s="366"/>
      <c r="C108" s="367">
        <v>100</v>
      </c>
      <c r="D108" s="367">
        <f t="shared" ref="D108:M108" si="29">C108-$K35</f>
        <v>100</v>
      </c>
      <c r="E108" s="367">
        <f t="shared" si="29"/>
        <v>100</v>
      </c>
      <c r="F108" s="367">
        <f t="shared" si="29"/>
        <v>100</v>
      </c>
      <c r="G108" s="367">
        <f t="shared" si="29"/>
        <v>100</v>
      </c>
      <c r="H108" s="367">
        <f t="shared" si="29"/>
        <v>100</v>
      </c>
      <c r="I108" s="367">
        <f t="shared" si="29"/>
        <v>100</v>
      </c>
      <c r="J108" s="367">
        <f t="shared" si="29"/>
        <v>100</v>
      </c>
      <c r="K108" s="367">
        <f t="shared" si="29"/>
        <v>100</v>
      </c>
      <c r="L108" s="367">
        <f t="shared" si="29"/>
        <v>100</v>
      </c>
      <c r="M108" s="367">
        <f t="shared" si="29"/>
        <v>100</v>
      </c>
      <c r="N108" s="898"/>
      <c r="O108" s="898"/>
      <c r="P108" s="1835"/>
      <c r="Q108" s="327"/>
    </row>
    <row r="109" spans="1:17" ht="15" thickTop="1">
      <c r="A109" s="422"/>
      <c r="B109" s="361" t="s">
        <v>2622</v>
      </c>
      <c r="C109" s="377"/>
      <c r="D109" s="377"/>
      <c r="E109" s="377"/>
      <c r="F109" s="406"/>
      <c r="G109" s="406"/>
      <c r="H109" s="406"/>
      <c r="I109" s="406"/>
      <c r="J109" s="406"/>
      <c r="K109" s="407"/>
      <c r="L109" s="408"/>
      <c r="M109" s="409"/>
      <c r="N109" s="897"/>
      <c r="O109" s="897"/>
      <c r="P109" s="1835"/>
      <c r="Q109" s="327"/>
    </row>
    <row r="110" spans="1:17" ht="15.75" thickBot="1">
      <c r="A110" s="357"/>
      <c r="B110" s="366"/>
      <c r="C110" s="367">
        <v>100</v>
      </c>
      <c r="D110" s="367">
        <f t="shared" ref="D110:M110" si="30">C110-$K36</f>
        <v>100</v>
      </c>
      <c r="E110" s="367">
        <f t="shared" si="30"/>
        <v>100</v>
      </c>
      <c r="F110" s="367">
        <f t="shared" si="30"/>
        <v>100</v>
      </c>
      <c r="G110" s="367">
        <f t="shared" si="30"/>
        <v>100</v>
      </c>
      <c r="H110" s="367">
        <f t="shared" si="30"/>
        <v>100</v>
      </c>
      <c r="I110" s="367">
        <f t="shared" si="30"/>
        <v>100</v>
      </c>
      <c r="J110" s="367">
        <f t="shared" si="30"/>
        <v>100</v>
      </c>
      <c r="K110" s="367">
        <f t="shared" si="30"/>
        <v>100</v>
      </c>
      <c r="L110" s="367">
        <f t="shared" si="30"/>
        <v>100</v>
      </c>
      <c r="M110" s="367">
        <f t="shared" si="30"/>
        <v>100</v>
      </c>
      <c r="N110" s="898"/>
      <c r="O110" s="898"/>
      <c r="P110" s="1835"/>
      <c r="Q110" s="327"/>
    </row>
    <row r="111" spans="1:17" s="294" customFormat="1" ht="15" thickTop="1">
      <c r="A111" s="416"/>
      <c r="B111" s="361" t="s">
        <v>2000</v>
      </c>
      <c r="C111" s="401" t="str">
        <f>C112&amp;"(含)"&amp;"-"&amp;D112</f>
        <v>0.5(含)-0.6</v>
      </c>
      <c r="D111" s="401" t="str">
        <f>D112&amp;"(含)"&amp;"-"&amp;E112</f>
        <v>0.6(含)-0.7</v>
      </c>
      <c r="E111" s="401" t="str">
        <f>E112&amp;"(含)"&amp;"-"&amp;F112</f>
        <v>0.7(含)-0.8</v>
      </c>
      <c r="F111" s="401" t="str">
        <f>F112&amp;"(含)"&amp;"-"&amp;G112</f>
        <v>0.8(含)-0.9</v>
      </c>
      <c r="G111" s="401" t="str">
        <f>G112&amp;"(含)"&amp;"-"&amp;ROUND(H112,0)&amp;"(含)"</f>
        <v>0.9(含)-1(含)</v>
      </c>
      <c r="H111" s="401" t="str">
        <f>ROUND(H112,0)&amp;"(含)"&amp;"-"&amp;I112</f>
        <v>1(含)-</v>
      </c>
      <c r="I111" s="401"/>
      <c r="J111" s="423"/>
      <c r="K111" s="423"/>
      <c r="L111" s="424"/>
      <c r="M111" s="425"/>
      <c r="N111" s="899"/>
      <c r="O111" s="899"/>
      <c r="P111" s="1836"/>
      <c r="Q111" s="382"/>
    </row>
    <row r="112" spans="1:17" s="294" customFormat="1">
      <c r="A112" s="416"/>
      <c r="B112" s="369"/>
      <c r="C112" s="426">
        <v>0.5</v>
      </c>
      <c r="D112" s="426">
        <v>0.6</v>
      </c>
      <c r="E112" s="426">
        <v>0.7</v>
      </c>
      <c r="F112" s="426">
        <v>0.8</v>
      </c>
      <c r="G112" s="426">
        <v>0.9</v>
      </c>
      <c r="H112" s="426">
        <v>1.0001</v>
      </c>
      <c r="I112" s="426"/>
      <c r="J112" s="427"/>
      <c r="K112" s="427"/>
      <c r="L112" s="428"/>
      <c r="M112" s="429"/>
      <c r="N112" s="899"/>
      <c r="O112" s="899"/>
      <c r="P112" s="1836"/>
      <c r="Q112" s="382"/>
    </row>
    <row r="113" spans="1:17" s="294" customFormat="1" ht="15.75" thickBot="1">
      <c r="A113" s="376"/>
      <c r="B113" s="366"/>
      <c r="C113" s="405">
        <v>100</v>
      </c>
      <c r="D113" s="367">
        <f>C113+$K37</f>
        <v>100</v>
      </c>
      <c r="E113" s="367">
        <f>D113+$K37</f>
        <v>100</v>
      </c>
      <c r="F113" s="367">
        <f>E113+$K37</f>
        <v>100</v>
      </c>
      <c r="G113" s="367">
        <f>F113+$K37</f>
        <v>100</v>
      </c>
      <c r="H113" s="367">
        <f>G113+$K37</f>
        <v>100</v>
      </c>
      <c r="I113" s="405"/>
      <c r="J113" s="430"/>
      <c r="K113" s="430"/>
      <c r="L113" s="430"/>
      <c r="M113" s="431"/>
      <c r="N113" s="899"/>
      <c r="O113" s="899"/>
      <c r="P113" s="1836"/>
      <c r="Q113" s="382"/>
    </row>
    <row r="114" spans="1:17" ht="15" thickTop="1">
      <c r="A114" s="422"/>
      <c r="B114" s="361" t="s">
        <v>2623</v>
      </c>
      <c r="C114" s="377"/>
      <c r="D114" s="377"/>
      <c r="E114" s="406"/>
      <c r="F114" s="406"/>
      <c r="G114" s="406"/>
      <c r="H114" s="406"/>
      <c r="I114" s="406"/>
      <c r="J114" s="406"/>
      <c r="K114" s="407"/>
      <c r="L114" s="408"/>
      <c r="M114" s="409"/>
      <c r="N114" s="897"/>
      <c r="O114" s="897"/>
      <c r="P114" s="1835"/>
      <c r="Q114" s="327"/>
    </row>
    <row r="115" spans="1:17" ht="15.75" thickBot="1">
      <c r="A115" s="357"/>
      <c r="B115" s="366"/>
      <c r="C115" s="367">
        <v>100</v>
      </c>
      <c r="D115" s="367">
        <f t="shared" ref="D115:M115" si="31">C115-$K38</f>
        <v>100</v>
      </c>
      <c r="E115" s="367">
        <f t="shared" si="31"/>
        <v>100</v>
      </c>
      <c r="F115" s="367">
        <f t="shared" si="31"/>
        <v>100</v>
      </c>
      <c r="G115" s="367">
        <f t="shared" si="31"/>
        <v>100</v>
      </c>
      <c r="H115" s="367">
        <f t="shared" si="31"/>
        <v>100</v>
      </c>
      <c r="I115" s="367">
        <f t="shared" si="31"/>
        <v>100</v>
      </c>
      <c r="J115" s="367">
        <f t="shared" si="31"/>
        <v>100</v>
      </c>
      <c r="K115" s="367">
        <f t="shared" si="31"/>
        <v>100</v>
      </c>
      <c r="L115" s="367">
        <f t="shared" si="31"/>
        <v>100</v>
      </c>
      <c r="M115" s="367">
        <f t="shared" si="31"/>
        <v>100</v>
      </c>
      <c r="N115" s="898"/>
      <c r="O115" s="898"/>
      <c r="P115" s="1835"/>
      <c r="Q115" s="327"/>
    </row>
    <row r="116" spans="1:17" ht="15" thickTop="1">
      <c r="A116" s="422"/>
      <c r="B116" s="361" t="s">
        <v>2624</v>
      </c>
      <c r="C116" s="377"/>
      <c r="D116" s="377"/>
      <c r="E116" s="377"/>
      <c r="F116" s="377"/>
      <c r="G116" s="377"/>
      <c r="H116" s="406"/>
      <c r="I116" s="406"/>
      <c r="J116" s="406"/>
      <c r="K116" s="407"/>
      <c r="L116" s="408"/>
      <c r="M116" s="409"/>
      <c r="N116" s="897"/>
      <c r="O116" s="897"/>
      <c r="P116" s="1835"/>
      <c r="Q116" s="327"/>
    </row>
    <row r="117" spans="1:17" ht="15.75" thickBot="1">
      <c r="A117" s="357"/>
      <c r="B117" s="366"/>
      <c r="C117" s="367">
        <v>100</v>
      </c>
      <c r="D117" s="367">
        <f>C117-$K39</f>
        <v>100</v>
      </c>
      <c r="E117" s="367">
        <f>D117-$K39</f>
        <v>100</v>
      </c>
      <c r="F117" s="367">
        <f>E117-$K39</f>
        <v>100</v>
      </c>
      <c r="G117" s="367">
        <f>F117-$K39</f>
        <v>100</v>
      </c>
      <c r="H117" s="367"/>
      <c r="I117" s="367"/>
      <c r="J117" s="367"/>
      <c r="K117" s="367"/>
      <c r="L117" s="367"/>
      <c r="M117" s="368"/>
      <c r="N117" s="898"/>
      <c r="O117" s="898"/>
      <c r="P117" s="1835"/>
      <c r="Q117" s="327"/>
    </row>
    <row r="118" spans="1:17" ht="15" thickTop="1">
      <c r="A118" s="422"/>
      <c r="B118" s="361" t="s">
        <v>2625</v>
      </c>
      <c r="C118" s="406"/>
      <c r="D118" s="406"/>
      <c r="E118" s="406"/>
      <c r="F118" s="406"/>
      <c r="G118" s="406"/>
      <c r="H118" s="406"/>
      <c r="I118" s="406"/>
      <c r="J118" s="406"/>
      <c r="K118" s="407"/>
      <c r="L118" s="408"/>
      <c r="M118" s="409"/>
      <c r="N118" s="897"/>
      <c r="O118" s="897"/>
      <c r="P118" s="1835"/>
      <c r="Q118" s="327"/>
    </row>
    <row r="119" spans="1:17" ht="15.75" thickBot="1">
      <c r="A119" s="357"/>
      <c r="B119" s="366"/>
      <c r="C119" s="367">
        <v>100</v>
      </c>
      <c r="D119" s="367">
        <f t="shared" ref="D119:M119" si="32">C119-$K40</f>
        <v>100</v>
      </c>
      <c r="E119" s="367">
        <f t="shared" si="32"/>
        <v>100</v>
      </c>
      <c r="F119" s="367">
        <f t="shared" si="32"/>
        <v>100</v>
      </c>
      <c r="G119" s="367">
        <f t="shared" si="32"/>
        <v>100</v>
      </c>
      <c r="H119" s="367">
        <f t="shared" si="32"/>
        <v>100</v>
      </c>
      <c r="I119" s="367">
        <f t="shared" si="32"/>
        <v>100</v>
      </c>
      <c r="J119" s="367">
        <f t="shared" si="32"/>
        <v>100</v>
      </c>
      <c r="K119" s="367">
        <f t="shared" si="32"/>
        <v>100</v>
      </c>
      <c r="L119" s="367">
        <f t="shared" si="32"/>
        <v>100</v>
      </c>
      <c r="M119" s="367">
        <f t="shared" si="32"/>
        <v>100</v>
      </c>
      <c r="N119" s="898"/>
      <c r="O119" s="898"/>
      <c r="P119" s="1835"/>
      <c r="Q119" s="327"/>
    </row>
    <row r="120" spans="1:17" s="294" customFormat="1" ht="28.5" thickTop="1">
      <c r="A120" s="416"/>
      <c r="B120" s="361" t="s">
        <v>2580</v>
      </c>
      <c r="C120" s="377"/>
      <c r="D120" s="377"/>
      <c r="E120" s="377"/>
      <c r="F120" s="377"/>
      <c r="G120" s="377"/>
      <c r="H120" s="377"/>
      <c r="I120" s="377"/>
      <c r="J120" s="377"/>
      <c r="K120" s="377"/>
      <c r="L120" s="403"/>
      <c r="M120" s="404"/>
      <c r="N120" s="899"/>
      <c r="O120" s="899"/>
      <c r="P120" s="1836"/>
      <c r="Q120" s="382"/>
    </row>
    <row r="121" spans="1:17" s="294" customFormat="1" ht="15.75" thickBot="1">
      <c r="A121" s="376"/>
      <c r="B121" s="358"/>
      <c r="C121" s="383"/>
      <c r="D121" s="359"/>
      <c r="E121" s="359"/>
      <c r="F121" s="359"/>
      <c r="G121" s="359"/>
      <c r="H121" s="359"/>
      <c r="I121" s="359"/>
      <c r="J121" s="359"/>
      <c r="K121" s="359"/>
      <c r="L121" s="359"/>
      <c r="M121" s="359"/>
      <c r="N121" s="899"/>
      <c r="O121" s="899"/>
      <c r="P121" s="1836"/>
      <c r="Q121" s="382"/>
    </row>
    <row r="122" spans="1:17" ht="15" thickTop="1">
      <c r="A122" s="422"/>
      <c r="B122" s="361" t="s">
        <v>2626</v>
      </c>
      <c r="C122" s="377"/>
      <c r="D122" s="377"/>
      <c r="E122" s="377"/>
      <c r="F122" s="406"/>
      <c r="G122" s="406"/>
      <c r="H122" s="406"/>
      <c r="I122" s="406"/>
      <c r="J122" s="406"/>
      <c r="K122" s="407"/>
      <c r="L122" s="408"/>
      <c r="M122" s="409"/>
      <c r="N122" s="897"/>
      <c r="O122" s="897"/>
      <c r="P122" s="1835"/>
      <c r="Q122" s="327"/>
    </row>
    <row r="123" spans="1:17" ht="15.75" thickBot="1">
      <c r="A123" s="357"/>
      <c r="B123" s="366"/>
      <c r="C123" s="367">
        <v>100</v>
      </c>
      <c r="D123" s="367">
        <f t="shared" ref="D123:M123" si="33">C123-$K42</f>
        <v>100</v>
      </c>
      <c r="E123" s="367">
        <f t="shared" si="33"/>
        <v>100</v>
      </c>
      <c r="F123" s="367">
        <f t="shared" si="33"/>
        <v>100</v>
      </c>
      <c r="G123" s="367">
        <f t="shared" si="33"/>
        <v>100</v>
      </c>
      <c r="H123" s="367">
        <f t="shared" si="33"/>
        <v>100</v>
      </c>
      <c r="I123" s="367">
        <f t="shared" si="33"/>
        <v>100</v>
      </c>
      <c r="J123" s="367">
        <f t="shared" si="33"/>
        <v>100</v>
      </c>
      <c r="K123" s="367">
        <f t="shared" si="33"/>
        <v>100</v>
      </c>
      <c r="L123" s="367">
        <f t="shared" si="33"/>
        <v>100</v>
      </c>
      <c r="M123" s="367">
        <f t="shared" si="33"/>
        <v>100</v>
      </c>
      <c r="N123" s="898"/>
      <c r="O123" s="898"/>
      <c r="P123" s="1835"/>
      <c r="Q123" s="327"/>
    </row>
    <row r="124" spans="1:17" ht="15" thickTop="1">
      <c r="A124" s="422"/>
      <c r="B124" s="361" t="s">
        <v>2627</v>
      </c>
      <c r="C124" s="401" t="s">
        <v>2603</v>
      </c>
      <c r="D124" s="401" t="s">
        <v>2604</v>
      </c>
      <c r="E124" s="401" t="s">
        <v>2605</v>
      </c>
      <c r="F124" s="401" t="s">
        <v>2606</v>
      </c>
      <c r="G124" s="401" t="s">
        <v>2607</v>
      </c>
      <c r="H124" s="362"/>
      <c r="I124" s="362"/>
      <c r="J124" s="362"/>
      <c r="K124" s="363"/>
      <c r="L124" s="364"/>
      <c r="M124" s="365"/>
      <c r="N124" s="897"/>
      <c r="O124" s="897"/>
      <c r="P124" s="1836"/>
      <c r="Q124" s="327"/>
    </row>
    <row r="125" spans="1:17" ht="15.75" thickBot="1">
      <c r="A125" s="357"/>
      <c r="B125" s="366"/>
      <c r="C125" s="367">
        <v>100</v>
      </c>
      <c r="D125" s="367">
        <f>C125-$K43</f>
        <v>100</v>
      </c>
      <c r="E125" s="367">
        <f>D125-$K43</f>
        <v>100</v>
      </c>
      <c r="F125" s="367">
        <f>E125-$K43</f>
        <v>100</v>
      </c>
      <c r="G125" s="367">
        <f>F125-$K43</f>
        <v>100</v>
      </c>
      <c r="H125" s="367"/>
      <c r="I125" s="367"/>
      <c r="J125" s="367"/>
      <c r="K125" s="367"/>
      <c r="L125" s="367"/>
      <c r="M125" s="368"/>
      <c r="N125" s="898"/>
      <c r="O125" s="898"/>
      <c r="P125" s="1835"/>
      <c r="Q125" s="327"/>
    </row>
    <row r="126" spans="1:17" s="294" customFormat="1" ht="15" thickTop="1">
      <c r="A126" s="416"/>
      <c r="B126" s="361">
        <f>B44</f>
        <v>111</v>
      </c>
      <c r="C126" s="377"/>
      <c r="D126" s="377"/>
      <c r="E126" s="377"/>
      <c r="F126" s="377"/>
      <c r="G126" s="377"/>
      <c r="H126" s="378"/>
      <c r="I126" s="378"/>
      <c r="J126" s="378"/>
      <c r="K126" s="378"/>
      <c r="L126" s="379"/>
      <c r="M126" s="380"/>
      <c r="N126" s="899"/>
      <c r="O126" s="899"/>
      <c r="P126" s="1836"/>
      <c r="Q126" s="382"/>
    </row>
    <row r="127" spans="1:17" s="294" customFormat="1" ht="15.75" thickBot="1">
      <c r="A127" s="376"/>
      <c r="B127" s="366"/>
      <c r="C127" s="383"/>
      <c r="D127" s="359"/>
      <c r="E127" s="359"/>
      <c r="F127" s="359"/>
      <c r="G127" s="383"/>
      <c r="H127" s="385"/>
      <c r="I127" s="385"/>
      <c r="J127" s="385"/>
      <c r="K127" s="385"/>
      <c r="L127" s="385"/>
      <c r="M127" s="386"/>
      <c r="N127" s="899"/>
      <c r="O127" s="899"/>
      <c r="P127" s="1836"/>
      <c r="Q127" s="382"/>
    </row>
    <row r="128" spans="1:17" ht="15" thickTop="1">
      <c r="A128" s="422"/>
      <c r="B128" s="361">
        <f>B45</f>
        <v>111</v>
      </c>
      <c r="C128" s="377"/>
      <c r="D128" s="377"/>
      <c r="E128" s="377"/>
      <c r="F128" s="377"/>
      <c r="G128" s="406"/>
      <c r="H128" s="406"/>
      <c r="I128" s="406"/>
      <c r="J128" s="406"/>
      <c r="K128" s="407"/>
      <c r="L128" s="408"/>
      <c r="M128" s="409"/>
      <c r="N128" s="897"/>
      <c r="O128" s="897"/>
      <c r="P128" s="1835"/>
      <c r="Q128" s="327"/>
    </row>
    <row r="129" spans="1:17" ht="15.75" thickBot="1">
      <c r="A129" s="357"/>
      <c r="B129" s="366"/>
      <c r="C129" s="383"/>
      <c r="D129" s="383"/>
      <c r="E129" s="383"/>
      <c r="F129" s="383"/>
      <c r="G129" s="359"/>
      <c r="H129" s="359"/>
      <c r="I129" s="359"/>
      <c r="J129" s="359"/>
      <c r="K129" s="359"/>
      <c r="L129" s="359"/>
      <c r="M129" s="360"/>
      <c r="N129" s="898"/>
      <c r="O129" s="898"/>
      <c r="P129" s="1835"/>
      <c r="Q129" s="327"/>
    </row>
    <row r="130" spans="1:17" ht="15" thickTop="1">
      <c r="A130" s="422"/>
      <c r="B130" s="369">
        <f>B46</f>
        <v>111</v>
      </c>
      <c r="C130" s="377"/>
      <c r="D130" s="377"/>
      <c r="E130" s="377"/>
      <c r="F130" s="377"/>
      <c r="G130" s="410"/>
      <c r="H130" s="410"/>
      <c r="I130" s="410"/>
      <c r="J130" s="410"/>
      <c r="K130" s="346"/>
      <c r="L130" s="347"/>
      <c r="M130" s="413"/>
      <c r="N130" s="897"/>
      <c r="O130" s="897"/>
      <c r="P130" s="1835"/>
      <c r="Q130" s="327"/>
    </row>
    <row r="131" spans="1:17" ht="15.75" thickBot="1">
      <c r="A131" s="1841"/>
      <c r="B131" s="392"/>
      <c r="C131" s="393"/>
      <c r="D131" s="393"/>
      <c r="E131" s="393"/>
      <c r="F131" s="393"/>
      <c r="G131" s="414"/>
      <c r="H131" s="414"/>
      <c r="I131" s="414"/>
      <c r="J131" s="414"/>
      <c r="K131" s="414"/>
      <c r="L131" s="414"/>
      <c r="M131" s="415"/>
      <c r="N131" s="898"/>
      <c r="O131" s="898"/>
      <c r="P131" s="1835"/>
      <c r="Q131" s="327"/>
    </row>
    <row r="136" spans="1:17" ht="15" thickBot="1">
      <c r="B136" s="1842" t="s">
        <v>2628</v>
      </c>
    </row>
    <row r="137" spans="1:17" ht="15">
      <c r="B137" s="1843" t="s">
        <v>2629</v>
      </c>
      <c r="C137" s="1844"/>
      <c r="D137" s="1844"/>
      <c r="E137" s="1844"/>
      <c r="F137" s="1844"/>
      <c r="G137" s="1845"/>
      <c r="H137" s="1846"/>
      <c r="I137" s="1847" t="s">
        <v>2630</v>
      </c>
      <c r="J137" s="1844"/>
      <c r="K137" s="1848"/>
    </row>
    <row r="138" spans="1:17" ht="15">
      <c r="B138" s="1849"/>
      <c r="C138" s="57" t="s">
        <v>2631</v>
      </c>
      <c r="D138" s="57" t="s">
        <v>2632</v>
      </c>
      <c r="E138" s="1850" t="s">
        <v>2633</v>
      </c>
      <c r="F138" s="1851" t="s">
        <v>2634</v>
      </c>
      <c r="G138" s="57" t="s">
        <v>2632</v>
      </c>
      <c r="H138" s="58" t="s">
        <v>2633</v>
      </c>
      <c r="I138" s="1852"/>
      <c r="J138" s="57" t="s">
        <v>2635</v>
      </c>
      <c r="K138" s="58" t="s">
        <v>2636</v>
      </c>
    </row>
    <row r="139" spans="1:17" ht="15">
      <c r="B139" s="837">
        <v>6</v>
      </c>
      <c r="C139" s="838">
        <v>96</v>
      </c>
      <c r="D139" s="1853" t="s">
        <v>2637</v>
      </c>
      <c r="E139" s="839">
        <v>100</v>
      </c>
      <c r="F139" s="840">
        <v>102.5</v>
      </c>
      <c r="G139" s="1853" t="s">
        <v>2637</v>
      </c>
      <c r="H139" s="841">
        <v>105</v>
      </c>
      <c r="I139" s="1854" t="s">
        <v>2638</v>
      </c>
      <c r="J139" s="838">
        <v>20</v>
      </c>
      <c r="K139" s="842">
        <f>C145/(J139-2)</f>
        <v>4.0555555555555553E-3</v>
      </c>
    </row>
    <row r="140" spans="1:17" ht="15">
      <c r="B140" s="843">
        <v>5</v>
      </c>
      <c r="C140" s="844">
        <v>100</v>
      </c>
      <c r="D140" s="844"/>
      <c r="E140" s="845"/>
      <c r="F140" s="846">
        <v>102</v>
      </c>
      <c r="G140" s="844"/>
      <c r="H140" s="847"/>
      <c r="I140" s="1855" t="s">
        <v>2639</v>
      </c>
      <c r="J140" s="141">
        <f>ROUNDUP((J139-1)/2,0)</f>
        <v>10</v>
      </c>
      <c r="K140" s="848">
        <v>100</v>
      </c>
    </row>
    <row r="141" spans="1:17" ht="15">
      <c r="B141" s="843">
        <v>4</v>
      </c>
      <c r="C141" s="844">
        <v>102</v>
      </c>
      <c r="D141" s="844"/>
      <c r="E141" s="845"/>
      <c r="F141" s="846">
        <v>101.5</v>
      </c>
      <c r="G141" s="844"/>
      <c r="H141" s="847"/>
      <c r="I141" s="1855" t="s">
        <v>2640</v>
      </c>
      <c r="J141" s="141">
        <v>1</v>
      </c>
      <c r="K141" s="849">
        <f>ROUND(100+(J141-J140)*K139*100,1)</f>
        <v>96.4</v>
      </c>
    </row>
    <row r="142" spans="1:17" ht="15">
      <c r="B142" s="843">
        <v>3</v>
      </c>
      <c r="C142" s="844">
        <v>103</v>
      </c>
      <c r="D142" s="844"/>
      <c r="E142" s="845"/>
      <c r="F142" s="846">
        <v>101</v>
      </c>
      <c r="G142" s="844"/>
      <c r="H142" s="847"/>
      <c r="I142" s="1855" t="s">
        <v>2641</v>
      </c>
      <c r="J142" s="141">
        <f>J139</f>
        <v>20</v>
      </c>
      <c r="K142" s="850">
        <v>95</v>
      </c>
    </row>
    <row r="143" spans="1:17" ht="15">
      <c r="B143" s="843">
        <v>2</v>
      </c>
      <c r="C143" s="844">
        <v>100</v>
      </c>
      <c r="D143" s="844"/>
      <c r="E143" s="845"/>
      <c r="F143" s="846">
        <v>100.5</v>
      </c>
      <c r="G143" s="844"/>
      <c r="H143" s="847"/>
      <c r="I143" s="1855" t="s">
        <v>2642</v>
      </c>
      <c r="J143" s="844">
        <v>15</v>
      </c>
      <c r="K143" s="849">
        <f>ROUND(100+(J143-J140)*K139*100,1)</f>
        <v>102</v>
      </c>
    </row>
    <row r="144" spans="1:17" ht="15">
      <c r="B144" s="843">
        <v>1</v>
      </c>
      <c r="C144" s="844">
        <v>98</v>
      </c>
      <c r="D144" s="1856" t="s">
        <v>2643</v>
      </c>
      <c r="E144" s="845">
        <v>102</v>
      </c>
      <c r="F144" s="851">
        <v>100</v>
      </c>
      <c r="G144" s="1856" t="s">
        <v>2643</v>
      </c>
      <c r="H144" s="847">
        <v>105</v>
      </c>
      <c r="I144" s="1855" t="s">
        <v>2642</v>
      </c>
      <c r="J144" s="844">
        <v>18</v>
      </c>
      <c r="K144" s="849">
        <f>ROUND(100+(J144-J140)*K139*100,1)</f>
        <v>103.2</v>
      </c>
    </row>
    <row r="145" spans="2:11" ht="15.75" thickBot="1">
      <c r="B145" s="1857" t="s">
        <v>2644</v>
      </c>
      <c r="C145" s="852">
        <f>ROUND(MAX(C139:C144)/MIN(C139:C144)-1,3)</f>
        <v>7.2999999999999995E-2</v>
      </c>
      <c r="D145" s="853"/>
      <c r="E145" s="853"/>
      <c r="F145" s="1858" t="s">
        <v>2645</v>
      </c>
      <c r="G145" s="1859"/>
      <c r="H145" s="1860"/>
      <c r="I145" s="1861" t="s">
        <v>2642</v>
      </c>
      <c r="J145" s="854">
        <v>8</v>
      </c>
      <c r="K145" s="855">
        <f>ROUND(100+(J145-J140)*K139*100,1)</f>
        <v>99.2</v>
      </c>
    </row>
    <row r="147" spans="2:11">
      <c r="B147" s="1842" t="s">
        <v>2646</v>
      </c>
    </row>
    <row r="148" spans="2:11">
      <c r="B148" s="1842" t="s">
        <v>2647</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36" priority="15" stopIfTrue="1" operator="containsText" text="超过">
      <formula>NOT(ISERROR(SEARCH("超过",F52)))</formula>
    </cfRule>
  </conditionalFormatting>
  <conditionalFormatting sqref="J54">
    <cfRule type="containsText" dxfId="135" priority="14" stopIfTrue="1" operator="containsText" text="超过">
      <formula>NOT(ISERROR(SEARCH("超过",J54)))</formula>
    </cfRule>
  </conditionalFormatting>
  <conditionalFormatting sqref="H54">
    <cfRule type="containsText" dxfId="134" priority="13" stopIfTrue="1" operator="containsText" text="超过">
      <formula>NOT(ISERROR(SEARCH("超过",H54)))</formula>
    </cfRule>
  </conditionalFormatting>
  <conditionalFormatting sqref="F54">
    <cfRule type="containsText" dxfId="133" priority="12" stopIfTrue="1" operator="containsText" text="超过">
      <formula>NOT(ISERROR(SEARCH("超过",F54)))</formula>
    </cfRule>
  </conditionalFormatting>
  <conditionalFormatting sqref="F53 H53 J53">
    <cfRule type="containsText" dxfId="132" priority="11" stopIfTrue="1" operator="containsText" text="超过">
      <formula>NOT(ISERROR(SEARCH("超过",F53)))</formula>
    </cfRule>
  </conditionalFormatting>
  <conditionalFormatting sqref="E52">
    <cfRule type="expression" dxfId="131" priority="10" stopIfTrue="1">
      <formula>$F$52="超过30%"</formula>
    </cfRule>
  </conditionalFormatting>
  <conditionalFormatting sqref="G54">
    <cfRule type="expression" dxfId="130" priority="8" stopIfTrue="1">
      <formula>$H$54="超过30%"</formula>
    </cfRule>
  </conditionalFormatting>
  <conditionalFormatting sqref="E53">
    <cfRule type="expression" dxfId="129" priority="7" stopIfTrue="1">
      <formula>$F$53="超过20%"</formula>
    </cfRule>
  </conditionalFormatting>
  <conditionalFormatting sqref="E54">
    <cfRule type="expression" dxfId="128" priority="6" stopIfTrue="1">
      <formula>$F$54="超过30%"</formula>
    </cfRule>
  </conditionalFormatting>
  <conditionalFormatting sqref="G52">
    <cfRule type="expression" dxfId="127" priority="5" stopIfTrue="1">
      <formula>$H$52="超过30%"</formula>
    </cfRule>
  </conditionalFormatting>
  <conditionalFormatting sqref="G53">
    <cfRule type="expression" dxfId="126" priority="4" stopIfTrue="1">
      <formula>$H$53="超过20%"</formula>
    </cfRule>
  </conditionalFormatting>
  <conditionalFormatting sqref="I52">
    <cfRule type="expression" dxfId="125" priority="3" stopIfTrue="1">
      <formula>$J$52="超过30%"</formula>
    </cfRule>
  </conditionalFormatting>
  <conditionalFormatting sqref="I53">
    <cfRule type="expression" dxfId="124" priority="2" stopIfTrue="1">
      <formula>$J$53="超过20%"</formula>
    </cfRule>
  </conditionalFormatting>
  <conditionalFormatting sqref="I54">
    <cfRule type="expression" dxfId="123"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544" customWidth="1"/>
    <col min="2" max="16384" width="9" style="1544"/>
  </cols>
  <sheetData>
    <row r="1" spans="1:1" ht="23.25">
      <c r="A1" s="1543" t="s">
        <v>1613</v>
      </c>
    </row>
    <row r="2" spans="1:1">
      <c r="A2" s="1545"/>
    </row>
    <row r="3" spans="1:1" ht="18">
      <c r="A3" s="1546" t="str">
        <f>项目基本情况!B5&amp;"："</f>
        <v>：</v>
      </c>
    </row>
    <row r="4" spans="1:1" ht="54">
      <c r="A4" s="1547" t="str">
        <f>"受贵公司委托，我公司对"&amp;项目基本情况!S1&amp;"进行了预评估。"</f>
        <v>受贵公司委托，我公司对福建省福州市仓山区盖山镇天水路6号（原天水路北侧）利嘉海峡商业城（二区）6A#、6B#、7A#、7B#、9#、11#、12#馆部分商业房地产抵押价值进行了预评估。</v>
      </c>
    </row>
    <row r="5" spans="1:1" ht="18.75">
      <c r="A5" s="1548" t="s">
        <v>1614</v>
      </c>
    </row>
    <row r="6" spans="1:1" ht="18.75">
      <c r="A6" s="1549" t="s">
        <v>1615</v>
      </c>
    </row>
    <row r="7" spans="1:1" ht="72">
      <c r="A7" s="154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福建省福州市仓山区盖山镇天水路6号（原天水路北侧）利嘉海峡商业城（二区）6A#、6B#、7A#、7B#、9#、11#、12#馆部分商业房地产，为所有。根据按容积率倒推，估价对象（分摊）出让国有建设用地使用权面积为13197.02平方米，建筑面积为44516.22平方米。</v>
      </c>
    </row>
    <row r="8" spans="1:1" ht="57.75">
      <c r="A8" s="1550" t="s">
        <v>1616</v>
      </c>
    </row>
    <row r="9" spans="1:1" ht="18.75">
      <c r="A9" s="1549" t="s">
        <v>1617</v>
      </c>
    </row>
    <row r="10" spans="1:1" ht="90">
      <c r="A10" s="154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福建省福州市仓山区盖山镇天水路6号（原天水路北侧）利嘉海峡商业城（二区）6A#、6B#、7A#、7B#、9#、11#、12#馆部分商业房地产,属开发建设的，该项目尚在开发建设中。根据按容积率倒推，估价对象（分摊）出让国有建设用地使用权面积为13197.02平方米，规划建筑面积为44516.22平方米。</v>
      </c>
    </row>
    <row r="11" spans="1:1" ht="76.5">
      <c r="A11" s="1550" t="s">
        <v>1618</v>
      </c>
    </row>
    <row r="12" spans="1:1" ht="18.75">
      <c r="A12" s="1548" t="s">
        <v>1619</v>
      </c>
    </row>
    <row r="13" spans="1:1" ht="38.25" customHeight="1">
      <c r="A13" s="1551" t="str">
        <f>IF(项目基本情况!B8="抵押",IF(项目基本情况!B5=项目基本情况!B6,定义!C51,定义!B51),定义!D51)</f>
        <v>为估价委托人了解估价对象房地产市场价值提供参考依据。</v>
      </c>
    </row>
    <row r="14" spans="1:1" ht="18.75">
      <c r="A14" s="1552" t="s">
        <v>1620</v>
      </c>
    </row>
    <row r="15" spans="1:1" ht="18">
      <c r="A15" s="1553" t="str">
        <f>TEXT(项目基本情况!D3,"yyyy年m月d日;;")&amp;IF(项目基本情况!D3=项目基本情况!B3,"（评估专业人员实地查勘之日）","")</f>
        <v>2017年12月2日</v>
      </c>
    </row>
    <row r="16" spans="1:1" ht="18.75">
      <c r="A16" s="1552" t="s">
        <v>1621</v>
      </c>
    </row>
    <row r="17" spans="1:1" ht="75">
      <c r="A17" s="1547" t="s">
        <v>1622</v>
      </c>
    </row>
    <row r="18" spans="1:1" ht="54">
      <c r="A18" s="154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12月2日，估价对象规划用途为，土地取得方式为出让，出让国有建设用地使用权剩余土地使用年限为，假定未设立法定优先受偿款下的房地产市场价值。</v>
      </c>
    </row>
    <row r="19" spans="1:1" ht="157.5" customHeight="1">
      <c r="A19" s="154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54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54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54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552" t="s">
        <v>1611</v>
      </c>
    </row>
    <row r="24" spans="1:1" ht="18">
      <c r="A24" s="1554" t="str">
        <f>"本次评估采用的主估价方法为"&amp;结果表!K4&amp;"和"&amp;结果表!L4&amp;"。"</f>
        <v>本次评估采用的主估价方法为比较法和收益法。</v>
      </c>
    </row>
    <row r="25" spans="1:1" ht="18">
      <c r="A25" s="1554"/>
    </row>
    <row r="26" spans="1:1" ht="18.75">
      <c r="A26" s="1555" t="s">
        <v>1612</v>
      </c>
    </row>
    <row r="27" spans="1:1">
      <c r="A27" s="1556"/>
    </row>
    <row r="28" spans="1:1">
      <c r="A28" s="1556"/>
    </row>
    <row r="29" spans="1:1">
      <c r="A29" s="1556"/>
    </row>
    <row r="30" spans="1:1">
      <c r="A30" s="1556"/>
    </row>
    <row r="31" spans="1:1">
      <c r="A31" s="1556"/>
    </row>
    <row r="32" spans="1:1">
      <c r="A32" s="1556"/>
    </row>
    <row r="33" spans="1:1">
      <c r="A33" s="1556"/>
    </row>
    <row r="34" spans="1:1">
      <c r="A34" s="1556"/>
    </row>
    <row r="35" spans="1:1">
      <c r="A35" s="1556"/>
    </row>
    <row r="36" spans="1:1">
      <c r="A36" s="1556"/>
    </row>
    <row r="37" spans="1:1">
      <c r="A37" s="1556"/>
    </row>
    <row r="38" spans="1:1">
      <c r="A38" s="1556"/>
    </row>
    <row r="39" spans="1:1">
      <c r="A39" s="1556"/>
    </row>
    <row r="40" spans="1:1">
      <c r="A40" s="1556"/>
    </row>
    <row r="41" spans="1:1">
      <c r="A41" s="1556"/>
    </row>
    <row r="42" spans="1:1">
      <c r="A42" s="1556"/>
    </row>
    <row r="43" spans="1:1">
      <c r="A43" s="1556"/>
    </row>
    <row r="44" spans="1:1">
      <c r="A44" s="1556"/>
    </row>
    <row r="45" spans="1:1">
      <c r="A45" s="1556"/>
    </row>
    <row r="46" spans="1:1">
      <c r="A46" s="1556"/>
    </row>
    <row r="47" spans="1:1">
      <c r="A47" s="1556"/>
    </row>
    <row r="48" spans="1:1">
      <c r="A48" s="1556"/>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0" zoomScaleNormal="90" zoomScaleSheetLayoutView="90" workbookViewId="0">
      <selection activeCell="C30" sqref="C30:C38"/>
    </sheetView>
  </sheetViews>
  <sheetFormatPr defaultRowHeight="12.75"/>
  <cols>
    <col min="1" max="1" width="9" style="3150" customWidth="1"/>
    <col min="2" max="2" width="20.625" style="3015" customWidth="1"/>
    <col min="3" max="3" width="11.875" style="3015" customWidth="1"/>
    <col min="4" max="4" width="40.5" style="3150" customWidth="1"/>
    <col min="5" max="5" width="15.75" style="3150" customWidth="1"/>
    <col min="6" max="6" width="10.625" style="3150" customWidth="1"/>
    <col min="7" max="7" width="4.875" style="3150" customWidth="1"/>
    <col min="8" max="8" width="8.5" style="3150" customWidth="1"/>
    <col min="9" max="9" width="21.25" style="3150" customWidth="1"/>
    <col min="10" max="10" width="12.25" style="3150" customWidth="1"/>
    <col min="11" max="11" width="45.125" style="3376" customWidth="1"/>
    <col min="12" max="12" width="16.375" style="3150" customWidth="1"/>
    <col min="13" max="13" width="13" style="3150" customWidth="1"/>
    <col min="14" max="14" width="13.75" style="3149" customWidth="1"/>
    <col min="15" max="15" width="5.125" style="3149" customWidth="1"/>
    <col min="16" max="16" width="25.75" style="3149" customWidth="1"/>
    <col min="17" max="17" width="13.75" style="3149" customWidth="1"/>
    <col min="18" max="18" width="20.5" style="3149" customWidth="1"/>
    <col min="19" max="19" width="13.25" style="3149" customWidth="1"/>
    <col min="20" max="37" width="9" style="3149"/>
    <col min="38" max="16384" width="9" style="3150"/>
  </cols>
  <sheetData>
    <row r="1" spans="1:37" s="3140" customFormat="1" ht="21">
      <c r="A1" s="3130" t="s">
        <v>1591</v>
      </c>
      <c r="B1" s="3131"/>
      <c r="C1" s="3132" t="s">
        <v>3080</v>
      </c>
      <c r="D1" s="3133" t="s">
        <v>70</v>
      </c>
      <c r="E1" s="3134" t="s">
        <v>1388</v>
      </c>
      <c r="F1" s="3134">
        <f ca="1">J53</f>
        <v>35.47</v>
      </c>
      <c r="G1" s="3135">
        <f>MATCH(C1,'数据-取费表'!A6:A16,0)+5</f>
        <v>6</v>
      </c>
      <c r="H1" s="3136"/>
      <c r="I1" s="3137"/>
      <c r="J1" s="3137"/>
      <c r="K1" s="3138"/>
      <c r="L1" s="3137"/>
      <c r="M1" s="3137"/>
      <c r="N1" s="3139"/>
      <c r="O1" s="3139"/>
      <c r="P1" s="3139"/>
      <c r="Q1" s="3139"/>
      <c r="R1" s="3139"/>
      <c r="S1" s="3139"/>
      <c r="T1" s="3139"/>
      <c r="U1" s="3139"/>
      <c r="V1" s="3139"/>
      <c r="W1" s="3139"/>
      <c r="X1" s="3139"/>
      <c r="Y1" s="3139"/>
      <c r="Z1" s="3139"/>
      <c r="AA1" s="3139"/>
      <c r="AB1" s="3139"/>
      <c r="AC1" s="3139"/>
      <c r="AD1" s="3139"/>
      <c r="AE1" s="3139"/>
      <c r="AF1" s="3139"/>
      <c r="AG1" s="3139"/>
      <c r="AH1" s="3139"/>
      <c r="AI1" s="3139"/>
      <c r="AJ1" s="3139"/>
      <c r="AK1" s="3139"/>
    </row>
    <row r="2" spans="1:37" ht="18" customHeight="1">
      <c r="A2" s="3141" t="s">
        <v>1517</v>
      </c>
      <c r="B2" s="3142">
        <f ca="1">C40+J29+L46</f>
        <v>40001</v>
      </c>
      <c r="C2" s="3143" t="s">
        <v>1518</v>
      </c>
      <c r="D2" s="3143"/>
      <c r="E2" s="3144"/>
      <c r="F2" s="3145"/>
      <c r="G2" s="3146"/>
      <c r="H2" s="3147"/>
      <c r="I2" s="3147"/>
      <c r="J2" s="3147"/>
      <c r="K2" s="3148"/>
      <c r="L2" s="3147"/>
      <c r="M2" s="3147"/>
    </row>
    <row r="3" spans="1:37" ht="18" customHeight="1" thickBot="1">
      <c r="A3" s="3151" t="s">
        <v>1519</v>
      </c>
      <c r="B3" s="3152">
        <f ca="1">IF(ISERROR(B2*10000/F43),0,ROUND(B2*10000/F43,0))</f>
        <v>25027</v>
      </c>
      <c r="C3" s="3143" t="s">
        <v>1520</v>
      </c>
      <c r="D3" s="3143"/>
      <c r="E3" s="3144"/>
      <c r="F3" s="3145"/>
      <c r="G3" s="3146"/>
      <c r="H3" s="3153" t="s">
        <v>1590</v>
      </c>
      <c r="I3" s="3147"/>
      <c r="J3" s="3147"/>
      <c r="K3" s="3148"/>
      <c r="L3" s="3147"/>
      <c r="M3" s="3147"/>
    </row>
    <row r="4" spans="1:37" ht="18" customHeight="1">
      <c r="A4" s="3154" t="s">
        <v>1397</v>
      </c>
      <c r="B4" s="3155" t="s">
        <v>1398</v>
      </c>
      <c r="C4" s="3155" t="s">
        <v>1399</v>
      </c>
      <c r="D4" s="3155" t="s">
        <v>1400</v>
      </c>
      <c r="E4" s="3156" t="s">
        <v>1401</v>
      </c>
      <c r="F4" s="3157"/>
      <c r="G4" s="3158"/>
      <c r="H4" s="3154" t="s">
        <v>1397</v>
      </c>
      <c r="I4" s="3155" t="s">
        <v>1398</v>
      </c>
      <c r="J4" s="3155" t="s">
        <v>1399</v>
      </c>
      <c r="K4" s="3155" t="s">
        <v>1400</v>
      </c>
      <c r="L4" s="3156" t="s">
        <v>1401</v>
      </c>
      <c r="M4" s="3157"/>
    </row>
    <row r="5" spans="1:37" ht="18" customHeight="1">
      <c r="A5" s="3159">
        <v>1</v>
      </c>
      <c r="B5" s="3160" t="s">
        <v>1402</v>
      </c>
      <c r="C5" s="3504">
        <f ca="1">C6+C10+C12</f>
        <v>1898</v>
      </c>
      <c r="D5" s="3162" t="s">
        <v>1403</v>
      </c>
      <c r="E5" s="3163"/>
      <c r="F5" s="3164"/>
      <c r="G5" s="3158"/>
      <c r="H5" s="3159">
        <v>1</v>
      </c>
      <c r="I5" s="3160" t="s">
        <v>1402</v>
      </c>
      <c r="J5" s="3161">
        <f ca="1">J6+J10+J12</f>
        <v>0</v>
      </c>
      <c r="K5" s="3162" t="s">
        <v>1403</v>
      </c>
      <c r="L5" s="3163"/>
      <c r="M5" s="3164"/>
    </row>
    <row r="6" spans="1:37" ht="18" customHeight="1">
      <c r="A6" s="3165" t="s">
        <v>1035</v>
      </c>
      <c r="B6" s="3952" t="s">
        <v>1404</v>
      </c>
      <c r="C6" s="3505">
        <f ca="1">ROUND(F6*F8*F7*(1-F9)/10000,0)</f>
        <v>1890</v>
      </c>
      <c r="D6" s="2584" t="s">
        <v>3039</v>
      </c>
      <c r="E6" s="3167" t="s">
        <v>1406</v>
      </c>
      <c r="F6" s="2726">
        <f ca="1">INDIRECT("'数据-取费表'!u"&amp;$G$1)</f>
        <v>3.6</v>
      </c>
      <c r="G6" s="3158"/>
      <c r="H6" s="3165" t="s">
        <v>1035</v>
      </c>
      <c r="I6" s="3952" t="s">
        <v>1404</v>
      </c>
      <c r="J6" s="3168">
        <f ca="1">ROUND(M6*M8*M7*(1-M9)/10000,0)</f>
        <v>0</v>
      </c>
      <c r="K6" s="2584" t="s">
        <v>3038</v>
      </c>
      <c r="L6" s="3167" t="s">
        <v>1406</v>
      </c>
      <c r="M6" s="2726">
        <f ca="1">INDIRECT("'数据-取费表'!z"&amp;$G$1)</f>
        <v>0</v>
      </c>
    </row>
    <row r="7" spans="1:37" ht="18" customHeight="1">
      <c r="A7" s="3169"/>
      <c r="B7" s="3953"/>
      <c r="C7" s="3506"/>
      <c r="D7" s="2210"/>
      <c r="E7" s="3171" t="s">
        <v>1407</v>
      </c>
      <c r="F7" s="2726">
        <f ca="1">IF(INDIRECT("'数据-取费表'!ah"&amp;$G$1)="",INDIRECT("'数据-取费表'!k"&amp;$G$1),INDIRECT("'数据-取费表'!ah"&amp;$G$1))</f>
        <v>15982.84</v>
      </c>
      <c r="G7" s="3158"/>
      <c r="H7" s="3172"/>
      <c r="I7" s="3953"/>
      <c r="J7" s="3173"/>
      <c r="K7" s="2210"/>
      <c r="L7" s="3167" t="s">
        <v>1407</v>
      </c>
      <c r="M7" s="2726">
        <f ca="1">F7</f>
        <v>15982.84</v>
      </c>
    </row>
    <row r="8" spans="1:37" ht="18" customHeight="1">
      <c r="A8" s="3172"/>
      <c r="B8" s="3953"/>
      <c r="C8" s="3507"/>
      <c r="D8" s="2210"/>
      <c r="E8" s="3167" t="s">
        <v>1408</v>
      </c>
      <c r="F8" s="2726">
        <f ca="1">INDIRECT("'数据-取费表'!ai"&amp;$G$1)</f>
        <v>365</v>
      </c>
      <c r="G8" s="3158"/>
      <c r="H8" s="3172"/>
      <c r="I8" s="3953"/>
      <c r="J8" s="3173"/>
      <c r="K8" s="2210"/>
      <c r="L8" s="3167" t="s">
        <v>1408</v>
      </c>
      <c r="M8" s="2726">
        <f ca="1">INDIRECT("'数据-取费表'!ai"&amp;$G$1)</f>
        <v>365</v>
      </c>
    </row>
    <row r="9" spans="1:37" ht="18" customHeight="1">
      <c r="A9" s="3172"/>
      <c r="B9" s="3954"/>
      <c r="C9" s="3507"/>
      <c r="D9" s="2210"/>
      <c r="E9" s="3167" t="s">
        <v>1409</v>
      </c>
      <c r="F9" s="3518">
        <f ca="1">INDIRECT("'数据-取费表'!w"&amp;$G$1)</f>
        <v>0.1</v>
      </c>
      <c r="G9" s="3158"/>
      <c r="H9" s="3172"/>
      <c r="I9" s="3954"/>
      <c r="J9" s="3173"/>
      <c r="K9" s="2210"/>
      <c r="L9" s="3174" t="s">
        <v>1409</v>
      </c>
      <c r="M9" s="3175">
        <f ca="1">INDIRECT("'数据-取费表'!ab"&amp;$G$1)</f>
        <v>0</v>
      </c>
    </row>
    <row r="10" spans="1:37" ht="18" customHeight="1">
      <c r="A10" s="3165" t="s">
        <v>1039</v>
      </c>
      <c r="B10" s="3176" t="s">
        <v>1410</v>
      </c>
      <c r="C10" s="3508">
        <f ca="1">ROUND(IF(F10="押一",F6*F8*F7/12*F11,IF(F10="押二",F6*F8*F7/12*2*F11,IF(F10="押三",F6*F8*F7/12*3*F11,C11*F11)))/10000,0)</f>
        <v>8</v>
      </c>
      <c r="D10" s="3177" t="s">
        <v>3040</v>
      </c>
      <c r="E10" s="3174" t="s">
        <v>1412</v>
      </c>
      <c r="F10" s="3178" t="s">
        <v>7162</v>
      </c>
      <c r="G10" s="3158"/>
      <c r="H10" s="3165" t="s">
        <v>1039</v>
      </c>
      <c r="I10" s="3176" t="s">
        <v>1410</v>
      </c>
      <c r="J10" s="3168">
        <f ca="1">ROUND(IF(M10="押一",M6*M8*M7/12*M11,IF(M10="押二",M6*M8*M7/12*2*M11,IF(M10="押三",M6*M8*M7/12*3*M11,J11*M11)))/10000,0)</f>
        <v>0</v>
      </c>
      <c r="K10" s="3177" t="s">
        <v>3041</v>
      </c>
      <c r="L10" s="3174" t="s">
        <v>1412</v>
      </c>
      <c r="M10" s="3178" t="s">
        <v>1413</v>
      </c>
    </row>
    <row r="11" spans="1:37" ht="18" customHeight="1">
      <c r="A11" s="3179"/>
      <c r="B11" s="3180" t="s">
        <v>1389</v>
      </c>
      <c r="C11" s="3509"/>
      <c r="D11" s="3182"/>
      <c r="E11" s="3174" t="s">
        <v>1414</v>
      </c>
      <c r="F11" s="3517">
        <f ca="1">'数据-取费表'!B39</f>
        <v>1.4999999999999999E-2</v>
      </c>
      <c r="G11" s="3158"/>
      <c r="H11" s="3183"/>
      <c r="I11" s="3180" t="s">
        <v>1389</v>
      </c>
      <c r="J11" s="3181"/>
      <c r="K11" s="2218"/>
      <c r="L11" s="3174" t="s">
        <v>1414</v>
      </c>
      <c r="M11" s="3184">
        <f ca="1">'数据-取费表'!B39</f>
        <v>1.4999999999999999E-2</v>
      </c>
    </row>
    <row r="12" spans="1:37" ht="18" customHeight="1" thickBot="1">
      <c r="A12" s="3185" t="s">
        <v>1075</v>
      </c>
      <c r="B12" s="3186" t="s">
        <v>1415</v>
      </c>
      <c r="C12" s="3510"/>
      <c r="D12" s="3188"/>
      <c r="E12" s="3189"/>
      <c r="F12" s="3190"/>
      <c r="G12" s="3158"/>
      <c r="H12" s="3185" t="s">
        <v>1075</v>
      </c>
      <c r="I12" s="3186" t="s">
        <v>1415</v>
      </c>
      <c r="J12" s="3187"/>
      <c r="K12" s="3191"/>
      <c r="L12" s="3189"/>
      <c r="M12" s="3192"/>
    </row>
    <row r="13" spans="1:37" ht="18" customHeight="1" thickTop="1">
      <c r="A13" s="3593">
        <v>2</v>
      </c>
      <c r="B13" s="3194" t="s">
        <v>1416</v>
      </c>
      <c r="C13" s="3596">
        <f ca="1">ROUND(C29*F13,0)</f>
        <v>6338</v>
      </c>
      <c r="D13" s="3196" t="s">
        <v>1417</v>
      </c>
      <c r="E13" s="3196" t="s">
        <v>1418</v>
      </c>
      <c r="F13" s="3516">
        <f ca="1">INDIRECT("'数据-取费表'!y"&amp;$G$1)</f>
        <v>0.98</v>
      </c>
      <c r="G13" s="3158"/>
      <c r="H13" s="3193">
        <v>2</v>
      </c>
      <c r="I13" s="3194" t="s">
        <v>1416</v>
      </c>
      <c r="J13" s="3198">
        <f ca="1">ROUND(J14*J15,0)</f>
        <v>0</v>
      </c>
      <c r="K13" s="3199" t="s">
        <v>1417</v>
      </c>
      <c r="L13" s="3200"/>
      <c r="M13" s="3201"/>
    </row>
    <row r="14" spans="1:37" ht="18" customHeight="1">
      <c r="A14" s="3594" t="s">
        <v>1034</v>
      </c>
      <c r="B14" s="3167" t="s">
        <v>1419</v>
      </c>
      <c r="C14" s="3598">
        <f ca="1">INDIRECT("'数据-取费表'!m"&amp;$G$1)+INDIRECT("'数据-取费表'!t"&amp;$G$1)</f>
        <v>3996</v>
      </c>
      <c r="D14" s="2678" t="s">
        <v>1420</v>
      </c>
      <c r="E14" s="2679"/>
      <c r="F14" s="3204"/>
      <c r="G14" s="3158"/>
      <c r="H14" s="3202" t="s">
        <v>1035</v>
      </c>
      <c r="I14" s="3167" t="s">
        <v>1421</v>
      </c>
      <c r="J14" s="2407">
        <f ca="1">C29</f>
        <v>6467</v>
      </c>
      <c r="K14" s="2688"/>
      <c r="L14" s="3205"/>
      <c r="M14" s="2520"/>
    </row>
    <row r="15" spans="1:37" s="3214" customFormat="1" ht="18" customHeight="1" thickBot="1">
      <c r="A15" s="3594" t="s">
        <v>1036</v>
      </c>
      <c r="B15" s="3167" t="s">
        <v>1422</v>
      </c>
      <c r="C15" s="3438">
        <f ca="1">ROUND(C14*F15,0)</f>
        <v>200</v>
      </c>
      <c r="D15" s="3206" t="s">
        <v>1423</v>
      </c>
      <c r="E15" s="3206" t="s">
        <v>1424</v>
      </c>
      <c r="F15" s="3519">
        <f>'数据-取费表'!B33</f>
        <v>0.05</v>
      </c>
      <c r="G15" s="3208"/>
      <c r="H15" s="3209" t="s">
        <v>1039</v>
      </c>
      <c r="I15" s="3189" t="s">
        <v>1418</v>
      </c>
      <c r="J15" s="3192">
        <f ca="1">INDIRECT("'数据-取费表'!ad"&amp;$G$1)</f>
        <v>0</v>
      </c>
      <c r="K15" s="3210"/>
      <c r="L15" s="3211"/>
      <c r="M15" s="3212"/>
      <c r="N15" s="3213"/>
      <c r="O15" s="3213"/>
      <c r="P15" s="3213"/>
      <c r="Q15" s="3213"/>
      <c r="R15" s="3213"/>
      <c r="S15" s="3213"/>
      <c r="T15" s="3213"/>
      <c r="U15" s="3213"/>
      <c r="V15" s="3213"/>
      <c r="W15" s="3213"/>
      <c r="X15" s="3213"/>
      <c r="Y15" s="3213"/>
      <c r="Z15" s="3213"/>
      <c r="AA15" s="3213"/>
      <c r="AB15" s="3213"/>
      <c r="AC15" s="3213"/>
      <c r="AD15" s="3213"/>
      <c r="AE15" s="3213"/>
      <c r="AF15" s="3213"/>
      <c r="AG15" s="3213"/>
      <c r="AH15" s="3213"/>
      <c r="AI15" s="3213"/>
      <c r="AJ15" s="3213"/>
      <c r="AK15" s="3213"/>
    </row>
    <row r="16" spans="1:37" ht="18" customHeight="1" thickTop="1">
      <c r="A16" s="3594" t="s">
        <v>1390</v>
      </c>
      <c r="B16" s="3167" t="s">
        <v>1425</v>
      </c>
      <c r="C16" s="3438">
        <f ca="1">ROUND(INDIRECT("'数据-取费表'!m"&amp;$G$1)*F16,0)</f>
        <v>0</v>
      </c>
      <c r="D16" s="3167" t="s">
        <v>1423</v>
      </c>
      <c r="E16" s="3167" t="s">
        <v>1424</v>
      </c>
      <c r="F16" s="3520">
        <f ca="1">IF(INDIRECT("'数据-取费表'!c"&amp;$G$1)="住宅",'数据-取费表'!B34,0)</f>
        <v>0</v>
      </c>
      <c r="G16" s="3158"/>
      <c r="H16" s="3193" t="s">
        <v>1030</v>
      </c>
      <c r="I16" s="3194" t="s">
        <v>1426</v>
      </c>
      <c r="J16" s="3195">
        <f ca="1">ROUND(J17+J22+J23+J24,0)</f>
        <v>155</v>
      </c>
      <c r="K16" s="3199" t="s">
        <v>1427</v>
      </c>
      <c r="L16" s="3215"/>
      <c r="M16" s="3164"/>
    </row>
    <row r="17" spans="1:37" s="3214" customFormat="1" ht="18" customHeight="1">
      <c r="A17" s="3594" t="s">
        <v>1391</v>
      </c>
      <c r="B17" s="3167" t="s">
        <v>1428</v>
      </c>
      <c r="C17" s="3438">
        <f ca="1">ROUND(F17*(F43+INDIRECT("'数据-取费表'!S"&amp;$G$1))/10000,0)</f>
        <v>320</v>
      </c>
      <c r="D17" s="3167" t="s">
        <v>1429</v>
      </c>
      <c r="E17" s="3167" t="s">
        <v>1430</v>
      </c>
      <c r="F17" s="3216">
        <f>'数据-取费表'!B35</f>
        <v>200</v>
      </c>
      <c r="G17" s="3208"/>
      <c r="H17" s="3202" t="s">
        <v>1035</v>
      </c>
      <c r="I17" s="3167" t="s">
        <v>1431</v>
      </c>
      <c r="J17" s="2407">
        <f ca="1">ROUND(IF(项目基本情况!B11="自然人",J5*M17,J18+J19+J20),1)</f>
        <v>58.1</v>
      </c>
      <c r="K17" s="2678" t="s">
        <v>1432</v>
      </c>
      <c r="L17" s="2595" t="s">
        <v>1433</v>
      </c>
      <c r="M17" s="3217" t="str">
        <f ca="1">IF(项目基本情况!B11="企业","",IF(INDIRECT("'数据-取费表'!c"&amp;$G$1)="住宅",5%,IF(M6*M7*M8/12/(1+'数据-取费表'!C42)&gt;20000,12%,7%)))</f>
        <v/>
      </c>
      <c r="N17" s="3213"/>
      <c r="O17" s="3213"/>
      <c r="P17" s="3213"/>
      <c r="Q17" s="3213"/>
      <c r="R17" s="3213"/>
      <c r="S17" s="3213"/>
      <c r="T17" s="3213"/>
      <c r="U17" s="3213"/>
      <c r="V17" s="3213"/>
      <c r="W17" s="3213"/>
      <c r="X17" s="3213"/>
      <c r="Y17" s="3213"/>
      <c r="Z17" s="3213"/>
      <c r="AA17" s="3213"/>
      <c r="AB17" s="3213"/>
      <c r="AC17" s="3213"/>
      <c r="AD17" s="3213"/>
      <c r="AE17" s="3213"/>
      <c r="AF17" s="3213"/>
      <c r="AG17" s="3213"/>
      <c r="AH17" s="3213"/>
      <c r="AI17" s="3213"/>
      <c r="AJ17" s="3213"/>
      <c r="AK17" s="3213"/>
    </row>
    <row r="18" spans="1:37" s="3214" customFormat="1" ht="18" customHeight="1">
      <c r="A18" s="3594" t="s">
        <v>1392</v>
      </c>
      <c r="B18" s="3167" t="s">
        <v>1434</v>
      </c>
      <c r="C18" s="3438">
        <f ca="1">ROUND(C14*F18,0)</f>
        <v>60</v>
      </c>
      <c r="D18" s="3167" t="s">
        <v>1423</v>
      </c>
      <c r="E18" s="3167" t="s">
        <v>1424</v>
      </c>
      <c r="F18" s="3520">
        <f>'数据-取费表'!B36</f>
        <v>1.4999999999999999E-2</v>
      </c>
      <c r="G18" s="3208"/>
      <c r="H18" s="3202" t="s">
        <v>1034</v>
      </c>
      <c r="I18" s="3167" t="s">
        <v>1435</v>
      </c>
      <c r="J18" s="2407">
        <f ca="1">ROUND(J5*M18/(1+'数据-取费表'!C42),2)</f>
        <v>0</v>
      </c>
      <c r="K18" s="2595" t="s">
        <v>1436</v>
      </c>
      <c r="L18" s="3167" t="s">
        <v>1424</v>
      </c>
      <c r="M18" s="2594">
        <f>'数据-取费表'!B41</f>
        <v>5.6000000000000001E-2</v>
      </c>
      <c r="N18" s="3213"/>
      <c r="O18" s="3213"/>
      <c r="P18" s="3213"/>
      <c r="Q18" s="3213"/>
      <c r="R18" s="3213"/>
      <c r="S18" s="3213"/>
      <c r="T18" s="3213"/>
      <c r="U18" s="3213"/>
      <c r="V18" s="3213"/>
      <c r="W18" s="3213"/>
      <c r="X18" s="3213"/>
      <c r="Y18" s="3213"/>
      <c r="Z18" s="3213"/>
      <c r="AA18" s="3213"/>
      <c r="AB18" s="3213"/>
      <c r="AC18" s="3213"/>
      <c r="AD18" s="3213"/>
      <c r="AE18" s="3213"/>
      <c r="AF18" s="3213"/>
      <c r="AG18" s="3213"/>
      <c r="AH18" s="3213"/>
      <c r="AI18" s="3213"/>
      <c r="AJ18" s="3213"/>
      <c r="AK18" s="3213"/>
    </row>
    <row r="19" spans="1:37" ht="18" customHeight="1">
      <c r="A19" s="3594" t="s">
        <v>1035</v>
      </c>
      <c r="B19" s="3167" t="s">
        <v>1437</v>
      </c>
      <c r="C19" s="3438">
        <f ca="1">SUM(C14:C18)</f>
        <v>4576</v>
      </c>
      <c r="D19" s="2505" t="s">
        <v>1438</v>
      </c>
      <c r="E19" s="3218"/>
      <c r="F19" s="3216"/>
      <c r="G19" s="3158"/>
      <c r="H19" s="3202" t="s">
        <v>1036</v>
      </c>
      <c r="I19" s="3167" t="s">
        <v>1439</v>
      </c>
      <c r="J19" s="2407">
        <f ca="1">IF(K19="按租金收入计税",ROUND(J5*M19,2),ROUND(C29*M19*0.7,2))</f>
        <v>54.32</v>
      </c>
      <c r="K19" s="3219" t="s">
        <v>1440</v>
      </c>
      <c r="L19" s="3167" t="s">
        <v>1424</v>
      </c>
      <c r="M19" s="2594">
        <f>IF(K19="按租金收入计税",'数据-取费表'!B51,'数据-取费表'!B50)</f>
        <v>1.2E-2</v>
      </c>
    </row>
    <row r="20" spans="1:37" s="3214" customFormat="1" ht="18" customHeight="1">
      <c r="A20" s="3594" t="s">
        <v>1039</v>
      </c>
      <c r="B20" s="3167" t="s">
        <v>1441</v>
      </c>
      <c r="C20" s="3438">
        <f ca="1">ROUND(C19*F20,0)</f>
        <v>137</v>
      </c>
      <c r="D20" s="3220" t="s">
        <v>1442</v>
      </c>
      <c r="E20" s="3167" t="s">
        <v>1424</v>
      </c>
      <c r="F20" s="3520">
        <f>'数据-取费表'!B37</f>
        <v>0.03</v>
      </c>
      <c r="G20" s="3208"/>
      <c r="H20" s="3202" t="s">
        <v>1390</v>
      </c>
      <c r="I20" s="2584" t="s">
        <v>1443</v>
      </c>
      <c r="J20" s="3221">
        <f ca="1">ROUND(M20*M21/10000,2)</f>
        <v>3.79</v>
      </c>
      <c r="K20" s="3222" t="s">
        <v>1444</v>
      </c>
      <c r="L20" s="3167" t="s">
        <v>1445</v>
      </c>
      <c r="M20" s="2594">
        <f>'数据-取费表'!B52</f>
        <v>8</v>
      </c>
      <c r="N20" s="3213"/>
      <c r="O20" s="3213"/>
      <c r="P20" s="3213"/>
      <c r="Q20" s="3213"/>
      <c r="R20" s="3213"/>
      <c r="S20" s="3213"/>
      <c r="T20" s="3213"/>
      <c r="U20" s="3213"/>
      <c r="V20" s="3213"/>
      <c r="W20" s="3213"/>
      <c r="X20" s="3213"/>
      <c r="Y20" s="3213"/>
      <c r="Z20" s="3213"/>
      <c r="AA20" s="3213"/>
      <c r="AB20" s="3213"/>
      <c r="AC20" s="3213"/>
      <c r="AD20" s="3213"/>
      <c r="AE20" s="3213"/>
      <c r="AF20" s="3213"/>
      <c r="AG20" s="3213"/>
      <c r="AH20" s="3213"/>
      <c r="AI20" s="3213"/>
      <c r="AJ20" s="3213"/>
      <c r="AK20" s="3213"/>
    </row>
    <row r="21" spans="1:37" s="3214" customFormat="1" ht="18" customHeight="1">
      <c r="A21" s="3594" t="s">
        <v>1075</v>
      </c>
      <c r="B21" s="3167" t="s">
        <v>1446</v>
      </c>
      <c r="C21" s="3438" t="s">
        <v>18</v>
      </c>
      <c r="D21" s="3220" t="s">
        <v>1447</v>
      </c>
      <c r="E21" s="3167" t="s">
        <v>1448</v>
      </c>
      <c r="F21" s="3520">
        <f>'数据-取费表'!B38</f>
        <v>0.03</v>
      </c>
      <c r="G21" s="3208"/>
      <c r="H21" s="3223"/>
      <c r="I21" s="3224"/>
      <c r="J21" s="2596"/>
      <c r="K21" s="2209"/>
      <c r="L21" s="3167" t="s">
        <v>1449</v>
      </c>
      <c r="M21" s="2726">
        <f ca="1">INDIRECT("'数据-取费表'!r"&amp;$G$1)</f>
        <v>4738.18</v>
      </c>
      <c r="N21" s="3213"/>
      <c r="O21" s="3213"/>
      <c r="P21" s="3213"/>
      <c r="Q21" s="3213"/>
      <c r="R21" s="3213"/>
      <c r="S21" s="3213"/>
      <c r="T21" s="3213"/>
      <c r="U21" s="3213"/>
      <c r="V21" s="3213"/>
      <c r="W21" s="3213"/>
      <c r="X21" s="3213"/>
      <c r="Y21" s="3213"/>
      <c r="Z21" s="3213"/>
      <c r="AA21" s="3213"/>
      <c r="AB21" s="3213"/>
      <c r="AC21" s="3213"/>
      <c r="AD21" s="3213"/>
      <c r="AE21" s="3213"/>
      <c r="AF21" s="3213"/>
      <c r="AG21" s="3213"/>
      <c r="AH21" s="3213"/>
      <c r="AI21" s="3213"/>
      <c r="AJ21" s="3213"/>
      <c r="AK21" s="3213"/>
    </row>
    <row r="22" spans="1:37" ht="18" customHeight="1">
      <c r="A22" s="3594" t="s">
        <v>1393</v>
      </c>
      <c r="B22" s="3167" t="s">
        <v>1450</v>
      </c>
      <c r="C22" s="3438"/>
      <c r="D22" s="2505" t="str">
        <f>IF(F23&lt;=1,"单利计息。","复利计息。")&amp;"建造成本、管理费用、销售费用产生的利息。"</f>
        <v>复利计息。建造成本、管理费用、销售费用产生的利息。</v>
      </c>
      <c r="E22" s="3218"/>
      <c r="F22" s="3216"/>
      <c r="G22" s="3158"/>
      <c r="H22" s="3202" t="s">
        <v>1039</v>
      </c>
      <c r="I22" s="3167" t="s">
        <v>1451</v>
      </c>
      <c r="J22" s="2407">
        <f ca="1">ROUND(J14*M22,1)</f>
        <v>97</v>
      </c>
      <c r="K22" s="2595" t="s">
        <v>1452</v>
      </c>
      <c r="L22" s="3167" t="s">
        <v>1424</v>
      </c>
      <c r="M22" s="2726">
        <f ca="1">INDIRECT("'数据-取费表'!Ak"&amp;$G$1)</f>
        <v>1.4999999999999999E-2</v>
      </c>
    </row>
    <row r="23" spans="1:37" s="3214" customFormat="1" ht="18" customHeight="1">
      <c r="A23" s="3594" t="s">
        <v>1034</v>
      </c>
      <c r="B23" s="3167" t="s">
        <v>1453</v>
      </c>
      <c r="C23" s="3438">
        <f ca="1">IF('数据-取费表'!B22&lt;=1,ROUND(C19*F24*F23/2,0)+ROUND(C20*F24*F23/2,0),ROUND(C19*(POWER((1+F24),F23/2)-1),0)+ROUND(C20*(POWER((1+F24),F23/2)-1),0))</f>
        <v>224</v>
      </c>
      <c r="D23" s="3225" t="str">
        <f>IF(F23&lt;=1,"(建造成本+管理费用)×利率×(建设周期÷2)","(建造成本+管理费用)×((1+利率)^(建设周期÷2)-1)")</f>
        <v>(建造成本+管理费用)×((1+利率)^(建设周期÷2)-1)</v>
      </c>
      <c r="E23" s="3167" t="s">
        <v>1454</v>
      </c>
      <c r="F23" s="3592">
        <f>'数据-取费表'!B20</f>
        <v>2</v>
      </c>
      <c r="G23" s="3208"/>
      <c r="H23" s="3202" t="s">
        <v>1075</v>
      </c>
      <c r="I23" s="3167" t="s">
        <v>1455</v>
      </c>
      <c r="J23" s="2407">
        <f ca="1">ROUND(J13*M23,1)</f>
        <v>0</v>
      </c>
      <c r="K23" s="2595" t="s">
        <v>1456</v>
      </c>
      <c r="L23" s="3167" t="s">
        <v>1457</v>
      </c>
      <c r="M23" s="2726">
        <f ca="1">INDIRECT("'数据-取费表'!Al"&amp;$G$1)</f>
        <v>1.5E-3</v>
      </c>
      <c r="N23" s="3213"/>
      <c r="O23" s="3213"/>
      <c r="P23" s="3213"/>
      <c r="Q23" s="3213"/>
      <c r="R23" s="3213"/>
      <c r="S23" s="3213"/>
      <c r="T23" s="3213"/>
      <c r="U23" s="3213"/>
      <c r="V23" s="3213"/>
      <c r="W23" s="3213"/>
      <c r="X23" s="3213"/>
      <c r="Y23" s="3213"/>
      <c r="Z23" s="3213"/>
      <c r="AA23" s="3213"/>
      <c r="AB23" s="3213"/>
      <c r="AC23" s="3213"/>
      <c r="AD23" s="3213"/>
      <c r="AE23" s="3213"/>
      <c r="AF23" s="3213"/>
      <c r="AG23" s="3213"/>
      <c r="AH23" s="3213"/>
      <c r="AI23" s="3213"/>
      <c r="AJ23" s="3213"/>
      <c r="AK23" s="3213"/>
    </row>
    <row r="24" spans="1:37" s="3214" customFormat="1" ht="18" customHeight="1" thickBot="1">
      <c r="A24" s="3594" t="s">
        <v>1458</v>
      </c>
      <c r="B24" s="3167" t="s">
        <v>1459</v>
      </c>
      <c r="C24" s="3438">
        <f ca="1">ROUND(IF('数据-取费表'!B22&lt;=1,F21*F24*F23/2,F21*(POWER((1+F24),F23/2)-1)),4)</f>
        <v>1.4E-3</v>
      </c>
      <c r="D24" s="3225" t="str">
        <f>IF(F23&lt;=1,"销售费用×利率×(建设周期÷2)","销售费用×((1+利率)^(建设周期÷2)-1)")</f>
        <v>销售费用×((1+利率)^(建设周期÷2)-1)</v>
      </c>
      <c r="E24" s="3167" t="s">
        <v>1460</v>
      </c>
      <c r="F24" s="3520">
        <f ca="1">'数据-取费表'!B40</f>
        <v>4.7500000000000001E-2</v>
      </c>
      <c r="G24" s="3208"/>
      <c r="H24" s="3209" t="s">
        <v>1394</v>
      </c>
      <c r="I24" s="3189" t="s">
        <v>1441</v>
      </c>
      <c r="J24" s="3226">
        <f ca="1">ROUND(J5*M24,1)</f>
        <v>0</v>
      </c>
      <c r="K24" s="3227" t="s">
        <v>1461</v>
      </c>
      <c r="L24" s="3189" t="s">
        <v>1457</v>
      </c>
      <c r="M24" s="3190">
        <f ca="1">INDIRECT("'数据-取费表'!Am"&amp;$G$1)</f>
        <v>0.01</v>
      </c>
      <c r="N24" s="3213"/>
      <c r="O24" s="3213"/>
      <c r="P24" s="3213"/>
      <c r="Q24" s="3213"/>
      <c r="R24" s="3213"/>
      <c r="S24" s="3213"/>
      <c r="T24" s="3213"/>
      <c r="U24" s="3213"/>
      <c r="V24" s="3213"/>
      <c r="W24" s="3213"/>
      <c r="X24" s="3213"/>
      <c r="Y24" s="3213"/>
      <c r="Z24" s="3213"/>
      <c r="AA24" s="3213"/>
      <c r="AB24" s="3213"/>
      <c r="AC24" s="3213"/>
      <c r="AD24" s="3213"/>
      <c r="AE24" s="3213"/>
      <c r="AF24" s="3213"/>
      <c r="AG24" s="3213"/>
      <c r="AH24" s="3213"/>
      <c r="AI24" s="3213"/>
      <c r="AJ24" s="3213"/>
      <c r="AK24" s="3213"/>
    </row>
    <row r="25" spans="1:37" ht="24" customHeight="1" thickTop="1">
      <c r="A25" s="3594" t="s">
        <v>1462</v>
      </c>
      <c r="B25" s="3167" t="s">
        <v>1463</v>
      </c>
      <c r="C25" s="3438"/>
      <c r="D25" s="2505" t="s">
        <v>1464</v>
      </c>
      <c r="E25" s="3218"/>
      <c r="F25" s="3216"/>
      <c r="G25" s="3158"/>
      <c r="H25" s="3193" t="s">
        <v>1031</v>
      </c>
      <c r="I25" s="3228" t="s">
        <v>1465</v>
      </c>
      <c r="J25" s="3195">
        <f ca="1">J5-J16</f>
        <v>-155</v>
      </c>
      <c r="K25" s="3229" t="s">
        <v>1466</v>
      </c>
      <c r="L25" s="3230"/>
      <c r="M25" s="3231"/>
    </row>
    <row r="26" spans="1:37">
      <c r="A26" s="3594" t="s">
        <v>1034</v>
      </c>
      <c r="B26" s="3167" t="s">
        <v>1467</v>
      </c>
      <c r="C26" s="3438">
        <f ca="1">ROUND((C19+C20)*F26,0)</f>
        <v>943</v>
      </c>
      <c r="D26" s="3220" t="s">
        <v>1468</v>
      </c>
      <c r="E26" s="3174" t="s">
        <v>1469</v>
      </c>
      <c r="F26" s="3518">
        <f ca="1">INDIRECT("'数据-取费表'!q"&amp;$G$1)</f>
        <v>0.2</v>
      </c>
      <c r="G26" s="3158"/>
      <c r="H26" s="3159" t="s">
        <v>1032</v>
      </c>
      <c r="I26" s="3160" t="s">
        <v>1470</v>
      </c>
      <c r="J26" s="3168">
        <f ca="1">IF(J5&lt;&gt;0,ROUND(J25*(1-((1+M28)/(1+M26))^M27)/(M26-M28),0),0)</f>
        <v>0</v>
      </c>
      <c r="K26" s="3222" t="s">
        <v>1471</v>
      </c>
      <c r="L26" s="3167" t="s">
        <v>1472</v>
      </c>
      <c r="M26" s="2726">
        <f ca="1">INDIRECT("'数据-取费表'!I"&amp;$G$1)</f>
        <v>0.05</v>
      </c>
    </row>
    <row r="27" spans="1:37" ht="18" customHeight="1">
      <c r="A27" s="3594" t="s">
        <v>1036</v>
      </c>
      <c r="B27" s="3167" t="s">
        <v>1473</v>
      </c>
      <c r="C27" s="3438">
        <f ca="1">ROUND(F21*F26,4)</f>
        <v>6.0000000000000001E-3</v>
      </c>
      <c r="D27" s="3220" t="s">
        <v>1474</v>
      </c>
      <c r="E27" s="3206"/>
      <c r="F27" s="3207"/>
      <c r="G27" s="3158"/>
      <c r="H27" s="3172"/>
      <c r="I27" s="3232"/>
      <c r="J27" s="3173"/>
      <c r="K27" s="3233" t="s">
        <v>1475</v>
      </c>
      <c r="L27" s="3167" t="s">
        <v>1476</v>
      </c>
      <c r="M27" s="2726">
        <f ca="1">INDIRECT("'数据-取费表'!ag"&amp;$G$1)</f>
        <v>0</v>
      </c>
    </row>
    <row r="28" spans="1:37" s="3214" customFormat="1" ht="18" customHeight="1">
      <c r="A28" s="3594" t="s">
        <v>1037</v>
      </c>
      <c r="B28" s="3167" t="s">
        <v>1477</v>
      </c>
      <c r="C28" s="3438">
        <f>ROUND(F28/(1+'数据-取费表'!C42),4)</f>
        <v>5.33E-2</v>
      </c>
      <c r="D28" s="3220" t="s">
        <v>1478</v>
      </c>
      <c r="E28" s="3167" t="s">
        <v>1424</v>
      </c>
      <c r="F28" s="3520">
        <f>'数据-取费表'!B41</f>
        <v>5.6000000000000001E-2</v>
      </c>
      <c r="G28" s="3208"/>
      <c r="H28" s="3179"/>
      <c r="I28" s="3234"/>
      <c r="J28" s="3195"/>
      <c r="K28" s="2209"/>
      <c r="L28" s="3167" t="s">
        <v>1479</v>
      </c>
      <c r="M28" s="2726">
        <f ca="1">INDIRECT("'数据-取费表'!aa"&amp;$G$1)</f>
        <v>0</v>
      </c>
      <c r="N28" s="3213"/>
      <c r="O28" s="3213"/>
      <c r="P28" s="3213"/>
      <c r="Q28" s="3213"/>
      <c r="R28" s="3213"/>
      <c r="S28" s="3213"/>
      <c r="T28" s="3213"/>
      <c r="U28" s="3213"/>
      <c r="V28" s="3213"/>
      <c r="W28" s="3213"/>
      <c r="X28" s="3213"/>
      <c r="Y28" s="3213"/>
      <c r="Z28" s="3213"/>
      <c r="AA28" s="3213"/>
      <c r="AB28" s="3213"/>
      <c r="AC28" s="3213"/>
      <c r="AD28" s="3213"/>
      <c r="AE28" s="3213"/>
      <c r="AF28" s="3213"/>
      <c r="AG28" s="3213"/>
      <c r="AH28" s="3213"/>
      <c r="AI28" s="3213"/>
      <c r="AJ28" s="3213"/>
      <c r="AK28" s="3213"/>
    </row>
    <row r="29" spans="1:37" s="3214" customFormat="1" ht="18" customHeight="1" thickBot="1">
      <c r="A29" s="3595" t="s">
        <v>1038</v>
      </c>
      <c r="B29" s="3189" t="s">
        <v>1480</v>
      </c>
      <c r="C29" s="3597">
        <f ca="1">ROUND((C19+C20+C23+C26)/(1-F21-C24-C27-C28),0)</f>
        <v>6467</v>
      </c>
      <c r="D29" s="3227"/>
      <c r="E29" s="3189"/>
      <c r="F29" s="3235"/>
      <c r="G29" s="3208"/>
      <c r="H29" s="3236" t="s">
        <v>1033</v>
      </c>
      <c r="I29" s="3237" t="s">
        <v>1481</v>
      </c>
      <c r="J29" s="3238">
        <f ca="1">ROUND(J26/(1+F40)^F41,0)</f>
        <v>0</v>
      </c>
      <c r="K29" s="3239" t="s">
        <v>1482</v>
      </c>
      <c r="L29" s="3240"/>
      <c r="M29" s="3241">
        <f ca="1">INDIRECT("'数据-取费表'!k"&amp;$G$1)</f>
        <v>15982.84</v>
      </c>
      <c r="N29" s="3213"/>
      <c r="O29" s="3213"/>
      <c r="P29" s="3213"/>
      <c r="Q29" s="3213"/>
      <c r="R29" s="3213"/>
      <c r="S29" s="3213"/>
      <c r="T29" s="3213"/>
      <c r="U29" s="3213"/>
      <c r="V29" s="3213"/>
      <c r="W29" s="3213"/>
      <c r="X29" s="3213"/>
      <c r="Y29" s="3213"/>
      <c r="Z29" s="3213"/>
      <c r="AA29" s="3213"/>
      <c r="AB29" s="3213"/>
      <c r="AC29" s="3213"/>
      <c r="AD29" s="3213"/>
      <c r="AE29" s="3213"/>
      <c r="AF29" s="3213"/>
      <c r="AG29" s="3213"/>
      <c r="AH29" s="3213"/>
      <c r="AI29" s="3213"/>
      <c r="AJ29" s="3213"/>
      <c r="AK29" s="3213"/>
    </row>
    <row r="30" spans="1:37" ht="18" customHeight="1" thickTop="1">
      <c r="A30" s="3193" t="s">
        <v>1030</v>
      </c>
      <c r="B30" s="3194" t="s">
        <v>1426</v>
      </c>
      <c r="C30" s="3596">
        <f ca="1">ROUND(C31+C36+C37+C38,0)</f>
        <v>285</v>
      </c>
      <c r="D30" s="3199" t="s">
        <v>1427</v>
      </c>
      <c r="E30" s="3215"/>
      <c r="F30" s="3164"/>
      <c r="G30" s="3158"/>
      <c r="H30" s="3242"/>
      <c r="I30" s="3242"/>
      <c r="J30" s="3243"/>
      <c r="K30" s="2218"/>
      <c r="L30" s="3244"/>
      <c r="M30" s="3243"/>
    </row>
    <row r="31" spans="1:37" ht="18" customHeight="1">
      <c r="A31" s="3202" t="s">
        <v>1035</v>
      </c>
      <c r="B31" s="3167" t="s">
        <v>1431</v>
      </c>
      <c r="C31" s="3438">
        <f ca="1">ROUND(IF(项目基本情况!B11="自然人",C5*F31,C32+C33+C34),1)</f>
        <v>159.30000000000001</v>
      </c>
      <c r="D31" s="2678" t="s">
        <v>1432</v>
      </c>
      <c r="E31" s="2595" t="s">
        <v>1483</v>
      </c>
      <c r="F31" s="3217" t="str">
        <f ca="1">IF(项目基本情况!B11="企业","",IF(INDIRECT("'数据-取费表'!c"&amp;$G$1)="住宅",5%,IF(F6*F7*F8/12/(1+'数据-取费表'!C42)&gt;20000,12%,7%)))</f>
        <v/>
      </c>
      <c r="G31" s="3158"/>
      <c r="H31" s="3242"/>
      <c r="I31" s="3242"/>
      <c r="J31" s="3243"/>
      <c r="K31" s="2218"/>
      <c r="L31" s="3244"/>
      <c r="M31" s="3243"/>
    </row>
    <row r="32" spans="1:37" ht="18" customHeight="1">
      <c r="A32" s="3202" t="s">
        <v>1034</v>
      </c>
      <c r="B32" s="3167" t="s">
        <v>1435</v>
      </c>
      <c r="C32" s="3438">
        <f ca="1">IF(项目基本情况!B11="自然人","——",ROUND(C5*F32/(1+'数据-取费表'!C42),2))</f>
        <v>101.23</v>
      </c>
      <c r="D32" s="2595" t="s">
        <v>1436</v>
      </c>
      <c r="E32" s="3167" t="s">
        <v>1424</v>
      </c>
      <c r="F32" s="3520">
        <f>'数据-取费表'!B41</f>
        <v>5.6000000000000001E-2</v>
      </c>
      <c r="G32" s="3158"/>
      <c r="H32" s="3242"/>
      <c r="I32" s="3242"/>
      <c r="J32" s="3243"/>
      <c r="K32" s="2218"/>
      <c r="L32" s="3244"/>
      <c r="M32" s="3243"/>
    </row>
    <row r="33" spans="1:18" ht="18" customHeight="1">
      <c r="A33" s="3202" t="s">
        <v>1036</v>
      </c>
      <c r="B33" s="3167" t="s">
        <v>1439</v>
      </c>
      <c r="C33" s="3438">
        <f ca="1">IF(项目基本情况!B11="自然人","——",IF(D33="按租金收入计税",ROUND(C5*F33,2),IF(D33="按房产原值计税",ROUND(C29*F33*0.7,2),INDIRECT("'数据-取费表'!Aj"&amp;$G$1))))</f>
        <v>54.32</v>
      </c>
      <c r="D33" s="3219" t="s">
        <v>1440</v>
      </c>
      <c r="E33" s="3167" t="s">
        <v>1424</v>
      </c>
      <c r="F33" s="3520">
        <f>IF(D33="按票据","——",IF(D33="按租金收入计税",'数据-取费表'!B51,'数据-取费表'!B50))</f>
        <v>1.2E-2</v>
      </c>
      <c r="G33" s="3158"/>
      <c r="H33" s="3245"/>
      <c r="I33" s="3246"/>
      <c r="J33" s="3247"/>
      <c r="K33" s="3248"/>
      <c r="L33" s="3245"/>
      <c r="M33" s="3245"/>
    </row>
    <row r="34" spans="1:18" ht="18" customHeight="1">
      <c r="A34" s="3165" t="s">
        <v>1390</v>
      </c>
      <c r="B34" s="2584" t="s">
        <v>1443</v>
      </c>
      <c r="C34" s="3449">
        <f ca="1">IF(项目基本情况!B11="自然人","——",ROUND(F34*F35/10000,2))</f>
        <v>3.79</v>
      </c>
      <c r="D34" s="3222" t="s">
        <v>1444</v>
      </c>
      <c r="E34" s="3167" t="s">
        <v>1445</v>
      </c>
      <c r="F34" s="2594">
        <f>'数据-取费表'!B52</f>
        <v>8</v>
      </c>
      <c r="G34" s="3158"/>
      <c r="H34" s="3242"/>
      <c r="I34" s="3246"/>
      <c r="J34" s="3247"/>
      <c r="K34" s="3249"/>
      <c r="L34" s="3250"/>
      <c r="M34" s="3250"/>
    </row>
    <row r="35" spans="1:18" ht="18" customHeight="1">
      <c r="A35" s="3251"/>
      <c r="B35" s="3251"/>
      <c r="C35" s="3436"/>
      <c r="D35" s="2209"/>
      <c r="E35" s="3167" t="s">
        <v>1449</v>
      </c>
      <c r="F35" s="2726">
        <f ca="1">INDIRECT("'数据-取费表'!r"&amp;$G$1)</f>
        <v>4738.18</v>
      </c>
      <c r="G35" s="3158"/>
      <c r="H35" s="3242"/>
      <c r="I35" s="3246"/>
      <c r="J35" s="3247"/>
      <c r="K35" s="3248"/>
      <c r="L35" s="3245"/>
      <c r="M35" s="3245"/>
    </row>
    <row r="36" spans="1:18" ht="18" customHeight="1">
      <c r="A36" s="3252" t="s">
        <v>1039</v>
      </c>
      <c r="B36" s="3167" t="s">
        <v>1451</v>
      </c>
      <c r="C36" s="3438">
        <f ca="1">ROUND(C29*F36,1)</f>
        <v>97</v>
      </c>
      <c r="D36" s="2595" t="s">
        <v>1484</v>
      </c>
      <c r="E36" s="3167" t="s">
        <v>1424</v>
      </c>
      <c r="F36" s="3599">
        <f ca="1">INDIRECT("'数据-取费表'!Ak"&amp;$G$1)</f>
        <v>1.4999999999999999E-2</v>
      </c>
      <c r="G36" s="3158"/>
      <c r="H36" s="3245"/>
      <c r="I36" s="3246"/>
      <c r="J36" s="3247"/>
      <c r="K36" s="3253"/>
      <c r="L36" s="3245"/>
      <c r="M36" s="3245"/>
    </row>
    <row r="37" spans="1:18" ht="18" customHeight="1">
      <c r="A37" s="3202" t="s">
        <v>1075</v>
      </c>
      <c r="B37" s="3167" t="s">
        <v>1455</v>
      </c>
      <c r="C37" s="3438">
        <f ca="1">ROUND(C13*F37,1)</f>
        <v>9.5</v>
      </c>
      <c r="D37" s="2595" t="s">
        <v>1456</v>
      </c>
      <c r="E37" s="3167" t="s">
        <v>1457</v>
      </c>
      <c r="F37" s="3599">
        <f ca="1">INDIRECT("'数据-取费表'!Al"&amp;$G$1)</f>
        <v>1.5E-3</v>
      </c>
      <c r="G37" s="3158"/>
      <c r="H37" s="3245"/>
      <c r="I37" s="3246"/>
      <c r="J37" s="3247"/>
      <c r="K37" s="3253"/>
      <c r="L37" s="3245"/>
      <c r="M37" s="3245"/>
    </row>
    <row r="38" spans="1:18" ht="18" customHeight="1" thickBot="1">
      <c r="A38" s="3209" t="s">
        <v>1394</v>
      </c>
      <c r="B38" s="3189" t="s">
        <v>1441</v>
      </c>
      <c r="C38" s="3597">
        <f ca="1">ROUND(C5*F38,1)</f>
        <v>19</v>
      </c>
      <c r="D38" s="3227" t="s">
        <v>1461</v>
      </c>
      <c r="E38" s="3189" t="s">
        <v>1457</v>
      </c>
      <c r="F38" s="3600">
        <f ca="1">INDIRECT("'数据-取费表'!Am"&amp;$G$1)</f>
        <v>0.01</v>
      </c>
      <c r="G38" s="3158"/>
      <c r="H38" s="3245"/>
      <c r="I38" s="3246"/>
      <c r="J38" s="3247"/>
      <c r="K38" s="3254"/>
      <c r="L38" s="3245"/>
      <c r="M38" s="3245"/>
    </row>
    <row r="39" spans="1:18" ht="24.6" customHeight="1" thickTop="1">
      <c r="A39" s="3193" t="s">
        <v>1031</v>
      </c>
      <c r="B39" s="3228" t="s">
        <v>1485</v>
      </c>
      <c r="C39" s="3511">
        <f ca="1">C5-C30</f>
        <v>1613</v>
      </c>
      <c r="D39" s="3229" t="s">
        <v>1486</v>
      </c>
      <c r="E39" s="3230"/>
      <c r="F39" s="3231"/>
      <c r="G39" s="3158"/>
      <c r="H39" s="3245"/>
      <c r="I39" s="3246"/>
      <c r="J39" s="3247"/>
      <c r="K39" s="3254"/>
      <c r="L39" s="3245"/>
      <c r="M39" s="3245"/>
    </row>
    <row r="40" spans="1:18" ht="18" customHeight="1">
      <c r="A40" s="3159" t="s">
        <v>1032</v>
      </c>
      <c r="B40" s="3160" t="s">
        <v>1487</v>
      </c>
      <c r="C40" s="3512">
        <f ca="1">ROUND(C39*(1-((1+F42)/(1+F40))^F41)/(F40-F42),0)</f>
        <v>39879</v>
      </c>
      <c r="D40" s="3222" t="s">
        <v>1471</v>
      </c>
      <c r="E40" s="3167" t="s">
        <v>1472</v>
      </c>
      <c r="F40" s="3518">
        <f ca="1">INDIRECT("'数据-取费表'!I"&amp;$G$1)</f>
        <v>0.05</v>
      </c>
      <c r="G40" s="3158"/>
      <c r="H40" s="3255"/>
      <c r="I40" s="3246"/>
      <c r="J40" s="3247"/>
      <c r="K40" s="3254"/>
      <c r="L40" s="3255"/>
      <c r="M40" s="3255"/>
    </row>
    <row r="41" spans="1:18" ht="18" customHeight="1">
      <c r="A41" s="3172"/>
      <c r="B41" s="3232"/>
      <c r="C41" s="3173"/>
      <c r="D41" s="3233" t="s">
        <v>1488</v>
      </c>
      <c r="E41" s="3167" t="s">
        <v>1476</v>
      </c>
      <c r="F41" s="2726">
        <f ca="1">IF(INDIRECT("'数据-取费表'!af"&amp;$G$1)=0,INDIRECT("'数据-取费表'!ae"&amp;$G$1),INDIRECT("'数据-取费表'!af"&amp;$G$1))</f>
        <v>35.47</v>
      </c>
      <c r="G41" s="3158"/>
      <c r="H41" s="2367"/>
      <c r="I41" s="3246"/>
      <c r="J41" s="3247"/>
      <c r="K41" s="3253"/>
      <c r="L41" s="2367"/>
      <c r="M41" s="2367"/>
    </row>
    <row r="42" spans="1:18" ht="18" customHeight="1">
      <c r="A42" s="3179"/>
      <c r="B42" s="3234"/>
      <c r="C42" s="3195"/>
      <c r="D42" s="2209"/>
      <c r="E42" s="3167" t="s">
        <v>1479</v>
      </c>
      <c r="F42" s="3518">
        <f ca="1">INDIRECT("'数据-取费表'!v"&amp;$G$1)</f>
        <v>0.03</v>
      </c>
      <c r="G42" s="3158"/>
      <c r="H42" s="2367"/>
      <c r="I42" s="3246"/>
      <c r="J42" s="3247"/>
      <c r="K42" s="3253"/>
      <c r="L42" s="2367"/>
      <c r="M42" s="2367"/>
    </row>
    <row r="43" spans="1:18" ht="18" customHeight="1" thickBot="1">
      <c r="A43" s="3236" t="s">
        <v>1033</v>
      </c>
      <c r="B43" s="3237" t="s">
        <v>1489</v>
      </c>
      <c r="C43" s="3513">
        <f ca="1">ROUND(C40*10000/F43,0)</f>
        <v>24951</v>
      </c>
      <c r="D43" s="3239" t="s">
        <v>1490</v>
      </c>
      <c r="E43" s="3240" t="s">
        <v>1491</v>
      </c>
      <c r="F43" s="3241">
        <f ca="1">INDIRECT("'数据-取费表'!k"&amp;$G$1)</f>
        <v>15982.84</v>
      </c>
      <c r="G43" s="3158"/>
      <c r="H43" s="2367"/>
      <c r="I43" s="2367"/>
      <c r="J43" s="2367"/>
      <c r="K43" s="3253"/>
      <c r="L43" s="2367"/>
      <c r="M43" s="2367"/>
    </row>
    <row r="44" spans="1:18" s="3149" customFormat="1" ht="18" customHeight="1">
      <c r="A44" s="3256"/>
      <c r="B44" s="3256"/>
      <c r="C44" s="3257"/>
      <c r="D44" s="3256"/>
      <c r="E44" s="3256"/>
      <c r="F44" s="3256"/>
      <c r="K44" s="3258"/>
    </row>
    <row r="45" spans="1:18" s="3149" customFormat="1" ht="18" customHeight="1" thickBot="1">
      <c r="A45" s="3256"/>
      <c r="B45" s="3256"/>
      <c r="C45" s="3257"/>
      <c r="D45" s="3256"/>
      <c r="E45" s="3256"/>
      <c r="F45" s="3256"/>
      <c r="J45" s="3014"/>
      <c r="O45" s="3259" t="s">
        <v>1521</v>
      </c>
      <c r="P45" s="3255"/>
      <c r="Q45" s="3255"/>
      <c r="R45" s="3255"/>
    </row>
    <row r="46" spans="1:18" s="3149" customFormat="1" ht="13.5" thickBot="1">
      <c r="A46" s="3260" t="s">
        <v>1522</v>
      </c>
      <c r="C46" s="3261">
        <f ca="1">C68-C40</f>
        <v>-42594</v>
      </c>
      <c r="D46" s="3262" t="str">
        <f>C2</f>
        <v>万元</v>
      </c>
      <c r="E46" s="3256"/>
      <c r="F46" s="3256"/>
      <c r="I46" s="3263" t="s">
        <v>1523</v>
      </c>
      <c r="J46" s="3264"/>
      <c r="K46" s="3265"/>
      <c r="L46" s="3266">
        <f ca="1">IF(M47="住宅",0,IF(L48&gt;J51,L60,J60))</f>
        <v>122</v>
      </c>
      <c r="O46" s="3267" t="s">
        <v>1524</v>
      </c>
      <c r="P46" s="3268" t="s">
        <v>1525</v>
      </c>
      <c r="Q46" s="3269" t="s">
        <v>1526</v>
      </c>
      <c r="R46" s="3269" t="s">
        <v>1527</v>
      </c>
    </row>
    <row r="47" spans="1:18" s="3149" customFormat="1" ht="13.5" thickBot="1">
      <c r="A47" s="3270" t="s">
        <v>1397</v>
      </c>
      <c r="B47" s="3271" t="s">
        <v>1398</v>
      </c>
      <c r="C47" s="3272" t="s">
        <v>1399</v>
      </c>
      <c r="D47" s="3271" t="s">
        <v>1400</v>
      </c>
      <c r="E47" s="3273" t="s">
        <v>1401</v>
      </c>
      <c r="F47" s="3092"/>
      <c r="G47" s="3274"/>
      <c r="I47" s="3275" t="s">
        <v>1528</v>
      </c>
      <c r="J47" s="3276" t="s">
        <v>3093</v>
      </c>
      <c r="K47" s="3277" t="s">
        <v>1529</v>
      </c>
      <c r="L47" s="3278">
        <f ca="1">INDIRECT("'数据-取费表'!d"&amp;$G$1)</f>
        <v>40</v>
      </c>
      <c r="M47" s="3279" t="str">
        <f>IF(ISNUMBER(FIND("住宅",C1)),"住宅","非住宅")</f>
        <v>非住宅</v>
      </c>
      <c r="O47" s="3280" t="s">
        <v>1040</v>
      </c>
      <c r="P47" s="3281" t="s">
        <v>1530</v>
      </c>
      <c r="Q47" s="3282">
        <f ca="1">C40+J29</f>
        <v>39879</v>
      </c>
      <c r="R47" s="3282" t="s">
        <v>1531</v>
      </c>
    </row>
    <row r="48" spans="1:18" s="3149" customFormat="1" ht="28.5" thickBot="1">
      <c r="A48" s="3283" t="s">
        <v>1135</v>
      </c>
      <c r="B48" s="3160" t="s">
        <v>1402</v>
      </c>
      <c r="C48" s="2614">
        <f ca="1">C49+C53+C55</f>
        <v>0</v>
      </c>
      <c r="D48" s="3284"/>
      <c r="E48" s="3285"/>
      <c r="F48" s="3286"/>
      <c r="G48" s="3274"/>
      <c r="H48" s="3287"/>
      <c r="I48" s="3288" t="s">
        <v>1532</v>
      </c>
      <c r="J48" s="3289" t="s">
        <v>7099</v>
      </c>
      <c r="K48" s="3290" t="s">
        <v>1533</v>
      </c>
      <c r="L48" s="3291">
        <f ca="1">INDIRECT("'数据-取费表'!f"&amp;$G$1)</f>
        <v>35.47</v>
      </c>
      <c r="O48" s="3280" t="s">
        <v>1041</v>
      </c>
      <c r="P48" s="3281" t="s">
        <v>1534</v>
      </c>
      <c r="Q48" s="3282">
        <f ca="1">J60</f>
        <v>122</v>
      </c>
      <c r="R48" s="3282" t="s">
        <v>1535</v>
      </c>
    </row>
    <row r="49" spans="1:18" s="3149" customFormat="1" ht="13.5" thickBot="1">
      <c r="A49" s="3292" t="s">
        <v>1136</v>
      </c>
      <c r="B49" s="3293" t="s">
        <v>1492</v>
      </c>
      <c r="C49" s="3294">
        <f ca="1">ROUND(F49*F51*F50*(1-F52)/10000,0)</f>
        <v>0</v>
      </c>
      <c r="D49" s="3295" t="s">
        <v>3042</v>
      </c>
      <c r="E49" s="3296" t="s">
        <v>1493</v>
      </c>
      <c r="F49" s="3297"/>
      <c r="G49" s="3298"/>
      <c r="H49" s="3287"/>
      <c r="I49" s="3288" t="s">
        <v>1536</v>
      </c>
      <c r="J49" s="3299">
        <v>2016</v>
      </c>
      <c r="K49" s="3290" t="s">
        <v>1537</v>
      </c>
      <c r="L49" s="3300"/>
      <c r="O49" s="3301" t="s">
        <v>1042</v>
      </c>
      <c r="P49" s="3281" t="s">
        <v>1538</v>
      </c>
      <c r="Q49" s="3282">
        <f ca="1">C29</f>
        <v>6467</v>
      </c>
      <c r="R49" s="3282" t="s">
        <v>1531</v>
      </c>
    </row>
    <row r="50" spans="1:18" s="3149" customFormat="1" ht="13.5" thickBot="1">
      <c r="A50" s="3302"/>
      <c r="B50" s="3034"/>
      <c r="C50" s="3303"/>
      <c r="D50" s="3304"/>
      <c r="E50" s="3305" t="s">
        <v>1407</v>
      </c>
      <c r="F50" s="3306">
        <f ca="1">F7</f>
        <v>15982.84</v>
      </c>
      <c r="H50" s="3287"/>
      <c r="I50" s="3288" t="s">
        <v>1539</v>
      </c>
      <c r="J50" s="3307">
        <f>SUMPRODUCT((I63:I65=J47)*(J62:L62=J48)*(J63:L65))</f>
        <v>60</v>
      </c>
      <c r="K50" s="3290" t="s">
        <v>1540</v>
      </c>
      <c r="L50" s="3300"/>
      <c r="M50" s="3308"/>
      <c r="O50" s="3301" t="s">
        <v>1043</v>
      </c>
      <c r="P50" s="3281" t="s">
        <v>1541</v>
      </c>
      <c r="Q50" s="3282">
        <f ca="1">J58</f>
        <v>0.4</v>
      </c>
      <c r="R50" s="3282"/>
    </row>
    <row r="51" spans="1:18" s="3149" customFormat="1" ht="13.5" thickBot="1">
      <c r="A51" s="3309"/>
      <c r="B51" s="3034"/>
      <c r="C51" s="3310"/>
      <c r="D51" s="3304"/>
      <c r="E51" s="3311" t="s">
        <v>1408</v>
      </c>
      <c r="F51" s="2726">
        <f ca="1">F8</f>
        <v>365</v>
      </c>
      <c r="I51" s="3312" t="s">
        <v>1542</v>
      </c>
      <c r="J51" s="3291">
        <f>IF(J49="",J50,J49+J50-YEAR('数据-取费表'!B2))</f>
        <v>59</v>
      </c>
      <c r="K51" s="3313" t="s">
        <v>1543</v>
      </c>
      <c r="L51" s="3291">
        <f ca="1">ROUND(-PV(INDIRECT("'数据-取费表'!h"&amp;$G$1),L48,(C39-C13*C76),0),0)</f>
        <v>18863</v>
      </c>
      <c r="M51" s="3314"/>
      <c r="O51" s="3301" t="s">
        <v>1044</v>
      </c>
      <c r="P51" s="3281" t="s">
        <v>1544</v>
      </c>
      <c r="Q51" s="3282">
        <f>J52</f>
        <v>0.09</v>
      </c>
      <c r="R51" s="3282"/>
    </row>
    <row r="52" spans="1:18" s="3149" customFormat="1" ht="13.5" thickBot="1">
      <c r="A52" s="3309"/>
      <c r="B52" s="3034"/>
      <c r="C52" s="3310"/>
      <c r="D52" s="3304"/>
      <c r="E52" s="3311" t="s">
        <v>1409</v>
      </c>
      <c r="F52" s="3315"/>
      <c r="I52" s="3316" t="s">
        <v>1545</v>
      </c>
      <c r="J52" s="3514">
        <v>0.09</v>
      </c>
      <c r="K52" s="3316" t="s">
        <v>1546</v>
      </c>
      <c r="L52" s="3515">
        <v>4.4999999999999998E-2</v>
      </c>
      <c r="O52" s="3301" t="s">
        <v>1045</v>
      </c>
      <c r="P52" s="3281" t="s">
        <v>1547</v>
      </c>
      <c r="Q52" s="3282">
        <f ca="1">J53</f>
        <v>35.47</v>
      </c>
      <c r="R52" s="3282" t="s">
        <v>1548</v>
      </c>
    </row>
    <row r="53" spans="1:18" s="3149" customFormat="1" ht="24.75" thickBot="1">
      <c r="A53" s="3318" t="s">
        <v>1137</v>
      </c>
      <c r="B53" s="2507" t="s">
        <v>1410</v>
      </c>
      <c r="C53" s="3098">
        <f ca="1">ROUND(IF(F53="押一",F49*F51*F50/12*F11,IF(F53="押二",F49*F51*F50/12*2*F11,IF(F53="押三",F49*F51*F50/12*3*F11,C54*F11)))/10000,0)</f>
        <v>0</v>
      </c>
      <c r="D53" s="3177" t="s">
        <v>3040</v>
      </c>
      <c r="E53" s="3174" t="s">
        <v>1412</v>
      </c>
      <c r="F53" s="3178"/>
      <c r="I53" s="3319" t="s">
        <v>1549</v>
      </c>
      <c r="J53" s="3320">
        <f ca="1">IF(M47="住宅",J51,IF(D1="——",MIN(J51,L48),IF(D1="在建（套用方法）",MIN(J51,L48-'数据-取费表'!B24),IF(D1="土地（套用方法）",MIN(J51,L48-'数据-取费表'!B20)))))</f>
        <v>35.47</v>
      </c>
      <c r="K53" s="3950" t="s">
        <v>1550</v>
      </c>
      <c r="L53" s="3951"/>
      <c r="O53" s="3280" t="s">
        <v>1046</v>
      </c>
      <c r="P53" s="3281" t="s">
        <v>1551</v>
      </c>
      <c r="Q53" s="3282">
        <f ca="1">Q47+Q48</f>
        <v>40001</v>
      </c>
      <c r="R53" s="3282" t="s">
        <v>1047</v>
      </c>
    </row>
    <row r="54" spans="1:18" s="3149" customFormat="1" ht="13.5" thickBot="1">
      <c r="A54" s="3321"/>
      <c r="B54" s="3180" t="s">
        <v>1389</v>
      </c>
      <c r="C54" s="3181"/>
      <c r="D54" s="3177"/>
      <c r="E54" s="3322"/>
      <c r="F54" s="3323"/>
      <c r="I54" s="332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3325"/>
      <c r="K54" s="3325"/>
      <c r="L54" s="3325"/>
      <c r="M54" s="3298"/>
      <c r="O54" s="3259" t="s">
        <v>1552</v>
      </c>
      <c r="P54" s="3255"/>
      <c r="Q54" s="3255"/>
      <c r="R54" s="3255"/>
    </row>
    <row r="55" spans="1:18" s="3149" customFormat="1" ht="13.5" thickBot="1">
      <c r="A55" s="3185" t="s">
        <v>1075</v>
      </c>
      <c r="B55" s="3186" t="s">
        <v>1415</v>
      </c>
      <c r="C55" s="3187"/>
      <c r="D55" s="3177"/>
      <c r="E55" s="3322"/>
      <c r="F55" s="3323"/>
      <c r="I55" s="3326" t="s">
        <v>1553</v>
      </c>
      <c r="J55" s="3327">
        <f ca="1">ROUND(IF(J47="钢混",J57/J50,1-(1-2%)*(J50-J57)/J50),3)</f>
        <v>0.39200000000000002</v>
      </c>
      <c r="K55" s="3328" t="s">
        <v>1554</v>
      </c>
      <c r="L55" s="3329" t="s">
        <v>1555</v>
      </c>
      <c r="O55" s="3267" t="s">
        <v>1524</v>
      </c>
      <c r="P55" s="3268" t="s">
        <v>1525</v>
      </c>
      <c r="Q55" s="3269" t="s">
        <v>1526</v>
      </c>
      <c r="R55" s="3269" t="s">
        <v>1527</v>
      </c>
    </row>
    <row r="56" spans="1:18" s="3149" customFormat="1" ht="25.5" thickTop="1" thickBot="1">
      <c r="A56" s="3330">
        <v>2</v>
      </c>
      <c r="B56" s="3331" t="s">
        <v>1416</v>
      </c>
      <c r="C56" s="3332">
        <f ca="1">C13</f>
        <v>6338</v>
      </c>
      <c r="D56" s="3333"/>
      <c r="E56" s="3334"/>
      <c r="F56" s="3323"/>
      <c r="I56" s="3335" t="s">
        <v>1556</v>
      </c>
      <c r="J56" s="3336" t="s">
        <v>7100</v>
      </c>
      <c r="K56" s="3288" t="s">
        <v>1557</v>
      </c>
      <c r="L56" s="3291" t="str">
        <f ca="1">IF(L48&lt;J51,"——",L48-J53)</f>
        <v>——</v>
      </c>
      <c r="O56" s="3280" t="s">
        <v>1040</v>
      </c>
      <c r="P56" s="3281" t="s">
        <v>1530</v>
      </c>
      <c r="Q56" s="3282">
        <f ca="1">C40+J29</f>
        <v>39879</v>
      </c>
      <c r="R56" s="3282" t="s">
        <v>1531</v>
      </c>
    </row>
    <row r="57" spans="1:18" s="3149" customFormat="1" ht="24.75" thickBot="1">
      <c r="A57" s="3337"/>
      <c r="B57" s="3338" t="s">
        <v>1480</v>
      </c>
      <c r="C57" s="3339">
        <f ca="1">C29</f>
        <v>6467</v>
      </c>
      <c r="D57" s="3340"/>
      <c r="E57" s="3341"/>
      <c r="F57" s="3342"/>
      <c r="I57" s="3343" t="s">
        <v>1558</v>
      </c>
      <c r="J57" s="3344">
        <f ca="1">IF(OR(M47="住宅",J51&lt;L48,J56="是"),"——",J51-L48)</f>
        <v>23.53</v>
      </c>
      <c r="K57" s="3288" t="s">
        <v>1559</v>
      </c>
      <c r="L57" s="3291" t="str">
        <f ca="1">IF(L48&lt;J51,"——",IF(L55="比较法",L49,IF(L55="基准地价",L50,L51)))</f>
        <v>——</v>
      </c>
      <c r="O57" s="3280" t="s">
        <v>1041</v>
      </c>
      <c r="P57" s="3281" t="s">
        <v>1560</v>
      </c>
      <c r="Q57" s="3282">
        <f ca="1">L60</f>
        <v>0</v>
      </c>
      <c r="R57" s="3282" t="s">
        <v>1561</v>
      </c>
    </row>
    <row r="58" spans="1:18" s="3149" customFormat="1" ht="24.75" thickBot="1">
      <c r="A58" s="3345" t="s">
        <v>1030</v>
      </c>
      <c r="B58" s="3331" t="s">
        <v>1426</v>
      </c>
      <c r="C58" s="3098">
        <f ca="1">ROUND(C59+C64+C65+C66,0)</f>
        <v>165</v>
      </c>
      <c r="D58" s="3346" t="s">
        <v>1427</v>
      </c>
      <c r="E58" s="3347"/>
      <c r="F58" s="3286"/>
      <c r="I58" s="3343" t="s">
        <v>1562</v>
      </c>
      <c r="J58" s="3344">
        <f ca="1">IF(J55&lt;0.4,0.4,J55)</f>
        <v>0.4</v>
      </c>
      <c r="K58" s="3313" t="s">
        <v>1563</v>
      </c>
      <c r="L58" s="3291">
        <f ca="1">ROUND(POWER(1+L52,L47-L48)*(POWER(1+L52,L48)-1)/(POWER(1+L52,L47)-1),4)</f>
        <v>0.95420000000000005</v>
      </c>
      <c r="O58" s="3301" t="s">
        <v>1042</v>
      </c>
      <c r="P58" s="3281" t="s">
        <v>1564</v>
      </c>
      <c r="Q58" s="3282">
        <f>IF(L55="比较法",L49,IF(L55="基准地价",L50,0))</f>
        <v>0</v>
      </c>
      <c r="R58" s="3282" t="s">
        <v>1531</v>
      </c>
    </row>
    <row r="59" spans="1:18" s="3149" customFormat="1" ht="24.75" thickBot="1">
      <c r="A59" s="3202" t="s">
        <v>1035</v>
      </c>
      <c r="B59" s="3338" t="s">
        <v>1431</v>
      </c>
      <c r="C59" s="2407">
        <f ca="1">ROUND(IF(项目基本情况!B11="自然人",C48*F59,C60+C61+C62),1)</f>
        <v>58.1</v>
      </c>
      <c r="D59" s="3348" t="s">
        <v>1432</v>
      </c>
      <c r="E59" s="3349" t="s">
        <v>1433</v>
      </c>
      <c r="F59" s="3217" t="str">
        <f ca="1">IF(项目基本情况!B11="企业","",IF(INDIRECT("'数据-取费表'!c"&amp;$G$1)="住宅",5%,IF(F49*F50*F51/12/(1+'数据-取费表'!C42)&gt;20000,12%,7%)))</f>
        <v/>
      </c>
      <c r="I59" s="3343" t="s">
        <v>1565</v>
      </c>
      <c r="J59" s="3344">
        <f ca="1">IF(OR(M47="住宅",J51&lt;L48,J56="是"),"——",ROUND(C29*J58,0))</f>
        <v>2587</v>
      </c>
      <c r="K59" s="328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3291">
        <f ca="1">ROUND(IF(D1="在建（套用方法）",M59,IF(D1="土地（套用方法）",N59,POWER(1+L52,L47-J51)*(POWER(1+L52,J51)-1)/(POWER(1+L52,L47)-1))),4)</f>
        <v>1.1176999999999999</v>
      </c>
      <c r="M59" s="3279">
        <f ca="1">ROUND(POWER(1+L52,L47-(J51+'数据-取费表'!B24))*(POWER(1+L52,(J51+'数据-取费表'!B24))-1)/(POWER(1+L52,L47)-1),4)</f>
        <v>1.1176999999999999</v>
      </c>
      <c r="N59" s="3279">
        <f ca="1">ROUND(POWER(1+L52,L47-(J51+'数据-取费表'!B20))*(POWER(1+L52,(J51+'数据-取费表'!B20))-1)/(POWER(1+L52,L47)-1),4)</f>
        <v>1.1252</v>
      </c>
      <c r="O59" s="3301" t="s">
        <v>1043</v>
      </c>
      <c r="P59" s="3281" t="s">
        <v>1566</v>
      </c>
      <c r="Q59" s="3282">
        <f>L52</f>
        <v>4.4999999999999998E-2</v>
      </c>
      <c r="R59" s="3282"/>
    </row>
    <row r="60" spans="1:18" s="3149" customFormat="1" ht="16.5" thickBot="1">
      <c r="A60" s="3202" t="s">
        <v>1034</v>
      </c>
      <c r="B60" s="3338" t="s">
        <v>1435</v>
      </c>
      <c r="C60" s="2407">
        <f ca="1">IF(项目基本情况!B11="自然人","——",ROUND(C48*F60/(1+'数据-取费表'!C42),2))</f>
        <v>0</v>
      </c>
      <c r="D60" s="3349" t="s">
        <v>1436</v>
      </c>
      <c r="E60" s="3338" t="s">
        <v>1424</v>
      </c>
      <c r="F60" s="2594">
        <f t="shared" ref="F60:F66" si="0">F32</f>
        <v>5.6000000000000001E-2</v>
      </c>
      <c r="I60" s="3350" t="s">
        <v>1567</v>
      </c>
      <c r="J60" s="3351">
        <f ca="1">IF(OR(M47="住宅",J51&lt;L48,J56="是"),"0",ROUND(J59/(1+J52)^J53,0))</f>
        <v>122</v>
      </c>
      <c r="K60" s="3352" t="s">
        <v>1568</v>
      </c>
      <c r="L60" s="3351">
        <f ca="1">IF(OR(M47="住宅",L48&lt;J51),0,ROUND(L57*(L58/L59-1),0))</f>
        <v>0</v>
      </c>
      <c r="O60" s="3301" t="s">
        <v>1044</v>
      </c>
      <c r="P60" s="3281" t="s">
        <v>1569</v>
      </c>
      <c r="Q60" s="3282">
        <f ca="1">L58</f>
        <v>0.95420000000000005</v>
      </c>
      <c r="R60" s="3282" t="s">
        <v>1570</v>
      </c>
    </row>
    <row r="61" spans="1:18" s="3149" customFormat="1" ht="13.5" thickBot="1">
      <c r="A61" s="3202" t="s">
        <v>1494</v>
      </c>
      <c r="B61" s="3338" t="s">
        <v>1495</v>
      </c>
      <c r="C61" s="2407">
        <f ca="1">IF(项目基本情况!B11="自然人","——",IF(D61="按租金收入计税",ROUND(C48*F61,2),IF(D61="按房产原值计税",ROUND(C57*F61*0.7,2),INDIRECT("'数据-取费表'!Aj"&amp;$G$1))))</f>
        <v>54.32</v>
      </c>
      <c r="D61" s="3219" t="s">
        <v>1440</v>
      </c>
      <c r="E61" s="3338" t="s">
        <v>1496</v>
      </c>
      <c r="F61" s="2594">
        <f t="shared" si="0"/>
        <v>1.2E-2</v>
      </c>
      <c r="I61" s="3353"/>
      <c r="J61" s="3353"/>
      <c r="K61" s="3353"/>
      <c r="L61" s="3353"/>
      <c r="O61" s="3301" t="s">
        <v>1045</v>
      </c>
      <c r="P61" s="3281" t="str">
        <f>K59</f>
        <v>建筑物剩余耐用年限下的土地年期修正系数Kn</v>
      </c>
      <c r="Q61" s="3282">
        <f ca="1">L59</f>
        <v>1.1176999999999999</v>
      </c>
      <c r="R61" s="3282" t="s">
        <v>1571</v>
      </c>
    </row>
    <row r="62" spans="1:18" s="3149" customFormat="1" ht="13.5" thickBot="1">
      <c r="A62" s="3202" t="s">
        <v>1497</v>
      </c>
      <c r="B62" s="3354" t="s">
        <v>1498</v>
      </c>
      <c r="C62" s="3221">
        <f ca="1">IF(项目基本情况!B11="自然人","——",ROUND(F62*F63/10000,2))</f>
        <v>3.79</v>
      </c>
      <c r="D62" s="3355" t="s">
        <v>1499</v>
      </c>
      <c r="E62" s="3338" t="s">
        <v>1500</v>
      </c>
      <c r="F62" s="2594">
        <f t="shared" si="0"/>
        <v>8</v>
      </c>
      <c r="I62" s="3356" t="s">
        <v>1572</v>
      </c>
      <c r="J62" s="3357" t="s">
        <v>1573</v>
      </c>
      <c r="K62" s="3357" t="s">
        <v>1574</v>
      </c>
      <c r="L62" s="3357" t="s">
        <v>1575</v>
      </c>
      <c r="M62" s="3358" t="s">
        <v>1576</v>
      </c>
      <c r="O62" s="3280" t="s">
        <v>1046</v>
      </c>
      <c r="P62" s="3281" t="s">
        <v>1577</v>
      </c>
      <c r="Q62" s="3282">
        <f ca="1">Q56+Q57</f>
        <v>39879</v>
      </c>
      <c r="R62" s="3282" t="s">
        <v>1047</v>
      </c>
    </row>
    <row r="63" spans="1:18" s="3149" customFormat="1" ht="13.5" thickBot="1">
      <c r="A63" s="3223"/>
      <c r="B63" s="3359"/>
      <c r="C63" s="2596"/>
      <c r="D63" s="3360"/>
      <c r="E63" s="3338" t="s">
        <v>1501</v>
      </c>
      <c r="F63" s="2726">
        <f t="shared" ca="1" si="0"/>
        <v>4738.18</v>
      </c>
      <c r="I63" s="3356" t="s">
        <v>1578</v>
      </c>
      <c r="J63" s="3357">
        <v>70</v>
      </c>
      <c r="K63" s="3357">
        <v>50</v>
      </c>
      <c r="L63" s="3357">
        <v>80</v>
      </c>
      <c r="M63" s="3358">
        <v>0.02</v>
      </c>
      <c r="O63" s="3259" t="s">
        <v>1579</v>
      </c>
      <c r="P63" s="3255"/>
      <c r="Q63" s="3255"/>
      <c r="R63" s="3255"/>
    </row>
    <row r="64" spans="1:18" s="3149" customFormat="1" ht="13.5" thickBot="1">
      <c r="A64" s="3202" t="s">
        <v>1502</v>
      </c>
      <c r="B64" s="3338" t="s">
        <v>1503</v>
      </c>
      <c r="C64" s="2407">
        <f ca="1">ROUND(C57*F64,1)</f>
        <v>97</v>
      </c>
      <c r="D64" s="3349" t="s">
        <v>1504</v>
      </c>
      <c r="E64" s="3338" t="s">
        <v>1496</v>
      </c>
      <c r="F64" s="2726">
        <f t="shared" ca="1" si="0"/>
        <v>1.4999999999999999E-2</v>
      </c>
      <c r="I64" s="3356" t="s">
        <v>1580</v>
      </c>
      <c r="J64" s="3357">
        <v>50</v>
      </c>
      <c r="K64" s="3357">
        <v>35</v>
      </c>
      <c r="L64" s="3357">
        <v>60</v>
      </c>
      <c r="M64" s="3358">
        <v>0</v>
      </c>
      <c r="O64" s="3267" t="s">
        <v>1524</v>
      </c>
      <c r="P64" s="3268" t="s">
        <v>1525</v>
      </c>
      <c r="Q64" s="3269" t="s">
        <v>1526</v>
      </c>
      <c r="R64" s="3269" t="s">
        <v>1527</v>
      </c>
    </row>
    <row r="65" spans="1:18" s="3149" customFormat="1" ht="13.5" thickBot="1">
      <c r="A65" s="3202" t="s">
        <v>1505</v>
      </c>
      <c r="B65" s="3338" t="s">
        <v>1455</v>
      </c>
      <c r="C65" s="2407">
        <f ca="1">ROUND(C56*F65,1)</f>
        <v>9.5</v>
      </c>
      <c r="D65" s="3349" t="s">
        <v>1456</v>
      </c>
      <c r="E65" s="3338" t="s">
        <v>1457</v>
      </c>
      <c r="F65" s="2726">
        <f t="shared" ca="1" si="0"/>
        <v>1.5E-3</v>
      </c>
      <c r="I65" s="3356" t="s">
        <v>1581</v>
      </c>
      <c r="J65" s="3357">
        <v>40</v>
      </c>
      <c r="K65" s="3357">
        <v>30</v>
      </c>
      <c r="L65" s="3357">
        <v>50</v>
      </c>
      <c r="M65" s="3358">
        <v>0.02</v>
      </c>
      <c r="O65" s="3280" t="s">
        <v>1040</v>
      </c>
      <c r="P65" s="3281" t="s">
        <v>1582</v>
      </c>
      <c r="Q65" s="3282">
        <f ca="1">C40+J29</f>
        <v>39879</v>
      </c>
      <c r="R65" s="3282" t="s">
        <v>1531</v>
      </c>
    </row>
    <row r="66" spans="1:18" s="3149" customFormat="1" ht="16.5" thickBot="1">
      <c r="A66" s="3202" t="s">
        <v>1506</v>
      </c>
      <c r="B66" s="3338" t="s">
        <v>1441</v>
      </c>
      <c r="C66" s="2407">
        <f ca="1">ROUND(C48*F66,1)</f>
        <v>0</v>
      </c>
      <c r="D66" s="3349" t="s">
        <v>1507</v>
      </c>
      <c r="E66" s="3338" t="s">
        <v>1424</v>
      </c>
      <c r="F66" s="2726">
        <f t="shared" ca="1" si="0"/>
        <v>0.01</v>
      </c>
      <c r="O66" s="3280" t="s">
        <v>1041</v>
      </c>
      <c r="P66" s="3281" t="s">
        <v>1560</v>
      </c>
      <c r="Q66" s="3282">
        <f ca="1">L60</f>
        <v>0</v>
      </c>
      <c r="R66" s="3282" t="s">
        <v>1583</v>
      </c>
    </row>
    <row r="67" spans="1:18" s="3149" customFormat="1" ht="16.5" thickBot="1">
      <c r="A67" s="3330" t="s">
        <v>1031</v>
      </c>
      <c r="B67" s="3361" t="s">
        <v>1465</v>
      </c>
      <c r="C67" s="3098">
        <f ca="1">C48-C58</f>
        <v>-165</v>
      </c>
      <c r="D67" s="3348" t="s">
        <v>1466</v>
      </c>
      <c r="E67" s="3362"/>
      <c r="F67" s="3363"/>
      <c r="O67" s="3301" t="s">
        <v>1042</v>
      </c>
      <c r="P67" s="3281" t="s">
        <v>1564</v>
      </c>
      <c r="Q67" s="3282">
        <f ca="1">L51</f>
        <v>18863</v>
      </c>
      <c r="R67" s="3282" t="s">
        <v>1584</v>
      </c>
    </row>
    <row r="68" spans="1:18" s="3149" customFormat="1" ht="16.5" thickBot="1">
      <c r="A68" s="3364" t="s">
        <v>1032</v>
      </c>
      <c r="B68" s="3365" t="s">
        <v>1487</v>
      </c>
      <c r="C68" s="3168">
        <f ca="1">ROUND(C67*(1-((1+F70)/(1+F68))^F69)/(F68-F70),0)</f>
        <v>-2715</v>
      </c>
      <c r="D68" s="3355" t="s">
        <v>1471</v>
      </c>
      <c r="E68" s="3338" t="s">
        <v>1472</v>
      </c>
      <c r="F68" s="2726">
        <f ca="1">F40</f>
        <v>0.05</v>
      </c>
      <c r="O68" s="3301" t="s">
        <v>1043</v>
      </c>
      <c r="P68" s="3366" t="s">
        <v>1585</v>
      </c>
      <c r="Q68" s="3282">
        <f ca="1">ROUND(Q69-Q70*Q71,0)</f>
        <v>1074</v>
      </c>
      <c r="R68" s="3282" t="s">
        <v>1051</v>
      </c>
    </row>
    <row r="69" spans="1:18" s="3149" customFormat="1" ht="13.5" thickBot="1">
      <c r="A69" s="3367"/>
      <c r="B69" s="3368"/>
      <c r="C69" s="3173"/>
      <c r="D69" s="3369" t="s">
        <v>1475</v>
      </c>
      <c r="E69" s="3338" t="s">
        <v>1476</v>
      </c>
      <c r="F69" s="2726">
        <f ca="1">F41</f>
        <v>35.47</v>
      </c>
      <c r="O69" s="3301" t="s">
        <v>1048</v>
      </c>
      <c r="P69" s="3366" t="s">
        <v>1586</v>
      </c>
      <c r="Q69" s="3282">
        <f ca="1">C39</f>
        <v>1613</v>
      </c>
      <c r="R69" s="3282" t="s">
        <v>1531</v>
      </c>
    </row>
    <row r="70" spans="1:18" s="3149" customFormat="1" ht="13.5" thickBot="1">
      <c r="A70" s="3370"/>
      <c r="B70" s="3371"/>
      <c r="C70" s="3195"/>
      <c r="D70" s="3360"/>
      <c r="E70" s="3338" t="s">
        <v>1479</v>
      </c>
      <c r="F70" s="3315"/>
      <c r="O70" s="3301" t="s">
        <v>1049</v>
      </c>
      <c r="P70" s="3366" t="s">
        <v>1587</v>
      </c>
      <c r="Q70" s="3282">
        <f ca="1">C13</f>
        <v>6338</v>
      </c>
      <c r="R70" s="3282" t="s">
        <v>1531</v>
      </c>
    </row>
    <row r="71" spans="1:18" s="3149" customFormat="1" ht="13.5" thickBot="1">
      <c r="A71" s="3372" t="s">
        <v>1033</v>
      </c>
      <c r="B71" s="3373" t="s">
        <v>1489</v>
      </c>
      <c r="C71" s="3238">
        <f ca="1">ROUND(C68*10000/F71,0)</f>
        <v>-1699</v>
      </c>
      <c r="D71" s="3374" t="s">
        <v>1490</v>
      </c>
      <c r="E71" s="3375" t="s">
        <v>1491</v>
      </c>
      <c r="F71" s="3241">
        <f ca="1">F43</f>
        <v>15982.84</v>
      </c>
      <c r="O71" s="3301" t="s">
        <v>1050</v>
      </c>
      <c r="P71" s="3366" t="s">
        <v>1588</v>
      </c>
      <c r="Q71" s="3282">
        <f ca="1">C76</f>
        <v>8.5000000000000006E-2</v>
      </c>
      <c r="R71" s="3282"/>
    </row>
    <row r="72" spans="1:18" s="3149" customFormat="1" ht="13.5" thickBot="1">
      <c r="B72" s="3014"/>
      <c r="C72" s="3014"/>
      <c r="O72" s="3301" t="s">
        <v>1044</v>
      </c>
      <c r="P72" s="3281" t="s">
        <v>1566</v>
      </c>
      <c r="Q72" s="3282">
        <f>L52</f>
        <v>4.4999999999999998E-2</v>
      </c>
      <c r="R72" s="3282"/>
    </row>
    <row r="73" spans="1:18" ht="16.5" thickBot="1">
      <c r="A73" s="3149"/>
      <c r="B73" s="3014"/>
      <c r="C73" s="3014"/>
      <c r="D73" s="3149"/>
      <c r="E73" s="3149"/>
      <c r="F73" s="3149"/>
      <c r="O73" s="3301" t="s">
        <v>1045</v>
      </c>
      <c r="P73" s="3281" t="s">
        <v>1569</v>
      </c>
      <c r="Q73" s="3282">
        <f ca="1">L58</f>
        <v>0.95420000000000005</v>
      </c>
      <c r="R73" s="3282" t="s">
        <v>1570</v>
      </c>
    </row>
    <row r="74" spans="1:18" ht="13.5" thickBot="1">
      <c r="A74" s="3149"/>
      <c r="B74" s="3377" t="s">
        <v>1589</v>
      </c>
      <c r="C74" s="3378"/>
      <c r="D74" s="3149"/>
      <c r="E74" s="3149"/>
      <c r="F74" s="3149"/>
      <c r="O74" s="3301" t="s">
        <v>1052</v>
      </c>
      <c r="P74" s="3281" t="str">
        <f>K59</f>
        <v>建筑物剩余耐用年限下的土地年期修正系数Kn</v>
      </c>
      <c r="Q74" s="3282">
        <f ca="1">L59</f>
        <v>1.1176999999999999</v>
      </c>
      <c r="R74" s="3282" t="s">
        <v>1571</v>
      </c>
    </row>
    <row r="75" spans="1:18" ht="13.5" thickBot="1">
      <c r="A75" s="3149"/>
      <c r="B75" s="3379" t="s">
        <v>1508</v>
      </c>
      <c r="C75" s="3380">
        <f ca="1">ROUND(C13*C76,0)</f>
        <v>539</v>
      </c>
      <c r="D75" s="3149"/>
      <c r="E75" s="3149"/>
      <c r="F75" s="3149"/>
      <c r="K75" s="3258"/>
      <c r="L75" s="3149"/>
      <c r="O75" s="3280" t="s">
        <v>1046</v>
      </c>
      <c r="P75" s="3281" t="s">
        <v>1551</v>
      </c>
      <c r="Q75" s="3282">
        <f ca="1">Q65+Q66</f>
        <v>39879</v>
      </c>
      <c r="R75" s="3282" t="s">
        <v>1047</v>
      </c>
    </row>
    <row r="76" spans="1:18">
      <c r="B76" s="3381" t="s">
        <v>1509</v>
      </c>
      <c r="C76" s="3098">
        <f ca="1">INDIRECT("'数据-取费表'!j"&amp;$G$1)</f>
        <v>8.5000000000000006E-2</v>
      </c>
      <c r="I76" s="3149"/>
      <c r="J76" s="3149"/>
      <c r="K76" s="3258"/>
      <c r="L76" s="3149"/>
    </row>
    <row r="77" spans="1:18">
      <c r="B77" s="3382" t="s">
        <v>1510</v>
      </c>
      <c r="C77" s="3383"/>
      <c r="I77" s="3149"/>
      <c r="J77" s="3149"/>
      <c r="K77" s="3258"/>
      <c r="L77" s="3149"/>
    </row>
    <row r="78" spans="1:18">
      <c r="B78" s="3384" t="s">
        <v>1511</v>
      </c>
      <c r="C78" s="3385"/>
    </row>
    <row r="79" spans="1:18">
      <c r="B79" s="3379" t="s">
        <v>1512</v>
      </c>
      <c r="C79" s="3380">
        <f ca="1">1-C80</f>
        <v>0.66599999999999993</v>
      </c>
    </row>
    <row r="80" spans="1:18">
      <c r="B80" s="3379" t="s">
        <v>1513</v>
      </c>
      <c r="C80" s="3380">
        <f ca="1">ROUND(C75/C39,3)</f>
        <v>0.33400000000000002</v>
      </c>
    </row>
    <row r="81" spans="2:3">
      <c r="B81" s="3384" t="s">
        <v>1514</v>
      </c>
      <c r="C81" s="3339"/>
    </row>
    <row r="82" spans="2:3">
      <c r="B82" s="3377" t="s">
        <v>1515</v>
      </c>
      <c r="C82" s="3378">
        <f ca="1">1-C83</f>
        <v>0.84099999999999997</v>
      </c>
    </row>
    <row r="83" spans="2:3">
      <c r="B83" s="3377" t="s">
        <v>1516</v>
      </c>
      <c r="C83" s="3380">
        <f ca="1">ROUND(C13/C40,3)</f>
        <v>0.159</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22" priority="56">
      <formula>$L$48&gt;$J$51</formula>
    </cfRule>
  </conditionalFormatting>
  <conditionalFormatting sqref="I55 I60">
    <cfRule type="expression" dxfId="121" priority="57">
      <formula>$J$51&gt;$L$48</formula>
    </cfRule>
  </conditionalFormatting>
  <conditionalFormatting sqref="C11">
    <cfRule type="expression" dxfId="120" priority="3">
      <formula>$F$10="自定义"</formula>
    </cfRule>
  </conditionalFormatting>
  <conditionalFormatting sqref="J11">
    <cfRule type="expression" dxfId="119" priority="2">
      <formula>$M$10="自定义"</formula>
    </cfRule>
  </conditionalFormatting>
  <conditionalFormatting sqref="C54">
    <cfRule type="expression" dxfId="11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sqref="A1:XFD1048576"/>
    </sheetView>
  </sheetViews>
  <sheetFormatPr defaultRowHeight="12.75"/>
  <cols>
    <col min="1" max="1" width="9" style="3150" customWidth="1"/>
    <col min="2" max="2" width="20.625" style="3015" customWidth="1"/>
    <col min="3" max="3" width="11.875" style="3015" customWidth="1"/>
    <col min="4" max="4" width="40.5" style="3150" customWidth="1"/>
    <col min="5" max="5" width="15.75" style="3150" customWidth="1"/>
    <col min="6" max="6" width="10.625" style="3150" customWidth="1"/>
    <col min="7" max="7" width="4.875" style="3150" customWidth="1"/>
    <col min="8" max="8" width="8.5" style="3150" customWidth="1"/>
    <col min="9" max="9" width="21.25" style="3150" customWidth="1"/>
    <col min="10" max="10" width="12.25" style="3150" customWidth="1"/>
    <col min="11" max="11" width="45.125" style="3376" customWidth="1"/>
    <col min="12" max="12" width="16.375" style="3150" customWidth="1"/>
    <col min="13" max="13" width="13" style="3150" customWidth="1"/>
    <col min="14" max="14" width="13.75" style="3149" customWidth="1"/>
    <col min="15" max="15" width="5.125" style="3149" customWidth="1"/>
    <col min="16" max="16" width="25.75" style="3149" customWidth="1"/>
    <col min="17" max="17" width="13.75" style="3149" customWidth="1"/>
    <col min="18" max="18" width="20.5" style="3149" customWidth="1"/>
    <col min="19" max="19" width="13.25" style="3149" customWidth="1"/>
    <col min="20" max="37" width="9" style="3149"/>
    <col min="38" max="16384" width="9" style="3150"/>
  </cols>
  <sheetData>
    <row r="1" spans="1:37" s="3140" customFormat="1" ht="21">
      <c r="A1" s="3130" t="s">
        <v>1591</v>
      </c>
      <c r="B1" s="3131"/>
      <c r="C1" s="3132" t="s">
        <v>3071</v>
      </c>
      <c r="D1" s="3133" t="s">
        <v>70</v>
      </c>
      <c r="E1" s="3134" t="s">
        <v>1388</v>
      </c>
      <c r="F1" s="3134">
        <f ca="1">J53</f>
        <v>35.47</v>
      </c>
      <c r="G1" s="3135">
        <f>MATCH(C1,'数据-取费表'!A6:A16,0)+5</f>
        <v>7</v>
      </c>
      <c r="H1" s="3136"/>
      <c r="I1" s="3137"/>
      <c r="J1" s="3137"/>
      <c r="K1" s="3138"/>
      <c r="L1" s="3137"/>
      <c r="M1" s="3137"/>
      <c r="N1" s="3139"/>
      <c r="O1" s="3139"/>
      <c r="P1" s="3139"/>
      <c r="Q1" s="3139"/>
      <c r="R1" s="3139"/>
      <c r="S1" s="3139"/>
      <c r="T1" s="3139"/>
      <c r="U1" s="3139"/>
      <c r="V1" s="3139"/>
      <c r="W1" s="3139"/>
      <c r="X1" s="3139"/>
      <c r="Y1" s="3139"/>
      <c r="Z1" s="3139"/>
      <c r="AA1" s="3139"/>
      <c r="AB1" s="3139"/>
      <c r="AC1" s="3139"/>
      <c r="AD1" s="3139"/>
      <c r="AE1" s="3139"/>
      <c r="AF1" s="3139"/>
      <c r="AG1" s="3139"/>
      <c r="AH1" s="3139"/>
      <c r="AI1" s="3139"/>
      <c r="AJ1" s="3139"/>
      <c r="AK1" s="3139"/>
    </row>
    <row r="2" spans="1:37" ht="18" customHeight="1">
      <c r="A2" s="3141" t="s">
        <v>1517</v>
      </c>
      <c r="B2" s="3142" t="e">
        <f ca="1">C40+J29+L46</f>
        <v>#DIV/0!</v>
      </c>
      <c r="C2" s="3143" t="s">
        <v>1518</v>
      </c>
      <c r="D2" s="3143"/>
      <c r="E2" s="3144"/>
      <c r="F2" s="3145"/>
      <c r="G2" s="3146"/>
      <c r="H2" s="3147"/>
      <c r="I2" s="3147"/>
      <c r="J2" s="3147"/>
      <c r="K2" s="3148"/>
      <c r="L2" s="3147"/>
      <c r="M2" s="3147"/>
    </row>
    <row r="3" spans="1:37" ht="18" customHeight="1" thickBot="1">
      <c r="A3" s="3151" t="s">
        <v>1519</v>
      </c>
      <c r="B3" s="3152">
        <f ca="1">IF(ISERROR(B2*10000/F43),0,ROUND(B2*10000/F43,0))</f>
        <v>0</v>
      </c>
      <c r="C3" s="3143" t="s">
        <v>1520</v>
      </c>
      <c r="D3" s="3143"/>
      <c r="E3" s="3144"/>
      <c r="F3" s="3145"/>
      <c r="G3" s="3146"/>
      <c r="H3" s="3153" t="s">
        <v>1590</v>
      </c>
      <c r="I3" s="3147"/>
      <c r="J3" s="3147"/>
      <c r="K3" s="3148"/>
      <c r="L3" s="3147"/>
      <c r="M3" s="3147"/>
    </row>
    <row r="4" spans="1:37" ht="18" customHeight="1">
      <c r="A4" s="3154" t="s">
        <v>1397</v>
      </c>
      <c r="B4" s="3155" t="s">
        <v>1398</v>
      </c>
      <c r="C4" s="3155" t="s">
        <v>1399</v>
      </c>
      <c r="D4" s="3155" t="s">
        <v>1400</v>
      </c>
      <c r="E4" s="3156" t="s">
        <v>1401</v>
      </c>
      <c r="F4" s="3157"/>
      <c r="G4" s="3158"/>
      <c r="H4" s="3154" t="s">
        <v>1397</v>
      </c>
      <c r="I4" s="3155" t="s">
        <v>1398</v>
      </c>
      <c r="J4" s="3155" t="s">
        <v>1399</v>
      </c>
      <c r="K4" s="3155" t="s">
        <v>1400</v>
      </c>
      <c r="L4" s="3156" t="s">
        <v>1401</v>
      </c>
      <c r="M4" s="3157"/>
    </row>
    <row r="5" spans="1:37" ht="18" customHeight="1">
      <c r="A5" s="3159">
        <v>1</v>
      </c>
      <c r="B5" s="3160" t="s">
        <v>1402</v>
      </c>
      <c r="C5" s="3161">
        <f ca="1">C6+C10+C12</f>
        <v>0</v>
      </c>
      <c r="D5" s="3162" t="s">
        <v>1403</v>
      </c>
      <c r="E5" s="3163"/>
      <c r="F5" s="3164"/>
      <c r="G5" s="3158"/>
      <c r="H5" s="3159">
        <v>1</v>
      </c>
      <c r="I5" s="3160" t="s">
        <v>1402</v>
      </c>
      <c r="J5" s="3161">
        <f ca="1">J6+J10+J12</f>
        <v>0</v>
      </c>
      <c r="K5" s="3162" t="s">
        <v>1403</v>
      </c>
      <c r="L5" s="3163"/>
      <c r="M5" s="3164"/>
    </row>
    <row r="6" spans="1:37" ht="18" customHeight="1">
      <c r="A6" s="3165" t="s">
        <v>1035</v>
      </c>
      <c r="B6" s="3952" t="s">
        <v>1404</v>
      </c>
      <c r="C6" s="3166">
        <f ca="1">ROUND(F6*F8*F7*(1-F9)/10000,0)</f>
        <v>0</v>
      </c>
      <c r="D6" s="2584" t="s">
        <v>3039</v>
      </c>
      <c r="E6" s="3167" t="s">
        <v>1406</v>
      </c>
      <c r="F6" s="2726">
        <f ca="1">INDIRECT("'数据-取费表'!u"&amp;$G$1)</f>
        <v>0</v>
      </c>
      <c r="G6" s="3158"/>
      <c r="H6" s="3165" t="s">
        <v>1035</v>
      </c>
      <c r="I6" s="3952" t="s">
        <v>1404</v>
      </c>
      <c r="J6" s="3168">
        <f ca="1">ROUND(M6*M8*M7*(1-M9)/10000,0)</f>
        <v>0</v>
      </c>
      <c r="K6" s="2584" t="s">
        <v>3038</v>
      </c>
      <c r="L6" s="3167" t="s">
        <v>1406</v>
      </c>
      <c r="M6" s="2726">
        <f ca="1">INDIRECT("'数据-取费表'!z"&amp;$G$1)</f>
        <v>0</v>
      </c>
    </row>
    <row r="7" spans="1:37" ht="18" customHeight="1">
      <c r="A7" s="3169"/>
      <c r="B7" s="3953"/>
      <c r="C7" s="3170"/>
      <c r="D7" s="2210"/>
      <c r="E7" s="3171" t="s">
        <v>1407</v>
      </c>
      <c r="F7" s="2726">
        <f ca="1">IF(INDIRECT("'数据-取费表'!ah"&amp;$G$1)="",INDIRECT("'数据-取费表'!k"&amp;$G$1),INDIRECT("'数据-取费表'!ah"&amp;$G$1))</f>
        <v>1603.32</v>
      </c>
      <c r="G7" s="3158"/>
      <c r="H7" s="3172"/>
      <c r="I7" s="3953"/>
      <c r="J7" s="3173"/>
      <c r="K7" s="2210"/>
      <c r="L7" s="3167" t="s">
        <v>1407</v>
      </c>
      <c r="M7" s="2726">
        <f ca="1">F7</f>
        <v>1603.32</v>
      </c>
    </row>
    <row r="8" spans="1:37" ht="18" customHeight="1">
      <c r="A8" s="3172"/>
      <c r="B8" s="3953"/>
      <c r="C8" s="3173"/>
      <c r="D8" s="2210"/>
      <c r="E8" s="3167" t="s">
        <v>1408</v>
      </c>
      <c r="F8" s="2726">
        <f ca="1">INDIRECT("'数据-取费表'!ai"&amp;$G$1)</f>
        <v>365</v>
      </c>
      <c r="G8" s="3158"/>
      <c r="H8" s="3172"/>
      <c r="I8" s="3953"/>
      <c r="J8" s="3173"/>
      <c r="K8" s="2210"/>
      <c r="L8" s="3167" t="s">
        <v>1408</v>
      </c>
      <c r="M8" s="2726">
        <f ca="1">INDIRECT("'数据-取费表'!ai"&amp;$G$1)</f>
        <v>365</v>
      </c>
    </row>
    <row r="9" spans="1:37" ht="18" customHeight="1">
      <c r="A9" s="3172"/>
      <c r="B9" s="3954"/>
      <c r="C9" s="3173"/>
      <c r="D9" s="2210"/>
      <c r="E9" s="3167" t="s">
        <v>1409</v>
      </c>
      <c r="F9" s="2726">
        <f ca="1">INDIRECT("'数据-取费表'!w"&amp;$G$1)</f>
        <v>0</v>
      </c>
      <c r="G9" s="3158"/>
      <c r="H9" s="3172"/>
      <c r="I9" s="3954"/>
      <c r="J9" s="3173"/>
      <c r="K9" s="2210"/>
      <c r="L9" s="3174" t="s">
        <v>1409</v>
      </c>
      <c r="M9" s="3175">
        <f ca="1">INDIRECT("'数据-取费表'!ab"&amp;$G$1)</f>
        <v>0</v>
      </c>
    </row>
    <row r="10" spans="1:37" ht="18" customHeight="1">
      <c r="A10" s="3165" t="s">
        <v>1039</v>
      </c>
      <c r="B10" s="3176" t="s">
        <v>1410</v>
      </c>
      <c r="C10" s="3098">
        <f ca="1">ROUND(IF(F10="押一",F6*F8*F7/12*F11,IF(F10="押二",F6*F8*F7/12*2*F11,IF(F10="押三",F6*F8*F7/12*3*F11,C11*F11)))/10000,0)</f>
        <v>0</v>
      </c>
      <c r="D10" s="3177" t="s">
        <v>3040</v>
      </c>
      <c r="E10" s="3174" t="s">
        <v>1412</v>
      </c>
      <c r="F10" s="3178" t="s">
        <v>7118</v>
      </c>
      <c r="G10" s="3158"/>
      <c r="H10" s="3165" t="s">
        <v>1039</v>
      </c>
      <c r="I10" s="3176" t="s">
        <v>1410</v>
      </c>
      <c r="J10" s="3168">
        <f ca="1">ROUND(IF(M10="押一",M6*M8*M7/12*M11,IF(M10="押二",M6*M8*M7/12*2*M11,IF(M10="押三",M6*M8*M7/12*3*M11,J11*M11)))/10000,0)</f>
        <v>0</v>
      </c>
      <c r="K10" s="3177" t="s">
        <v>3041</v>
      </c>
      <c r="L10" s="3174" t="s">
        <v>1412</v>
      </c>
      <c r="M10" s="3178" t="s">
        <v>1413</v>
      </c>
    </row>
    <row r="11" spans="1:37" ht="18" customHeight="1">
      <c r="A11" s="3179"/>
      <c r="B11" s="3180" t="s">
        <v>1389</v>
      </c>
      <c r="C11" s="3181"/>
      <c r="D11" s="3182"/>
      <c r="E11" s="3174" t="s">
        <v>1414</v>
      </c>
      <c r="F11" s="3175">
        <f ca="1">'数据-取费表'!B39</f>
        <v>1.4999999999999999E-2</v>
      </c>
      <c r="G11" s="3158"/>
      <c r="H11" s="3183"/>
      <c r="I11" s="3180" t="s">
        <v>1389</v>
      </c>
      <c r="J11" s="3181"/>
      <c r="K11" s="2218"/>
      <c r="L11" s="3174" t="s">
        <v>1414</v>
      </c>
      <c r="M11" s="3184">
        <f ca="1">'数据-取费表'!B39</f>
        <v>1.4999999999999999E-2</v>
      </c>
    </row>
    <row r="12" spans="1:37" ht="18" customHeight="1" thickBot="1">
      <c r="A12" s="3185" t="s">
        <v>1075</v>
      </c>
      <c r="B12" s="3186" t="s">
        <v>1415</v>
      </c>
      <c r="C12" s="3187"/>
      <c r="D12" s="3188"/>
      <c r="E12" s="3189"/>
      <c r="F12" s="3190"/>
      <c r="G12" s="3158"/>
      <c r="H12" s="3185" t="s">
        <v>1075</v>
      </c>
      <c r="I12" s="3186" t="s">
        <v>1415</v>
      </c>
      <c r="J12" s="3187"/>
      <c r="K12" s="3191"/>
      <c r="L12" s="3189"/>
      <c r="M12" s="3192"/>
    </row>
    <row r="13" spans="1:37" ht="18" customHeight="1" thickTop="1">
      <c r="A13" s="3193">
        <v>2</v>
      </c>
      <c r="B13" s="3194" t="s">
        <v>1416</v>
      </c>
      <c r="C13" s="3195">
        <f ca="1">ROUND(C29*F13,0)</f>
        <v>0</v>
      </c>
      <c r="D13" s="3196" t="s">
        <v>1417</v>
      </c>
      <c r="E13" s="3196" t="s">
        <v>1418</v>
      </c>
      <c r="F13" s="3197">
        <f ca="1">INDIRECT("'数据-取费表'!y"&amp;$G$1)</f>
        <v>0</v>
      </c>
      <c r="G13" s="3158"/>
      <c r="H13" s="3193">
        <v>2</v>
      </c>
      <c r="I13" s="3194" t="s">
        <v>1416</v>
      </c>
      <c r="J13" s="3198">
        <f ca="1">ROUND(J14*J15,0)</f>
        <v>0</v>
      </c>
      <c r="K13" s="3199" t="s">
        <v>1417</v>
      </c>
      <c r="L13" s="3200"/>
      <c r="M13" s="3201"/>
    </row>
    <row r="14" spans="1:37" ht="18" customHeight="1">
      <c r="A14" s="3202" t="s">
        <v>1034</v>
      </c>
      <c r="B14" s="3167" t="s">
        <v>1419</v>
      </c>
      <c r="C14" s="3203">
        <f ca="1">INDIRECT("'数据-取费表'!m"&amp;$G$1)+INDIRECT("'数据-取费表'!t"&amp;$G$1)</f>
        <v>0</v>
      </c>
      <c r="D14" s="2678" t="s">
        <v>1420</v>
      </c>
      <c r="E14" s="2679"/>
      <c r="F14" s="3204"/>
      <c r="G14" s="3158"/>
      <c r="H14" s="3202" t="s">
        <v>1035</v>
      </c>
      <c r="I14" s="3167" t="s">
        <v>1421</v>
      </c>
      <c r="J14" s="2407">
        <f ca="1">C29</f>
        <v>38</v>
      </c>
      <c r="K14" s="2688"/>
      <c r="L14" s="3205"/>
      <c r="M14" s="2520"/>
    </row>
    <row r="15" spans="1:37" s="3214" customFormat="1" ht="18" customHeight="1" thickBot="1">
      <c r="A15" s="3202" t="s">
        <v>1036</v>
      </c>
      <c r="B15" s="3167" t="s">
        <v>1422</v>
      </c>
      <c r="C15" s="2407">
        <f ca="1">ROUND(C14*F15,0)</f>
        <v>0</v>
      </c>
      <c r="D15" s="3206" t="s">
        <v>1423</v>
      </c>
      <c r="E15" s="3206" t="s">
        <v>1424</v>
      </c>
      <c r="F15" s="3207">
        <f>'数据-取费表'!B33</f>
        <v>0.05</v>
      </c>
      <c r="G15" s="3208"/>
      <c r="H15" s="3209" t="s">
        <v>1039</v>
      </c>
      <c r="I15" s="3189" t="s">
        <v>1418</v>
      </c>
      <c r="J15" s="3192">
        <f ca="1">INDIRECT("'数据-取费表'!ad"&amp;$G$1)</f>
        <v>0</v>
      </c>
      <c r="K15" s="3210"/>
      <c r="L15" s="3211"/>
      <c r="M15" s="3212"/>
      <c r="N15" s="3213"/>
      <c r="O15" s="3213"/>
      <c r="P15" s="3213"/>
      <c r="Q15" s="3213"/>
      <c r="R15" s="3213"/>
      <c r="S15" s="3213"/>
      <c r="T15" s="3213"/>
      <c r="U15" s="3213"/>
      <c r="V15" s="3213"/>
      <c r="W15" s="3213"/>
      <c r="X15" s="3213"/>
      <c r="Y15" s="3213"/>
      <c r="Z15" s="3213"/>
      <c r="AA15" s="3213"/>
      <c r="AB15" s="3213"/>
      <c r="AC15" s="3213"/>
      <c r="AD15" s="3213"/>
      <c r="AE15" s="3213"/>
      <c r="AF15" s="3213"/>
      <c r="AG15" s="3213"/>
      <c r="AH15" s="3213"/>
      <c r="AI15" s="3213"/>
      <c r="AJ15" s="3213"/>
      <c r="AK15" s="3213"/>
    </row>
    <row r="16" spans="1:37" ht="18" customHeight="1" thickTop="1">
      <c r="A16" s="3202" t="s">
        <v>1390</v>
      </c>
      <c r="B16" s="3167" t="s">
        <v>1425</v>
      </c>
      <c r="C16" s="2407">
        <f ca="1">ROUND(INDIRECT("'数据-取费表'!m"&amp;$G$1)*F16,0)</f>
        <v>0</v>
      </c>
      <c r="D16" s="3167" t="s">
        <v>1423</v>
      </c>
      <c r="E16" s="3167" t="s">
        <v>1424</v>
      </c>
      <c r="F16" s="2594">
        <f ca="1">IF(INDIRECT("'数据-取费表'!c"&amp;$G$1)="住宅",'数据-取费表'!B34,0)</f>
        <v>0</v>
      </c>
      <c r="G16" s="3158"/>
      <c r="H16" s="3193" t="s">
        <v>1030</v>
      </c>
      <c r="I16" s="3194" t="s">
        <v>1426</v>
      </c>
      <c r="J16" s="3195">
        <f ca="1">ROUND(J17+J22+J23+J24,0)</f>
        <v>1</v>
      </c>
      <c r="K16" s="3199" t="s">
        <v>1427</v>
      </c>
      <c r="L16" s="3215"/>
      <c r="M16" s="3164"/>
    </row>
    <row r="17" spans="1:37" s="3214" customFormat="1" ht="18" customHeight="1">
      <c r="A17" s="3202" t="s">
        <v>1391</v>
      </c>
      <c r="B17" s="3167" t="s">
        <v>1428</v>
      </c>
      <c r="C17" s="2407">
        <f ca="1">ROUND(F17*(F43+INDIRECT("'数据-取费表'!S"&amp;$G$1))/10000,0)</f>
        <v>32</v>
      </c>
      <c r="D17" s="3167" t="s">
        <v>1429</v>
      </c>
      <c r="E17" s="3167" t="s">
        <v>1430</v>
      </c>
      <c r="F17" s="3216">
        <f>'数据-取费表'!B35</f>
        <v>200</v>
      </c>
      <c r="G17" s="3208"/>
      <c r="H17" s="3202" t="s">
        <v>1035</v>
      </c>
      <c r="I17" s="3167" t="s">
        <v>1431</v>
      </c>
      <c r="J17" s="2407">
        <f ca="1">ROUND(IF(项目基本情况!B11="自然人",J5*M17,J18+J19+J20),1)</f>
        <v>0.7</v>
      </c>
      <c r="K17" s="2678" t="s">
        <v>1432</v>
      </c>
      <c r="L17" s="2595" t="s">
        <v>1433</v>
      </c>
      <c r="M17" s="3217" t="str">
        <f ca="1">IF(项目基本情况!B11="企业","",IF(INDIRECT("'数据-取费表'!c"&amp;$G$1)="住宅",5%,IF(M6*M7*M8/12/(1+'数据-取费表'!C42)&gt;20000,12%,7%)))</f>
        <v/>
      </c>
      <c r="N17" s="3213"/>
      <c r="O17" s="3213"/>
      <c r="P17" s="3213"/>
      <c r="Q17" s="3213"/>
      <c r="R17" s="3213"/>
      <c r="S17" s="3213"/>
      <c r="T17" s="3213"/>
      <c r="U17" s="3213"/>
      <c r="V17" s="3213"/>
      <c r="W17" s="3213"/>
      <c r="X17" s="3213"/>
      <c r="Y17" s="3213"/>
      <c r="Z17" s="3213"/>
      <c r="AA17" s="3213"/>
      <c r="AB17" s="3213"/>
      <c r="AC17" s="3213"/>
      <c r="AD17" s="3213"/>
      <c r="AE17" s="3213"/>
      <c r="AF17" s="3213"/>
      <c r="AG17" s="3213"/>
      <c r="AH17" s="3213"/>
      <c r="AI17" s="3213"/>
      <c r="AJ17" s="3213"/>
      <c r="AK17" s="3213"/>
    </row>
    <row r="18" spans="1:37" s="3214" customFormat="1" ht="18" customHeight="1">
      <c r="A18" s="3202" t="s">
        <v>1392</v>
      </c>
      <c r="B18" s="3167" t="s">
        <v>1434</v>
      </c>
      <c r="C18" s="2407">
        <f ca="1">ROUND(C14*F18,0)</f>
        <v>0</v>
      </c>
      <c r="D18" s="3167" t="s">
        <v>1423</v>
      </c>
      <c r="E18" s="3167" t="s">
        <v>1424</v>
      </c>
      <c r="F18" s="2594">
        <f>'数据-取费表'!B36</f>
        <v>1.4999999999999999E-2</v>
      </c>
      <c r="G18" s="3208"/>
      <c r="H18" s="3202" t="s">
        <v>1034</v>
      </c>
      <c r="I18" s="3167" t="s">
        <v>1435</v>
      </c>
      <c r="J18" s="2407">
        <f ca="1">ROUND(J5*M18/(1+'数据-取费表'!C42),2)</f>
        <v>0</v>
      </c>
      <c r="K18" s="2595" t="s">
        <v>1436</v>
      </c>
      <c r="L18" s="3167" t="s">
        <v>1424</v>
      </c>
      <c r="M18" s="2594">
        <f>'数据-取费表'!B41</f>
        <v>5.6000000000000001E-2</v>
      </c>
      <c r="N18" s="3213"/>
      <c r="O18" s="3213"/>
      <c r="P18" s="3213"/>
      <c r="Q18" s="3213"/>
      <c r="R18" s="3213"/>
      <c r="S18" s="3213"/>
      <c r="T18" s="3213"/>
      <c r="U18" s="3213"/>
      <c r="V18" s="3213"/>
      <c r="W18" s="3213"/>
      <c r="X18" s="3213"/>
      <c r="Y18" s="3213"/>
      <c r="Z18" s="3213"/>
      <c r="AA18" s="3213"/>
      <c r="AB18" s="3213"/>
      <c r="AC18" s="3213"/>
      <c r="AD18" s="3213"/>
      <c r="AE18" s="3213"/>
      <c r="AF18" s="3213"/>
      <c r="AG18" s="3213"/>
      <c r="AH18" s="3213"/>
      <c r="AI18" s="3213"/>
      <c r="AJ18" s="3213"/>
      <c r="AK18" s="3213"/>
    </row>
    <row r="19" spans="1:37" ht="18" customHeight="1">
      <c r="A19" s="3202" t="s">
        <v>1035</v>
      </c>
      <c r="B19" s="3167" t="s">
        <v>1437</v>
      </c>
      <c r="C19" s="2407">
        <f ca="1">SUM(C14:C18)</f>
        <v>32</v>
      </c>
      <c r="D19" s="2505" t="s">
        <v>1438</v>
      </c>
      <c r="E19" s="3218"/>
      <c r="F19" s="3216"/>
      <c r="G19" s="3158"/>
      <c r="H19" s="3202" t="s">
        <v>1036</v>
      </c>
      <c r="I19" s="3167" t="s">
        <v>1439</v>
      </c>
      <c r="J19" s="2407">
        <f ca="1">IF(K19="按租金收入计税",ROUND(J5*M19,2),ROUND(C29*M19*0.7,2))</f>
        <v>0.32</v>
      </c>
      <c r="K19" s="3219" t="s">
        <v>1440</v>
      </c>
      <c r="L19" s="3167" t="s">
        <v>1424</v>
      </c>
      <c r="M19" s="2594">
        <f>IF(K19="按租金收入计税",'数据-取费表'!B51,'数据-取费表'!B50)</f>
        <v>1.2E-2</v>
      </c>
    </row>
    <row r="20" spans="1:37" s="3214" customFormat="1" ht="18" customHeight="1">
      <c r="A20" s="3202" t="s">
        <v>1039</v>
      </c>
      <c r="B20" s="3167" t="s">
        <v>1441</v>
      </c>
      <c r="C20" s="2407">
        <f ca="1">ROUND(C19*F20,0)</f>
        <v>1</v>
      </c>
      <c r="D20" s="3220" t="s">
        <v>1442</v>
      </c>
      <c r="E20" s="3167" t="s">
        <v>1424</v>
      </c>
      <c r="F20" s="2594">
        <f>'数据-取费表'!B37</f>
        <v>0.03</v>
      </c>
      <c r="G20" s="3208"/>
      <c r="H20" s="3202" t="s">
        <v>1390</v>
      </c>
      <c r="I20" s="2584" t="s">
        <v>1443</v>
      </c>
      <c r="J20" s="3221">
        <f ca="1">ROUND(M20*M21/10000,2)</f>
        <v>0.38</v>
      </c>
      <c r="K20" s="3222" t="s">
        <v>1444</v>
      </c>
      <c r="L20" s="3167" t="s">
        <v>1445</v>
      </c>
      <c r="M20" s="2594">
        <f>'数据-取费表'!B52</f>
        <v>8</v>
      </c>
      <c r="N20" s="3213"/>
      <c r="O20" s="3213"/>
      <c r="P20" s="3213"/>
      <c r="Q20" s="3213"/>
      <c r="R20" s="3213"/>
      <c r="S20" s="3213"/>
      <c r="T20" s="3213"/>
      <c r="U20" s="3213"/>
      <c r="V20" s="3213"/>
      <c r="W20" s="3213"/>
      <c r="X20" s="3213"/>
      <c r="Y20" s="3213"/>
      <c r="Z20" s="3213"/>
      <c r="AA20" s="3213"/>
      <c r="AB20" s="3213"/>
      <c r="AC20" s="3213"/>
      <c r="AD20" s="3213"/>
      <c r="AE20" s="3213"/>
      <c r="AF20" s="3213"/>
      <c r="AG20" s="3213"/>
      <c r="AH20" s="3213"/>
      <c r="AI20" s="3213"/>
      <c r="AJ20" s="3213"/>
      <c r="AK20" s="3213"/>
    </row>
    <row r="21" spans="1:37" s="3214" customFormat="1" ht="18" customHeight="1">
      <c r="A21" s="3202" t="s">
        <v>1075</v>
      </c>
      <c r="B21" s="3167" t="s">
        <v>1446</v>
      </c>
      <c r="C21" s="2407" t="s">
        <v>2</v>
      </c>
      <c r="D21" s="3220" t="s">
        <v>1447</v>
      </c>
      <c r="E21" s="3167" t="s">
        <v>1448</v>
      </c>
      <c r="F21" s="2594">
        <f>'数据-取费表'!B38</f>
        <v>0.03</v>
      </c>
      <c r="G21" s="3208"/>
      <c r="H21" s="3223"/>
      <c r="I21" s="3224"/>
      <c r="J21" s="2596"/>
      <c r="K21" s="2209"/>
      <c r="L21" s="3167" t="s">
        <v>1449</v>
      </c>
      <c r="M21" s="2726">
        <f ca="1">INDIRECT("'数据-取费表'!r"&amp;$G$1)</f>
        <v>475.31</v>
      </c>
      <c r="N21" s="3213"/>
      <c r="O21" s="3213"/>
      <c r="P21" s="3213"/>
      <c r="Q21" s="3213"/>
      <c r="R21" s="3213"/>
      <c r="S21" s="3213"/>
      <c r="T21" s="3213"/>
      <c r="U21" s="3213"/>
      <c r="V21" s="3213"/>
      <c r="W21" s="3213"/>
      <c r="X21" s="3213"/>
      <c r="Y21" s="3213"/>
      <c r="Z21" s="3213"/>
      <c r="AA21" s="3213"/>
      <c r="AB21" s="3213"/>
      <c r="AC21" s="3213"/>
      <c r="AD21" s="3213"/>
      <c r="AE21" s="3213"/>
      <c r="AF21" s="3213"/>
      <c r="AG21" s="3213"/>
      <c r="AH21" s="3213"/>
      <c r="AI21" s="3213"/>
      <c r="AJ21" s="3213"/>
      <c r="AK21" s="3213"/>
    </row>
    <row r="22" spans="1:37" ht="18" customHeight="1">
      <c r="A22" s="3202" t="s">
        <v>1393</v>
      </c>
      <c r="B22" s="3167" t="s">
        <v>1450</v>
      </c>
      <c r="C22" s="2407"/>
      <c r="D22" s="2505" t="str">
        <f>IF(F23&lt;=1,"单利计息。","复利计息。")&amp;"建造成本、管理费用、销售费用产生的利息。"</f>
        <v>复利计息。建造成本、管理费用、销售费用产生的利息。</v>
      </c>
      <c r="E22" s="3218"/>
      <c r="F22" s="3216"/>
      <c r="G22" s="3158"/>
      <c r="H22" s="3202" t="s">
        <v>1039</v>
      </c>
      <c r="I22" s="3167" t="s">
        <v>1451</v>
      </c>
      <c r="J22" s="2407">
        <f ca="1">ROUND(J14*M22,1)</f>
        <v>0</v>
      </c>
      <c r="K22" s="2595" t="s">
        <v>1452</v>
      </c>
      <c r="L22" s="3167" t="s">
        <v>1424</v>
      </c>
      <c r="M22" s="2726">
        <f ca="1">INDIRECT("'数据-取费表'!Ak"&amp;$G$1)</f>
        <v>0</v>
      </c>
    </row>
    <row r="23" spans="1:37" s="3214" customFormat="1" ht="18" customHeight="1">
      <c r="A23" s="3202" t="s">
        <v>1034</v>
      </c>
      <c r="B23" s="3167" t="s">
        <v>1453</v>
      </c>
      <c r="C23" s="2407">
        <f ca="1">IF('数据-取费表'!B22&lt;=1,ROUND(C19*F24*F23/2,0)+ROUND(C20*F24*F23/2,0),ROUND(C19*(POWER((1+F24),F23/2)-1),0)+ROUND(C20*(POWER((1+F24),F23/2)-1),0))</f>
        <v>2</v>
      </c>
      <c r="D23" s="3225" t="str">
        <f>IF(F23&lt;=1,"(建造成本+管理费用)×利率×(建设周期÷2)","(建造成本+管理费用)×((1+利率)^(建设周期÷2)-1)")</f>
        <v>(建造成本+管理费用)×((1+利率)^(建设周期÷2)-1)</v>
      </c>
      <c r="E23" s="3167" t="s">
        <v>1454</v>
      </c>
      <c r="F23" s="2594">
        <f>'数据-取费表'!B20</f>
        <v>2</v>
      </c>
      <c r="G23" s="3208"/>
      <c r="H23" s="3202" t="s">
        <v>1075</v>
      </c>
      <c r="I23" s="3167" t="s">
        <v>1455</v>
      </c>
      <c r="J23" s="2407">
        <f ca="1">ROUND(J13*M23,1)</f>
        <v>0</v>
      </c>
      <c r="K23" s="2595" t="s">
        <v>1456</v>
      </c>
      <c r="L23" s="3167" t="s">
        <v>1424</v>
      </c>
      <c r="M23" s="2726">
        <f ca="1">INDIRECT("'数据-取费表'!Al"&amp;$G$1)</f>
        <v>0</v>
      </c>
      <c r="N23" s="3213"/>
      <c r="O23" s="3213"/>
      <c r="P23" s="3213"/>
      <c r="Q23" s="3213"/>
      <c r="R23" s="3213"/>
      <c r="S23" s="3213"/>
      <c r="T23" s="3213"/>
      <c r="U23" s="3213"/>
      <c r="V23" s="3213"/>
      <c r="W23" s="3213"/>
      <c r="X23" s="3213"/>
      <c r="Y23" s="3213"/>
      <c r="Z23" s="3213"/>
      <c r="AA23" s="3213"/>
      <c r="AB23" s="3213"/>
      <c r="AC23" s="3213"/>
      <c r="AD23" s="3213"/>
      <c r="AE23" s="3213"/>
      <c r="AF23" s="3213"/>
      <c r="AG23" s="3213"/>
      <c r="AH23" s="3213"/>
      <c r="AI23" s="3213"/>
      <c r="AJ23" s="3213"/>
      <c r="AK23" s="3213"/>
    </row>
    <row r="24" spans="1:37" s="3214" customFormat="1" ht="18" customHeight="1" thickBot="1">
      <c r="A24" s="3202" t="s">
        <v>1036</v>
      </c>
      <c r="B24" s="3167" t="s">
        <v>1459</v>
      </c>
      <c r="C24" s="2407">
        <f ca="1">ROUND(IF('数据-取费表'!B22&lt;=1,F21*F24*F23/2,F21*(POWER((1+F24),F23/2)-1)),4)</f>
        <v>1.4E-3</v>
      </c>
      <c r="D24" s="3225" t="str">
        <f>IF(F23&lt;=1,"销售费用×利率×(建设周期÷2)","销售费用×((1+利率)^(建设周期÷2)-1)")</f>
        <v>销售费用×((1+利率)^(建设周期÷2)-1)</v>
      </c>
      <c r="E24" s="3167" t="s">
        <v>1460</v>
      </c>
      <c r="F24" s="2594">
        <f ca="1">'数据-取费表'!B40</f>
        <v>4.7500000000000001E-2</v>
      </c>
      <c r="G24" s="3208"/>
      <c r="H24" s="3209" t="s">
        <v>1393</v>
      </c>
      <c r="I24" s="3189" t="s">
        <v>1441</v>
      </c>
      <c r="J24" s="3226">
        <f ca="1">ROUND(J5*M24,1)</f>
        <v>0</v>
      </c>
      <c r="K24" s="3227" t="s">
        <v>1461</v>
      </c>
      <c r="L24" s="3189" t="s">
        <v>1424</v>
      </c>
      <c r="M24" s="3190">
        <f ca="1">INDIRECT("'数据-取费表'!Am"&amp;$G$1)</f>
        <v>0</v>
      </c>
      <c r="N24" s="3213"/>
      <c r="O24" s="3213"/>
      <c r="P24" s="3213"/>
      <c r="Q24" s="3213"/>
      <c r="R24" s="3213"/>
      <c r="S24" s="3213"/>
      <c r="T24" s="3213"/>
      <c r="U24" s="3213"/>
      <c r="V24" s="3213"/>
      <c r="W24" s="3213"/>
      <c r="X24" s="3213"/>
      <c r="Y24" s="3213"/>
      <c r="Z24" s="3213"/>
      <c r="AA24" s="3213"/>
      <c r="AB24" s="3213"/>
      <c r="AC24" s="3213"/>
      <c r="AD24" s="3213"/>
      <c r="AE24" s="3213"/>
      <c r="AF24" s="3213"/>
      <c r="AG24" s="3213"/>
      <c r="AH24" s="3213"/>
      <c r="AI24" s="3213"/>
      <c r="AJ24" s="3213"/>
      <c r="AK24" s="3213"/>
    </row>
    <row r="25" spans="1:37" ht="24" customHeight="1" thickTop="1">
      <c r="A25" s="3202" t="s">
        <v>1462</v>
      </c>
      <c r="B25" s="3167" t="s">
        <v>1463</v>
      </c>
      <c r="C25" s="2407"/>
      <c r="D25" s="2505" t="s">
        <v>1464</v>
      </c>
      <c r="E25" s="3218"/>
      <c r="F25" s="3216"/>
      <c r="G25" s="3158"/>
      <c r="H25" s="3193" t="s">
        <v>1031</v>
      </c>
      <c r="I25" s="3228" t="s">
        <v>1465</v>
      </c>
      <c r="J25" s="3195">
        <f ca="1">J5-J16</f>
        <v>-1</v>
      </c>
      <c r="K25" s="3229" t="s">
        <v>1466</v>
      </c>
      <c r="L25" s="3230"/>
      <c r="M25" s="3231"/>
    </row>
    <row r="26" spans="1:37">
      <c r="A26" s="3202" t="s">
        <v>1034</v>
      </c>
      <c r="B26" s="3167" t="s">
        <v>1467</v>
      </c>
      <c r="C26" s="2407">
        <f ca="1">ROUND((C19+C20)*F26,0)</f>
        <v>0</v>
      </c>
      <c r="D26" s="3220" t="s">
        <v>1468</v>
      </c>
      <c r="E26" s="3174" t="s">
        <v>1469</v>
      </c>
      <c r="F26" s="2726">
        <f ca="1">INDIRECT("'数据-取费表'!q"&amp;$G$1)</f>
        <v>0</v>
      </c>
      <c r="G26" s="3158"/>
      <c r="H26" s="3159" t="s">
        <v>1032</v>
      </c>
      <c r="I26" s="3160" t="s">
        <v>1470</v>
      </c>
      <c r="J26" s="3168">
        <f ca="1">IF(J5&lt;&gt;0,ROUND(J25*(1-((1+M28)/(1+M26))^M27)/(M26-M28),0),0)</f>
        <v>0</v>
      </c>
      <c r="K26" s="3222" t="s">
        <v>1471</v>
      </c>
      <c r="L26" s="3167" t="s">
        <v>1472</v>
      </c>
      <c r="M26" s="2726">
        <f ca="1">INDIRECT("'数据-取费表'!I"&amp;$G$1)</f>
        <v>0</v>
      </c>
    </row>
    <row r="27" spans="1:37" ht="18" customHeight="1">
      <c r="A27" s="3202" t="s">
        <v>1036</v>
      </c>
      <c r="B27" s="3167" t="s">
        <v>1473</v>
      </c>
      <c r="C27" s="2407">
        <f ca="1">ROUND(F21*F26,4)</f>
        <v>0</v>
      </c>
      <c r="D27" s="3220" t="s">
        <v>1474</v>
      </c>
      <c r="E27" s="3206"/>
      <c r="F27" s="3207"/>
      <c r="G27" s="3158"/>
      <c r="H27" s="3172"/>
      <c r="I27" s="3232"/>
      <c r="J27" s="3173"/>
      <c r="K27" s="3233" t="s">
        <v>1475</v>
      </c>
      <c r="L27" s="3167" t="s">
        <v>1476</v>
      </c>
      <c r="M27" s="2726">
        <f ca="1">INDIRECT("'数据-取费表'!ag"&amp;$G$1)</f>
        <v>0</v>
      </c>
    </row>
    <row r="28" spans="1:37" s="3214" customFormat="1" ht="18" customHeight="1">
      <c r="A28" s="3202" t="s">
        <v>1037</v>
      </c>
      <c r="B28" s="3167" t="s">
        <v>1477</v>
      </c>
      <c r="C28" s="2407">
        <f>ROUND(F28/(1+'数据-取费表'!C42),4)</f>
        <v>5.33E-2</v>
      </c>
      <c r="D28" s="3220" t="s">
        <v>1478</v>
      </c>
      <c r="E28" s="3167" t="s">
        <v>1424</v>
      </c>
      <c r="F28" s="2594">
        <f>'数据-取费表'!B41</f>
        <v>5.6000000000000001E-2</v>
      </c>
      <c r="G28" s="3208"/>
      <c r="H28" s="3179"/>
      <c r="I28" s="3234"/>
      <c r="J28" s="3195"/>
      <c r="K28" s="2209"/>
      <c r="L28" s="3167" t="s">
        <v>1479</v>
      </c>
      <c r="M28" s="2726">
        <f ca="1">INDIRECT("'数据-取费表'!aa"&amp;$G$1)</f>
        <v>0</v>
      </c>
      <c r="N28" s="3213"/>
      <c r="O28" s="3213"/>
      <c r="P28" s="3213"/>
      <c r="Q28" s="3213"/>
      <c r="R28" s="3213"/>
      <c r="S28" s="3213"/>
      <c r="T28" s="3213"/>
      <c r="U28" s="3213"/>
      <c r="V28" s="3213"/>
      <c r="W28" s="3213"/>
      <c r="X28" s="3213"/>
      <c r="Y28" s="3213"/>
      <c r="Z28" s="3213"/>
      <c r="AA28" s="3213"/>
      <c r="AB28" s="3213"/>
      <c r="AC28" s="3213"/>
      <c r="AD28" s="3213"/>
      <c r="AE28" s="3213"/>
      <c r="AF28" s="3213"/>
      <c r="AG28" s="3213"/>
      <c r="AH28" s="3213"/>
      <c r="AI28" s="3213"/>
      <c r="AJ28" s="3213"/>
      <c r="AK28" s="3213"/>
    </row>
    <row r="29" spans="1:37" s="3214" customFormat="1" ht="18" customHeight="1" thickBot="1">
      <c r="A29" s="3209" t="s">
        <v>1038</v>
      </c>
      <c r="B29" s="3189" t="s">
        <v>1480</v>
      </c>
      <c r="C29" s="3226">
        <f ca="1">ROUND((C19+C20+C23+C26)/(1-F21-C24-C27-C28),0)</f>
        <v>38</v>
      </c>
      <c r="D29" s="3227"/>
      <c r="E29" s="3189"/>
      <c r="F29" s="3235"/>
      <c r="G29" s="3208"/>
      <c r="H29" s="3236" t="s">
        <v>1033</v>
      </c>
      <c r="I29" s="3237" t="s">
        <v>1481</v>
      </c>
      <c r="J29" s="3238">
        <f ca="1">ROUND(J26/(1+F40)^F41,0)</f>
        <v>0</v>
      </c>
      <c r="K29" s="3239" t="s">
        <v>1482</v>
      </c>
      <c r="L29" s="3240"/>
      <c r="M29" s="3241">
        <f ca="1">INDIRECT("'数据-取费表'!k"&amp;$G$1)</f>
        <v>1603.32</v>
      </c>
      <c r="N29" s="3213"/>
      <c r="O29" s="3213"/>
      <c r="P29" s="3213"/>
      <c r="Q29" s="3213"/>
      <c r="R29" s="3213"/>
      <c r="S29" s="3213"/>
      <c r="T29" s="3213"/>
      <c r="U29" s="3213"/>
      <c r="V29" s="3213"/>
      <c r="W29" s="3213"/>
      <c r="X29" s="3213"/>
      <c r="Y29" s="3213"/>
      <c r="Z29" s="3213"/>
      <c r="AA29" s="3213"/>
      <c r="AB29" s="3213"/>
      <c r="AC29" s="3213"/>
      <c r="AD29" s="3213"/>
      <c r="AE29" s="3213"/>
      <c r="AF29" s="3213"/>
      <c r="AG29" s="3213"/>
      <c r="AH29" s="3213"/>
      <c r="AI29" s="3213"/>
      <c r="AJ29" s="3213"/>
      <c r="AK29" s="3213"/>
    </row>
    <row r="30" spans="1:37" ht="18" customHeight="1" thickTop="1">
      <c r="A30" s="3193" t="s">
        <v>1030</v>
      </c>
      <c r="B30" s="3194" t="s">
        <v>1426</v>
      </c>
      <c r="C30" s="3195">
        <f ca="1">ROUND(C31+C36+C37+C38,0)</f>
        <v>1</v>
      </c>
      <c r="D30" s="3199" t="s">
        <v>1427</v>
      </c>
      <c r="E30" s="3215"/>
      <c r="F30" s="3164"/>
      <c r="G30" s="3158"/>
      <c r="H30" s="3242"/>
      <c r="I30" s="3242"/>
      <c r="J30" s="3243"/>
      <c r="K30" s="2218"/>
      <c r="L30" s="3244"/>
      <c r="M30" s="3243"/>
    </row>
    <row r="31" spans="1:37" ht="18" customHeight="1">
      <c r="A31" s="3202" t="s">
        <v>1035</v>
      </c>
      <c r="B31" s="3167" t="s">
        <v>1431</v>
      </c>
      <c r="C31" s="2407">
        <f ca="1">ROUND(IF(项目基本情况!B11="自然人",C5*F31,C32+C33+C34),1)</f>
        <v>0.7</v>
      </c>
      <c r="D31" s="2678" t="s">
        <v>1432</v>
      </c>
      <c r="E31" s="2595" t="s">
        <v>1483</v>
      </c>
      <c r="F31" s="3217" t="str">
        <f ca="1">IF(项目基本情况!B11="企业","",IF(INDIRECT("'数据-取费表'!c"&amp;$G$1)="住宅",5%,IF(F6*F7*F8/12/(1+'数据-取费表'!C42)&gt;20000,12%,7%)))</f>
        <v/>
      </c>
      <c r="G31" s="3158"/>
      <c r="H31" s="3242"/>
      <c r="I31" s="3242"/>
      <c r="J31" s="3243"/>
      <c r="K31" s="2218"/>
      <c r="L31" s="3244"/>
      <c r="M31" s="3243"/>
    </row>
    <row r="32" spans="1:37" ht="18" customHeight="1">
      <c r="A32" s="3202" t="s">
        <v>1034</v>
      </c>
      <c r="B32" s="3167" t="s">
        <v>1435</v>
      </c>
      <c r="C32" s="2407">
        <f ca="1">IF(项目基本情况!B11="自然人","——",ROUND(C5*F32/(1+'数据-取费表'!C42),2))</f>
        <v>0</v>
      </c>
      <c r="D32" s="2595" t="s">
        <v>1436</v>
      </c>
      <c r="E32" s="3167" t="s">
        <v>1424</v>
      </c>
      <c r="F32" s="2594">
        <f>'数据-取费表'!B41</f>
        <v>5.6000000000000001E-2</v>
      </c>
      <c r="G32" s="3158"/>
      <c r="H32" s="3242"/>
      <c r="I32" s="3242"/>
      <c r="J32" s="3243"/>
      <c r="K32" s="2218"/>
      <c r="L32" s="3244"/>
      <c r="M32" s="3243"/>
    </row>
    <row r="33" spans="1:18" ht="18" customHeight="1">
      <c r="A33" s="3202" t="s">
        <v>1036</v>
      </c>
      <c r="B33" s="3167" t="s">
        <v>1439</v>
      </c>
      <c r="C33" s="2407">
        <f ca="1">IF(项目基本情况!B11="自然人","——",IF(D33="按租金收入计税",ROUND(C5*F33,2),IF(D33="按房产原值计税",ROUND(C29*F33*0.7,2),INDIRECT("'数据-取费表'!Aj"&amp;$G$1))))</f>
        <v>0.32</v>
      </c>
      <c r="D33" s="3219" t="s">
        <v>1440</v>
      </c>
      <c r="E33" s="3167" t="s">
        <v>1424</v>
      </c>
      <c r="F33" s="2594">
        <f>IF(D33="按票据","——",IF(D33="按租金收入计税",'数据-取费表'!B51,'数据-取费表'!B50))</f>
        <v>1.2E-2</v>
      </c>
      <c r="G33" s="3158"/>
      <c r="H33" s="3245"/>
      <c r="I33" s="3246"/>
      <c r="J33" s="3247"/>
      <c r="K33" s="3248"/>
      <c r="L33" s="3245"/>
      <c r="M33" s="3245"/>
    </row>
    <row r="34" spans="1:18" ht="18" customHeight="1">
      <c r="A34" s="3165" t="s">
        <v>1390</v>
      </c>
      <c r="B34" s="2584" t="s">
        <v>1443</v>
      </c>
      <c r="C34" s="3221">
        <f ca="1">IF(项目基本情况!B11="自然人","——",ROUND(F34*F35/10000,2))</f>
        <v>0.38</v>
      </c>
      <c r="D34" s="3222" t="s">
        <v>1444</v>
      </c>
      <c r="E34" s="3167" t="s">
        <v>1445</v>
      </c>
      <c r="F34" s="2594">
        <f>'数据-取费表'!B52</f>
        <v>8</v>
      </c>
      <c r="G34" s="3158"/>
      <c r="H34" s="3242"/>
      <c r="I34" s="3246"/>
      <c r="J34" s="3247"/>
      <c r="K34" s="3249"/>
      <c r="L34" s="3250"/>
      <c r="M34" s="3250"/>
    </row>
    <row r="35" spans="1:18" ht="18" customHeight="1">
      <c r="A35" s="3251"/>
      <c r="B35" s="3251"/>
      <c r="C35" s="2596"/>
      <c r="D35" s="2209"/>
      <c r="E35" s="3167" t="s">
        <v>1449</v>
      </c>
      <c r="F35" s="2726">
        <f ca="1">INDIRECT("'数据-取费表'!r"&amp;$G$1)</f>
        <v>475.31</v>
      </c>
      <c r="G35" s="3158"/>
      <c r="H35" s="3242"/>
      <c r="I35" s="3246"/>
      <c r="J35" s="3247"/>
      <c r="K35" s="3248"/>
      <c r="L35" s="3245"/>
      <c r="M35" s="3245"/>
    </row>
    <row r="36" spans="1:18" ht="18" customHeight="1">
      <c r="A36" s="3252" t="s">
        <v>1039</v>
      </c>
      <c r="B36" s="3167" t="s">
        <v>1451</v>
      </c>
      <c r="C36" s="2407">
        <f ca="1">ROUND(C29*F36,1)</f>
        <v>0</v>
      </c>
      <c r="D36" s="2595" t="s">
        <v>1484</v>
      </c>
      <c r="E36" s="3167" t="s">
        <v>1424</v>
      </c>
      <c r="F36" s="2726">
        <f ca="1">INDIRECT("'数据-取费表'!Ak"&amp;$G$1)</f>
        <v>0</v>
      </c>
      <c r="G36" s="3158"/>
      <c r="H36" s="3245"/>
      <c r="I36" s="3246"/>
      <c r="J36" s="3247"/>
      <c r="K36" s="3253"/>
      <c r="L36" s="3245"/>
      <c r="M36" s="3245"/>
    </row>
    <row r="37" spans="1:18" ht="18" customHeight="1">
      <c r="A37" s="3202" t="s">
        <v>1075</v>
      </c>
      <c r="B37" s="3167" t="s">
        <v>1455</v>
      </c>
      <c r="C37" s="2407">
        <f ca="1">ROUND(C13*F37,1)</f>
        <v>0</v>
      </c>
      <c r="D37" s="2595" t="s">
        <v>1456</v>
      </c>
      <c r="E37" s="3167" t="s">
        <v>1424</v>
      </c>
      <c r="F37" s="2726">
        <f ca="1">INDIRECT("'数据-取费表'!Al"&amp;$G$1)</f>
        <v>0</v>
      </c>
      <c r="G37" s="3158"/>
      <c r="H37" s="3245"/>
      <c r="I37" s="3246"/>
      <c r="J37" s="3247"/>
      <c r="K37" s="3253"/>
      <c r="L37" s="3245"/>
      <c r="M37" s="3245"/>
    </row>
    <row r="38" spans="1:18" ht="18" customHeight="1" thickBot="1">
      <c r="A38" s="3209" t="s">
        <v>1393</v>
      </c>
      <c r="B38" s="3189" t="s">
        <v>1441</v>
      </c>
      <c r="C38" s="3226">
        <f ca="1">ROUND(C5*F38,1)</f>
        <v>0</v>
      </c>
      <c r="D38" s="3227" t="s">
        <v>1461</v>
      </c>
      <c r="E38" s="3189" t="s">
        <v>1424</v>
      </c>
      <c r="F38" s="3190">
        <f ca="1">INDIRECT("'数据-取费表'!Am"&amp;$G$1)</f>
        <v>0</v>
      </c>
      <c r="G38" s="3158"/>
      <c r="H38" s="3245"/>
      <c r="I38" s="3246"/>
      <c r="J38" s="3247"/>
      <c r="K38" s="3254"/>
      <c r="L38" s="3245"/>
      <c r="M38" s="3245"/>
    </row>
    <row r="39" spans="1:18" ht="24.6" customHeight="1" thickTop="1">
      <c r="A39" s="3193" t="s">
        <v>1031</v>
      </c>
      <c r="B39" s="3228" t="s">
        <v>1465</v>
      </c>
      <c r="C39" s="3195">
        <f ca="1">C5-C30</f>
        <v>-1</v>
      </c>
      <c r="D39" s="3229" t="s">
        <v>1466</v>
      </c>
      <c r="E39" s="3230"/>
      <c r="F39" s="3231"/>
      <c r="G39" s="3158"/>
      <c r="H39" s="3245"/>
      <c r="I39" s="3246"/>
      <c r="J39" s="3247"/>
      <c r="K39" s="3254"/>
      <c r="L39" s="3245"/>
      <c r="M39" s="3245"/>
    </row>
    <row r="40" spans="1:18" ht="18" customHeight="1">
      <c r="A40" s="3159" t="s">
        <v>1032</v>
      </c>
      <c r="B40" s="3160" t="s">
        <v>1487</v>
      </c>
      <c r="C40" s="3168" t="e">
        <f ca="1">ROUND(C39*(1-((1+F42)/(1+F40))^F41)/(F40-F42),0)</f>
        <v>#DIV/0!</v>
      </c>
      <c r="D40" s="3222" t="s">
        <v>1471</v>
      </c>
      <c r="E40" s="3167" t="s">
        <v>1472</v>
      </c>
      <c r="F40" s="2726">
        <f ca="1">INDIRECT("'数据-取费表'!I"&amp;$G$1)</f>
        <v>0</v>
      </c>
      <c r="G40" s="3158"/>
      <c r="H40" s="3255"/>
      <c r="I40" s="3246"/>
      <c r="J40" s="3247"/>
      <c r="K40" s="3254"/>
      <c r="L40" s="3255"/>
      <c r="M40" s="3255"/>
    </row>
    <row r="41" spans="1:18" ht="18" customHeight="1">
      <c r="A41" s="3172"/>
      <c r="B41" s="3232"/>
      <c r="C41" s="3173"/>
      <c r="D41" s="3233" t="s">
        <v>1488</v>
      </c>
      <c r="E41" s="3167" t="s">
        <v>1476</v>
      </c>
      <c r="F41" s="2726">
        <f ca="1">IF(INDIRECT("'数据-取费表'!af"&amp;$G$1)=0,INDIRECT("'数据-取费表'!ae"&amp;$G$1),INDIRECT("'数据-取费表'!af"&amp;$G$1))</f>
        <v>0</v>
      </c>
      <c r="G41" s="3158"/>
      <c r="H41" s="2367"/>
      <c r="I41" s="3246"/>
      <c r="J41" s="3247"/>
      <c r="K41" s="3253"/>
      <c r="L41" s="2367"/>
      <c r="M41" s="2367"/>
    </row>
    <row r="42" spans="1:18" ht="18" customHeight="1">
      <c r="A42" s="3179"/>
      <c r="B42" s="3234"/>
      <c r="C42" s="3195"/>
      <c r="D42" s="2209"/>
      <c r="E42" s="3167" t="s">
        <v>1479</v>
      </c>
      <c r="F42" s="2726">
        <f ca="1">INDIRECT("'数据-取费表'!v"&amp;$G$1)</f>
        <v>0</v>
      </c>
      <c r="G42" s="3158"/>
      <c r="H42" s="2367"/>
      <c r="I42" s="3246"/>
      <c r="J42" s="3247"/>
      <c r="K42" s="3253"/>
      <c r="L42" s="2367"/>
      <c r="M42" s="2367"/>
    </row>
    <row r="43" spans="1:18" ht="18" customHeight="1" thickBot="1">
      <c r="A43" s="3236" t="s">
        <v>1033</v>
      </c>
      <c r="B43" s="3237" t="s">
        <v>1489</v>
      </c>
      <c r="C43" s="3238" t="e">
        <f ca="1">ROUND(C40*10000/F43,0)</f>
        <v>#DIV/0!</v>
      </c>
      <c r="D43" s="3239" t="s">
        <v>1490</v>
      </c>
      <c r="E43" s="3240" t="s">
        <v>1491</v>
      </c>
      <c r="F43" s="3241">
        <f ca="1">INDIRECT("'数据-取费表'!k"&amp;$G$1)</f>
        <v>1603.32</v>
      </c>
      <c r="G43" s="3158"/>
      <c r="H43" s="2367"/>
      <c r="I43" s="2367"/>
      <c r="J43" s="2367"/>
      <c r="K43" s="3253"/>
      <c r="L43" s="2367"/>
      <c r="M43" s="2367"/>
    </row>
    <row r="44" spans="1:18" s="3149" customFormat="1" ht="18" customHeight="1">
      <c r="A44" s="3256"/>
      <c r="B44" s="3256"/>
      <c r="C44" s="3257"/>
      <c r="D44" s="3256"/>
      <c r="E44" s="3256"/>
      <c r="F44" s="3256"/>
      <c r="K44" s="3258"/>
    </row>
    <row r="45" spans="1:18" s="3149" customFormat="1" ht="18" customHeight="1" thickBot="1">
      <c r="A45" s="3256"/>
      <c r="B45" s="3256"/>
      <c r="C45" s="3257"/>
      <c r="D45" s="3256"/>
      <c r="E45" s="3256"/>
      <c r="F45" s="3256"/>
      <c r="J45" s="3014"/>
      <c r="O45" s="3259" t="s">
        <v>1521</v>
      </c>
      <c r="P45" s="3255"/>
      <c r="Q45" s="3255"/>
      <c r="R45" s="3255"/>
    </row>
    <row r="46" spans="1:18" s="3149" customFormat="1" ht="13.5" thickBot="1">
      <c r="A46" s="3260" t="s">
        <v>1522</v>
      </c>
      <c r="C46" s="3261" t="e">
        <f ca="1">C68-C40</f>
        <v>#DIV/0!</v>
      </c>
      <c r="D46" s="3262" t="str">
        <f>C2</f>
        <v>万元</v>
      </c>
      <c r="E46" s="3256"/>
      <c r="F46" s="3256"/>
      <c r="I46" s="3263" t="s">
        <v>1523</v>
      </c>
      <c r="J46" s="3264"/>
      <c r="K46" s="3265"/>
      <c r="L46" s="3266">
        <f ca="1">IF(M47="住宅",0,IF(L48&gt;J51,L60,J60))</f>
        <v>1</v>
      </c>
      <c r="O46" s="3267" t="s">
        <v>1524</v>
      </c>
      <c r="P46" s="3268" t="s">
        <v>1525</v>
      </c>
      <c r="Q46" s="3269" t="s">
        <v>1526</v>
      </c>
      <c r="R46" s="3269" t="s">
        <v>1527</v>
      </c>
    </row>
    <row r="47" spans="1:18" s="3149" customFormat="1" ht="13.5" thickBot="1">
      <c r="A47" s="3270" t="s">
        <v>1397</v>
      </c>
      <c r="B47" s="3271" t="s">
        <v>1398</v>
      </c>
      <c r="C47" s="3272" t="s">
        <v>1399</v>
      </c>
      <c r="D47" s="3271" t="s">
        <v>1400</v>
      </c>
      <c r="E47" s="3273" t="s">
        <v>1401</v>
      </c>
      <c r="F47" s="3092"/>
      <c r="G47" s="3274"/>
      <c r="I47" s="3275" t="s">
        <v>1528</v>
      </c>
      <c r="J47" s="3276" t="s">
        <v>3093</v>
      </c>
      <c r="K47" s="3277" t="s">
        <v>1529</v>
      </c>
      <c r="L47" s="3278">
        <f ca="1">INDIRECT("'数据-取费表'!d"&amp;$G$1)</f>
        <v>40</v>
      </c>
      <c r="M47" s="3279" t="str">
        <f>IF(ISNUMBER(FIND("住宅",C1)),"住宅","非住宅")</f>
        <v>非住宅</v>
      </c>
      <c r="O47" s="3280" t="s">
        <v>1040</v>
      </c>
      <c r="P47" s="3281" t="s">
        <v>1530</v>
      </c>
      <c r="Q47" s="3282" t="e">
        <f ca="1">C40+J29</f>
        <v>#DIV/0!</v>
      </c>
      <c r="R47" s="3282" t="s">
        <v>1531</v>
      </c>
    </row>
    <row r="48" spans="1:18" s="3149" customFormat="1" ht="28.5" thickBot="1">
      <c r="A48" s="3283" t="s">
        <v>1135</v>
      </c>
      <c r="B48" s="3160" t="s">
        <v>1402</v>
      </c>
      <c r="C48" s="2614">
        <f ca="1">C49+C53+C55</f>
        <v>0</v>
      </c>
      <c r="D48" s="3284"/>
      <c r="E48" s="3285"/>
      <c r="F48" s="3286"/>
      <c r="G48" s="3274"/>
      <c r="H48" s="3287"/>
      <c r="I48" s="3288" t="s">
        <v>1532</v>
      </c>
      <c r="J48" s="3289" t="s">
        <v>7099</v>
      </c>
      <c r="K48" s="3290" t="s">
        <v>1533</v>
      </c>
      <c r="L48" s="3291">
        <f ca="1">INDIRECT("'数据-取费表'!f"&amp;$G$1)</f>
        <v>35.47</v>
      </c>
      <c r="O48" s="3280" t="s">
        <v>1041</v>
      </c>
      <c r="P48" s="3281" t="s">
        <v>1534</v>
      </c>
      <c r="Q48" s="3282">
        <f ca="1">J60</f>
        <v>1</v>
      </c>
      <c r="R48" s="3282" t="s">
        <v>1535</v>
      </c>
    </row>
    <row r="49" spans="1:18" s="3149" customFormat="1" ht="13.5" thickBot="1">
      <c r="A49" s="3292" t="s">
        <v>1136</v>
      </c>
      <c r="B49" s="3293" t="s">
        <v>1492</v>
      </c>
      <c r="C49" s="3294">
        <f ca="1">ROUND(F49*F51*F50*(1-F52)/10000,0)</f>
        <v>0</v>
      </c>
      <c r="D49" s="3295" t="s">
        <v>3042</v>
      </c>
      <c r="E49" s="3296" t="s">
        <v>1493</v>
      </c>
      <c r="F49" s="3297"/>
      <c r="G49" s="3298"/>
      <c r="H49" s="3287"/>
      <c r="I49" s="3288" t="s">
        <v>1536</v>
      </c>
      <c r="J49" s="3299">
        <v>2016</v>
      </c>
      <c r="K49" s="3290" t="s">
        <v>1537</v>
      </c>
      <c r="L49" s="3300"/>
      <c r="O49" s="3301" t="s">
        <v>1042</v>
      </c>
      <c r="P49" s="3281" t="s">
        <v>1538</v>
      </c>
      <c r="Q49" s="3282">
        <f ca="1">C29</f>
        <v>38</v>
      </c>
      <c r="R49" s="3282" t="s">
        <v>1531</v>
      </c>
    </row>
    <row r="50" spans="1:18" s="3149" customFormat="1" ht="13.5" thickBot="1">
      <c r="A50" s="3302"/>
      <c r="B50" s="3034"/>
      <c r="C50" s="3303"/>
      <c r="D50" s="3304"/>
      <c r="E50" s="3305" t="s">
        <v>1407</v>
      </c>
      <c r="F50" s="3306">
        <f ca="1">F7</f>
        <v>1603.32</v>
      </c>
      <c r="H50" s="3287"/>
      <c r="I50" s="3288" t="s">
        <v>1539</v>
      </c>
      <c r="J50" s="3307">
        <f>SUMPRODUCT((I63:I65=J47)*(J62:L62=J48)*(J63:L65))</f>
        <v>60</v>
      </c>
      <c r="K50" s="3290" t="s">
        <v>1540</v>
      </c>
      <c r="L50" s="3300"/>
      <c r="M50" s="3308"/>
      <c r="O50" s="3301" t="s">
        <v>1043</v>
      </c>
      <c r="P50" s="3281" t="s">
        <v>1541</v>
      </c>
      <c r="Q50" s="3282">
        <f ca="1">J58</f>
        <v>0.4</v>
      </c>
      <c r="R50" s="3282"/>
    </row>
    <row r="51" spans="1:18" s="3149" customFormat="1" ht="13.5" thickBot="1">
      <c r="A51" s="3309"/>
      <c r="B51" s="3034"/>
      <c r="C51" s="3310"/>
      <c r="D51" s="3304"/>
      <c r="E51" s="3311" t="s">
        <v>1408</v>
      </c>
      <c r="F51" s="2726">
        <f ca="1">F8</f>
        <v>365</v>
      </c>
      <c r="I51" s="3312" t="s">
        <v>1542</v>
      </c>
      <c r="J51" s="3291">
        <f>IF(J49="",J50,J49+J50-YEAR('数据-取费表'!B2))</f>
        <v>59</v>
      </c>
      <c r="K51" s="3313" t="s">
        <v>1543</v>
      </c>
      <c r="L51" s="3291">
        <f ca="1">ROUND(-PV(INDIRECT("'数据-取费表'!h"&amp;$G$1),L48,(C39-C13*C76),0),0)</f>
        <v>-35</v>
      </c>
      <c r="M51" s="3314"/>
      <c r="O51" s="3301" t="s">
        <v>1044</v>
      </c>
      <c r="P51" s="3281" t="s">
        <v>1544</v>
      </c>
      <c r="Q51" s="3282">
        <f>J52</f>
        <v>0.09</v>
      </c>
      <c r="R51" s="3282"/>
    </row>
    <row r="52" spans="1:18" s="3149" customFormat="1" ht="13.5" thickBot="1">
      <c r="A52" s="3309"/>
      <c r="B52" s="3034"/>
      <c r="C52" s="3310"/>
      <c r="D52" s="3304"/>
      <c r="E52" s="3311" t="s">
        <v>1409</v>
      </c>
      <c r="F52" s="3315"/>
      <c r="I52" s="3316" t="s">
        <v>1545</v>
      </c>
      <c r="J52" s="3317">
        <v>0.09</v>
      </c>
      <c r="K52" s="3316" t="s">
        <v>1546</v>
      </c>
      <c r="L52" s="3317"/>
      <c r="O52" s="3301" t="s">
        <v>1045</v>
      </c>
      <c r="P52" s="3281" t="s">
        <v>1547</v>
      </c>
      <c r="Q52" s="3282">
        <f ca="1">J53</f>
        <v>35.47</v>
      </c>
      <c r="R52" s="3282" t="s">
        <v>1548</v>
      </c>
    </row>
    <row r="53" spans="1:18" s="3149" customFormat="1" ht="24.75" thickBot="1">
      <c r="A53" s="3318" t="s">
        <v>1137</v>
      </c>
      <c r="B53" s="2507" t="s">
        <v>1410</v>
      </c>
      <c r="C53" s="3098">
        <f ca="1">ROUND(IF(F53="押一",F49*F51*F50/12*F11,IF(F53="押二",F49*F51*F50/12*2*F11,IF(F53="押三",F49*F51*F50/12*3*F11,C54*F11)))/10000,0)</f>
        <v>0</v>
      </c>
      <c r="D53" s="3177" t="s">
        <v>3040</v>
      </c>
      <c r="E53" s="3174" t="s">
        <v>1412</v>
      </c>
      <c r="F53" s="3178"/>
      <c r="I53" s="3319" t="s">
        <v>1549</v>
      </c>
      <c r="J53" s="3320">
        <f ca="1">IF(M47="住宅",J51,IF(D1="——",MIN(J51,L48),IF(D1="在建（套用方法）",MIN(J51,L48-'数据-取费表'!B24),IF(D1="土地（套用方法）",MIN(J51,L48-'数据-取费表'!B20)))))</f>
        <v>35.47</v>
      </c>
      <c r="K53" s="3950" t="s">
        <v>1550</v>
      </c>
      <c r="L53" s="3951"/>
      <c r="O53" s="3280" t="s">
        <v>1046</v>
      </c>
      <c r="P53" s="3281" t="s">
        <v>1551</v>
      </c>
      <c r="Q53" s="3282" t="e">
        <f ca="1">Q47+Q48</f>
        <v>#DIV/0!</v>
      </c>
      <c r="R53" s="3282" t="s">
        <v>1047</v>
      </c>
    </row>
    <row r="54" spans="1:18" s="3149" customFormat="1" ht="13.5" thickBot="1">
      <c r="A54" s="3321"/>
      <c r="B54" s="3180" t="s">
        <v>1389</v>
      </c>
      <c r="C54" s="3181"/>
      <c r="D54" s="3177"/>
      <c r="E54" s="3322"/>
      <c r="F54" s="3323"/>
      <c r="I54" s="332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3325"/>
      <c r="K54" s="3325"/>
      <c r="L54" s="3325"/>
      <c r="M54" s="3298"/>
      <c r="O54" s="3259" t="s">
        <v>1552</v>
      </c>
      <c r="P54" s="3255"/>
      <c r="Q54" s="3255"/>
      <c r="R54" s="3255"/>
    </row>
    <row r="55" spans="1:18" s="3149" customFormat="1" ht="13.5" thickBot="1">
      <c r="A55" s="3185" t="s">
        <v>1075</v>
      </c>
      <c r="B55" s="3186" t="s">
        <v>1415</v>
      </c>
      <c r="C55" s="3187"/>
      <c r="D55" s="3177"/>
      <c r="E55" s="3322"/>
      <c r="F55" s="3323"/>
      <c r="I55" s="3326" t="s">
        <v>1553</v>
      </c>
      <c r="J55" s="3327">
        <f ca="1">ROUND(IF(J47="钢混",J57/J50,1-(1-2%)*(J50-J57)/J50),3)</f>
        <v>0.39200000000000002</v>
      </c>
      <c r="K55" s="3328" t="s">
        <v>1554</v>
      </c>
      <c r="L55" s="3329" t="s">
        <v>1555</v>
      </c>
      <c r="O55" s="3267" t="s">
        <v>1524</v>
      </c>
      <c r="P55" s="3268" t="s">
        <v>1525</v>
      </c>
      <c r="Q55" s="3269" t="s">
        <v>1526</v>
      </c>
      <c r="R55" s="3269" t="s">
        <v>1527</v>
      </c>
    </row>
    <row r="56" spans="1:18" s="3149" customFormat="1" ht="25.5" thickTop="1" thickBot="1">
      <c r="A56" s="3330">
        <v>2</v>
      </c>
      <c r="B56" s="3331" t="s">
        <v>1416</v>
      </c>
      <c r="C56" s="3332">
        <f ca="1">C13</f>
        <v>0</v>
      </c>
      <c r="D56" s="3333"/>
      <c r="E56" s="3334"/>
      <c r="F56" s="3323"/>
      <c r="I56" s="3335" t="s">
        <v>1556</v>
      </c>
      <c r="J56" s="3336" t="s">
        <v>7100</v>
      </c>
      <c r="K56" s="3288" t="s">
        <v>1557</v>
      </c>
      <c r="L56" s="3291" t="str">
        <f ca="1">IF(L48&lt;J51,"——",L48-J53)</f>
        <v>——</v>
      </c>
      <c r="O56" s="3280" t="s">
        <v>1040</v>
      </c>
      <c r="P56" s="3281" t="s">
        <v>1530</v>
      </c>
      <c r="Q56" s="3282" t="e">
        <f ca="1">C40+J29</f>
        <v>#DIV/0!</v>
      </c>
      <c r="R56" s="3282" t="s">
        <v>1531</v>
      </c>
    </row>
    <row r="57" spans="1:18" s="3149" customFormat="1" ht="24.75" thickBot="1">
      <c r="A57" s="3337"/>
      <c r="B57" s="3338" t="s">
        <v>1480</v>
      </c>
      <c r="C57" s="3339">
        <f ca="1">C29</f>
        <v>38</v>
      </c>
      <c r="D57" s="3340"/>
      <c r="E57" s="3341"/>
      <c r="F57" s="3342"/>
      <c r="I57" s="3343" t="s">
        <v>1558</v>
      </c>
      <c r="J57" s="3344">
        <f ca="1">IF(OR(M47="住宅",J51&lt;L48,J56="是"),"——",J51-L48)</f>
        <v>23.53</v>
      </c>
      <c r="K57" s="3288" t="s">
        <v>1559</v>
      </c>
      <c r="L57" s="3291" t="str">
        <f ca="1">IF(L48&lt;J51,"——",IF(L55="比较法",L49,IF(L55="基准地价",L50,L51)))</f>
        <v>——</v>
      </c>
      <c r="O57" s="3280" t="s">
        <v>1041</v>
      </c>
      <c r="P57" s="3281" t="s">
        <v>1560</v>
      </c>
      <c r="Q57" s="3282">
        <f ca="1">L60</f>
        <v>0</v>
      </c>
      <c r="R57" s="3282" t="s">
        <v>1561</v>
      </c>
    </row>
    <row r="58" spans="1:18" s="3149" customFormat="1" ht="24.75" thickBot="1">
      <c r="A58" s="3345" t="s">
        <v>1030</v>
      </c>
      <c r="B58" s="3331" t="s">
        <v>1426</v>
      </c>
      <c r="C58" s="3098">
        <f ca="1">ROUND(C59+C64+C65+C66,0)</f>
        <v>1</v>
      </c>
      <c r="D58" s="3346" t="s">
        <v>1427</v>
      </c>
      <c r="E58" s="3347"/>
      <c r="F58" s="3286"/>
      <c r="I58" s="3343" t="s">
        <v>1562</v>
      </c>
      <c r="J58" s="3344">
        <f ca="1">IF(J55&lt;0.4,0.4,J55)</f>
        <v>0.4</v>
      </c>
      <c r="K58" s="3313" t="s">
        <v>1563</v>
      </c>
      <c r="L58" s="3291" t="e">
        <f ca="1">ROUND(POWER(1+L52,L47-L48)*(POWER(1+L52,L48)-1)/(POWER(1+L52,L47)-1),4)</f>
        <v>#DIV/0!</v>
      </c>
      <c r="O58" s="3301" t="s">
        <v>1042</v>
      </c>
      <c r="P58" s="3281" t="s">
        <v>1564</v>
      </c>
      <c r="Q58" s="3282">
        <f>IF(L55="比较法",L49,IF(L55="基准地价",L50,0))</f>
        <v>0</v>
      </c>
      <c r="R58" s="3282" t="s">
        <v>1531</v>
      </c>
    </row>
    <row r="59" spans="1:18" s="3149" customFormat="1" ht="24.75" thickBot="1">
      <c r="A59" s="3202" t="s">
        <v>1035</v>
      </c>
      <c r="B59" s="3338" t="s">
        <v>1431</v>
      </c>
      <c r="C59" s="2407">
        <f ca="1">ROUND(IF(项目基本情况!B11="自然人",C48*F59,C60+C61+C62),1)</f>
        <v>0.7</v>
      </c>
      <c r="D59" s="3348" t="s">
        <v>1432</v>
      </c>
      <c r="E59" s="3349" t="s">
        <v>1433</v>
      </c>
      <c r="F59" s="3217" t="str">
        <f ca="1">IF(项目基本情况!B11="企业","",IF(INDIRECT("'数据-取费表'!c"&amp;$G$1)="住宅",5%,IF(F49*F50*F51/12/(1+'数据-取费表'!C42)&gt;20000,12%,7%)))</f>
        <v/>
      </c>
      <c r="I59" s="3343" t="s">
        <v>1565</v>
      </c>
      <c r="J59" s="3344">
        <f ca="1">IF(OR(M47="住宅",J51&lt;L48,J56="是"),"——",ROUND(C29*J58,0))</f>
        <v>15</v>
      </c>
      <c r="K59" s="328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3291" t="e">
        <f ca="1">ROUND(IF(D1="在建（套用方法）",M59,IF(D1="土地（套用方法）",N59,POWER(1+L52,L47-J51)*(POWER(1+L52,J51)-1)/(POWER(1+L52,L47)-1))),4)</f>
        <v>#DIV/0!</v>
      </c>
      <c r="M59" s="3279" t="e">
        <f ca="1">ROUND(POWER(1+L52,L47-(J51+'数据-取费表'!B24))*(POWER(1+L52,(J51+'数据-取费表'!B24))-1)/(POWER(1+L52,L47)-1),4)</f>
        <v>#DIV/0!</v>
      </c>
      <c r="N59" s="3279" t="e">
        <f ca="1">ROUND(POWER(1+L52,L47-(J51+'数据-取费表'!B20))*(POWER(1+L52,(J51+'数据-取费表'!B20))-1)/(POWER(1+L52,L47)-1),4)</f>
        <v>#DIV/0!</v>
      </c>
      <c r="O59" s="3301" t="s">
        <v>1043</v>
      </c>
      <c r="P59" s="3281" t="s">
        <v>1566</v>
      </c>
      <c r="Q59" s="3282">
        <f>L52</f>
        <v>0</v>
      </c>
      <c r="R59" s="3282"/>
    </row>
    <row r="60" spans="1:18" s="3149" customFormat="1" ht="16.5" thickBot="1">
      <c r="A60" s="3202" t="s">
        <v>1034</v>
      </c>
      <c r="B60" s="3338" t="s">
        <v>1435</v>
      </c>
      <c r="C60" s="2407">
        <f ca="1">IF(项目基本情况!B11="自然人","——",ROUND(C48*F60/(1+'数据-取费表'!C42),2))</f>
        <v>0</v>
      </c>
      <c r="D60" s="3349" t="s">
        <v>1436</v>
      </c>
      <c r="E60" s="3338" t="s">
        <v>1424</v>
      </c>
      <c r="F60" s="2594">
        <f t="shared" ref="F60:F66" si="0">F32</f>
        <v>5.6000000000000001E-2</v>
      </c>
      <c r="I60" s="3350" t="s">
        <v>1567</v>
      </c>
      <c r="J60" s="3351">
        <f ca="1">IF(OR(M47="住宅",J51&lt;L48,J56="是"),"0",ROUND(J59/(1+J52)^J53,0))</f>
        <v>1</v>
      </c>
      <c r="K60" s="3352" t="s">
        <v>1568</v>
      </c>
      <c r="L60" s="3351">
        <f ca="1">IF(OR(M47="住宅",L48&lt;J51),0,ROUND(L57*(L58/L59-1),0))</f>
        <v>0</v>
      </c>
      <c r="O60" s="3301" t="s">
        <v>1044</v>
      </c>
      <c r="P60" s="3281" t="s">
        <v>1569</v>
      </c>
      <c r="Q60" s="3282" t="e">
        <f ca="1">L58</f>
        <v>#DIV/0!</v>
      </c>
      <c r="R60" s="3282" t="s">
        <v>1570</v>
      </c>
    </row>
    <row r="61" spans="1:18" s="3149" customFormat="1" ht="13.5" thickBot="1">
      <c r="A61" s="3202" t="s">
        <v>1494</v>
      </c>
      <c r="B61" s="3338" t="s">
        <v>1439</v>
      </c>
      <c r="C61" s="2407">
        <f ca="1">IF(项目基本情况!B11="自然人","——",IF(D61="按租金收入计税",ROUND(C48*F61,2),IF(D61="按房产原值计税",ROUND(C57*F61*0.7,2),INDIRECT("'数据-取费表'!Aj"&amp;$G$1))))</f>
        <v>0.32</v>
      </c>
      <c r="D61" s="3219" t="s">
        <v>1440</v>
      </c>
      <c r="E61" s="3338" t="s">
        <v>1424</v>
      </c>
      <c r="F61" s="2594">
        <f t="shared" si="0"/>
        <v>1.2E-2</v>
      </c>
      <c r="I61" s="3353"/>
      <c r="J61" s="3353"/>
      <c r="K61" s="3353"/>
      <c r="L61" s="3353"/>
      <c r="O61" s="3301" t="s">
        <v>1045</v>
      </c>
      <c r="P61" s="3281" t="str">
        <f>K59</f>
        <v>建筑物剩余耐用年限下的土地年期修正系数Kn</v>
      </c>
      <c r="Q61" s="3282" t="e">
        <f ca="1">L59</f>
        <v>#DIV/0!</v>
      </c>
      <c r="R61" s="3282" t="s">
        <v>1571</v>
      </c>
    </row>
    <row r="62" spans="1:18" s="3149" customFormat="1" ht="13.5" thickBot="1">
      <c r="A62" s="3202" t="s">
        <v>1497</v>
      </c>
      <c r="B62" s="3354" t="s">
        <v>1443</v>
      </c>
      <c r="C62" s="3221">
        <f ca="1">IF(项目基本情况!B11="自然人","——",ROUND(F62*F63/10000,2))</f>
        <v>0.38</v>
      </c>
      <c r="D62" s="3355" t="s">
        <v>1444</v>
      </c>
      <c r="E62" s="3338" t="s">
        <v>1445</v>
      </c>
      <c r="F62" s="2594">
        <f t="shared" si="0"/>
        <v>8</v>
      </c>
      <c r="I62" s="3356" t="s">
        <v>1572</v>
      </c>
      <c r="J62" s="3357" t="s">
        <v>1573</v>
      </c>
      <c r="K62" s="3357" t="s">
        <v>1574</v>
      </c>
      <c r="L62" s="3357" t="s">
        <v>1575</v>
      </c>
      <c r="M62" s="3358" t="s">
        <v>1576</v>
      </c>
      <c r="O62" s="3280" t="s">
        <v>1046</v>
      </c>
      <c r="P62" s="3281" t="s">
        <v>1577</v>
      </c>
      <c r="Q62" s="3282" t="e">
        <f ca="1">Q56+Q57</f>
        <v>#DIV/0!</v>
      </c>
      <c r="R62" s="3282" t="s">
        <v>1047</v>
      </c>
    </row>
    <row r="63" spans="1:18" s="3149" customFormat="1" ht="13.5" thickBot="1">
      <c r="A63" s="3223"/>
      <c r="B63" s="3359"/>
      <c r="C63" s="2596"/>
      <c r="D63" s="3360"/>
      <c r="E63" s="3338" t="s">
        <v>1501</v>
      </c>
      <c r="F63" s="2726">
        <f t="shared" ca="1" si="0"/>
        <v>475.31</v>
      </c>
      <c r="I63" s="3356" t="s">
        <v>1578</v>
      </c>
      <c r="J63" s="3357">
        <v>70</v>
      </c>
      <c r="K63" s="3357">
        <v>50</v>
      </c>
      <c r="L63" s="3357">
        <v>80</v>
      </c>
      <c r="M63" s="3358">
        <v>0.02</v>
      </c>
      <c r="O63" s="3259" t="s">
        <v>1579</v>
      </c>
      <c r="P63" s="3255"/>
      <c r="Q63" s="3255"/>
      <c r="R63" s="3255"/>
    </row>
    <row r="64" spans="1:18" s="3149" customFormat="1" ht="13.5" thickBot="1">
      <c r="A64" s="3202" t="s">
        <v>1502</v>
      </c>
      <c r="B64" s="3338" t="s">
        <v>1503</v>
      </c>
      <c r="C64" s="2407">
        <f ca="1">ROUND(C57*F64,1)</f>
        <v>0</v>
      </c>
      <c r="D64" s="3349" t="s">
        <v>1484</v>
      </c>
      <c r="E64" s="3338" t="s">
        <v>1424</v>
      </c>
      <c r="F64" s="2726">
        <f t="shared" ca="1" si="0"/>
        <v>0</v>
      </c>
      <c r="I64" s="3356" t="s">
        <v>1580</v>
      </c>
      <c r="J64" s="3357">
        <v>50</v>
      </c>
      <c r="K64" s="3357">
        <v>35</v>
      </c>
      <c r="L64" s="3357">
        <v>60</v>
      </c>
      <c r="M64" s="3358">
        <v>0</v>
      </c>
      <c r="O64" s="3267" t="s">
        <v>1524</v>
      </c>
      <c r="P64" s="3268" t="s">
        <v>1525</v>
      </c>
      <c r="Q64" s="3269" t="s">
        <v>1526</v>
      </c>
      <c r="R64" s="3269" t="s">
        <v>1527</v>
      </c>
    </row>
    <row r="65" spans="1:18" s="3149" customFormat="1" ht="13.5" thickBot="1">
      <c r="A65" s="3202" t="s">
        <v>1505</v>
      </c>
      <c r="B65" s="3338" t="s">
        <v>1455</v>
      </c>
      <c r="C65" s="2407">
        <f ca="1">ROUND(C56*F65,1)</f>
        <v>0</v>
      </c>
      <c r="D65" s="3349" t="s">
        <v>1456</v>
      </c>
      <c r="E65" s="3338" t="s">
        <v>1424</v>
      </c>
      <c r="F65" s="2726">
        <f t="shared" ca="1" si="0"/>
        <v>0</v>
      </c>
      <c r="I65" s="3356" t="s">
        <v>1581</v>
      </c>
      <c r="J65" s="3357">
        <v>40</v>
      </c>
      <c r="K65" s="3357">
        <v>30</v>
      </c>
      <c r="L65" s="3357">
        <v>50</v>
      </c>
      <c r="M65" s="3358">
        <v>0.02</v>
      </c>
      <c r="O65" s="3280" t="s">
        <v>1040</v>
      </c>
      <c r="P65" s="3281" t="s">
        <v>1530</v>
      </c>
      <c r="Q65" s="3282" t="e">
        <f ca="1">C40+J29</f>
        <v>#DIV/0!</v>
      </c>
      <c r="R65" s="3282" t="s">
        <v>1531</v>
      </c>
    </row>
    <row r="66" spans="1:18" s="3149" customFormat="1" ht="16.5" thickBot="1">
      <c r="A66" s="3202" t="s">
        <v>1506</v>
      </c>
      <c r="B66" s="3338" t="s">
        <v>1441</v>
      </c>
      <c r="C66" s="2407">
        <f ca="1">ROUND(C48*F66,1)</f>
        <v>0</v>
      </c>
      <c r="D66" s="3349" t="s">
        <v>1507</v>
      </c>
      <c r="E66" s="3338" t="s">
        <v>1424</v>
      </c>
      <c r="F66" s="2726">
        <f t="shared" ca="1" si="0"/>
        <v>0</v>
      </c>
      <c r="O66" s="3280" t="s">
        <v>1041</v>
      </c>
      <c r="P66" s="3281" t="s">
        <v>1560</v>
      </c>
      <c r="Q66" s="3282">
        <f ca="1">L60</f>
        <v>0</v>
      </c>
      <c r="R66" s="3282" t="s">
        <v>1583</v>
      </c>
    </row>
    <row r="67" spans="1:18" s="3149" customFormat="1" ht="16.5" thickBot="1">
      <c r="A67" s="3330" t="s">
        <v>1031</v>
      </c>
      <c r="B67" s="3361" t="s">
        <v>1465</v>
      </c>
      <c r="C67" s="3098">
        <f ca="1">C48-C58</f>
        <v>-1</v>
      </c>
      <c r="D67" s="3348" t="s">
        <v>1466</v>
      </c>
      <c r="E67" s="3362"/>
      <c r="F67" s="3363"/>
      <c r="O67" s="3301" t="s">
        <v>1042</v>
      </c>
      <c r="P67" s="3281" t="s">
        <v>1564</v>
      </c>
      <c r="Q67" s="3282">
        <f ca="1">L51</f>
        <v>-35</v>
      </c>
      <c r="R67" s="3282" t="s">
        <v>1584</v>
      </c>
    </row>
    <row r="68" spans="1:18" s="3149" customFormat="1" ht="16.5" thickBot="1">
      <c r="A68" s="3364" t="s">
        <v>1032</v>
      </c>
      <c r="B68" s="3365" t="s">
        <v>1487</v>
      </c>
      <c r="C68" s="3168" t="e">
        <f ca="1">ROUND(C67*(1-((1+F70)/(1+F68))^F69)/(F68-F70),0)</f>
        <v>#DIV/0!</v>
      </c>
      <c r="D68" s="3355" t="s">
        <v>1471</v>
      </c>
      <c r="E68" s="3338" t="s">
        <v>1472</v>
      </c>
      <c r="F68" s="2726">
        <f ca="1">F40</f>
        <v>0</v>
      </c>
      <c r="O68" s="3301" t="s">
        <v>1043</v>
      </c>
      <c r="P68" s="3366" t="s">
        <v>1585</v>
      </c>
      <c r="Q68" s="3282">
        <f ca="1">ROUND(Q69-Q70*Q71,0)</f>
        <v>-1</v>
      </c>
      <c r="R68" s="3282" t="s">
        <v>1051</v>
      </c>
    </row>
    <row r="69" spans="1:18" s="3149" customFormat="1" ht="13.5" thickBot="1">
      <c r="A69" s="3367"/>
      <c r="B69" s="3368"/>
      <c r="C69" s="3173"/>
      <c r="D69" s="3369" t="s">
        <v>1475</v>
      </c>
      <c r="E69" s="3338" t="s">
        <v>1476</v>
      </c>
      <c r="F69" s="2726">
        <f ca="1">F41</f>
        <v>0</v>
      </c>
      <c r="O69" s="3301" t="s">
        <v>1048</v>
      </c>
      <c r="P69" s="3366" t="s">
        <v>1586</v>
      </c>
      <c r="Q69" s="3282">
        <f ca="1">C39</f>
        <v>-1</v>
      </c>
      <c r="R69" s="3282" t="s">
        <v>1531</v>
      </c>
    </row>
    <row r="70" spans="1:18" s="3149" customFormat="1" ht="13.5" thickBot="1">
      <c r="A70" s="3370"/>
      <c r="B70" s="3371"/>
      <c r="C70" s="3195"/>
      <c r="D70" s="3360"/>
      <c r="E70" s="3338" t="s">
        <v>1479</v>
      </c>
      <c r="F70" s="3315"/>
      <c r="O70" s="3301" t="s">
        <v>1049</v>
      </c>
      <c r="P70" s="3366" t="s">
        <v>1587</v>
      </c>
      <c r="Q70" s="3282">
        <f ca="1">C13</f>
        <v>0</v>
      </c>
      <c r="R70" s="3282" t="s">
        <v>1531</v>
      </c>
    </row>
    <row r="71" spans="1:18" s="3149" customFormat="1" ht="13.5" thickBot="1">
      <c r="A71" s="3372" t="s">
        <v>1033</v>
      </c>
      <c r="B71" s="3373" t="s">
        <v>1489</v>
      </c>
      <c r="C71" s="3238" t="e">
        <f ca="1">ROUND(C68*10000/F71,0)</f>
        <v>#DIV/0!</v>
      </c>
      <c r="D71" s="3374" t="s">
        <v>1490</v>
      </c>
      <c r="E71" s="3375" t="s">
        <v>1491</v>
      </c>
      <c r="F71" s="3241">
        <f ca="1">F43</f>
        <v>1603.32</v>
      </c>
      <c r="O71" s="3301" t="s">
        <v>1050</v>
      </c>
      <c r="P71" s="3366" t="s">
        <v>1588</v>
      </c>
      <c r="Q71" s="3282">
        <f ca="1">C76</f>
        <v>0</v>
      </c>
      <c r="R71" s="3282"/>
    </row>
    <row r="72" spans="1:18" s="3149" customFormat="1" ht="13.5" thickBot="1">
      <c r="B72" s="3014"/>
      <c r="C72" s="3014"/>
      <c r="O72" s="3301" t="s">
        <v>1044</v>
      </c>
      <c r="P72" s="3281" t="s">
        <v>1566</v>
      </c>
      <c r="Q72" s="3282">
        <f>L52</f>
        <v>0</v>
      </c>
      <c r="R72" s="3282"/>
    </row>
    <row r="73" spans="1:18" ht="16.5" thickBot="1">
      <c r="A73" s="3149"/>
      <c r="B73" s="3014"/>
      <c r="C73" s="3014"/>
      <c r="D73" s="3149"/>
      <c r="E73" s="3149"/>
      <c r="F73" s="3149"/>
      <c r="O73" s="3301" t="s">
        <v>1045</v>
      </c>
      <c r="P73" s="3281" t="s">
        <v>1569</v>
      </c>
      <c r="Q73" s="3282" t="e">
        <f ca="1">L58</f>
        <v>#DIV/0!</v>
      </c>
      <c r="R73" s="3282" t="s">
        <v>1570</v>
      </c>
    </row>
    <row r="74" spans="1:18" ht="13.5" thickBot="1">
      <c r="A74" s="3149"/>
      <c r="B74" s="3377" t="s">
        <v>1589</v>
      </c>
      <c r="C74" s="3378"/>
      <c r="D74" s="3149"/>
      <c r="E74" s="3149"/>
      <c r="F74" s="3149"/>
      <c r="O74" s="3301" t="s">
        <v>1052</v>
      </c>
      <c r="P74" s="3281" t="str">
        <f>K59</f>
        <v>建筑物剩余耐用年限下的土地年期修正系数Kn</v>
      </c>
      <c r="Q74" s="3282" t="e">
        <f ca="1">L59</f>
        <v>#DIV/0!</v>
      </c>
      <c r="R74" s="3282" t="s">
        <v>1571</v>
      </c>
    </row>
    <row r="75" spans="1:18" ht="13.5" thickBot="1">
      <c r="A75" s="3149"/>
      <c r="B75" s="3379" t="s">
        <v>1508</v>
      </c>
      <c r="C75" s="3380">
        <f ca="1">ROUND(C13*C76,0)</f>
        <v>0</v>
      </c>
      <c r="D75" s="3149"/>
      <c r="E75" s="3149"/>
      <c r="F75" s="3149"/>
      <c r="K75" s="3258"/>
      <c r="L75" s="3149"/>
      <c r="O75" s="3280" t="s">
        <v>1046</v>
      </c>
      <c r="P75" s="3281" t="s">
        <v>1551</v>
      </c>
      <c r="Q75" s="3282" t="e">
        <f ca="1">Q65+Q66</f>
        <v>#DIV/0!</v>
      </c>
      <c r="R75" s="3282" t="s">
        <v>1047</v>
      </c>
    </row>
    <row r="76" spans="1:18">
      <c r="B76" s="3381" t="s">
        <v>1509</v>
      </c>
      <c r="C76" s="3098">
        <f ca="1">INDIRECT("'数据-取费表'!j"&amp;$G$1)</f>
        <v>0</v>
      </c>
      <c r="I76" s="3149"/>
      <c r="J76" s="3149"/>
      <c r="K76" s="3258"/>
      <c r="L76" s="3149"/>
    </row>
    <row r="77" spans="1:18">
      <c r="B77" s="3382" t="s">
        <v>1510</v>
      </c>
      <c r="C77" s="3383"/>
      <c r="I77" s="3149"/>
      <c r="J77" s="3149"/>
      <c r="K77" s="3258"/>
      <c r="L77" s="3149"/>
    </row>
    <row r="78" spans="1:18">
      <c r="B78" s="3384" t="s">
        <v>1511</v>
      </c>
      <c r="C78" s="3385"/>
    </row>
    <row r="79" spans="1:18">
      <c r="B79" s="3379" t="s">
        <v>1512</v>
      </c>
      <c r="C79" s="3380">
        <f ca="1">1-C80</f>
        <v>1</v>
      </c>
    </row>
    <row r="80" spans="1:18">
      <c r="B80" s="3379" t="s">
        <v>1513</v>
      </c>
      <c r="C80" s="3380">
        <f ca="1">ROUND(C75/C39,3)</f>
        <v>0</v>
      </c>
    </row>
    <row r="81" spans="2:3">
      <c r="B81" s="3384" t="s">
        <v>1514</v>
      </c>
      <c r="C81" s="3339"/>
    </row>
    <row r="82" spans="2:3">
      <c r="B82" s="3377" t="s">
        <v>1515</v>
      </c>
      <c r="C82" s="3378" t="e">
        <f ca="1">1-C83</f>
        <v>#DIV/0!</v>
      </c>
    </row>
    <row r="83" spans="2:3">
      <c r="B83" s="3377" t="s">
        <v>1516</v>
      </c>
      <c r="C83" s="3380" t="e">
        <f ca="1">ROUND(C13/C40,3)</f>
        <v>#DIV/0!</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17" priority="4">
      <formula>$L$48&gt;$J$51</formula>
    </cfRule>
  </conditionalFormatting>
  <conditionalFormatting sqref="I55 I60">
    <cfRule type="expression" dxfId="116" priority="5">
      <formula>$J$51&gt;$L$48</formula>
    </cfRule>
  </conditionalFormatting>
  <conditionalFormatting sqref="C11">
    <cfRule type="expression" dxfId="115" priority="3">
      <formula>$F$10="自定义"</formula>
    </cfRule>
  </conditionalFormatting>
  <conditionalFormatting sqref="J11">
    <cfRule type="expression" dxfId="114" priority="2">
      <formula>$M$10="自定义"</formula>
    </cfRule>
  </conditionalFormatting>
  <conditionalFormatting sqref="C54">
    <cfRule type="expression" dxfId="113"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sqref="A1:XFD1048576"/>
    </sheetView>
  </sheetViews>
  <sheetFormatPr defaultRowHeight="12.75"/>
  <cols>
    <col min="1" max="1" width="9" style="3150" customWidth="1"/>
    <col min="2" max="2" width="20.625" style="3015" customWidth="1"/>
    <col min="3" max="3" width="11.875" style="3015" customWidth="1"/>
    <col min="4" max="4" width="40.5" style="3150" customWidth="1"/>
    <col min="5" max="5" width="15.75" style="3150" customWidth="1"/>
    <col min="6" max="6" width="10.625" style="3150" customWidth="1"/>
    <col min="7" max="7" width="4.875" style="3150" customWidth="1"/>
    <col min="8" max="8" width="8.5" style="3150" customWidth="1"/>
    <col min="9" max="9" width="21.25" style="3150" customWidth="1"/>
    <col min="10" max="10" width="12.25" style="3150" customWidth="1"/>
    <col min="11" max="11" width="45.125" style="3376" customWidth="1"/>
    <col min="12" max="12" width="16.375" style="3150" customWidth="1"/>
    <col min="13" max="13" width="13" style="3150" customWidth="1"/>
    <col min="14" max="14" width="13.75" style="3149" customWidth="1"/>
    <col min="15" max="15" width="5.125" style="3149" customWidth="1"/>
    <col min="16" max="16" width="25.75" style="3149" customWidth="1"/>
    <col min="17" max="17" width="13.75" style="3149" customWidth="1"/>
    <col min="18" max="18" width="20.5" style="3149" customWidth="1"/>
    <col min="19" max="19" width="13.25" style="3149" customWidth="1"/>
    <col min="20" max="37" width="9" style="3149"/>
    <col min="38" max="16384" width="9" style="3150"/>
  </cols>
  <sheetData>
    <row r="1" spans="1:37" s="3140" customFormat="1" ht="21">
      <c r="A1" s="3130" t="s">
        <v>1591</v>
      </c>
      <c r="B1" s="3131"/>
      <c r="C1" s="3132" t="s">
        <v>3072</v>
      </c>
      <c r="D1" s="3133" t="s">
        <v>70</v>
      </c>
      <c r="E1" s="3134" t="s">
        <v>1388</v>
      </c>
      <c r="F1" s="3134">
        <f ca="1">J53</f>
        <v>35.47</v>
      </c>
      <c r="G1" s="3135">
        <f>MATCH(C1,'数据-取费表'!A6:A16,0)+5</f>
        <v>8</v>
      </c>
      <c r="H1" s="3136"/>
      <c r="I1" s="3137"/>
      <c r="J1" s="3137"/>
      <c r="K1" s="3138"/>
      <c r="L1" s="3137"/>
      <c r="M1" s="3137"/>
      <c r="N1" s="3139"/>
      <c r="O1" s="3139"/>
      <c r="P1" s="3139"/>
      <c r="Q1" s="3139"/>
      <c r="R1" s="3139"/>
      <c r="S1" s="3139"/>
      <c r="T1" s="3139"/>
      <c r="U1" s="3139"/>
      <c r="V1" s="3139"/>
      <c r="W1" s="3139"/>
      <c r="X1" s="3139"/>
      <c r="Y1" s="3139"/>
      <c r="Z1" s="3139"/>
      <c r="AA1" s="3139"/>
      <c r="AB1" s="3139"/>
      <c r="AC1" s="3139"/>
      <c r="AD1" s="3139"/>
      <c r="AE1" s="3139"/>
      <c r="AF1" s="3139"/>
      <c r="AG1" s="3139"/>
      <c r="AH1" s="3139"/>
      <c r="AI1" s="3139"/>
      <c r="AJ1" s="3139"/>
      <c r="AK1" s="3139"/>
    </row>
    <row r="2" spans="1:37" ht="18" customHeight="1">
      <c r="A2" s="3141" t="s">
        <v>1517</v>
      </c>
      <c r="B2" s="3142" t="e">
        <f ca="1">C40+J29+L46</f>
        <v>#DIV/0!</v>
      </c>
      <c r="C2" s="3143" t="s">
        <v>1518</v>
      </c>
      <c r="D2" s="3143"/>
      <c r="E2" s="3144"/>
      <c r="F2" s="3145"/>
      <c r="G2" s="3146"/>
      <c r="H2" s="3147"/>
      <c r="I2" s="3147"/>
      <c r="J2" s="3147"/>
      <c r="K2" s="3148"/>
      <c r="L2" s="3147"/>
      <c r="M2" s="3147"/>
    </row>
    <row r="3" spans="1:37" ht="18" customHeight="1" thickBot="1">
      <c r="A3" s="3151" t="s">
        <v>1519</v>
      </c>
      <c r="B3" s="3152">
        <f ca="1">IF(ISERROR(B2*10000/F43),0,ROUND(B2*10000/F43,0))</f>
        <v>0</v>
      </c>
      <c r="C3" s="3143" t="s">
        <v>1520</v>
      </c>
      <c r="D3" s="3143"/>
      <c r="E3" s="3144"/>
      <c r="F3" s="3145"/>
      <c r="G3" s="3146"/>
      <c r="H3" s="3153" t="s">
        <v>1590</v>
      </c>
      <c r="I3" s="3147"/>
      <c r="J3" s="3147"/>
      <c r="K3" s="3148"/>
      <c r="L3" s="3147"/>
      <c r="M3" s="3147"/>
    </row>
    <row r="4" spans="1:37" ht="18" customHeight="1">
      <c r="A4" s="3154" t="s">
        <v>1397</v>
      </c>
      <c r="B4" s="3155" t="s">
        <v>1398</v>
      </c>
      <c r="C4" s="3155" t="s">
        <v>1399</v>
      </c>
      <c r="D4" s="3155" t="s">
        <v>1400</v>
      </c>
      <c r="E4" s="3156" t="s">
        <v>1401</v>
      </c>
      <c r="F4" s="3157"/>
      <c r="G4" s="3158"/>
      <c r="H4" s="3154" t="s">
        <v>1397</v>
      </c>
      <c r="I4" s="3155" t="s">
        <v>1398</v>
      </c>
      <c r="J4" s="3155" t="s">
        <v>1399</v>
      </c>
      <c r="K4" s="3155" t="s">
        <v>1400</v>
      </c>
      <c r="L4" s="3156" t="s">
        <v>1401</v>
      </c>
      <c r="M4" s="3157"/>
    </row>
    <row r="5" spans="1:37" ht="18" customHeight="1">
      <c r="A5" s="3159">
        <v>1</v>
      </c>
      <c r="B5" s="3160" t="s">
        <v>1402</v>
      </c>
      <c r="C5" s="3161">
        <f ca="1">C6+C10+C12</f>
        <v>0</v>
      </c>
      <c r="D5" s="3162" t="s">
        <v>1403</v>
      </c>
      <c r="E5" s="3163"/>
      <c r="F5" s="3164"/>
      <c r="G5" s="3158"/>
      <c r="H5" s="3159">
        <v>1</v>
      </c>
      <c r="I5" s="3160" t="s">
        <v>1402</v>
      </c>
      <c r="J5" s="3161">
        <f ca="1">J6+J10+J12</f>
        <v>0</v>
      </c>
      <c r="K5" s="3162" t="s">
        <v>1403</v>
      </c>
      <c r="L5" s="3163"/>
      <c r="M5" s="3164"/>
    </row>
    <row r="6" spans="1:37" ht="18" customHeight="1">
      <c r="A6" s="3165" t="s">
        <v>1035</v>
      </c>
      <c r="B6" s="3952" t="s">
        <v>1404</v>
      </c>
      <c r="C6" s="3166">
        <f ca="1">ROUND(F6*F8*F7*(1-F9)/10000,0)</f>
        <v>0</v>
      </c>
      <c r="D6" s="2584" t="s">
        <v>3039</v>
      </c>
      <c r="E6" s="3167" t="s">
        <v>1406</v>
      </c>
      <c r="F6" s="2726">
        <f ca="1">INDIRECT("'数据-取费表'!u"&amp;$G$1)</f>
        <v>0</v>
      </c>
      <c r="G6" s="3158"/>
      <c r="H6" s="3165" t="s">
        <v>1035</v>
      </c>
      <c r="I6" s="3952" t="s">
        <v>1404</v>
      </c>
      <c r="J6" s="3168">
        <f ca="1">ROUND(M6*M8*M7*(1-M9)/10000,0)</f>
        <v>0</v>
      </c>
      <c r="K6" s="2584" t="s">
        <v>3038</v>
      </c>
      <c r="L6" s="3167" t="s">
        <v>1406</v>
      </c>
      <c r="M6" s="2726">
        <f ca="1">INDIRECT("'数据-取费表'!z"&amp;$G$1)</f>
        <v>0</v>
      </c>
    </row>
    <row r="7" spans="1:37" ht="18" customHeight="1">
      <c r="A7" s="3169"/>
      <c r="B7" s="3953"/>
      <c r="C7" s="3170"/>
      <c r="D7" s="2210"/>
      <c r="E7" s="3171" t="s">
        <v>1407</v>
      </c>
      <c r="F7" s="2726">
        <f ca="1">IF(INDIRECT("'数据-取费表'!ah"&amp;$G$1)="",INDIRECT("'数据-取费表'!k"&amp;$G$1),INDIRECT("'数据-取费表'!ah"&amp;$G$1))</f>
        <v>1041.3799999999999</v>
      </c>
      <c r="G7" s="3158"/>
      <c r="H7" s="3172"/>
      <c r="I7" s="3953"/>
      <c r="J7" s="3173"/>
      <c r="K7" s="2210"/>
      <c r="L7" s="3167" t="s">
        <v>1407</v>
      </c>
      <c r="M7" s="2726">
        <f ca="1">F7</f>
        <v>1041.3799999999999</v>
      </c>
    </row>
    <row r="8" spans="1:37" ht="18" customHeight="1">
      <c r="A8" s="3172"/>
      <c r="B8" s="3953"/>
      <c r="C8" s="3173"/>
      <c r="D8" s="2210"/>
      <c r="E8" s="3167" t="s">
        <v>1408</v>
      </c>
      <c r="F8" s="2726">
        <f ca="1">INDIRECT("'数据-取费表'!ai"&amp;$G$1)</f>
        <v>365</v>
      </c>
      <c r="G8" s="3158"/>
      <c r="H8" s="3172"/>
      <c r="I8" s="3953"/>
      <c r="J8" s="3173"/>
      <c r="K8" s="2210"/>
      <c r="L8" s="3167" t="s">
        <v>1408</v>
      </c>
      <c r="M8" s="2726">
        <f ca="1">INDIRECT("'数据-取费表'!ai"&amp;$G$1)</f>
        <v>365</v>
      </c>
    </row>
    <row r="9" spans="1:37" ht="18" customHeight="1">
      <c r="A9" s="3172"/>
      <c r="B9" s="3954"/>
      <c r="C9" s="3173"/>
      <c r="D9" s="2210"/>
      <c r="E9" s="3167" t="s">
        <v>1409</v>
      </c>
      <c r="F9" s="2726">
        <f ca="1">INDIRECT("'数据-取费表'!w"&amp;$G$1)</f>
        <v>0</v>
      </c>
      <c r="G9" s="3158"/>
      <c r="H9" s="3172"/>
      <c r="I9" s="3954"/>
      <c r="J9" s="3173"/>
      <c r="K9" s="2210"/>
      <c r="L9" s="3174" t="s">
        <v>1409</v>
      </c>
      <c r="M9" s="3175">
        <f ca="1">INDIRECT("'数据-取费表'!ab"&amp;$G$1)</f>
        <v>0</v>
      </c>
    </row>
    <row r="10" spans="1:37" ht="18" customHeight="1">
      <c r="A10" s="3165" t="s">
        <v>1039</v>
      </c>
      <c r="B10" s="3176" t="s">
        <v>1410</v>
      </c>
      <c r="C10" s="3098">
        <f ca="1">ROUND(IF(F10="押一",F6*F8*F7/12*F11,IF(F10="押二",F6*F8*F7/12*2*F11,IF(F10="押三",F6*F8*F7/12*3*F11,C11*F11)))/10000,0)</f>
        <v>0</v>
      </c>
      <c r="D10" s="3177" t="s">
        <v>3040</v>
      </c>
      <c r="E10" s="3174" t="s">
        <v>1412</v>
      </c>
      <c r="F10" s="3178" t="s">
        <v>7118</v>
      </c>
      <c r="G10" s="3158"/>
      <c r="H10" s="3165" t="s">
        <v>1039</v>
      </c>
      <c r="I10" s="3176" t="s">
        <v>1410</v>
      </c>
      <c r="J10" s="3168">
        <f ca="1">ROUND(IF(M10="押一",M6*M8*M7/12*M11,IF(M10="押二",M6*M8*M7/12*2*M11,IF(M10="押三",M6*M8*M7/12*3*M11,J11*M11)))/10000,0)</f>
        <v>0</v>
      </c>
      <c r="K10" s="3177" t="s">
        <v>3041</v>
      </c>
      <c r="L10" s="3174" t="s">
        <v>1412</v>
      </c>
      <c r="M10" s="3178" t="s">
        <v>1413</v>
      </c>
    </row>
    <row r="11" spans="1:37" ht="18" customHeight="1">
      <c r="A11" s="3179"/>
      <c r="B11" s="3180" t="s">
        <v>1389</v>
      </c>
      <c r="C11" s="3181"/>
      <c r="D11" s="3182"/>
      <c r="E11" s="3174" t="s">
        <v>1414</v>
      </c>
      <c r="F11" s="3175">
        <f ca="1">'数据-取费表'!B39</f>
        <v>1.4999999999999999E-2</v>
      </c>
      <c r="G11" s="3158"/>
      <c r="H11" s="3183"/>
      <c r="I11" s="3180" t="s">
        <v>1389</v>
      </c>
      <c r="J11" s="3181"/>
      <c r="K11" s="2218"/>
      <c r="L11" s="3174" t="s">
        <v>1414</v>
      </c>
      <c r="M11" s="3184">
        <f ca="1">'数据-取费表'!B39</f>
        <v>1.4999999999999999E-2</v>
      </c>
    </row>
    <row r="12" spans="1:37" ht="18" customHeight="1" thickBot="1">
      <c r="A12" s="3185" t="s">
        <v>1075</v>
      </c>
      <c r="B12" s="3186" t="s">
        <v>1415</v>
      </c>
      <c r="C12" s="3187"/>
      <c r="D12" s="3188"/>
      <c r="E12" s="3189"/>
      <c r="F12" s="3190"/>
      <c r="G12" s="3158"/>
      <c r="H12" s="3185" t="s">
        <v>1075</v>
      </c>
      <c r="I12" s="3186" t="s">
        <v>1415</v>
      </c>
      <c r="J12" s="3187"/>
      <c r="K12" s="3191"/>
      <c r="L12" s="3189"/>
      <c r="M12" s="3192"/>
    </row>
    <row r="13" spans="1:37" ht="18" customHeight="1" thickTop="1">
      <c r="A13" s="3193">
        <v>2</v>
      </c>
      <c r="B13" s="3194" t="s">
        <v>1416</v>
      </c>
      <c r="C13" s="3195">
        <f ca="1">ROUND(C29*F13,0)</f>
        <v>0</v>
      </c>
      <c r="D13" s="3196" t="s">
        <v>1417</v>
      </c>
      <c r="E13" s="3196" t="s">
        <v>1418</v>
      </c>
      <c r="F13" s="3197">
        <f ca="1">INDIRECT("'数据-取费表'!y"&amp;$G$1)</f>
        <v>0</v>
      </c>
      <c r="G13" s="3158"/>
      <c r="H13" s="3193">
        <v>2</v>
      </c>
      <c r="I13" s="3194" t="s">
        <v>1416</v>
      </c>
      <c r="J13" s="3198">
        <f ca="1">ROUND(J14*J15,0)</f>
        <v>0</v>
      </c>
      <c r="K13" s="3199" t="s">
        <v>1417</v>
      </c>
      <c r="L13" s="3200"/>
      <c r="M13" s="3201"/>
    </row>
    <row r="14" spans="1:37" ht="18" customHeight="1">
      <c r="A14" s="3202" t="s">
        <v>1034</v>
      </c>
      <c r="B14" s="3167" t="s">
        <v>1419</v>
      </c>
      <c r="C14" s="3203">
        <f ca="1">INDIRECT("'数据-取费表'!m"&amp;$G$1)+INDIRECT("'数据-取费表'!t"&amp;$G$1)</f>
        <v>0</v>
      </c>
      <c r="D14" s="2678" t="s">
        <v>1420</v>
      </c>
      <c r="E14" s="2679"/>
      <c r="F14" s="3204"/>
      <c r="G14" s="3158"/>
      <c r="H14" s="3202" t="s">
        <v>1035</v>
      </c>
      <c r="I14" s="3167" t="s">
        <v>1421</v>
      </c>
      <c r="J14" s="2407">
        <f ca="1">C29</f>
        <v>25</v>
      </c>
      <c r="K14" s="2688"/>
      <c r="L14" s="3205"/>
      <c r="M14" s="2520"/>
    </row>
    <row r="15" spans="1:37" s="3214" customFormat="1" ht="18" customHeight="1" thickBot="1">
      <c r="A15" s="3202" t="s">
        <v>1036</v>
      </c>
      <c r="B15" s="3167" t="s">
        <v>1422</v>
      </c>
      <c r="C15" s="2407">
        <f ca="1">ROUND(C14*F15,0)</f>
        <v>0</v>
      </c>
      <c r="D15" s="3206" t="s">
        <v>1423</v>
      </c>
      <c r="E15" s="3206" t="s">
        <v>1424</v>
      </c>
      <c r="F15" s="3207">
        <f>'数据-取费表'!B33</f>
        <v>0.05</v>
      </c>
      <c r="G15" s="3208"/>
      <c r="H15" s="3209" t="s">
        <v>1039</v>
      </c>
      <c r="I15" s="3189" t="s">
        <v>1418</v>
      </c>
      <c r="J15" s="3192">
        <f ca="1">INDIRECT("'数据-取费表'!ad"&amp;$G$1)</f>
        <v>0</v>
      </c>
      <c r="K15" s="3210"/>
      <c r="L15" s="3211"/>
      <c r="M15" s="3212"/>
      <c r="N15" s="3213"/>
      <c r="O15" s="3213"/>
      <c r="P15" s="3213"/>
      <c r="Q15" s="3213"/>
      <c r="R15" s="3213"/>
      <c r="S15" s="3213"/>
      <c r="T15" s="3213"/>
      <c r="U15" s="3213"/>
      <c r="V15" s="3213"/>
      <c r="W15" s="3213"/>
      <c r="X15" s="3213"/>
      <c r="Y15" s="3213"/>
      <c r="Z15" s="3213"/>
      <c r="AA15" s="3213"/>
      <c r="AB15" s="3213"/>
      <c r="AC15" s="3213"/>
      <c r="AD15" s="3213"/>
      <c r="AE15" s="3213"/>
      <c r="AF15" s="3213"/>
      <c r="AG15" s="3213"/>
      <c r="AH15" s="3213"/>
      <c r="AI15" s="3213"/>
      <c r="AJ15" s="3213"/>
      <c r="AK15" s="3213"/>
    </row>
    <row r="16" spans="1:37" ht="18" customHeight="1" thickTop="1">
      <c r="A16" s="3202" t="s">
        <v>1390</v>
      </c>
      <c r="B16" s="3167" t="s">
        <v>1425</v>
      </c>
      <c r="C16" s="2407">
        <f ca="1">ROUND(INDIRECT("'数据-取费表'!m"&amp;$G$1)*F16,0)</f>
        <v>0</v>
      </c>
      <c r="D16" s="3167" t="s">
        <v>1423</v>
      </c>
      <c r="E16" s="3167" t="s">
        <v>1424</v>
      </c>
      <c r="F16" s="2594">
        <f ca="1">IF(INDIRECT("'数据-取费表'!c"&amp;$G$1)="住宅",'数据-取费表'!B34,0)</f>
        <v>0</v>
      </c>
      <c r="G16" s="3158"/>
      <c r="H16" s="3193" t="s">
        <v>1030</v>
      </c>
      <c r="I16" s="3194" t="s">
        <v>1426</v>
      </c>
      <c r="J16" s="3195">
        <f ca="1">ROUND(J17+J22+J23+J24,0)</f>
        <v>1</v>
      </c>
      <c r="K16" s="3199" t="s">
        <v>1427</v>
      </c>
      <c r="L16" s="3215"/>
      <c r="M16" s="3164"/>
    </row>
    <row r="17" spans="1:37" s="3214" customFormat="1" ht="18" customHeight="1">
      <c r="A17" s="3202" t="s">
        <v>1391</v>
      </c>
      <c r="B17" s="3167" t="s">
        <v>1428</v>
      </c>
      <c r="C17" s="2407">
        <f ca="1">ROUND(F17*(F43+INDIRECT("'数据-取费表'!S"&amp;$G$1))/10000,0)</f>
        <v>21</v>
      </c>
      <c r="D17" s="3167" t="s">
        <v>1429</v>
      </c>
      <c r="E17" s="3167" t="s">
        <v>1430</v>
      </c>
      <c r="F17" s="3216">
        <f>'数据-取费表'!B35</f>
        <v>200</v>
      </c>
      <c r="G17" s="3208"/>
      <c r="H17" s="3202" t="s">
        <v>1035</v>
      </c>
      <c r="I17" s="3167" t="s">
        <v>1431</v>
      </c>
      <c r="J17" s="2407">
        <f ca="1">ROUND(IF(项目基本情况!B11="自然人",J5*M17,J18+J19+J20),1)</f>
        <v>0.5</v>
      </c>
      <c r="K17" s="2678" t="s">
        <v>1432</v>
      </c>
      <c r="L17" s="2595" t="s">
        <v>1433</v>
      </c>
      <c r="M17" s="3217" t="str">
        <f ca="1">IF(项目基本情况!B11="企业","",IF(INDIRECT("'数据-取费表'!c"&amp;$G$1)="住宅",5%,IF(M6*M7*M8/12/(1+'数据-取费表'!C42)&gt;20000,12%,7%)))</f>
        <v/>
      </c>
      <c r="N17" s="3213"/>
      <c r="O17" s="3213"/>
      <c r="P17" s="3213"/>
      <c r="Q17" s="3213"/>
      <c r="R17" s="3213"/>
      <c r="S17" s="3213"/>
      <c r="T17" s="3213"/>
      <c r="U17" s="3213"/>
      <c r="V17" s="3213"/>
      <c r="W17" s="3213"/>
      <c r="X17" s="3213"/>
      <c r="Y17" s="3213"/>
      <c r="Z17" s="3213"/>
      <c r="AA17" s="3213"/>
      <c r="AB17" s="3213"/>
      <c r="AC17" s="3213"/>
      <c r="AD17" s="3213"/>
      <c r="AE17" s="3213"/>
      <c r="AF17" s="3213"/>
      <c r="AG17" s="3213"/>
      <c r="AH17" s="3213"/>
      <c r="AI17" s="3213"/>
      <c r="AJ17" s="3213"/>
      <c r="AK17" s="3213"/>
    </row>
    <row r="18" spans="1:37" s="3214" customFormat="1" ht="18" customHeight="1">
      <c r="A18" s="3202" t="s">
        <v>1392</v>
      </c>
      <c r="B18" s="3167" t="s">
        <v>1434</v>
      </c>
      <c r="C18" s="2407">
        <f ca="1">ROUND(C14*F18,0)</f>
        <v>0</v>
      </c>
      <c r="D18" s="3167" t="s">
        <v>1423</v>
      </c>
      <c r="E18" s="3167" t="s">
        <v>1424</v>
      </c>
      <c r="F18" s="2594">
        <f>'数据-取费表'!B36</f>
        <v>1.4999999999999999E-2</v>
      </c>
      <c r="G18" s="3208"/>
      <c r="H18" s="3202" t="s">
        <v>1034</v>
      </c>
      <c r="I18" s="3167" t="s">
        <v>1435</v>
      </c>
      <c r="J18" s="2407">
        <f ca="1">ROUND(J5*M18/(1+'数据-取费表'!C42),2)</f>
        <v>0</v>
      </c>
      <c r="K18" s="2595" t="s">
        <v>1436</v>
      </c>
      <c r="L18" s="3167" t="s">
        <v>1424</v>
      </c>
      <c r="M18" s="2594">
        <f>'数据-取费表'!B41</f>
        <v>5.6000000000000001E-2</v>
      </c>
      <c r="N18" s="3213"/>
      <c r="O18" s="3213"/>
      <c r="P18" s="3213"/>
      <c r="Q18" s="3213"/>
      <c r="R18" s="3213"/>
      <c r="S18" s="3213"/>
      <c r="T18" s="3213"/>
      <c r="U18" s="3213"/>
      <c r="V18" s="3213"/>
      <c r="W18" s="3213"/>
      <c r="X18" s="3213"/>
      <c r="Y18" s="3213"/>
      <c r="Z18" s="3213"/>
      <c r="AA18" s="3213"/>
      <c r="AB18" s="3213"/>
      <c r="AC18" s="3213"/>
      <c r="AD18" s="3213"/>
      <c r="AE18" s="3213"/>
      <c r="AF18" s="3213"/>
      <c r="AG18" s="3213"/>
      <c r="AH18" s="3213"/>
      <c r="AI18" s="3213"/>
      <c r="AJ18" s="3213"/>
      <c r="AK18" s="3213"/>
    </row>
    <row r="19" spans="1:37" ht="18" customHeight="1">
      <c r="A19" s="3202" t="s">
        <v>1035</v>
      </c>
      <c r="B19" s="3167" t="s">
        <v>1437</v>
      </c>
      <c r="C19" s="2407">
        <f ca="1">SUM(C14:C18)</f>
        <v>21</v>
      </c>
      <c r="D19" s="2505" t="s">
        <v>1438</v>
      </c>
      <c r="E19" s="3218"/>
      <c r="F19" s="3216"/>
      <c r="G19" s="3158"/>
      <c r="H19" s="3202" t="s">
        <v>1036</v>
      </c>
      <c r="I19" s="3167" t="s">
        <v>1439</v>
      </c>
      <c r="J19" s="2407">
        <f ca="1">IF(K19="按租金收入计税",ROUND(J5*M19,2),ROUND(C29*M19*0.7,2))</f>
        <v>0.21</v>
      </c>
      <c r="K19" s="3219" t="s">
        <v>1440</v>
      </c>
      <c r="L19" s="3167" t="s">
        <v>1424</v>
      </c>
      <c r="M19" s="2594">
        <f>IF(K19="按租金收入计税",'数据-取费表'!B51,'数据-取费表'!B50)</f>
        <v>1.2E-2</v>
      </c>
    </row>
    <row r="20" spans="1:37" s="3214" customFormat="1" ht="18" customHeight="1">
      <c r="A20" s="3202" t="s">
        <v>1039</v>
      </c>
      <c r="B20" s="3167" t="s">
        <v>1441</v>
      </c>
      <c r="C20" s="2407">
        <f ca="1">ROUND(C19*F20,0)</f>
        <v>1</v>
      </c>
      <c r="D20" s="3220" t="s">
        <v>1442</v>
      </c>
      <c r="E20" s="3167" t="s">
        <v>1424</v>
      </c>
      <c r="F20" s="2594">
        <f>'数据-取费表'!B37</f>
        <v>0.03</v>
      </c>
      <c r="G20" s="3208"/>
      <c r="H20" s="3202" t="s">
        <v>1390</v>
      </c>
      <c r="I20" s="2584" t="s">
        <v>1443</v>
      </c>
      <c r="J20" s="3221">
        <f ca="1">ROUND(M20*M21/10000,2)</f>
        <v>0.25</v>
      </c>
      <c r="K20" s="3222" t="s">
        <v>1444</v>
      </c>
      <c r="L20" s="3167" t="s">
        <v>1445</v>
      </c>
      <c r="M20" s="2594">
        <f>'数据-取费表'!B52</f>
        <v>8</v>
      </c>
      <c r="N20" s="3213"/>
      <c r="O20" s="3213"/>
      <c r="P20" s="3213"/>
      <c r="Q20" s="3213"/>
      <c r="R20" s="3213"/>
      <c r="S20" s="3213"/>
      <c r="T20" s="3213"/>
      <c r="U20" s="3213"/>
      <c r="V20" s="3213"/>
      <c r="W20" s="3213"/>
      <c r="X20" s="3213"/>
      <c r="Y20" s="3213"/>
      <c r="Z20" s="3213"/>
      <c r="AA20" s="3213"/>
      <c r="AB20" s="3213"/>
      <c r="AC20" s="3213"/>
      <c r="AD20" s="3213"/>
      <c r="AE20" s="3213"/>
      <c r="AF20" s="3213"/>
      <c r="AG20" s="3213"/>
      <c r="AH20" s="3213"/>
      <c r="AI20" s="3213"/>
      <c r="AJ20" s="3213"/>
      <c r="AK20" s="3213"/>
    </row>
    <row r="21" spans="1:37" s="3214" customFormat="1" ht="18" customHeight="1">
      <c r="A21" s="3202" t="s">
        <v>1075</v>
      </c>
      <c r="B21" s="3167" t="s">
        <v>1446</v>
      </c>
      <c r="C21" s="2407" t="s">
        <v>2</v>
      </c>
      <c r="D21" s="3220" t="s">
        <v>1447</v>
      </c>
      <c r="E21" s="3167" t="s">
        <v>1448</v>
      </c>
      <c r="F21" s="2594">
        <f>'数据-取费表'!B38</f>
        <v>0.03</v>
      </c>
      <c r="G21" s="3208"/>
      <c r="H21" s="3223"/>
      <c r="I21" s="3224"/>
      <c r="J21" s="2596"/>
      <c r="K21" s="2209"/>
      <c r="L21" s="3167" t="s">
        <v>1449</v>
      </c>
      <c r="M21" s="2726">
        <f ca="1">INDIRECT("'数据-取费表'!r"&amp;$G$1)</f>
        <v>308.72000000000003</v>
      </c>
      <c r="N21" s="3213"/>
      <c r="O21" s="3213"/>
      <c r="P21" s="3213"/>
      <c r="Q21" s="3213"/>
      <c r="R21" s="3213"/>
      <c r="S21" s="3213"/>
      <c r="T21" s="3213"/>
      <c r="U21" s="3213"/>
      <c r="V21" s="3213"/>
      <c r="W21" s="3213"/>
      <c r="X21" s="3213"/>
      <c r="Y21" s="3213"/>
      <c r="Z21" s="3213"/>
      <c r="AA21" s="3213"/>
      <c r="AB21" s="3213"/>
      <c r="AC21" s="3213"/>
      <c r="AD21" s="3213"/>
      <c r="AE21" s="3213"/>
      <c r="AF21" s="3213"/>
      <c r="AG21" s="3213"/>
      <c r="AH21" s="3213"/>
      <c r="AI21" s="3213"/>
      <c r="AJ21" s="3213"/>
      <c r="AK21" s="3213"/>
    </row>
    <row r="22" spans="1:37" ht="18" customHeight="1">
      <c r="A22" s="3202" t="s">
        <v>1393</v>
      </c>
      <c r="B22" s="3167" t="s">
        <v>1450</v>
      </c>
      <c r="C22" s="2407"/>
      <c r="D22" s="2505" t="str">
        <f>IF(F23&lt;=1,"单利计息。","复利计息。")&amp;"建造成本、管理费用、销售费用产生的利息。"</f>
        <v>复利计息。建造成本、管理费用、销售费用产生的利息。</v>
      </c>
      <c r="E22" s="3218"/>
      <c r="F22" s="3216"/>
      <c r="G22" s="3158"/>
      <c r="H22" s="3202" t="s">
        <v>1039</v>
      </c>
      <c r="I22" s="3167" t="s">
        <v>1451</v>
      </c>
      <c r="J22" s="2407">
        <f ca="1">ROUND(J14*M22,1)</f>
        <v>0</v>
      </c>
      <c r="K22" s="2595" t="s">
        <v>1452</v>
      </c>
      <c r="L22" s="3167" t="s">
        <v>1424</v>
      </c>
      <c r="M22" s="2726">
        <f ca="1">INDIRECT("'数据-取费表'!Ak"&amp;$G$1)</f>
        <v>0</v>
      </c>
    </row>
    <row r="23" spans="1:37" s="3214" customFormat="1" ht="18" customHeight="1">
      <c r="A23" s="3202" t="s">
        <v>1034</v>
      </c>
      <c r="B23" s="3167" t="s">
        <v>1453</v>
      </c>
      <c r="C23" s="2407">
        <f ca="1">IF('数据-取费表'!B22&lt;=1,ROUND(C19*F24*F23/2,0)+ROUND(C20*F24*F23/2,0),ROUND(C19*(POWER((1+F24),F23/2)-1),0)+ROUND(C20*(POWER((1+F24),F23/2)-1),0))</f>
        <v>1</v>
      </c>
      <c r="D23" s="3225" t="str">
        <f>IF(F23&lt;=1,"(建造成本+管理费用)×利率×(建设周期÷2)","(建造成本+管理费用)×((1+利率)^(建设周期÷2)-1)")</f>
        <v>(建造成本+管理费用)×((1+利率)^(建设周期÷2)-1)</v>
      </c>
      <c r="E23" s="3167" t="s">
        <v>1454</v>
      </c>
      <c r="F23" s="2594">
        <f>'数据-取费表'!B20</f>
        <v>2</v>
      </c>
      <c r="G23" s="3208"/>
      <c r="H23" s="3202" t="s">
        <v>1075</v>
      </c>
      <c r="I23" s="3167" t="s">
        <v>1455</v>
      </c>
      <c r="J23" s="2407">
        <f ca="1">ROUND(J13*M23,1)</f>
        <v>0</v>
      </c>
      <c r="K23" s="2595" t="s">
        <v>1456</v>
      </c>
      <c r="L23" s="3167" t="s">
        <v>1424</v>
      </c>
      <c r="M23" s="2726">
        <f ca="1">INDIRECT("'数据-取费表'!Al"&amp;$G$1)</f>
        <v>0</v>
      </c>
      <c r="N23" s="3213"/>
      <c r="O23" s="3213"/>
      <c r="P23" s="3213"/>
      <c r="Q23" s="3213"/>
      <c r="R23" s="3213"/>
      <c r="S23" s="3213"/>
      <c r="T23" s="3213"/>
      <c r="U23" s="3213"/>
      <c r="V23" s="3213"/>
      <c r="W23" s="3213"/>
      <c r="X23" s="3213"/>
      <c r="Y23" s="3213"/>
      <c r="Z23" s="3213"/>
      <c r="AA23" s="3213"/>
      <c r="AB23" s="3213"/>
      <c r="AC23" s="3213"/>
      <c r="AD23" s="3213"/>
      <c r="AE23" s="3213"/>
      <c r="AF23" s="3213"/>
      <c r="AG23" s="3213"/>
      <c r="AH23" s="3213"/>
      <c r="AI23" s="3213"/>
      <c r="AJ23" s="3213"/>
      <c r="AK23" s="3213"/>
    </row>
    <row r="24" spans="1:37" s="3214" customFormat="1" ht="18" customHeight="1" thickBot="1">
      <c r="A24" s="3202" t="s">
        <v>1036</v>
      </c>
      <c r="B24" s="3167" t="s">
        <v>1459</v>
      </c>
      <c r="C24" s="2407">
        <f ca="1">ROUND(IF('数据-取费表'!B22&lt;=1,F21*F24*F23/2,F21*(POWER((1+F24),F23/2)-1)),4)</f>
        <v>1.4E-3</v>
      </c>
      <c r="D24" s="3225" t="str">
        <f>IF(F23&lt;=1,"销售费用×利率×(建设周期÷2)","销售费用×((1+利率)^(建设周期÷2)-1)")</f>
        <v>销售费用×((1+利率)^(建设周期÷2)-1)</v>
      </c>
      <c r="E24" s="3167" t="s">
        <v>1460</v>
      </c>
      <c r="F24" s="2594">
        <f ca="1">'数据-取费表'!B40</f>
        <v>4.7500000000000001E-2</v>
      </c>
      <c r="G24" s="3208"/>
      <c r="H24" s="3209" t="s">
        <v>1393</v>
      </c>
      <c r="I24" s="3189" t="s">
        <v>1441</v>
      </c>
      <c r="J24" s="3226">
        <f ca="1">ROUND(J5*M24,1)</f>
        <v>0</v>
      </c>
      <c r="K24" s="3227" t="s">
        <v>1461</v>
      </c>
      <c r="L24" s="3189" t="s">
        <v>1424</v>
      </c>
      <c r="M24" s="3190">
        <f ca="1">INDIRECT("'数据-取费表'!Am"&amp;$G$1)</f>
        <v>0</v>
      </c>
      <c r="N24" s="3213"/>
      <c r="O24" s="3213"/>
      <c r="P24" s="3213"/>
      <c r="Q24" s="3213"/>
      <c r="R24" s="3213"/>
      <c r="S24" s="3213"/>
      <c r="T24" s="3213"/>
      <c r="U24" s="3213"/>
      <c r="V24" s="3213"/>
      <c r="W24" s="3213"/>
      <c r="X24" s="3213"/>
      <c r="Y24" s="3213"/>
      <c r="Z24" s="3213"/>
      <c r="AA24" s="3213"/>
      <c r="AB24" s="3213"/>
      <c r="AC24" s="3213"/>
      <c r="AD24" s="3213"/>
      <c r="AE24" s="3213"/>
      <c r="AF24" s="3213"/>
      <c r="AG24" s="3213"/>
      <c r="AH24" s="3213"/>
      <c r="AI24" s="3213"/>
      <c r="AJ24" s="3213"/>
      <c r="AK24" s="3213"/>
    </row>
    <row r="25" spans="1:37" ht="24" customHeight="1" thickTop="1">
      <c r="A25" s="3202" t="s">
        <v>1462</v>
      </c>
      <c r="B25" s="3167" t="s">
        <v>1463</v>
      </c>
      <c r="C25" s="2407"/>
      <c r="D25" s="2505" t="s">
        <v>1464</v>
      </c>
      <c r="E25" s="3218"/>
      <c r="F25" s="3216"/>
      <c r="G25" s="3158"/>
      <c r="H25" s="3193" t="s">
        <v>1031</v>
      </c>
      <c r="I25" s="3228" t="s">
        <v>1465</v>
      </c>
      <c r="J25" s="3195">
        <f ca="1">J5-J16</f>
        <v>-1</v>
      </c>
      <c r="K25" s="3229" t="s">
        <v>1466</v>
      </c>
      <c r="L25" s="3230"/>
      <c r="M25" s="3231"/>
    </row>
    <row r="26" spans="1:37">
      <c r="A26" s="3202" t="s">
        <v>1034</v>
      </c>
      <c r="B26" s="3167" t="s">
        <v>1467</v>
      </c>
      <c r="C26" s="2407">
        <f ca="1">ROUND((C19+C20)*F26,0)</f>
        <v>0</v>
      </c>
      <c r="D26" s="3220" t="s">
        <v>1468</v>
      </c>
      <c r="E26" s="3174" t="s">
        <v>1469</v>
      </c>
      <c r="F26" s="2726">
        <f ca="1">INDIRECT("'数据-取费表'!q"&amp;$G$1)</f>
        <v>0</v>
      </c>
      <c r="G26" s="3158"/>
      <c r="H26" s="3159" t="s">
        <v>1032</v>
      </c>
      <c r="I26" s="3160" t="s">
        <v>1470</v>
      </c>
      <c r="J26" s="3168">
        <f ca="1">IF(J5&lt;&gt;0,ROUND(J25*(1-((1+M28)/(1+M26))^M27)/(M26-M28),0),0)</f>
        <v>0</v>
      </c>
      <c r="K26" s="3222" t="s">
        <v>1471</v>
      </c>
      <c r="L26" s="3167" t="s">
        <v>1472</v>
      </c>
      <c r="M26" s="2726">
        <f ca="1">INDIRECT("'数据-取费表'!I"&amp;$G$1)</f>
        <v>0</v>
      </c>
    </row>
    <row r="27" spans="1:37" ht="18" customHeight="1">
      <c r="A27" s="3202" t="s">
        <v>1036</v>
      </c>
      <c r="B27" s="3167" t="s">
        <v>1473</v>
      </c>
      <c r="C27" s="2407">
        <f ca="1">ROUND(F21*F26,4)</f>
        <v>0</v>
      </c>
      <c r="D27" s="3220" t="s">
        <v>1474</v>
      </c>
      <c r="E27" s="3206"/>
      <c r="F27" s="3207"/>
      <c r="G27" s="3158"/>
      <c r="H27" s="3172"/>
      <c r="I27" s="3232"/>
      <c r="J27" s="3173"/>
      <c r="K27" s="3233" t="s">
        <v>1475</v>
      </c>
      <c r="L27" s="3167" t="s">
        <v>1476</v>
      </c>
      <c r="M27" s="2726">
        <f ca="1">INDIRECT("'数据-取费表'!ag"&amp;$G$1)</f>
        <v>0</v>
      </c>
    </row>
    <row r="28" spans="1:37" s="3214" customFormat="1" ht="18" customHeight="1">
      <c r="A28" s="3202" t="s">
        <v>1037</v>
      </c>
      <c r="B28" s="3167" t="s">
        <v>1477</v>
      </c>
      <c r="C28" s="2407">
        <f>ROUND(F28/(1+'数据-取费表'!C42),4)</f>
        <v>5.33E-2</v>
      </c>
      <c r="D28" s="3220" t="s">
        <v>1478</v>
      </c>
      <c r="E28" s="3167" t="s">
        <v>1424</v>
      </c>
      <c r="F28" s="2594">
        <f>'数据-取费表'!B41</f>
        <v>5.6000000000000001E-2</v>
      </c>
      <c r="G28" s="3208"/>
      <c r="H28" s="3179"/>
      <c r="I28" s="3234"/>
      <c r="J28" s="3195"/>
      <c r="K28" s="2209"/>
      <c r="L28" s="3167" t="s">
        <v>1479</v>
      </c>
      <c r="M28" s="2726">
        <f ca="1">INDIRECT("'数据-取费表'!aa"&amp;$G$1)</f>
        <v>0</v>
      </c>
      <c r="N28" s="3213"/>
      <c r="O28" s="3213"/>
      <c r="P28" s="3213"/>
      <c r="Q28" s="3213"/>
      <c r="R28" s="3213"/>
      <c r="S28" s="3213"/>
      <c r="T28" s="3213"/>
      <c r="U28" s="3213"/>
      <c r="V28" s="3213"/>
      <c r="W28" s="3213"/>
      <c r="X28" s="3213"/>
      <c r="Y28" s="3213"/>
      <c r="Z28" s="3213"/>
      <c r="AA28" s="3213"/>
      <c r="AB28" s="3213"/>
      <c r="AC28" s="3213"/>
      <c r="AD28" s="3213"/>
      <c r="AE28" s="3213"/>
      <c r="AF28" s="3213"/>
      <c r="AG28" s="3213"/>
      <c r="AH28" s="3213"/>
      <c r="AI28" s="3213"/>
      <c r="AJ28" s="3213"/>
      <c r="AK28" s="3213"/>
    </row>
    <row r="29" spans="1:37" s="3214" customFormat="1" ht="18" customHeight="1" thickBot="1">
      <c r="A29" s="3209" t="s">
        <v>1038</v>
      </c>
      <c r="B29" s="3189" t="s">
        <v>1480</v>
      </c>
      <c r="C29" s="3226">
        <f ca="1">ROUND((C19+C20+C23+C26)/(1-F21-C24-C27-C28),0)</f>
        <v>25</v>
      </c>
      <c r="D29" s="3227"/>
      <c r="E29" s="3189"/>
      <c r="F29" s="3235"/>
      <c r="G29" s="3208"/>
      <c r="H29" s="3236" t="s">
        <v>1033</v>
      </c>
      <c r="I29" s="3237" t="s">
        <v>1481</v>
      </c>
      <c r="J29" s="3238">
        <f ca="1">ROUND(J26/(1+F40)^F41,0)</f>
        <v>0</v>
      </c>
      <c r="K29" s="3239" t="s">
        <v>1482</v>
      </c>
      <c r="L29" s="3240"/>
      <c r="M29" s="3241">
        <f ca="1">INDIRECT("'数据-取费表'!k"&amp;$G$1)</f>
        <v>1041.3799999999999</v>
      </c>
      <c r="N29" s="3213"/>
      <c r="O29" s="3213"/>
      <c r="P29" s="3213"/>
      <c r="Q29" s="3213"/>
      <c r="R29" s="3213"/>
      <c r="S29" s="3213"/>
      <c r="T29" s="3213"/>
      <c r="U29" s="3213"/>
      <c r="V29" s="3213"/>
      <c r="W29" s="3213"/>
      <c r="X29" s="3213"/>
      <c r="Y29" s="3213"/>
      <c r="Z29" s="3213"/>
      <c r="AA29" s="3213"/>
      <c r="AB29" s="3213"/>
      <c r="AC29" s="3213"/>
      <c r="AD29" s="3213"/>
      <c r="AE29" s="3213"/>
      <c r="AF29" s="3213"/>
      <c r="AG29" s="3213"/>
      <c r="AH29" s="3213"/>
      <c r="AI29" s="3213"/>
      <c r="AJ29" s="3213"/>
      <c r="AK29" s="3213"/>
    </row>
    <row r="30" spans="1:37" ht="18" customHeight="1" thickTop="1">
      <c r="A30" s="3193" t="s">
        <v>1030</v>
      </c>
      <c r="B30" s="3194" t="s">
        <v>1426</v>
      </c>
      <c r="C30" s="3195">
        <f ca="1">ROUND(C31+C36+C37+C38,0)</f>
        <v>1</v>
      </c>
      <c r="D30" s="3199" t="s">
        <v>1427</v>
      </c>
      <c r="E30" s="3215"/>
      <c r="F30" s="3164"/>
      <c r="G30" s="3158"/>
      <c r="H30" s="3242"/>
      <c r="I30" s="3242"/>
      <c r="J30" s="3243"/>
      <c r="K30" s="2218"/>
      <c r="L30" s="3244"/>
      <c r="M30" s="3243"/>
    </row>
    <row r="31" spans="1:37" ht="18" customHeight="1">
      <c r="A31" s="3202" t="s">
        <v>1035</v>
      </c>
      <c r="B31" s="3167" t="s">
        <v>1431</v>
      </c>
      <c r="C31" s="2407">
        <f ca="1">ROUND(IF(项目基本情况!B11="自然人",C5*F31,C32+C33+C34),1)</f>
        <v>0.5</v>
      </c>
      <c r="D31" s="2678" t="s">
        <v>1432</v>
      </c>
      <c r="E31" s="2595" t="s">
        <v>1483</v>
      </c>
      <c r="F31" s="3217" t="str">
        <f ca="1">IF(项目基本情况!B11="企业","",IF(INDIRECT("'数据-取费表'!c"&amp;$G$1)="住宅",5%,IF(F6*F7*F8/12/(1+'数据-取费表'!C42)&gt;20000,12%,7%)))</f>
        <v/>
      </c>
      <c r="G31" s="3158"/>
      <c r="H31" s="3242"/>
      <c r="I31" s="3242"/>
      <c r="J31" s="3243"/>
      <c r="K31" s="2218"/>
      <c r="L31" s="3244"/>
      <c r="M31" s="3243"/>
    </row>
    <row r="32" spans="1:37" ht="18" customHeight="1">
      <c r="A32" s="3202" t="s">
        <v>1034</v>
      </c>
      <c r="B32" s="3167" t="s">
        <v>1435</v>
      </c>
      <c r="C32" s="2407">
        <f ca="1">IF(项目基本情况!B11="自然人","——",ROUND(C5*F32/(1+'数据-取费表'!C42),2))</f>
        <v>0</v>
      </c>
      <c r="D32" s="2595" t="s">
        <v>1436</v>
      </c>
      <c r="E32" s="3167" t="s">
        <v>1424</v>
      </c>
      <c r="F32" s="2594">
        <f>'数据-取费表'!B41</f>
        <v>5.6000000000000001E-2</v>
      </c>
      <c r="G32" s="3158"/>
      <c r="H32" s="3242"/>
      <c r="I32" s="3242"/>
      <c r="J32" s="3243"/>
      <c r="K32" s="2218"/>
      <c r="L32" s="3244"/>
      <c r="M32" s="3243"/>
    </row>
    <row r="33" spans="1:18" ht="18" customHeight="1">
      <c r="A33" s="3202" t="s">
        <v>1036</v>
      </c>
      <c r="B33" s="3167" t="s">
        <v>1439</v>
      </c>
      <c r="C33" s="2407">
        <f ca="1">IF(项目基本情况!B11="自然人","——",IF(D33="按租金收入计税",ROUND(C5*F33,2),IF(D33="按房产原值计税",ROUND(C29*F33*0.7,2),INDIRECT("'数据-取费表'!Aj"&amp;$G$1))))</f>
        <v>0.21</v>
      </c>
      <c r="D33" s="3219" t="s">
        <v>1440</v>
      </c>
      <c r="E33" s="3167" t="s">
        <v>1424</v>
      </c>
      <c r="F33" s="2594">
        <f>IF(D33="按票据","——",IF(D33="按租金收入计税",'数据-取费表'!B51,'数据-取费表'!B50))</f>
        <v>1.2E-2</v>
      </c>
      <c r="G33" s="3158"/>
      <c r="H33" s="3245"/>
      <c r="I33" s="3246"/>
      <c r="J33" s="3247"/>
      <c r="K33" s="3248"/>
      <c r="L33" s="3245"/>
      <c r="M33" s="3245"/>
    </row>
    <row r="34" spans="1:18" ht="18" customHeight="1">
      <c r="A34" s="3165" t="s">
        <v>1390</v>
      </c>
      <c r="B34" s="2584" t="s">
        <v>1443</v>
      </c>
      <c r="C34" s="3221">
        <f ca="1">IF(项目基本情况!B11="自然人","——",ROUND(F34*F35/10000,2))</f>
        <v>0.25</v>
      </c>
      <c r="D34" s="3222" t="s">
        <v>1444</v>
      </c>
      <c r="E34" s="3167" t="s">
        <v>1445</v>
      </c>
      <c r="F34" s="2594">
        <f>'数据-取费表'!B52</f>
        <v>8</v>
      </c>
      <c r="G34" s="3158"/>
      <c r="H34" s="3242"/>
      <c r="I34" s="3246"/>
      <c r="J34" s="3247"/>
      <c r="K34" s="3249"/>
      <c r="L34" s="3250"/>
      <c r="M34" s="3250"/>
    </row>
    <row r="35" spans="1:18" ht="18" customHeight="1">
      <c r="A35" s="3251"/>
      <c r="B35" s="3251"/>
      <c r="C35" s="2596"/>
      <c r="D35" s="2209"/>
      <c r="E35" s="3167" t="s">
        <v>1449</v>
      </c>
      <c r="F35" s="2726">
        <f ca="1">INDIRECT("'数据-取费表'!r"&amp;$G$1)</f>
        <v>308.72000000000003</v>
      </c>
      <c r="G35" s="3158"/>
      <c r="H35" s="3242"/>
      <c r="I35" s="3246"/>
      <c r="J35" s="3247"/>
      <c r="K35" s="3248"/>
      <c r="L35" s="3245"/>
      <c r="M35" s="3245"/>
    </row>
    <row r="36" spans="1:18" ht="18" customHeight="1">
      <c r="A36" s="3252" t="s">
        <v>1039</v>
      </c>
      <c r="B36" s="3167" t="s">
        <v>1451</v>
      </c>
      <c r="C36" s="2407">
        <f ca="1">ROUND(C29*F36,1)</f>
        <v>0</v>
      </c>
      <c r="D36" s="2595" t="s">
        <v>1484</v>
      </c>
      <c r="E36" s="3167" t="s">
        <v>1424</v>
      </c>
      <c r="F36" s="2726">
        <f ca="1">INDIRECT("'数据-取费表'!Ak"&amp;$G$1)</f>
        <v>0</v>
      </c>
      <c r="G36" s="3158"/>
      <c r="H36" s="3245"/>
      <c r="I36" s="3246"/>
      <c r="J36" s="3247"/>
      <c r="K36" s="3253"/>
      <c r="L36" s="3245"/>
      <c r="M36" s="3245"/>
    </row>
    <row r="37" spans="1:18" ht="18" customHeight="1">
      <c r="A37" s="3202" t="s">
        <v>1075</v>
      </c>
      <c r="B37" s="3167" t="s">
        <v>1455</v>
      </c>
      <c r="C37" s="2407">
        <f ca="1">ROUND(C13*F37,1)</f>
        <v>0</v>
      </c>
      <c r="D37" s="2595" t="s">
        <v>1456</v>
      </c>
      <c r="E37" s="3167" t="s">
        <v>1424</v>
      </c>
      <c r="F37" s="2726">
        <f ca="1">INDIRECT("'数据-取费表'!Al"&amp;$G$1)</f>
        <v>0</v>
      </c>
      <c r="G37" s="3158"/>
      <c r="H37" s="3245"/>
      <c r="I37" s="3246"/>
      <c r="J37" s="3247"/>
      <c r="K37" s="3253"/>
      <c r="L37" s="3245"/>
      <c r="M37" s="3245"/>
    </row>
    <row r="38" spans="1:18" ht="18" customHeight="1" thickBot="1">
      <c r="A38" s="3209" t="s">
        <v>1393</v>
      </c>
      <c r="B38" s="3189" t="s">
        <v>1441</v>
      </c>
      <c r="C38" s="3226">
        <f ca="1">ROUND(C5*F38,1)</f>
        <v>0</v>
      </c>
      <c r="D38" s="3227" t="s">
        <v>1461</v>
      </c>
      <c r="E38" s="3189" t="s">
        <v>1424</v>
      </c>
      <c r="F38" s="3190">
        <f ca="1">INDIRECT("'数据-取费表'!Am"&amp;$G$1)</f>
        <v>0</v>
      </c>
      <c r="G38" s="3158"/>
      <c r="H38" s="3245"/>
      <c r="I38" s="3246"/>
      <c r="J38" s="3247"/>
      <c r="K38" s="3254"/>
      <c r="L38" s="3245"/>
      <c r="M38" s="3245"/>
    </row>
    <row r="39" spans="1:18" ht="24.6" customHeight="1" thickTop="1">
      <c r="A39" s="3193" t="s">
        <v>1031</v>
      </c>
      <c r="B39" s="3228" t="s">
        <v>1465</v>
      </c>
      <c r="C39" s="3195">
        <f ca="1">C5-C30</f>
        <v>-1</v>
      </c>
      <c r="D39" s="3229" t="s">
        <v>1466</v>
      </c>
      <c r="E39" s="3230"/>
      <c r="F39" s="3231"/>
      <c r="G39" s="3158"/>
      <c r="H39" s="3245"/>
      <c r="I39" s="3246"/>
      <c r="J39" s="3247"/>
      <c r="K39" s="3254"/>
      <c r="L39" s="3245"/>
      <c r="M39" s="3245"/>
    </row>
    <row r="40" spans="1:18" ht="18" customHeight="1">
      <c r="A40" s="3159" t="s">
        <v>1032</v>
      </c>
      <c r="B40" s="3160" t="s">
        <v>1487</v>
      </c>
      <c r="C40" s="3168" t="e">
        <f ca="1">ROUND(C39*(1-((1+F42)/(1+F40))^F41)/(F40-F42),0)</f>
        <v>#DIV/0!</v>
      </c>
      <c r="D40" s="3222" t="s">
        <v>1471</v>
      </c>
      <c r="E40" s="3167" t="s">
        <v>1472</v>
      </c>
      <c r="F40" s="2726">
        <f ca="1">INDIRECT("'数据-取费表'!I"&amp;$G$1)</f>
        <v>0</v>
      </c>
      <c r="G40" s="3158"/>
      <c r="H40" s="3255"/>
      <c r="I40" s="3246"/>
      <c r="J40" s="3247"/>
      <c r="K40" s="3254"/>
      <c r="L40" s="3255"/>
      <c r="M40" s="3255"/>
    </row>
    <row r="41" spans="1:18" ht="18" customHeight="1">
      <c r="A41" s="3172"/>
      <c r="B41" s="3232"/>
      <c r="C41" s="3173"/>
      <c r="D41" s="3233" t="s">
        <v>1488</v>
      </c>
      <c r="E41" s="3167" t="s">
        <v>1476</v>
      </c>
      <c r="F41" s="2726">
        <f ca="1">IF(INDIRECT("'数据-取费表'!af"&amp;$G$1)=0,INDIRECT("'数据-取费表'!ae"&amp;$G$1),INDIRECT("'数据-取费表'!af"&amp;$G$1))</f>
        <v>0</v>
      </c>
      <c r="G41" s="3158"/>
      <c r="H41" s="2367"/>
      <c r="I41" s="3246"/>
      <c r="J41" s="3247"/>
      <c r="K41" s="3253"/>
      <c r="L41" s="2367"/>
      <c r="M41" s="2367"/>
    </row>
    <row r="42" spans="1:18" ht="18" customHeight="1">
      <c r="A42" s="3179"/>
      <c r="B42" s="3234"/>
      <c r="C42" s="3195"/>
      <c r="D42" s="2209"/>
      <c r="E42" s="3167" t="s">
        <v>1479</v>
      </c>
      <c r="F42" s="2726">
        <f ca="1">INDIRECT("'数据-取费表'!v"&amp;$G$1)</f>
        <v>0</v>
      </c>
      <c r="G42" s="3158"/>
      <c r="H42" s="2367"/>
      <c r="I42" s="3246"/>
      <c r="J42" s="3247"/>
      <c r="K42" s="3253"/>
      <c r="L42" s="2367"/>
      <c r="M42" s="2367"/>
    </row>
    <row r="43" spans="1:18" ht="18" customHeight="1" thickBot="1">
      <c r="A43" s="3236" t="s">
        <v>1033</v>
      </c>
      <c r="B43" s="3237" t="s">
        <v>1489</v>
      </c>
      <c r="C43" s="3238" t="e">
        <f ca="1">ROUND(C40*10000/F43,0)</f>
        <v>#DIV/0!</v>
      </c>
      <c r="D43" s="3239" t="s">
        <v>1490</v>
      </c>
      <c r="E43" s="3240" t="s">
        <v>1491</v>
      </c>
      <c r="F43" s="3241">
        <f ca="1">INDIRECT("'数据-取费表'!k"&amp;$G$1)</f>
        <v>1041.3799999999999</v>
      </c>
      <c r="G43" s="3158"/>
      <c r="H43" s="2367"/>
      <c r="I43" s="2367"/>
      <c r="J43" s="2367"/>
      <c r="K43" s="3253"/>
      <c r="L43" s="2367"/>
      <c r="M43" s="2367"/>
    </row>
    <row r="44" spans="1:18" s="3149" customFormat="1" ht="18" customHeight="1">
      <c r="A44" s="3256"/>
      <c r="B44" s="3256"/>
      <c r="C44" s="3257"/>
      <c r="D44" s="3256"/>
      <c r="E44" s="3256"/>
      <c r="F44" s="3256"/>
      <c r="K44" s="3258"/>
    </row>
    <row r="45" spans="1:18" s="3149" customFormat="1" ht="18" customHeight="1" thickBot="1">
      <c r="A45" s="3256"/>
      <c r="B45" s="3256"/>
      <c r="C45" s="3257"/>
      <c r="D45" s="3256"/>
      <c r="E45" s="3256"/>
      <c r="F45" s="3256"/>
      <c r="J45" s="3014"/>
      <c r="O45" s="3259" t="s">
        <v>1521</v>
      </c>
      <c r="P45" s="3255"/>
      <c r="Q45" s="3255"/>
      <c r="R45" s="3255"/>
    </row>
    <row r="46" spans="1:18" s="3149" customFormat="1" ht="13.5" thickBot="1">
      <c r="A46" s="3260" t="s">
        <v>1522</v>
      </c>
      <c r="C46" s="3261" t="e">
        <f ca="1">C68-C40</f>
        <v>#DIV/0!</v>
      </c>
      <c r="D46" s="3262" t="str">
        <f>C2</f>
        <v>万元</v>
      </c>
      <c r="E46" s="3256"/>
      <c r="F46" s="3256"/>
      <c r="I46" s="3263" t="s">
        <v>1523</v>
      </c>
      <c r="J46" s="3264"/>
      <c r="K46" s="3265"/>
      <c r="L46" s="3266">
        <f ca="1">IF(M47="住宅",0,IF(L48&gt;J51,L60,J60))</f>
        <v>0</v>
      </c>
      <c r="O46" s="3267" t="s">
        <v>1524</v>
      </c>
      <c r="P46" s="3268" t="s">
        <v>1525</v>
      </c>
      <c r="Q46" s="3269" t="s">
        <v>1526</v>
      </c>
      <c r="R46" s="3269" t="s">
        <v>1527</v>
      </c>
    </row>
    <row r="47" spans="1:18" s="3149" customFormat="1" ht="13.5" thickBot="1">
      <c r="A47" s="3270" t="s">
        <v>1397</v>
      </c>
      <c r="B47" s="3271" t="s">
        <v>1398</v>
      </c>
      <c r="C47" s="3272" t="s">
        <v>1399</v>
      </c>
      <c r="D47" s="3271" t="s">
        <v>1400</v>
      </c>
      <c r="E47" s="3273" t="s">
        <v>1401</v>
      </c>
      <c r="F47" s="3092"/>
      <c r="G47" s="3274"/>
      <c r="I47" s="3275" t="s">
        <v>1528</v>
      </c>
      <c r="J47" s="3276" t="s">
        <v>3093</v>
      </c>
      <c r="K47" s="3277" t="s">
        <v>1529</v>
      </c>
      <c r="L47" s="3278">
        <f ca="1">INDIRECT("'数据-取费表'!d"&amp;$G$1)</f>
        <v>40</v>
      </c>
      <c r="M47" s="3279" t="str">
        <f>IF(ISNUMBER(FIND("住宅",C1)),"住宅","非住宅")</f>
        <v>非住宅</v>
      </c>
      <c r="O47" s="3280" t="s">
        <v>1040</v>
      </c>
      <c r="P47" s="3281" t="s">
        <v>1530</v>
      </c>
      <c r="Q47" s="3282" t="e">
        <f ca="1">C40+J29</f>
        <v>#DIV/0!</v>
      </c>
      <c r="R47" s="3282" t="s">
        <v>1531</v>
      </c>
    </row>
    <row r="48" spans="1:18" s="3149" customFormat="1" ht="28.5" thickBot="1">
      <c r="A48" s="3283" t="s">
        <v>1135</v>
      </c>
      <c r="B48" s="3160" t="s">
        <v>1402</v>
      </c>
      <c r="C48" s="2614">
        <f ca="1">C49+C53+C55</f>
        <v>0</v>
      </c>
      <c r="D48" s="3284"/>
      <c r="E48" s="3285"/>
      <c r="F48" s="3286"/>
      <c r="G48" s="3274"/>
      <c r="H48" s="3287"/>
      <c r="I48" s="3288" t="s">
        <v>1532</v>
      </c>
      <c r="J48" s="3289" t="s">
        <v>7099</v>
      </c>
      <c r="K48" s="3290" t="s">
        <v>1533</v>
      </c>
      <c r="L48" s="3291">
        <f ca="1">INDIRECT("'数据-取费表'!f"&amp;$G$1)</f>
        <v>35.47</v>
      </c>
      <c r="O48" s="3280" t="s">
        <v>1041</v>
      </c>
      <c r="P48" s="3281" t="s">
        <v>1534</v>
      </c>
      <c r="Q48" s="3282">
        <f ca="1">J60</f>
        <v>0</v>
      </c>
      <c r="R48" s="3282" t="s">
        <v>1535</v>
      </c>
    </row>
    <row r="49" spans="1:18" s="3149" customFormat="1" ht="13.5" thickBot="1">
      <c r="A49" s="3292" t="s">
        <v>1136</v>
      </c>
      <c r="B49" s="3293" t="s">
        <v>1492</v>
      </c>
      <c r="C49" s="3294">
        <f ca="1">ROUND(F49*F51*F50*(1-F52)/10000,0)</f>
        <v>0</v>
      </c>
      <c r="D49" s="3295" t="s">
        <v>3042</v>
      </c>
      <c r="E49" s="3296" t="s">
        <v>1493</v>
      </c>
      <c r="F49" s="3297"/>
      <c r="G49" s="3298"/>
      <c r="H49" s="3287"/>
      <c r="I49" s="3288" t="s">
        <v>1536</v>
      </c>
      <c r="J49" s="3299">
        <v>2016</v>
      </c>
      <c r="K49" s="3290" t="s">
        <v>1537</v>
      </c>
      <c r="L49" s="3300"/>
      <c r="O49" s="3301" t="s">
        <v>1042</v>
      </c>
      <c r="P49" s="3281" t="s">
        <v>1538</v>
      </c>
      <c r="Q49" s="3282">
        <f ca="1">C29</f>
        <v>25</v>
      </c>
      <c r="R49" s="3282" t="s">
        <v>1531</v>
      </c>
    </row>
    <row r="50" spans="1:18" s="3149" customFormat="1" ht="13.5" thickBot="1">
      <c r="A50" s="3302"/>
      <c r="B50" s="3034"/>
      <c r="C50" s="3303"/>
      <c r="D50" s="3304"/>
      <c r="E50" s="3305" t="s">
        <v>1407</v>
      </c>
      <c r="F50" s="3306">
        <f ca="1">F7</f>
        <v>1041.3799999999999</v>
      </c>
      <c r="H50" s="3287"/>
      <c r="I50" s="3288" t="s">
        <v>1539</v>
      </c>
      <c r="J50" s="3307">
        <f>SUMPRODUCT((I63:I65=J47)*(J62:L62=J48)*(J63:L65))</f>
        <v>60</v>
      </c>
      <c r="K50" s="3290" t="s">
        <v>1540</v>
      </c>
      <c r="L50" s="3300"/>
      <c r="M50" s="3308"/>
      <c r="O50" s="3301" t="s">
        <v>1043</v>
      </c>
      <c r="P50" s="3281" t="s">
        <v>1541</v>
      </c>
      <c r="Q50" s="3282">
        <f ca="1">J58</f>
        <v>0.4</v>
      </c>
      <c r="R50" s="3282"/>
    </row>
    <row r="51" spans="1:18" s="3149" customFormat="1" ht="13.5" thickBot="1">
      <c r="A51" s="3309"/>
      <c r="B51" s="3034"/>
      <c r="C51" s="3310"/>
      <c r="D51" s="3304"/>
      <c r="E51" s="3311" t="s">
        <v>1408</v>
      </c>
      <c r="F51" s="2726">
        <f ca="1">F8</f>
        <v>365</v>
      </c>
      <c r="I51" s="3312" t="s">
        <v>1542</v>
      </c>
      <c r="J51" s="3291">
        <f>IF(J49="",J50,J49+J50-YEAR('数据-取费表'!B2))</f>
        <v>59</v>
      </c>
      <c r="K51" s="3313" t="s">
        <v>1543</v>
      </c>
      <c r="L51" s="3291">
        <f ca="1">ROUND(-PV(INDIRECT("'数据-取费表'!h"&amp;$G$1),L48,(C39-C13*C76),0),0)</f>
        <v>-35</v>
      </c>
      <c r="M51" s="3314"/>
      <c r="O51" s="3301" t="s">
        <v>1044</v>
      </c>
      <c r="P51" s="3281" t="s">
        <v>1544</v>
      </c>
      <c r="Q51" s="3282">
        <f>J52</f>
        <v>0.09</v>
      </c>
      <c r="R51" s="3282"/>
    </row>
    <row r="52" spans="1:18" s="3149" customFormat="1" ht="13.5" thickBot="1">
      <c r="A52" s="3309"/>
      <c r="B52" s="3034"/>
      <c r="C52" s="3310"/>
      <c r="D52" s="3304"/>
      <c r="E52" s="3311" t="s">
        <v>1409</v>
      </c>
      <c r="F52" s="3315"/>
      <c r="I52" s="3316" t="s">
        <v>1545</v>
      </c>
      <c r="J52" s="3317">
        <v>0.09</v>
      </c>
      <c r="K52" s="3316" t="s">
        <v>1546</v>
      </c>
      <c r="L52" s="3317"/>
      <c r="O52" s="3301" t="s">
        <v>1045</v>
      </c>
      <c r="P52" s="3281" t="s">
        <v>1547</v>
      </c>
      <c r="Q52" s="3282">
        <f ca="1">J53</f>
        <v>35.47</v>
      </c>
      <c r="R52" s="3282" t="s">
        <v>1548</v>
      </c>
    </row>
    <row r="53" spans="1:18" s="3149" customFormat="1" ht="24.75" thickBot="1">
      <c r="A53" s="3318" t="s">
        <v>1137</v>
      </c>
      <c r="B53" s="2507" t="s">
        <v>1410</v>
      </c>
      <c r="C53" s="3098">
        <f ca="1">ROUND(IF(F53="押一",F49*F51*F50/12*F11,IF(F53="押二",F49*F51*F50/12*2*F11,IF(F53="押三",F49*F51*F50/12*3*F11,C54*F11)))/10000,0)</f>
        <v>0</v>
      </c>
      <c r="D53" s="3177" t="s">
        <v>3040</v>
      </c>
      <c r="E53" s="3174" t="s">
        <v>1412</v>
      </c>
      <c r="F53" s="3178"/>
      <c r="I53" s="3319" t="s">
        <v>1549</v>
      </c>
      <c r="J53" s="3320">
        <f ca="1">IF(M47="住宅",J51,IF(D1="——",MIN(J51,L48),IF(D1="在建（套用方法）",MIN(J51,L48-'数据-取费表'!B24),IF(D1="土地（套用方法）",MIN(J51,L48-'数据-取费表'!B20)))))</f>
        <v>35.47</v>
      </c>
      <c r="K53" s="3950" t="s">
        <v>1550</v>
      </c>
      <c r="L53" s="3951"/>
      <c r="O53" s="3280" t="s">
        <v>1046</v>
      </c>
      <c r="P53" s="3281" t="s">
        <v>1551</v>
      </c>
      <c r="Q53" s="3282" t="e">
        <f ca="1">Q47+Q48</f>
        <v>#DIV/0!</v>
      </c>
      <c r="R53" s="3282" t="s">
        <v>1047</v>
      </c>
    </row>
    <row r="54" spans="1:18" s="3149" customFormat="1" ht="13.5" thickBot="1">
      <c r="A54" s="3321"/>
      <c r="B54" s="3180" t="s">
        <v>1389</v>
      </c>
      <c r="C54" s="3181"/>
      <c r="D54" s="3177"/>
      <c r="E54" s="3322"/>
      <c r="F54" s="3323"/>
      <c r="I54" s="332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3325"/>
      <c r="K54" s="3325"/>
      <c r="L54" s="3325"/>
      <c r="M54" s="3298"/>
      <c r="O54" s="3259" t="s">
        <v>1552</v>
      </c>
      <c r="P54" s="3255"/>
      <c r="Q54" s="3255"/>
      <c r="R54" s="3255"/>
    </row>
    <row r="55" spans="1:18" s="3149" customFormat="1" ht="13.5" thickBot="1">
      <c r="A55" s="3185" t="s">
        <v>1075</v>
      </c>
      <c r="B55" s="3186" t="s">
        <v>1415</v>
      </c>
      <c r="C55" s="3187"/>
      <c r="D55" s="3177"/>
      <c r="E55" s="3322"/>
      <c r="F55" s="3323"/>
      <c r="I55" s="3326" t="s">
        <v>1553</v>
      </c>
      <c r="J55" s="3327">
        <f ca="1">ROUND(IF(J47="钢混",J57/J50,1-(1-2%)*(J50-J57)/J50),3)</f>
        <v>0.39200000000000002</v>
      </c>
      <c r="K55" s="3328" t="s">
        <v>1554</v>
      </c>
      <c r="L55" s="3329" t="s">
        <v>1555</v>
      </c>
      <c r="O55" s="3267" t="s">
        <v>1524</v>
      </c>
      <c r="P55" s="3268" t="s">
        <v>1525</v>
      </c>
      <c r="Q55" s="3269" t="s">
        <v>1526</v>
      </c>
      <c r="R55" s="3269" t="s">
        <v>1527</v>
      </c>
    </row>
    <row r="56" spans="1:18" s="3149" customFormat="1" ht="25.5" thickTop="1" thickBot="1">
      <c r="A56" s="3330">
        <v>2</v>
      </c>
      <c r="B56" s="3331" t="s">
        <v>1416</v>
      </c>
      <c r="C56" s="3332">
        <f ca="1">C13</f>
        <v>0</v>
      </c>
      <c r="D56" s="3333"/>
      <c r="E56" s="3334"/>
      <c r="F56" s="3323"/>
      <c r="I56" s="3335" t="s">
        <v>1556</v>
      </c>
      <c r="J56" s="3336" t="s">
        <v>7100</v>
      </c>
      <c r="K56" s="3288" t="s">
        <v>1557</v>
      </c>
      <c r="L56" s="3291" t="str">
        <f ca="1">IF(L48&lt;J51,"——",L48-J53)</f>
        <v>——</v>
      </c>
      <c r="O56" s="3280" t="s">
        <v>1040</v>
      </c>
      <c r="P56" s="3281" t="s">
        <v>1530</v>
      </c>
      <c r="Q56" s="3282" t="e">
        <f ca="1">C40+J29</f>
        <v>#DIV/0!</v>
      </c>
      <c r="R56" s="3282" t="s">
        <v>1531</v>
      </c>
    </row>
    <row r="57" spans="1:18" s="3149" customFormat="1" ht="24.75" thickBot="1">
      <c r="A57" s="3337"/>
      <c r="B57" s="3338" t="s">
        <v>1480</v>
      </c>
      <c r="C57" s="3339">
        <f ca="1">C29</f>
        <v>25</v>
      </c>
      <c r="D57" s="3340"/>
      <c r="E57" s="3341"/>
      <c r="F57" s="3342"/>
      <c r="I57" s="3343" t="s">
        <v>1558</v>
      </c>
      <c r="J57" s="3344">
        <f ca="1">IF(OR(M47="住宅",J51&lt;L48,J56="是"),"——",J51-L48)</f>
        <v>23.53</v>
      </c>
      <c r="K57" s="3288" t="s">
        <v>1559</v>
      </c>
      <c r="L57" s="3291" t="str">
        <f ca="1">IF(L48&lt;J51,"——",IF(L55="比较法",L49,IF(L55="基准地价",L50,L51)))</f>
        <v>——</v>
      </c>
      <c r="O57" s="3280" t="s">
        <v>1041</v>
      </c>
      <c r="P57" s="3281" t="s">
        <v>1560</v>
      </c>
      <c r="Q57" s="3282">
        <f ca="1">L60</f>
        <v>0</v>
      </c>
      <c r="R57" s="3282" t="s">
        <v>1561</v>
      </c>
    </row>
    <row r="58" spans="1:18" s="3149" customFormat="1" ht="24.75" thickBot="1">
      <c r="A58" s="3345" t="s">
        <v>1030</v>
      </c>
      <c r="B58" s="3331" t="s">
        <v>1426</v>
      </c>
      <c r="C58" s="3098">
        <f ca="1">ROUND(C59+C64+C65+C66,0)</f>
        <v>1</v>
      </c>
      <c r="D58" s="3346" t="s">
        <v>1427</v>
      </c>
      <c r="E58" s="3347"/>
      <c r="F58" s="3286"/>
      <c r="I58" s="3343" t="s">
        <v>1562</v>
      </c>
      <c r="J58" s="3344">
        <f ca="1">IF(J55&lt;0.4,0.4,J55)</f>
        <v>0.4</v>
      </c>
      <c r="K58" s="3313" t="s">
        <v>1563</v>
      </c>
      <c r="L58" s="3291" t="e">
        <f ca="1">ROUND(POWER(1+L52,L47-L48)*(POWER(1+L52,L48)-1)/(POWER(1+L52,L47)-1),4)</f>
        <v>#DIV/0!</v>
      </c>
      <c r="O58" s="3301" t="s">
        <v>1042</v>
      </c>
      <c r="P58" s="3281" t="s">
        <v>1564</v>
      </c>
      <c r="Q58" s="3282">
        <f>IF(L55="比较法",L49,IF(L55="基准地价",L50,0))</f>
        <v>0</v>
      </c>
      <c r="R58" s="3282" t="s">
        <v>1531</v>
      </c>
    </row>
    <row r="59" spans="1:18" s="3149" customFormat="1" ht="24.75" thickBot="1">
      <c r="A59" s="3202" t="s">
        <v>1035</v>
      </c>
      <c r="B59" s="3338" t="s">
        <v>1431</v>
      </c>
      <c r="C59" s="2407">
        <f ca="1">ROUND(IF(项目基本情况!B11="自然人",C48*F59,C60+C61+C62),1)</f>
        <v>0.5</v>
      </c>
      <c r="D59" s="3348" t="s">
        <v>1432</v>
      </c>
      <c r="E59" s="3349" t="s">
        <v>1433</v>
      </c>
      <c r="F59" s="3217" t="str">
        <f ca="1">IF(项目基本情况!B11="企业","",IF(INDIRECT("'数据-取费表'!c"&amp;$G$1)="住宅",5%,IF(F49*F50*F51/12/(1+'数据-取费表'!C42)&gt;20000,12%,7%)))</f>
        <v/>
      </c>
      <c r="I59" s="3343" t="s">
        <v>1565</v>
      </c>
      <c r="J59" s="3344">
        <f ca="1">IF(OR(M47="住宅",J51&lt;L48,J56="是"),"——",ROUND(C29*J58,0))</f>
        <v>10</v>
      </c>
      <c r="K59" s="328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3291" t="e">
        <f ca="1">ROUND(IF(D1="在建（套用方法）",M59,IF(D1="土地（套用方法）",N59,POWER(1+L52,L47-J51)*(POWER(1+L52,J51)-1)/(POWER(1+L52,L47)-1))),4)</f>
        <v>#DIV/0!</v>
      </c>
      <c r="M59" s="3279" t="e">
        <f ca="1">ROUND(POWER(1+L52,L47-(J51+'数据-取费表'!B24))*(POWER(1+L52,(J51+'数据-取费表'!B24))-1)/(POWER(1+L52,L47)-1),4)</f>
        <v>#DIV/0!</v>
      </c>
      <c r="N59" s="3279" t="e">
        <f ca="1">ROUND(POWER(1+L52,L47-(J51+'数据-取费表'!B20))*(POWER(1+L52,(J51+'数据-取费表'!B20))-1)/(POWER(1+L52,L47)-1),4)</f>
        <v>#DIV/0!</v>
      </c>
      <c r="O59" s="3301" t="s">
        <v>1043</v>
      </c>
      <c r="P59" s="3281" t="s">
        <v>1566</v>
      </c>
      <c r="Q59" s="3282">
        <f>L52</f>
        <v>0</v>
      </c>
      <c r="R59" s="3282"/>
    </row>
    <row r="60" spans="1:18" s="3149" customFormat="1" ht="16.5" thickBot="1">
      <c r="A60" s="3202" t="s">
        <v>1034</v>
      </c>
      <c r="B60" s="3338" t="s">
        <v>1435</v>
      </c>
      <c r="C60" s="2407">
        <f ca="1">IF(项目基本情况!B11="自然人","——",ROUND(C48*F60/(1+'数据-取费表'!C42),2))</f>
        <v>0</v>
      </c>
      <c r="D60" s="3349" t="s">
        <v>1436</v>
      </c>
      <c r="E60" s="3338" t="s">
        <v>1424</v>
      </c>
      <c r="F60" s="2594">
        <f t="shared" ref="F60:F66" si="0">F32</f>
        <v>5.6000000000000001E-2</v>
      </c>
      <c r="I60" s="3350" t="s">
        <v>1567</v>
      </c>
      <c r="J60" s="3351">
        <f ca="1">IF(OR(M47="住宅",J51&lt;L48,J56="是"),"0",ROUND(J59/(1+J52)^J53,0))</f>
        <v>0</v>
      </c>
      <c r="K60" s="3352" t="s">
        <v>1568</v>
      </c>
      <c r="L60" s="3351">
        <f ca="1">IF(OR(M47="住宅",L48&lt;J51),0,ROUND(L57*(L58/L59-1),0))</f>
        <v>0</v>
      </c>
      <c r="O60" s="3301" t="s">
        <v>1044</v>
      </c>
      <c r="P60" s="3281" t="s">
        <v>1569</v>
      </c>
      <c r="Q60" s="3282" t="e">
        <f ca="1">L58</f>
        <v>#DIV/0!</v>
      </c>
      <c r="R60" s="3282" t="s">
        <v>1570</v>
      </c>
    </row>
    <row r="61" spans="1:18" s="3149" customFormat="1" ht="13.5" thickBot="1">
      <c r="A61" s="3202" t="s">
        <v>1494</v>
      </c>
      <c r="B61" s="3338" t="s">
        <v>1439</v>
      </c>
      <c r="C61" s="2407">
        <f ca="1">IF(项目基本情况!B11="自然人","——",IF(D61="按租金收入计税",ROUND(C48*F61,2),IF(D61="按房产原值计税",ROUND(C57*F61*0.7,2),INDIRECT("'数据-取费表'!Aj"&amp;$G$1))))</f>
        <v>0.21</v>
      </c>
      <c r="D61" s="3219" t="s">
        <v>1440</v>
      </c>
      <c r="E61" s="3338" t="s">
        <v>1424</v>
      </c>
      <c r="F61" s="2594">
        <f t="shared" si="0"/>
        <v>1.2E-2</v>
      </c>
      <c r="I61" s="3353"/>
      <c r="J61" s="3353"/>
      <c r="K61" s="3353"/>
      <c r="L61" s="3353"/>
      <c r="O61" s="3301" t="s">
        <v>1045</v>
      </c>
      <c r="P61" s="3281" t="str">
        <f>K59</f>
        <v>建筑物剩余耐用年限下的土地年期修正系数Kn</v>
      </c>
      <c r="Q61" s="3282" t="e">
        <f ca="1">L59</f>
        <v>#DIV/0!</v>
      </c>
      <c r="R61" s="3282" t="s">
        <v>1571</v>
      </c>
    </row>
    <row r="62" spans="1:18" s="3149" customFormat="1" ht="13.5" thickBot="1">
      <c r="A62" s="3202" t="s">
        <v>1497</v>
      </c>
      <c r="B62" s="3354" t="s">
        <v>1443</v>
      </c>
      <c r="C62" s="3221">
        <f ca="1">IF(项目基本情况!B11="自然人","——",ROUND(F62*F63/10000,2))</f>
        <v>0.25</v>
      </c>
      <c r="D62" s="3355" t="s">
        <v>1444</v>
      </c>
      <c r="E62" s="3338" t="s">
        <v>1445</v>
      </c>
      <c r="F62" s="2594">
        <f t="shared" si="0"/>
        <v>8</v>
      </c>
      <c r="I62" s="3356" t="s">
        <v>1572</v>
      </c>
      <c r="J62" s="3357" t="s">
        <v>1573</v>
      </c>
      <c r="K62" s="3357" t="s">
        <v>1574</v>
      </c>
      <c r="L62" s="3357" t="s">
        <v>1575</v>
      </c>
      <c r="M62" s="3358" t="s">
        <v>1576</v>
      </c>
      <c r="O62" s="3280" t="s">
        <v>1046</v>
      </c>
      <c r="P62" s="3281" t="s">
        <v>1577</v>
      </c>
      <c r="Q62" s="3282" t="e">
        <f ca="1">Q56+Q57</f>
        <v>#DIV/0!</v>
      </c>
      <c r="R62" s="3282" t="s">
        <v>1047</v>
      </c>
    </row>
    <row r="63" spans="1:18" s="3149" customFormat="1" ht="13.5" thickBot="1">
      <c r="A63" s="3223"/>
      <c r="B63" s="3359"/>
      <c r="C63" s="2596"/>
      <c r="D63" s="3360"/>
      <c r="E63" s="3338" t="s">
        <v>1501</v>
      </c>
      <c r="F63" s="2726">
        <f t="shared" ca="1" si="0"/>
        <v>308.72000000000003</v>
      </c>
      <c r="I63" s="3356" t="s">
        <v>1578</v>
      </c>
      <c r="J63" s="3357">
        <v>70</v>
      </c>
      <c r="K63" s="3357">
        <v>50</v>
      </c>
      <c r="L63" s="3357">
        <v>80</v>
      </c>
      <c r="M63" s="3358">
        <v>0.02</v>
      </c>
      <c r="O63" s="3259" t="s">
        <v>1579</v>
      </c>
      <c r="P63" s="3255"/>
      <c r="Q63" s="3255"/>
      <c r="R63" s="3255"/>
    </row>
    <row r="64" spans="1:18" s="3149" customFormat="1" ht="13.5" thickBot="1">
      <c r="A64" s="3202" t="s">
        <v>1502</v>
      </c>
      <c r="B64" s="3338" t="s">
        <v>1503</v>
      </c>
      <c r="C64" s="2407">
        <f ca="1">ROUND(C57*F64,1)</f>
        <v>0</v>
      </c>
      <c r="D64" s="3349" t="s">
        <v>1484</v>
      </c>
      <c r="E64" s="3338" t="s">
        <v>1424</v>
      </c>
      <c r="F64" s="2726">
        <f t="shared" ca="1" si="0"/>
        <v>0</v>
      </c>
      <c r="I64" s="3356" t="s">
        <v>1580</v>
      </c>
      <c r="J64" s="3357">
        <v>50</v>
      </c>
      <c r="K64" s="3357">
        <v>35</v>
      </c>
      <c r="L64" s="3357">
        <v>60</v>
      </c>
      <c r="M64" s="3358">
        <v>0</v>
      </c>
      <c r="O64" s="3267" t="s">
        <v>1524</v>
      </c>
      <c r="P64" s="3268" t="s">
        <v>1525</v>
      </c>
      <c r="Q64" s="3269" t="s">
        <v>1526</v>
      </c>
      <c r="R64" s="3269" t="s">
        <v>1527</v>
      </c>
    </row>
    <row r="65" spans="1:18" s="3149" customFormat="1" ht="13.5" thickBot="1">
      <c r="A65" s="3202" t="s">
        <v>1505</v>
      </c>
      <c r="B65" s="3338" t="s">
        <v>1455</v>
      </c>
      <c r="C65" s="2407">
        <f ca="1">ROUND(C56*F65,1)</f>
        <v>0</v>
      </c>
      <c r="D65" s="3349" t="s">
        <v>1456</v>
      </c>
      <c r="E65" s="3338" t="s">
        <v>1424</v>
      </c>
      <c r="F65" s="2726">
        <f t="shared" ca="1" si="0"/>
        <v>0</v>
      </c>
      <c r="I65" s="3356" t="s">
        <v>1581</v>
      </c>
      <c r="J65" s="3357">
        <v>40</v>
      </c>
      <c r="K65" s="3357">
        <v>30</v>
      </c>
      <c r="L65" s="3357">
        <v>50</v>
      </c>
      <c r="M65" s="3358">
        <v>0.02</v>
      </c>
      <c r="O65" s="3280" t="s">
        <v>1040</v>
      </c>
      <c r="P65" s="3281" t="s">
        <v>1530</v>
      </c>
      <c r="Q65" s="3282" t="e">
        <f ca="1">C40+J29</f>
        <v>#DIV/0!</v>
      </c>
      <c r="R65" s="3282" t="s">
        <v>1531</v>
      </c>
    </row>
    <row r="66" spans="1:18" s="3149" customFormat="1" ht="16.5" thickBot="1">
      <c r="A66" s="3202" t="s">
        <v>1506</v>
      </c>
      <c r="B66" s="3338" t="s">
        <v>1441</v>
      </c>
      <c r="C66" s="2407">
        <f ca="1">ROUND(C48*F66,1)</f>
        <v>0</v>
      </c>
      <c r="D66" s="3349" t="s">
        <v>1507</v>
      </c>
      <c r="E66" s="3338" t="s">
        <v>1424</v>
      </c>
      <c r="F66" s="2726">
        <f t="shared" ca="1" si="0"/>
        <v>0</v>
      </c>
      <c r="O66" s="3280" t="s">
        <v>1041</v>
      </c>
      <c r="P66" s="3281" t="s">
        <v>1560</v>
      </c>
      <c r="Q66" s="3282">
        <f ca="1">L60</f>
        <v>0</v>
      </c>
      <c r="R66" s="3282" t="s">
        <v>1583</v>
      </c>
    </row>
    <row r="67" spans="1:18" s="3149" customFormat="1" ht="16.5" thickBot="1">
      <c r="A67" s="3330" t="s">
        <v>1031</v>
      </c>
      <c r="B67" s="3361" t="s">
        <v>1465</v>
      </c>
      <c r="C67" s="3098">
        <f ca="1">C48-C58</f>
        <v>-1</v>
      </c>
      <c r="D67" s="3348" t="s">
        <v>1466</v>
      </c>
      <c r="E67" s="3362"/>
      <c r="F67" s="3363"/>
      <c r="O67" s="3301" t="s">
        <v>1042</v>
      </c>
      <c r="P67" s="3281" t="s">
        <v>1564</v>
      </c>
      <c r="Q67" s="3282">
        <f ca="1">L51</f>
        <v>-35</v>
      </c>
      <c r="R67" s="3282" t="s">
        <v>1584</v>
      </c>
    </row>
    <row r="68" spans="1:18" s="3149" customFormat="1" ht="16.5" thickBot="1">
      <c r="A68" s="3364" t="s">
        <v>1032</v>
      </c>
      <c r="B68" s="3365" t="s">
        <v>1487</v>
      </c>
      <c r="C68" s="3168" t="e">
        <f ca="1">ROUND(C67*(1-((1+F70)/(1+F68))^F69)/(F68-F70),0)</f>
        <v>#DIV/0!</v>
      </c>
      <c r="D68" s="3355" t="s">
        <v>1471</v>
      </c>
      <c r="E68" s="3338" t="s">
        <v>1472</v>
      </c>
      <c r="F68" s="2726">
        <f ca="1">F40</f>
        <v>0</v>
      </c>
      <c r="O68" s="3301" t="s">
        <v>1043</v>
      </c>
      <c r="P68" s="3366" t="s">
        <v>1585</v>
      </c>
      <c r="Q68" s="3282">
        <f ca="1">ROUND(Q69-Q70*Q71,0)</f>
        <v>-1</v>
      </c>
      <c r="R68" s="3282" t="s">
        <v>1051</v>
      </c>
    </row>
    <row r="69" spans="1:18" s="3149" customFormat="1" ht="13.5" thickBot="1">
      <c r="A69" s="3367"/>
      <c r="B69" s="3368"/>
      <c r="C69" s="3173"/>
      <c r="D69" s="3369" t="s">
        <v>1475</v>
      </c>
      <c r="E69" s="3338" t="s">
        <v>1476</v>
      </c>
      <c r="F69" s="2726">
        <f ca="1">F41</f>
        <v>0</v>
      </c>
      <c r="O69" s="3301" t="s">
        <v>1048</v>
      </c>
      <c r="P69" s="3366" t="s">
        <v>1586</v>
      </c>
      <c r="Q69" s="3282">
        <f ca="1">C39</f>
        <v>-1</v>
      </c>
      <c r="R69" s="3282" t="s">
        <v>1531</v>
      </c>
    </row>
    <row r="70" spans="1:18" s="3149" customFormat="1" ht="13.5" thickBot="1">
      <c r="A70" s="3370"/>
      <c r="B70" s="3371"/>
      <c r="C70" s="3195"/>
      <c r="D70" s="3360"/>
      <c r="E70" s="3338" t="s">
        <v>1479</v>
      </c>
      <c r="F70" s="3315"/>
      <c r="O70" s="3301" t="s">
        <v>1049</v>
      </c>
      <c r="P70" s="3366" t="s">
        <v>1587</v>
      </c>
      <c r="Q70" s="3282">
        <f ca="1">C13</f>
        <v>0</v>
      </c>
      <c r="R70" s="3282" t="s">
        <v>1531</v>
      </c>
    </row>
    <row r="71" spans="1:18" s="3149" customFormat="1" ht="13.5" thickBot="1">
      <c r="A71" s="3372" t="s">
        <v>1033</v>
      </c>
      <c r="B71" s="3373" t="s">
        <v>1489</v>
      </c>
      <c r="C71" s="3238" t="e">
        <f ca="1">ROUND(C68*10000/F71,0)</f>
        <v>#DIV/0!</v>
      </c>
      <c r="D71" s="3374" t="s">
        <v>1490</v>
      </c>
      <c r="E71" s="3375" t="s">
        <v>1491</v>
      </c>
      <c r="F71" s="3241">
        <f ca="1">F43</f>
        <v>1041.3799999999999</v>
      </c>
      <c r="O71" s="3301" t="s">
        <v>1050</v>
      </c>
      <c r="P71" s="3366" t="s">
        <v>1588</v>
      </c>
      <c r="Q71" s="3282">
        <f ca="1">C76</f>
        <v>0</v>
      </c>
      <c r="R71" s="3282"/>
    </row>
    <row r="72" spans="1:18" s="3149" customFormat="1" ht="13.5" thickBot="1">
      <c r="B72" s="3014"/>
      <c r="C72" s="3014"/>
      <c r="O72" s="3301" t="s">
        <v>1044</v>
      </c>
      <c r="P72" s="3281" t="s">
        <v>1566</v>
      </c>
      <c r="Q72" s="3282">
        <f>L52</f>
        <v>0</v>
      </c>
      <c r="R72" s="3282"/>
    </row>
    <row r="73" spans="1:18" ht="16.5" thickBot="1">
      <c r="A73" s="3149"/>
      <c r="B73" s="3014"/>
      <c r="C73" s="3014"/>
      <c r="D73" s="3149"/>
      <c r="E73" s="3149"/>
      <c r="F73" s="3149"/>
      <c r="O73" s="3301" t="s">
        <v>1045</v>
      </c>
      <c r="P73" s="3281" t="s">
        <v>1569</v>
      </c>
      <c r="Q73" s="3282" t="e">
        <f ca="1">L58</f>
        <v>#DIV/0!</v>
      </c>
      <c r="R73" s="3282" t="s">
        <v>1570</v>
      </c>
    </row>
    <row r="74" spans="1:18" ht="13.5" thickBot="1">
      <c r="A74" s="3149"/>
      <c r="B74" s="3377" t="s">
        <v>1589</v>
      </c>
      <c r="C74" s="3378"/>
      <c r="D74" s="3149"/>
      <c r="E74" s="3149"/>
      <c r="F74" s="3149"/>
      <c r="O74" s="3301" t="s">
        <v>1052</v>
      </c>
      <c r="P74" s="3281" t="str">
        <f>K59</f>
        <v>建筑物剩余耐用年限下的土地年期修正系数Kn</v>
      </c>
      <c r="Q74" s="3282" t="e">
        <f ca="1">L59</f>
        <v>#DIV/0!</v>
      </c>
      <c r="R74" s="3282" t="s">
        <v>1571</v>
      </c>
    </row>
    <row r="75" spans="1:18" ht="13.5" thickBot="1">
      <c r="A75" s="3149"/>
      <c r="B75" s="3379" t="s">
        <v>1508</v>
      </c>
      <c r="C75" s="3380">
        <f ca="1">ROUND(C13*C76,0)</f>
        <v>0</v>
      </c>
      <c r="D75" s="3149"/>
      <c r="E75" s="3149"/>
      <c r="F75" s="3149"/>
      <c r="K75" s="3258"/>
      <c r="L75" s="3149"/>
      <c r="O75" s="3280" t="s">
        <v>1046</v>
      </c>
      <c r="P75" s="3281" t="s">
        <v>1551</v>
      </c>
      <c r="Q75" s="3282" t="e">
        <f ca="1">Q65+Q66</f>
        <v>#DIV/0!</v>
      </c>
      <c r="R75" s="3282" t="s">
        <v>1047</v>
      </c>
    </row>
    <row r="76" spans="1:18">
      <c r="B76" s="3381" t="s">
        <v>1509</v>
      </c>
      <c r="C76" s="3098">
        <f ca="1">INDIRECT("'数据-取费表'!j"&amp;$G$1)</f>
        <v>0</v>
      </c>
      <c r="I76" s="3149"/>
      <c r="J76" s="3149"/>
      <c r="K76" s="3258"/>
      <c r="L76" s="3149"/>
    </row>
    <row r="77" spans="1:18">
      <c r="B77" s="3382" t="s">
        <v>1510</v>
      </c>
      <c r="C77" s="3383"/>
      <c r="I77" s="3149"/>
      <c r="J77" s="3149"/>
      <c r="K77" s="3258"/>
      <c r="L77" s="3149"/>
    </row>
    <row r="78" spans="1:18">
      <c r="B78" s="3384" t="s">
        <v>1511</v>
      </c>
      <c r="C78" s="3385"/>
    </row>
    <row r="79" spans="1:18">
      <c r="B79" s="3379" t="s">
        <v>1512</v>
      </c>
      <c r="C79" s="3380">
        <f ca="1">1-C80</f>
        <v>1</v>
      </c>
    </row>
    <row r="80" spans="1:18">
      <c r="B80" s="3379" t="s">
        <v>1513</v>
      </c>
      <c r="C80" s="3380">
        <f ca="1">ROUND(C75/C39,3)</f>
        <v>0</v>
      </c>
    </row>
    <row r="81" spans="2:3">
      <c r="B81" s="3384" t="s">
        <v>1514</v>
      </c>
      <c r="C81" s="3339"/>
    </row>
    <row r="82" spans="2:3">
      <c r="B82" s="3377" t="s">
        <v>1515</v>
      </c>
      <c r="C82" s="3378" t="e">
        <f ca="1">1-C83</f>
        <v>#DIV/0!</v>
      </c>
    </row>
    <row r="83" spans="2:3">
      <c r="B83" s="3377" t="s">
        <v>1516</v>
      </c>
      <c r="C83" s="3380" t="e">
        <f ca="1">ROUND(C13/C40,3)</f>
        <v>#DIV/0!</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12" priority="4">
      <formula>$L$48&gt;$J$51</formula>
    </cfRule>
  </conditionalFormatting>
  <conditionalFormatting sqref="I55 I60">
    <cfRule type="expression" dxfId="111" priority="5">
      <formula>$J$51&gt;$L$48</formula>
    </cfRule>
  </conditionalFormatting>
  <conditionalFormatting sqref="C11">
    <cfRule type="expression" dxfId="110" priority="3">
      <formula>$F$10="自定义"</formula>
    </cfRule>
  </conditionalFormatting>
  <conditionalFormatting sqref="J11">
    <cfRule type="expression" dxfId="109" priority="2">
      <formula>$M$10="自定义"</formula>
    </cfRule>
  </conditionalFormatting>
  <conditionalFormatting sqref="C54">
    <cfRule type="expression" dxfId="108"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6" zoomScale="90" zoomScaleNormal="90" zoomScaleSheetLayoutView="90" workbookViewId="0">
      <selection sqref="A1:XFD1048576"/>
    </sheetView>
  </sheetViews>
  <sheetFormatPr defaultRowHeight="12.75"/>
  <cols>
    <col min="1" max="1" width="9" style="3150" customWidth="1"/>
    <col min="2" max="2" width="20.625" style="3015" customWidth="1"/>
    <col min="3" max="3" width="11.875" style="3015" customWidth="1"/>
    <col min="4" max="4" width="40.5" style="3150" customWidth="1"/>
    <col min="5" max="5" width="15.75" style="3150" customWidth="1"/>
    <col min="6" max="6" width="10.625" style="3150" customWidth="1"/>
    <col min="7" max="7" width="4.875" style="3150" customWidth="1"/>
    <col min="8" max="8" width="8.5" style="3150" customWidth="1"/>
    <col min="9" max="9" width="21.25" style="3150" customWidth="1"/>
    <col min="10" max="10" width="12.25" style="3150" customWidth="1"/>
    <col min="11" max="11" width="45.125" style="3376" customWidth="1"/>
    <col min="12" max="12" width="16.375" style="3150" customWidth="1"/>
    <col min="13" max="13" width="13" style="3150" customWidth="1"/>
    <col min="14" max="14" width="13.75" style="3149" customWidth="1"/>
    <col min="15" max="15" width="5.125" style="3149" customWidth="1"/>
    <col min="16" max="16" width="25.75" style="3149" customWidth="1"/>
    <col min="17" max="17" width="13.75" style="3149" customWidth="1"/>
    <col min="18" max="18" width="20.5" style="3149" customWidth="1"/>
    <col min="19" max="19" width="13.25" style="3149" customWidth="1"/>
    <col min="20" max="37" width="9" style="3149"/>
    <col min="38" max="16384" width="9" style="3150"/>
  </cols>
  <sheetData>
    <row r="1" spans="1:37" s="3140" customFormat="1" ht="21">
      <c r="A1" s="3130" t="s">
        <v>1591</v>
      </c>
      <c r="B1" s="3131"/>
      <c r="C1" s="3132" t="s">
        <v>7107</v>
      </c>
      <c r="D1" s="3133" t="s">
        <v>70</v>
      </c>
      <c r="E1" s="3134" t="s">
        <v>1388</v>
      </c>
      <c r="F1" s="3134">
        <f ca="1">J53</f>
        <v>35.47</v>
      </c>
      <c r="G1" s="3135">
        <f>MATCH(C1,'数据-取费表'!A6:A16,0)+5</f>
        <v>9</v>
      </c>
      <c r="H1" s="3136"/>
      <c r="I1" s="3137"/>
      <c r="J1" s="3137"/>
      <c r="K1" s="3138"/>
      <c r="L1" s="3137"/>
      <c r="M1" s="3137"/>
      <c r="N1" s="3139"/>
      <c r="O1" s="3139"/>
      <c r="P1" s="3139"/>
      <c r="Q1" s="3139"/>
      <c r="R1" s="3139"/>
      <c r="S1" s="3139"/>
      <c r="T1" s="3139"/>
      <c r="U1" s="3139"/>
      <c r="V1" s="3139"/>
      <c r="W1" s="3139"/>
      <c r="X1" s="3139"/>
      <c r="Y1" s="3139"/>
      <c r="Z1" s="3139"/>
      <c r="AA1" s="3139"/>
      <c r="AB1" s="3139"/>
      <c r="AC1" s="3139"/>
      <c r="AD1" s="3139"/>
      <c r="AE1" s="3139"/>
      <c r="AF1" s="3139"/>
      <c r="AG1" s="3139"/>
      <c r="AH1" s="3139"/>
      <c r="AI1" s="3139"/>
      <c r="AJ1" s="3139"/>
      <c r="AK1" s="3139"/>
    </row>
    <row r="2" spans="1:37" ht="18" customHeight="1">
      <c r="A2" s="3141" t="s">
        <v>1517</v>
      </c>
      <c r="B2" s="3142" t="e">
        <f ca="1">C40+J29+L46</f>
        <v>#DIV/0!</v>
      </c>
      <c r="C2" s="3143" t="s">
        <v>1518</v>
      </c>
      <c r="D2" s="3143"/>
      <c r="E2" s="3144"/>
      <c r="F2" s="3145"/>
      <c r="G2" s="3146"/>
      <c r="H2" s="3147"/>
      <c r="I2" s="3147"/>
      <c r="J2" s="3147"/>
      <c r="K2" s="3148"/>
      <c r="L2" s="3147"/>
      <c r="M2" s="3147"/>
    </row>
    <row r="3" spans="1:37" ht="18" customHeight="1" thickBot="1">
      <c r="A3" s="3151" t="s">
        <v>1519</v>
      </c>
      <c r="B3" s="3152">
        <f ca="1">IF(ISERROR(B2*10000/F43),0,ROUND(B2*10000/F43,0))</f>
        <v>0</v>
      </c>
      <c r="C3" s="3143" t="s">
        <v>1520</v>
      </c>
      <c r="D3" s="3143"/>
      <c r="E3" s="3144"/>
      <c r="F3" s="3145"/>
      <c r="G3" s="3146"/>
      <c r="H3" s="3153" t="s">
        <v>1590</v>
      </c>
      <c r="I3" s="3147"/>
      <c r="J3" s="3147"/>
      <c r="K3" s="3148"/>
      <c r="L3" s="3147"/>
      <c r="M3" s="3147"/>
    </row>
    <row r="4" spans="1:37" ht="18" customHeight="1">
      <c r="A4" s="3154" t="s">
        <v>1397</v>
      </c>
      <c r="B4" s="3155" t="s">
        <v>1398</v>
      </c>
      <c r="C4" s="3155" t="s">
        <v>1399</v>
      </c>
      <c r="D4" s="3155" t="s">
        <v>1400</v>
      </c>
      <c r="E4" s="3156" t="s">
        <v>1401</v>
      </c>
      <c r="F4" s="3157"/>
      <c r="G4" s="3158"/>
      <c r="H4" s="3154" t="s">
        <v>1397</v>
      </c>
      <c r="I4" s="3155" t="s">
        <v>1398</v>
      </c>
      <c r="J4" s="3155" t="s">
        <v>1399</v>
      </c>
      <c r="K4" s="3155" t="s">
        <v>1400</v>
      </c>
      <c r="L4" s="3156" t="s">
        <v>1401</v>
      </c>
      <c r="M4" s="3157"/>
    </row>
    <row r="5" spans="1:37" ht="18" customHeight="1">
      <c r="A5" s="3159">
        <v>1</v>
      </c>
      <c r="B5" s="3160" t="s">
        <v>1402</v>
      </c>
      <c r="C5" s="3161">
        <f ca="1">C6+C10+C12</f>
        <v>0</v>
      </c>
      <c r="D5" s="3162" t="s">
        <v>1403</v>
      </c>
      <c r="E5" s="3163"/>
      <c r="F5" s="3164"/>
      <c r="G5" s="3158"/>
      <c r="H5" s="3159">
        <v>1</v>
      </c>
      <c r="I5" s="3160" t="s">
        <v>1402</v>
      </c>
      <c r="J5" s="3161">
        <f ca="1">J6+J10+J12</f>
        <v>0</v>
      </c>
      <c r="K5" s="3162" t="s">
        <v>1403</v>
      </c>
      <c r="L5" s="3163"/>
      <c r="M5" s="3164"/>
    </row>
    <row r="6" spans="1:37" ht="18" customHeight="1">
      <c r="A6" s="3165" t="s">
        <v>1035</v>
      </c>
      <c r="B6" s="3952" t="s">
        <v>1404</v>
      </c>
      <c r="C6" s="3166">
        <f ca="1">ROUND(F6*F8*F7*(1-F9)/10000,0)</f>
        <v>0</v>
      </c>
      <c r="D6" s="2584" t="s">
        <v>3039</v>
      </c>
      <c r="E6" s="3167" t="s">
        <v>1406</v>
      </c>
      <c r="F6" s="2726">
        <f ca="1">INDIRECT("'数据-取费表'!u"&amp;$G$1)</f>
        <v>0</v>
      </c>
      <c r="G6" s="3158"/>
      <c r="H6" s="3165" t="s">
        <v>1035</v>
      </c>
      <c r="I6" s="3952" t="s">
        <v>1404</v>
      </c>
      <c r="J6" s="3168">
        <f ca="1">ROUND(M6*M8*M7*(1-M9)/10000,0)</f>
        <v>0</v>
      </c>
      <c r="K6" s="2584" t="s">
        <v>3038</v>
      </c>
      <c r="L6" s="3167" t="s">
        <v>1406</v>
      </c>
      <c r="M6" s="2726">
        <f ca="1">INDIRECT("'数据-取费表'!z"&amp;$G$1)</f>
        <v>0</v>
      </c>
    </row>
    <row r="7" spans="1:37" ht="18" customHeight="1">
      <c r="A7" s="3169"/>
      <c r="B7" s="3953"/>
      <c r="C7" s="3170"/>
      <c r="D7" s="2210"/>
      <c r="E7" s="3171" t="s">
        <v>1407</v>
      </c>
      <c r="F7" s="2726">
        <f ca="1">IF(INDIRECT("'数据-取费表'!ah"&amp;$G$1)="",INDIRECT("'数据-取费表'!k"&amp;$G$1),INDIRECT("'数据-取费表'!ah"&amp;$G$1))</f>
        <v>4137.8500000000004</v>
      </c>
      <c r="G7" s="3158"/>
      <c r="H7" s="3172"/>
      <c r="I7" s="3953"/>
      <c r="J7" s="3173"/>
      <c r="K7" s="2210"/>
      <c r="L7" s="3167" t="s">
        <v>1407</v>
      </c>
      <c r="M7" s="2726">
        <f ca="1">F7</f>
        <v>4137.8500000000004</v>
      </c>
    </row>
    <row r="8" spans="1:37" ht="18" customHeight="1">
      <c r="A8" s="3172"/>
      <c r="B8" s="3953"/>
      <c r="C8" s="3173"/>
      <c r="D8" s="2210"/>
      <c r="E8" s="3167" t="s">
        <v>1408</v>
      </c>
      <c r="F8" s="2726">
        <f ca="1">INDIRECT("'数据-取费表'!ai"&amp;$G$1)</f>
        <v>365</v>
      </c>
      <c r="G8" s="3158"/>
      <c r="H8" s="3172"/>
      <c r="I8" s="3953"/>
      <c r="J8" s="3173"/>
      <c r="K8" s="2210"/>
      <c r="L8" s="3167" t="s">
        <v>1408</v>
      </c>
      <c r="M8" s="2726">
        <f ca="1">INDIRECT("'数据-取费表'!ai"&amp;$G$1)</f>
        <v>365</v>
      </c>
    </row>
    <row r="9" spans="1:37" ht="18" customHeight="1">
      <c r="A9" s="3172"/>
      <c r="B9" s="3954"/>
      <c r="C9" s="3173"/>
      <c r="D9" s="2210"/>
      <c r="E9" s="3167" t="s">
        <v>1409</v>
      </c>
      <c r="F9" s="2726">
        <f ca="1">INDIRECT("'数据-取费表'!w"&amp;$G$1)</f>
        <v>0</v>
      </c>
      <c r="G9" s="3158"/>
      <c r="H9" s="3172"/>
      <c r="I9" s="3954"/>
      <c r="J9" s="3173"/>
      <c r="K9" s="2210"/>
      <c r="L9" s="3174" t="s">
        <v>1409</v>
      </c>
      <c r="M9" s="3175">
        <f ca="1">INDIRECT("'数据-取费表'!ab"&amp;$G$1)</f>
        <v>0</v>
      </c>
    </row>
    <row r="10" spans="1:37" ht="18" customHeight="1">
      <c r="A10" s="3165" t="s">
        <v>1039</v>
      </c>
      <c r="B10" s="3176" t="s">
        <v>1410</v>
      </c>
      <c r="C10" s="3098">
        <f ca="1">ROUND(IF(F10="押一",F6*F8*F7/12*F11,IF(F10="押二",F6*F8*F7/12*2*F11,IF(F10="押三",F6*F8*F7/12*3*F11,C11*F11)))/10000,0)</f>
        <v>0</v>
      </c>
      <c r="D10" s="3177" t="s">
        <v>3040</v>
      </c>
      <c r="E10" s="3174" t="s">
        <v>1412</v>
      </c>
      <c r="F10" s="3178" t="s">
        <v>7118</v>
      </c>
      <c r="G10" s="3158"/>
      <c r="H10" s="3165" t="s">
        <v>1039</v>
      </c>
      <c r="I10" s="3176" t="s">
        <v>1410</v>
      </c>
      <c r="J10" s="3168">
        <f ca="1">ROUND(IF(M10="押一",M6*M8*M7/12*M11,IF(M10="押二",M6*M8*M7/12*2*M11,IF(M10="押三",M6*M8*M7/12*3*M11,J11*M11)))/10000,0)</f>
        <v>0</v>
      </c>
      <c r="K10" s="3177" t="s">
        <v>3041</v>
      </c>
      <c r="L10" s="3174" t="s">
        <v>1412</v>
      </c>
      <c r="M10" s="3178" t="s">
        <v>1413</v>
      </c>
    </row>
    <row r="11" spans="1:37" ht="18" customHeight="1">
      <c r="A11" s="3179"/>
      <c r="B11" s="3180" t="s">
        <v>1389</v>
      </c>
      <c r="C11" s="3181"/>
      <c r="D11" s="3182"/>
      <c r="E11" s="3174" t="s">
        <v>1414</v>
      </c>
      <c r="F11" s="3175">
        <f ca="1">'数据-取费表'!B39</f>
        <v>1.4999999999999999E-2</v>
      </c>
      <c r="G11" s="3158"/>
      <c r="H11" s="3183"/>
      <c r="I11" s="3180" t="s">
        <v>1389</v>
      </c>
      <c r="J11" s="3181"/>
      <c r="K11" s="2218"/>
      <c r="L11" s="3174" t="s">
        <v>1414</v>
      </c>
      <c r="M11" s="3184">
        <f ca="1">'数据-取费表'!B39</f>
        <v>1.4999999999999999E-2</v>
      </c>
    </row>
    <row r="12" spans="1:37" ht="18" customHeight="1" thickBot="1">
      <c r="A12" s="3185" t="s">
        <v>1075</v>
      </c>
      <c r="B12" s="3186" t="s">
        <v>1415</v>
      </c>
      <c r="C12" s="3187"/>
      <c r="D12" s="3188"/>
      <c r="E12" s="3189"/>
      <c r="F12" s="3190"/>
      <c r="G12" s="3158"/>
      <c r="H12" s="3185" t="s">
        <v>1075</v>
      </c>
      <c r="I12" s="3186" t="s">
        <v>1415</v>
      </c>
      <c r="J12" s="3187"/>
      <c r="K12" s="3191"/>
      <c r="L12" s="3189"/>
      <c r="M12" s="3192"/>
    </row>
    <row r="13" spans="1:37" ht="18" customHeight="1" thickTop="1">
      <c r="A13" s="3193">
        <v>2</v>
      </c>
      <c r="B13" s="3194" t="s">
        <v>1416</v>
      </c>
      <c r="C13" s="3195">
        <f ca="1">ROUND(C29*F13,0)</f>
        <v>0</v>
      </c>
      <c r="D13" s="3196" t="s">
        <v>1417</v>
      </c>
      <c r="E13" s="3196" t="s">
        <v>1418</v>
      </c>
      <c r="F13" s="3197">
        <f ca="1">INDIRECT("'数据-取费表'!y"&amp;$G$1)</f>
        <v>0</v>
      </c>
      <c r="G13" s="3158"/>
      <c r="H13" s="3193">
        <v>2</v>
      </c>
      <c r="I13" s="3194" t="s">
        <v>1416</v>
      </c>
      <c r="J13" s="3198">
        <f ca="1">ROUND(J14*J15,0)</f>
        <v>0</v>
      </c>
      <c r="K13" s="3199" t="s">
        <v>1417</v>
      </c>
      <c r="L13" s="3200"/>
      <c r="M13" s="3201"/>
    </row>
    <row r="14" spans="1:37" ht="18" customHeight="1">
      <c r="A14" s="3202" t="s">
        <v>1034</v>
      </c>
      <c r="B14" s="3167" t="s">
        <v>1419</v>
      </c>
      <c r="C14" s="3203">
        <f ca="1">INDIRECT("'数据-取费表'!m"&amp;$G$1)+INDIRECT("'数据-取费表'!t"&amp;$G$1)</f>
        <v>0</v>
      </c>
      <c r="D14" s="2678" t="s">
        <v>1420</v>
      </c>
      <c r="E14" s="2679"/>
      <c r="F14" s="3204"/>
      <c r="G14" s="3158"/>
      <c r="H14" s="3202" t="s">
        <v>1035</v>
      </c>
      <c r="I14" s="3167" t="s">
        <v>1421</v>
      </c>
      <c r="J14" s="2407">
        <f ca="1">C29</f>
        <v>97</v>
      </c>
      <c r="K14" s="2688"/>
      <c r="L14" s="3205"/>
      <c r="M14" s="2520"/>
    </row>
    <row r="15" spans="1:37" s="3214" customFormat="1" ht="18" customHeight="1" thickBot="1">
      <c r="A15" s="3202" t="s">
        <v>1036</v>
      </c>
      <c r="B15" s="3167" t="s">
        <v>1422</v>
      </c>
      <c r="C15" s="2407">
        <f ca="1">ROUND(C14*F15,0)</f>
        <v>0</v>
      </c>
      <c r="D15" s="3206" t="s">
        <v>1423</v>
      </c>
      <c r="E15" s="3206" t="s">
        <v>1424</v>
      </c>
      <c r="F15" s="3207">
        <f>'数据-取费表'!B33</f>
        <v>0.05</v>
      </c>
      <c r="G15" s="3208"/>
      <c r="H15" s="3209" t="s">
        <v>1039</v>
      </c>
      <c r="I15" s="3189" t="s">
        <v>1418</v>
      </c>
      <c r="J15" s="3192">
        <f ca="1">INDIRECT("'数据-取费表'!ad"&amp;$G$1)</f>
        <v>0</v>
      </c>
      <c r="K15" s="3210"/>
      <c r="L15" s="3211"/>
      <c r="M15" s="3212"/>
      <c r="N15" s="3213"/>
      <c r="O15" s="3213"/>
      <c r="P15" s="3213"/>
      <c r="Q15" s="3213"/>
      <c r="R15" s="3213"/>
      <c r="S15" s="3213"/>
      <c r="T15" s="3213"/>
      <c r="U15" s="3213"/>
      <c r="V15" s="3213"/>
      <c r="W15" s="3213"/>
      <c r="X15" s="3213"/>
      <c r="Y15" s="3213"/>
      <c r="Z15" s="3213"/>
      <c r="AA15" s="3213"/>
      <c r="AB15" s="3213"/>
      <c r="AC15" s="3213"/>
      <c r="AD15" s="3213"/>
      <c r="AE15" s="3213"/>
      <c r="AF15" s="3213"/>
      <c r="AG15" s="3213"/>
      <c r="AH15" s="3213"/>
      <c r="AI15" s="3213"/>
      <c r="AJ15" s="3213"/>
      <c r="AK15" s="3213"/>
    </row>
    <row r="16" spans="1:37" ht="18" customHeight="1" thickTop="1">
      <c r="A16" s="3202" t="s">
        <v>1390</v>
      </c>
      <c r="B16" s="3167" t="s">
        <v>1425</v>
      </c>
      <c r="C16" s="2407">
        <f ca="1">ROUND(INDIRECT("'数据-取费表'!m"&amp;$G$1)*F16,0)</f>
        <v>0</v>
      </c>
      <c r="D16" s="3167" t="s">
        <v>1423</v>
      </c>
      <c r="E16" s="3167" t="s">
        <v>1424</v>
      </c>
      <c r="F16" s="2594">
        <f ca="1">IF(INDIRECT("'数据-取费表'!c"&amp;$G$1)="住宅",'数据-取费表'!B34,0)</f>
        <v>0</v>
      </c>
      <c r="G16" s="3158"/>
      <c r="H16" s="3193" t="s">
        <v>1030</v>
      </c>
      <c r="I16" s="3194" t="s">
        <v>1426</v>
      </c>
      <c r="J16" s="3195">
        <f ca="1">ROUND(J17+J22+J23+J24,0)</f>
        <v>2</v>
      </c>
      <c r="K16" s="3199" t="s">
        <v>1427</v>
      </c>
      <c r="L16" s="3215"/>
      <c r="M16" s="3164"/>
    </row>
    <row r="17" spans="1:37" s="3214" customFormat="1" ht="18" customHeight="1">
      <c r="A17" s="3202" t="s">
        <v>1391</v>
      </c>
      <c r="B17" s="3167" t="s">
        <v>1428</v>
      </c>
      <c r="C17" s="2407">
        <f ca="1">ROUND(F17*(F43+INDIRECT("'数据-取费表'!S"&amp;$G$1))/10000,0)</f>
        <v>83</v>
      </c>
      <c r="D17" s="3167" t="s">
        <v>1429</v>
      </c>
      <c r="E17" s="3167" t="s">
        <v>1430</v>
      </c>
      <c r="F17" s="3216">
        <f>'数据-取费表'!B35</f>
        <v>200</v>
      </c>
      <c r="G17" s="3208"/>
      <c r="H17" s="3202" t="s">
        <v>1035</v>
      </c>
      <c r="I17" s="3167" t="s">
        <v>1431</v>
      </c>
      <c r="J17" s="2407">
        <f ca="1">ROUND(IF(项目基本情况!B11="自然人",J5*M17,J18+J19+J20),1)</f>
        <v>1.8</v>
      </c>
      <c r="K17" s="2678" t="s">
        <v>1432</v>
      </c>
      <c r="L17" s="2595" t="s">
        <v>1433</v>
      </c>
      <c r="M17" s="3217" t="str">
        <f ca="1">IF(项目基本情况!B11="企业","",IF(INDIRECT("'数据-取费表'!c"&amp;$G$1)="住宅",5%,IF(M6*M7*M8/12/(1+'数据-取费表'!C42)&gt;20000,12%,7%)))</f>
        <v/>
      </c>
      <c r="N17" s="3213"/>
      <c r="O17" s="3213"/>
      <c r="P17" s="3213"/>
      <c r="Q17" s="3213"/>
      <c r="R17" s="3213"/>
      <c r="S17" s="3213"/>
      <c r="T17" s="3213"/>
      <c r="U17" s="3213"/>
      <c r="V17" s="3213"/>
      <c r="W17" s="3213"/>
      <c r="X17" s="3213"/>
      <c r="Y17" s="3213"/>
      <c r="Z17" s="3213"/>
      <c r="AA17" s="3213"/>
      <c r="AB17" s="3213"/>
      <c r="AC17" s="3213"/>
      <c r="AD17" s="3213"/>
      <c r="AE17" s="3213"/>
      <c r="AF17" s="3213"/>
      <c r="AG17" s="3213"/>
      <c r="AH17" s="3213"/>
      <c r="AI17" s="3213"/>
      <c r="AJ17" s="3213"/>
      <c r="AK17" s="3213"/>
    </row>
    <row r="18" spans="1:37" s="3214" customFormat="1" ht="18" customHeight="1">
      <c r="A18" s="3202" t="s">
        <v>1392</v>
      </c>
      <c r="B18" s="3167" t="s">
        <v>1434</v>
      </c>
      <c r="C18" s="2407">
        <f ca="1">ROUND(C14*F18,0)</f>
        <v>0</v>
      </c>
      <c r="D18" s="3167" t="s">
        <v>1423</v>
      </c>
      <c r="E18" s="3167" t="s">
        <v>1424</v>
      </c>
      <c r="F18" s="2594">
        <f>'数据-取费表'!B36</f>
        <v>1.4999999999999999E-2</v>
      </c>
      <c r="G18" s="3208"/>
      <c r="H18" s="3202" t="s">
        <v>1034</v>
      </c>
      <c r="I18" s="3167" t="s">
        <v>1435</v>
      </c>
      <c r="J18" s="2407">
        <f ca="1">ROUND(J5*M18/(1+'数据-取费表'!C42),2)</f>
        <v>0</v>
      </c>
      <c r="K18" s="2595" t="s">
        <v>1436</v>
      </c>
      <c r="L18" s="3167" t="s">
        <v>1424</v>
      </c>
      <c r="M18" s="2594">
        <f>'数据-取费表'!B41</f>
        <v>5.6000000000000001E-2</v>
      </c>
      <c r="N18" s="3213"/>
      <c r="O18" s="3213"/>
      <c r="P18" s="3213"/>
      <c r="Q18" s="3213"/>
      <c r="R18" s="3213"/>
      <c r="S18" s="3213"/>
      <c r="T18" s="3213"/>
      <c r="U18" s="3213"/>
      <c r="V18" s="3213"/>
      <c r="W18" s="3213"/>
      <c r="X18" s="3213"/>
      <c r="Y18" s="3213"/>
      <c r="Z18" s="3213"/>
      <c r="AA18" s="3213"/>
      <c r="AB18" s="3213"/>
      <c r="AC18" s="3213"/>
      <c r="AD18" s="3213"/>
      <c r="AE18" s="3213"/>
      <c r="AF18" s="3213"/>
      <c r="AG18" s="3213"/>
      <c r="AH18" s="3213"/>
      <c r="AI18" s="3213"/>
      <c r="AJ18" s="3213"/>
      <c r="AK18" s="3213"/>
    </row>
    <row r="19" spans="1:37" ht="18" customHeight="1">
      <c r="A19" s="3202" t="s">
        <v>1035</v>
      </c>
      <c r="B19" s="3167" t="s">
        <v>1437</v>
      </c>
      <c r="C19" s="2407">
        <f ca="1">SUM(C14:C18)</f>
        <v>83</v>
      </c>
      <c r="D19" s="2505" t="s">
        <v>1438</v>
      </c>
      <c r="E19" s="3218"/>
      <c r="F19" s="3216"/>
      <c r="G19" s="3158"/>
      <c r="H19" s="3202" t="s">
        <v>1036</v>
      </c>
      <c r="I19" s="3167" t="s">
        <v>1439</v>
      </c>
      <c r="J19" s="2407">
        <f ca="1">IF(K19="按租金收入计税",ROUND(J5*M19,2),ROUND(C29*M19*0.7,2))</f>
        <v>0.81</v>
      </c>
      <c r="K19" s="3219" t="s">
        <v>1440</v>
      </c>
      <c r="L19" s="3167" t="s">
        <v>1424</v>
      </c>
      <c r="M19" s="2594">
        <f>IF(K19="按租金收入计税",'数据-取费表'!B51,'数据-取费表'!B50)</f>
        <v>1.2E-2</v>
      </c>
    </row>
    <row r="20" spans="1:37" s="3214" customFormat="1" ht="18" customHeight="1">
      <c r="A20" s="3202" t="s">
        <v>1039</v>
      </c>
      <c r="B20" s="3167" t="s">
        <v>1441</v>
      </c>
      <c r="C20" s="2407">
        <f ca="1">ROUND(C19*F20,0)</f>
        <v>2</v>
      </c>
      <c r="D20" s="3220" t="s">
        <v>1442</v>
      </c>
      <c r="E20" s="3167" t="s">
        <v>1424</v>
      </c>
      <c r="F20" s="2594">
        <f>'数据-取费表'!B37</f>
        <v>0.03</v>
      </c>
      <c r="G20" s="3208"/>
      <c r="H20" s="3202" t="s">
        <v>1390</v>
      </c>
      <c r="I20" s="2584" t="s">
        <v>1443</v>
      </c>
      <c r="J20" s="3221">
        <f ca="1">ROUND(M20*M21/10000,2)</f>
        <v>0.98</v>
      </c>
      <c r="K20" s="3222" t="s">
        <v>1444</v>
      </c>
      <c r="L20" s="3167" t="s">
        <v>1445</v>
      </c>
      <c r="M20" s="2594">
        <f>'数据-取费表'!B52</f>
        <v>8</v>
      </c>
      <c r="N20" s="3213"/>
      <c r="O20" s="3213"/>
      <c r="P20" s="3213"/>
      <c r="Q20" s="3213"/>
      <c r="R20" s="3213"/>
      <c r="S20" s="3213"/>
      <c r="T20" s="3213"/>
      <c r="U20" s="3213"/>
      <c r="V20" s="3213"/>
      <c r="W20" s="3213"/>
      <c r="X20" s="3213"/>
      <c r="Y20" s="3213"/>
      <c r="Z20" s="3213"/>
      <c r="AA20" s="3213"/>
      <c r="AB20" s="3213"/>
      <c r="AC20" s="3213"/>
      <c r="AD20" s="3213"/>
      <c r="AE20" s="3213"/>
      <c r="AF20" s="3213"/>
      <c r="AG20" s="3213"/>
      <c r="AH20" s="3213"/>
      <c r="AI20" s="3213"/>
      <c r="AJ20" s="3213"/>
      <c r="AK20" s="3213"/>
    </row>
    <row r="21" spans="1:37" s="3214" customFormat="1" ht="18" customHeight="1">
      <c r="A21" s="3202" t="s">
        <v>1075</v>
      </c>
      <c r="B21" s="3167" t="s">
        <v>1446</v>
      </c>
      <c r="C21" s="2407" t="s">
        <v>2</v>
      </c>
      <c r="D21" s="3220" t="s">
        <v>1447</v>
      </c>
      <c r="E21" s="3167" t="s">
        <v>1448</v>
      </c>
      <c r="F21" s="2594">
        <f>'数据-取费表'!B38</f>
        <v>0.03</v>
      </c>
      <c r="G21" s="3208"/>
      <c r="H21" s="3223"/>
      <c r="I21" s="3224"/>
      <c r="J21" s="2596"/>
      <c r="K21" s="2209"/>
      <c r="L21" s="3167" t="s">
        <v>1449</v>
      </c>
      <c r="M21" s="2726">
        <f ca="1">INDIRECT("'数据-取费表'!r"&amp;$G$1)</f>
        <v>1226.68</v>
      </c>
      <c r="N21" s="3213"/>
      <c r="O21" s="3213"/>
      <c r="P21" s="3213"/>
      <c r="Q21" s="3213"/>
      <c r="R21" s="3213"/>
      <c r="S21" s="3213"/>
      <c r="T21" s="3213"/>
      <c r="U21" s="3213"/>
      <c r="V21" s="3213"/>
      <c r="W21" s="3213"/>
      <c r="X21" s="3213"/>
      <c r="Y21" s="3213"/>
      <c r="Z21" s="3213"/>
      <c r="AA21" s="3213"/>
      <c r="AB21" s="3213"/>
      <c r="AC21" s="3213"/>
      <c r="AD21" s="3213"/>
      <c r="AE21" s="3213"/>
      <c r="AF21" s="3213"/>
      <c r="AG21" s="3213"/>
      <c r="AH21" s="3213"/>
      <c r="AI21" s="3213"/>
      <c r="AJ21" s="3213"/>
      <c r="AK21" s="3213"/>
    </row>
    <row r="22" spans="1:37" ht="18" customHeight="1">
      <c r="A22" s="3202" t="s">
        <v>1393</v>
      </c>
      <c r="B22" s="3167" t="s">
        <v>1450</v>
      </c>
      <c r="C22" s="2407"/>
      <c r="D22" s="2505" t="str">
        <f>IF(F23&lt;=1,"单利计息。","复利计息。")&amp;"建造成本、管理费用、销售费用产生的利息。"</f>
        <v>复利计息。建造成本、管理费用、销售费用产生的利息。</v>
      </c>
      <c r="E22" s="3218"/>
      <c r="F22" s="3216"/>
      <c r="G22" s="3158"/>
      <c r="H22" s="3202" t="s">
        <v>1039</v>
      </c>
      <c r="I22" s="3167" t="s">
        <v>1451</v>
      </c>
      <c r="J22" s="2407">
        <f ca="1">ROUND(J14*M22,1)</f>
        <v>0</v>
      </c>
      <c r="K22" s="2595" t="s">
        <v>1452</v>
      </c>
      <c r="L22" s="3167" t="s">
        <v>1424</v>
      </c>
      <c r="M22" s="2726">
        <f ca="1">INDIRECT("'数据-取费表'!Ak"&amp;$G$1)</f>
        <v>0</v>
      </c>
    </row>
    <row r="23" spans="1:37" s="3214" customFormat="1" ht="18" customHeight="1">
      <c r="A23" s="3202" t="s">
        <v>1034</v>
      </c>
      <c r="B23" s="3167" t="s">
        <v>1453</v>
      </c>
      <c r="C23" s="2407">
        <f ca="1">IF('数据-取费表'!B22&lt;=1,ROUND(C19*F24*F23/2,0)+ROUND(C20*F24*F23/2,0),ROUND(C19*(POWER((1+F24),F23/2)-1),0)+ROUND(C20*(POWER((1+F24),F23/2)-1),0))</f>
        <v>4</v>
      </c>
      <c r="D23" s="3225" t="str">
        <f>IF(F23&lt;=1,"(建造成本+管理费用)×利率×(建设周期÷2)","(建造成本+管理费用)×((1+利率)^(建设周期÷2)-1)")</f>
        <v>(建造成本+管理费用)×((1+利率)^(建设周期÷2)-1)</v>
      </c>
      <c r="E23" s="3167" t="s">
        <v>1454</v>
      </c>
      <c r="F23" s="2594">
        <f>'数据-取费表'!B20</f>
        <v>2</v>
      </c>
      <c r="G23" s="3208"/>
      <c r="H23" s="3202" t="s">
        <v>1075</v>
      </c>
      <c r="I23" s="3167" t="s">
        <v>1455</v>
      </c>
      <c r="J23" s="2407">
        <f ca="1">ROUND(J13*M23,1)</f>
        <v>0</v>
      </c>
      <c r="K23" s="2595" t="s">
        <v>1456</v>
      </c>
      <c r="L23" s="3167" t="s">
        <v>1424</v>
      </c>
      <c r="M23" s="2726">
        <f ca="1">INDIRECT("'数据-取费表'!Al"&amp;$G$1)</f>
        <v>0</v>
      </c>
      <c r="N23" s="3213"/>
      <c r="O23" s="3213"/>
      <c r="P23" s="3213"/>
      <c r="Q23" s="3213"/>
      <c r="R23" s="3213"/>
      <c r="S23" s="3213"/>
      <c r="T23" s="3213"/>
      <c r="U23" s="3213"/>
      <c r="V23" s="3213"/>
      <c r="W23" s="3213"/>
      <c r="X23" s="3213"/>
      <c r="Y23" s="3213"/>
      <c r="Z23" s="3213"/>
      <c r="AA23" s="3213"/>
      <c r="AB23" s="3213"/>
      <c r="AC23" s="3213"/>
      <c r="AD23" s="3213"/>
      <c r="AE23" s="3213"/>
      <c r="AF23" s="3213"/>
      <c r="AG23" s="3213"/>
      <c r="AH23" s="3213"/>
      <c r="AI23" s="3213"/>
      <c r="AJ23" s="3213"/>
      <c r="AK23" s="3213"/>
    </row>
    <row r="24" spans="1:37" s="3214" customFormat="1" ht="18" customHeight="1" thickBot="1">
      <c r="A24" s="3202" t="s">
        <v>1036</v>
      </c>
      <c r="B24" s="3167" t="s">
        <v>1459</v>
      </c>
      <c r="C24" s="2407">
        <f ca="1">ROUND(IF('数据-取费表'!B22&lt;=1,F21*F24*F23/2,F21*(POWER((1+F24),F23/2)-1)),4)</f>
        <v>1.4E-3</v>
      </c>
      <c r="D24" s="3225" t="str">
        <f>IF(F23&lt;=1,"销售费用×利率×(建设周期÷2)","销售费用×((1+利率)^(建设周期÷2)-1)")</f>
        <v>销售费用×((1+利率)^(建设周期÷2)-1)</v>
      </c>
      <c r="E24" s="3167" t="s">
        <v>1460</v>
      </c>
      <c r="F24" s="2594">
        <f ca="1">'数据-取费表'!B40</f>
        <v>4.7500000000000001E-2</v>
      </c>
      <c r="G24" s="3208"/>
      <c r="H24" s="3209" t="s">
        <v>1393</v>
      </c>
      <c r="I24" s="3189" t="s">
        <v>1441</v>
      </c>
      <c r="J24" s="3226">
        <f ca="1">ROUND(J5*M24,1)</f>
        <v>0</v>
      </c>
      <c r="K24" s="3227" t="s">
        <v>1461</v>
      </c>
      <c r="L24" s="3189" t="s">
        <v>1424</v>
      </c>
      <c r="M24" s="3190">
        <f ca="1">INDIRECT("'数据-取费表'!Am"&amp;$G$1)</f>
        <v>0</v>
      </c>
      <c r="N24" s="3213"/>
      <c r="O24" s="3213"/>
      <c r="P24" s="3213"/>
      <c r="Q24" s="3213"/>
      <c r="R24" s="3213"/>
      <c r="S24" s="3213"/>
      <c r="T24" s="3213"/>
      <c r="U24" s="3213"/>
      <c r="V24" s="3213"/>
      <c r="W24" s="3213"/>
      <c r="X24" s="3213"/>
      <c r="Y24" s="3213"/>
      <c r="Z24" s="3213"/>
      <c r="AA24" s="3213"/>
      <c r="AB24" s="3213"/>
      <c r="AC24" s="3213"/>
      <c r="AD24" s="3213"/>
      <c r="AE24" s="3213"/>
      <c r="AF24" s="3213"/>
      <c r="AG24" s="3213"/>
      <c r="AH24" s="3213"/>
      <c r="AI24" s="3213"/>
      <c r="AJ24" s="3213"/>
      <c r="AK24" s="3213"/>
    </row>
    <row r="25" spans="1:37" ht="24" customHeight="1" thickTop="1">
      <c r="A25" s="3202" t="s">
        <v>1462</v>
      </c>
      <c r="B25" s="3167" t="s">
        <v>1463</v>
      </c>
      <c r="C25" s="2407"/>
      <c r="D25" s="2505" t="s">
        <v>1464</v>
      </c>
      <c r="E25" s="3218"/>
      <c r="F25" s="3216"/>
      <c r="G25" s="3158"/>
      <c r="H25" s="3193" t="s">
        <v>1031</v>
      </c>
      <c r="I25" s="3228" t="s">
        <v>1465</v>
      </c>
      <c r="J25" s="3195">
        <f ca="1">J5-J16</f>
        <v>-2</v>
      </c>
      <c r="K25" s="3229" t="s">
        <v>1466</v>
      </c>
      <c r="L25" s="3230"/>
      <c r="M25" s="3231"/>
    </row>
    <row r="26" spans="1:37">
      <c r="A26" s="3202" t="s">
        <v>1034</v>
      </c>
      <c r="B26" s="3167" t="s">
        <v>1467</v>
      </c>
      <c r="C26" s="2407">
        <f ca="1">ROUND((C19+C20)*F26,0)</f>
        <v>0</v>
      </c>
      <c r="D26" s="3220" t="s">
        <v>1468</v>
      </c>
      <c r="E26" s="3174" t="s">
        <v>1469</v>
      </c>
      <c r="F26" s="2726">
        <f ca="1">INDIRECT("'数据-取费表'!q"&amp;$G$1)</f>
        <v>0</v>
      </c>
      <c r="G26" s="3158"/>
      <c r="H26" s="3159" t="s">
        <v>1032</v>
      </c>
      <c r="I26" s="3160" t="s">
        <v>1470</v>
      </c>
      <c r="J26" s="3168">
        <f ca="1">IF(J5&lt;&gt;0,ROUND(J25*(1-((1+M28)/(1+M26))^M27)/(M26-M28),0),0)</f>
        <v>0</v>
      </c>
      <c r="K26" s="3222" t="s">
        <v>1471</v>
      </c>
      <c r="L26" s="3167" t="s">
        <v>1472</v>
      </c>
      <c r="M26" s="2726">
        <f ca="1">INDIRECT("'数据-取费表'!I"&amp;$G$1)</f>
        <v>0</v>
      </c>
    </row>
    <row r="27" spans="1:37" ht="18" customHeight="1">
      <c r="A27" s="3202" t="s">
        <v>1036</v>
      </c>
      <c r="B27" s="3167" t="s">
        <v>1473</v>
      </c>
      <c r="C27" s="2407">
        <f ca="1">ROUND(F21*F26,4)</f>
        <v>0</v>
      </c>
      <c r="D27" s="3220" t="s">
        <v>1474</v>
      </c>
      <c r="E27" s="3206"/>
      <c r="F27" s="3207"/>
      <c r="G27" s="3158"/>
      <c r="H27" s="3172"/>
      <c r="I27" s="3232"/>
      <c r="J27" s="3173"/>
      <c r="K27" s="3233" t="s">
        <v>1475</v>
      </c>
      <c r="L27" s="3167" t="s">
        <v>1476</v>
      </c>
      <c r="M27" s="2726">
        <f ca="1">INDIRECT("'数据-取费表'!ag"&amp;$G$1)</f>
        <v>0</v>
      </c>
    </row>
    <row r="28" spans="1:37" s="3214" customFormat="1" ht="18" customHeight="1">
      <c r="A28" s="3202" t="s">
        <v>1037</v>
      </c>
      <c r="B28" s="3167" t="s">
        <v>1477</v>
      </c>
      <c r="C28" s="2407">
        <f>ROUND(F28/(1+'数据-取费表'!C42),4)</f>
        <v>5.33E-2</v>
      </c>
      <c r="D28" s="3220" t="s">
        <v>1478</v>
      </c>
      <c r="E28" s="3167" t="s">
        <v>1424</v>
      </c>
      <c r="F28" s="2594">
        <f>'数据-取费表'!B41</f>
        <v>5.6000000000000001E-2</v>
      </c>
      <c r="G28" s="3208"/>
      <c r="H28" s="3179"/>
      <c r="I28" s="3234"/>
      <c r="J28" s="3195"/>
      <c r="K28" s="2209"/>
      <c r="L28" s="3167" t="s">
        <v>1479</v>
      </c>
      <c r="M28" s="2726">
        <f ca="1">INDIRECT("'数据-取费表'!aa"&amp;$G$1)</f>
        <v>0</v>
      </c>
      <c r="N28" s="3213"/>
      <c r="O28" s="3213"/>
      <c r="P28" s="3213"/>
      <c r="Q28" s="3213"/>
      <c r="R28" s="3213"/>
      <c r="S28" s="3213"/>
      <c r="T28" s="3213"/>
      <c r="U28" s="3213"/>
      <c r="V28" s="3213"/>
      <c r="W28" s="3213"/>
      <c r="X28" s="3213"/>
      <c r="Y28" s="3213"/>
      <c r="Z28" s="3213"/>
      <c r="AA28" s="3213"/>
      <c r="AB28" s="3213"/>
      <c r="AC28" s="3213"/>
      <c r="AD28" s="3213"/>
      <c r="AE28" s="3213"/>
      <c r="AF28" s="3213"/>
      <c r="AG28" s="3213"/>
      <c r="AH28" s="3213"/>
      <c r="AI28" s="3213"/>
      <c r="AJ28" s="3213"/>
      <c r="AK28" s="3213"/>
    </row>
    <row r="29" spans="1:37" s="3214" customFormat="1" ht="18" customHeight="1" thickBot="1">
      <c r="A29" s="3209" t="s">
        <v>1038</v>
      </c>
      <c r="B29" s="3189" t="s">
        <v>1480</v>
      </c>
      <c r="C29" s="3226">
        <f ca="1">ROUND((C19+C20+C23+C26)/(1-F21-C24-C27-C28),0)</f>
        <v>97</v>
      </c>
      <c r="D29" s="3227"/>
      <c r="E29" s="3189"/>
      <c r="F29" s="3235"/>
      <c r="G29" s="3208"/>
      <c r="H29" s="3236" t="s">
        <v>1033</v>
      </c>
      <c r="I29" s="3237" t="s">
        <v>1481</v>
      </c>
      <c r="J29" s="3238">
        <f ca="1">ROUND(J26/(1+F40)^F41,0)</f>
        <v>0</v>
      </c>
      <c r="K29" s="3239" t="s">
        <v>1482</v>
      </c>
      <c r="L29" s="3240"/>
      <c r="M29" s="3241">
        <f ca="1">INDIRECT("'数据-取费表'!k"&amp;$G$1)</f>
        <v>4137.8500000000004</v>
      </c>
      <c r="N29" s="3213"/>
      <c r="O29" s="3213"/>
      <c r="P29" s="3213"/>
      <c r="Q29" s="3213"/>
      <c r="R29" s="3213"/>
      <c r="S29" s="3213"/>
      <c r="T29" s="3213"/>
      <c r="U29" s="3213"/>
      <c r="V29" s="3213"/>
      <c r="W29" s="3213"/>
      <c r="X29" s="3213"/>
      <c r="Y29" s="3213"/>
      <c r="Z29" s="3213"/>
      <c r="AA29" s="3213"/>
      <c r="AB29" s="3213"/>
      <c r="AC29" s="3213"/>
      <c r="AD29" s="3213"/>
      <c r="AE29" s="3213"/>
      <c r="AF29" s="3213"/>
      <c r="AG29" s="3213"/>
      <c r="AH29" s="3213"/>
      <c r="AI29" s="3213"/>
      <c r="AJ29" s="3213"/>
      <c r="AK29" s="3213"/>
    </row>
    <row r="30" spans="1:37" ht="18" customHeight="1" thickTop="1">
      <c r="A30" s="3193" t="s">
        <v>1030</v>
      </c>
      <c r="B30" s="3194" t="s">
        <v>1426</v>
      </c>
      <c r="C30" s="3195">
        <f ca="1">ROUND(C31+C36+C37+C38,0)</f>
        <v>2</v>
      </c>
      <c r="D30" s="3199" t="s">
        <v>1427</v>
      </c>
      <c r="E30" s="3215"/>
      <c r="F30" s="3164"/>
      <c r="G30" s="3158"/>
      <c r="H30" s="3242"/>
      <c r="I30" s="3242"/>
      <c r="J30" s="3243"/>
      <c r="K30" s="2218"/>
      <c r="L30" s="3244"/>
      <c r="M30" s="3243"/>
    </row>
    <row r="31" spans="1:37" ht="18" customHeight="1">
      <c r="A31" s="3202" t="s">
        <v>1035</v>
      </c>
      <c r="B31" s="3167" t="s">
        <v>1431</v>
      </c>
      <c r="C31" s="2407">
        <f ca="1">ROUND(IF(项目基本情况!B11="自然人",C5*F31,C32+C33+C34),1)</f>
        <v>1.8</v>
      </c>
      <c r="D31" s="2678" t="s">
        <v>1432</v>
      </c>
      <c r="E31" s="2595" t="s">
        <v>1483</v>
      </c>
      <c r="F31" s="3217" t="str">
        <f ca="1">IF(项目基本情况!B11="企业","",IF(INDIRECT("'数据-取费表'!c"&amp;$G$1)="住宅",5%,IF(F6*F7*F8/12/(1+'数据-取费表'!C42)&gt;20000,12%,7%)))</f>
        <v/>
      </c>
      <c r="G31" s="3158"/>
      <c r="H31" s="3242"/>
      <c r="I31" s="3242"/>
      <c r="J31" s="3243"/>
      <c r="K31" s="2218"/>
      <c r="L31" s="3244"/>
      <c r="M31" s="3243"/>
    </row>
    <row r="32" spans="1:37" ht="18" customHeight="1">
      <c r="A32" s="3202" t="s">
        <v>1034</v>
      </c>
      <c r="B32" s="3167" t="s">
        <v>1435</v>
      </c>
      <c r="C32" s="2407">
        <f ca="1">IF(项目基本情况!B11="自然人","——",ROUND(C5*F32/(1+'数据-取费表'!C42),2))</f>
        <v>0</v>
      </c>
      <c r="D32" s="2595" t="s">
        <v>1436</v>
      </c>
      <c r="E32" s="3167" t="s">
        <v>1424</v>
      </c>
      <c r="F32" s="2594">
        <f>'数据-取费表'!B41</f>
        <v>5.6000000000000001E-2</v>
      </c>
      <c r="G32" s="3158"/>
      <c r="H32" s="3242"/>
      <c r="I32" s="3242"/>
      <c r="J32" s="3243"/>
      <c r="K32" s="2218"/>
      <c r="L32" s="3244"/>
      <c r="M32" s="3243"/>
    </row>
    <row r="33" spans="1:18" ht="18" customHeight="1">
      <c r="A33" s="3202" t="s">
        <v>1036</v>
      </c>
      <c r="B33" s="3167" t="s">
        <v>1439</v>
      </c>
      <c r="C33" s="2407">
        <f ca="1">IF(项目基本情况!B11="自然人","——",IF(D33="按租金收入计税",ROUND(C5*F33,2),IF(D33="按房产原值计税",ROUND(C29*F33*0.7,2),INDIRECT("'数据-取费表'!Aj"&amp;$G$1))))</f>
        <v>0.81</v>
      </c>
      <c r="D33" s="3219" t="s">
        <v>1440</v>
      </c>
      <c r="E33" s="3167" t="s">
        <v>1424</v>
      </c>
      <c r="F33" s="2594">
        <f>IF(D33="按票据","——",IF(D33="按租金收入计税",'数据-取费表'!B51,'数据-取费表'!B50))</f>
        <v>1.2E-2</v>
      </c>
      <c r="G33" s="3158"/>
      <c r="H33" s="3245"/>
      <c r="I33" s="3246"/>
      <c r="J33" s="3247"/>
      <c r="K33" s="3248"/>
      <c r="L33" s="3245"/>
      <c r="M33" s="3245"/>
    </row>
    <row r="34" spans="1:18" ht="18" customHeight="1">
      <c r="A34" s="3165" t="s">
        <v>1390</v>
      </c>
      <c r="B34" s="2584" t="s">
        <v>1443</v>
      </c>
      <c r="C34" s="3221">
        <f ca="1">IF(项目基本情况!B11="自然人","——",ROUND(F34*F35/10000,2))</f>
        <v>0.98</v>
      </c>
      <c r="D34" s="3222" t="s">
        <v>1444</v>
      </c>
      <c r="E34" s="3167" t="s">
        <v>1445</v>
      </c>
      <c r="F34" s="2594">
        <f>'数据-取费表'!B52</f>
        <v>8</v>
      </c>
      <c r="G34" s="3158"/>
      <c r="H34" s="3242"/>
      <c r="I34" s="3246"/>
      <c r="J34" s="3247"/>
      <c r="K34" s="3249"/>
      <c r="L34" s="3250"/>
      <c r="M34" s="3250"/>
    </row>
    <row r="35" spans="1:18" ht="18" customHeight="1">
      <c r="A35" s="3251"/>
      <c r="B35" s="3251"/>
      <c r="C35" s="2596"/>
      <c r="D35" s="2209"/>
      <c r="E35" s="3167" t="s">
        <v>1449</v>
      </c>
      <c r="F35" s="2726">
        <f ca="1">INDIRECT("'数据-取费表'!r"&amp;$G$1)</f>
        <v>1226.68</v>
      </c>
      <c r="G35" s="3158"/>
      <c r="H35" s="3242"/>
      <c r="I35" s="3246"/>
      <c r="J35" s="3247"/>
      <c r="K35" s="3248"/>
      <c r="L35" s="3245"/>
      <c r="M35" s="3245"/>
    </row>
    <row r="36" spans="1:18" ht="18" customHeight="1">
      <c r="A36" s="3252" t="s">
        <v>1039</v>
      </c>
      <c r="B36" s="3167" t="s">
        <v>1451</v>
      </c>
      <c r="C36" s="2407">
        <f ca="1">ROUND(C29*F36,1)</f>
        <v>0</v>
      </c>
      <c r="D36" s="2595" t="s">
        <v>1484</v>
      </c>
      <c r="E36" s="3167" t="s">
        <v>1424</v>
      </c>
      <c r="F36" s="2726">
        <f ca="1">INDIRECT("'数据-取费表'!Ak"&amp;$G$1)</f>
        <v>0</v>
      </c>
      <c r="G36" s="3158"/>
      <c r="H36" s="3245"/>
      <c r="I36" s="3246"/>
      <c r="J36" s="3247"/>
      <c r="K36" s="3253"/>
      <c r="L36" s="3245"/>
      <c r="M36" s="3245"/>
    </row>
    <row r="37" spans="1:18" ht="18" customHeight="1">
      <c r="A37" s="3202" t="s">
        <v>1075</v>
      </c>
      <c r="B37" s="3167" t="s">
        <v>1455</v>
      </c>
      <c r="C37" s="2407">
        <f ca="1">ROUND(C13*F37,1)</f>
        <v>0</v>
      </c>
      <c r="D37" s="2595" t="s">
        <v>1456</v>
      </c>
      <c r="E37" s="3167" t="s">
        <v>1424</v>
      </c>
      <c r="F37" s="2726">
        <f ca="1">INDIRECT("'数据-取费表'!Al"&amp;$G$1)</f>
        <v>0</v>
      </c>
      <c r="G37" s="3158"/>
      <c r="H37" s="3245"/>
      <c r="I37" s="3246"/>
      <c r="J37" s="3247"/>
      <c r="K37" s="3253"/>
      <c r="L37" s="3245"/>
      <c r="M37" s="3245"/>
    </row>
    <row r="38" spans="1:18" ht="18" customHeight="1" thickBot="1">
      <c r="A38" s="3209" t="s">
        <v>1393</v>
      </c>
      <c r="B38" s="3189" t="s">
        <v>1441</v>
      </c>
      <c r="C38" s="3226">
        <f ca="1">ROUND(C5*F38,1)</f>
        <v>0</v>
      </c>
      <c r="D38" s="3227" t="s">
        <v>1461</v>
      </c>
      <c r="E38" s="3189" t="s">
        <v>1424</v>
      </c>
      <c r="F38" s="3190">
        <f ca="1">INDIRECT("'数据-取费表'!Am"&amp;$G$1)</f>
        <v>0</v>
      </c>
      <c r="G38" s="3158"/>
      <c r="H38" s="3245"/>
      <c r="I38" s="3246"/>
      <c r="J38" s="3247"/>
      <c r="K38" s="3254"/>
      <c r="L38" s="3245"/>
      <c r="M38" s="3245"/>
    </row>
    <row r="39" spans="1:18" ht="24.6" customHeight="1" thickTop="1">
      <c r="A39" s="3193" t="s">
        <v>1031</v>
      </c>
      <c r="B39" s="3228" t="s">
        <v>1465</v>
      </c>
      <c r="C39" s="3195">
        <f ca="1">C5-C30</f>
        <v>-2</v>
      </c>
      <c r="D39" s="3229" t="s">
        <v>1466</v>
      </c>
      <c r="E39" s="3230"/>
      <c r="F39" s="3231"/>
      <c r="G39" s="3158"/>
      <c r="H39" s="3245"/>
      <c r="I39" s="3246"/>
      <c r="J39" s="3247"/>
      <c r="K39" s="3254"/>
      <c r="L39" s="3245"/>
      <c r="M39" s="3245"/>
    </row>
    <row r="40" spans="1:18" ht="18" customHeight="1">
      <c r="A40" s="3159" t="s">
        <v>1032</v>
      </c>
      <c r="B40" s="3160" t="s">
        <v>1487</v>
      </c>
      <c r="C40" s="3168" t="e">
        <f ca="1">ROUND(C39*(1-((1+F42)/(1+F40))^F41)/(F40-F42),0)</f>
        <v>#DIV/0!</v>
      </c>
      <c r="D40" s="3222" t="s">
        <v>1471</v>
      </c>
      <c r="E40" s="3167" t="s">
        <v>1472</v>
      </c>
      <c r="F40" s="2726">
        <f ca="1">INDIRECT("'数据-取费表'!I"&amp;$G$1)</f>
        <v>0</v>
      </c>
      <c r="G40" s="3158"/>
      <c r="H40" s="3255"/>
      <c r="I40" s="3246"/>
      <c r="J40" s="3247"/>
      <c r="K40" s="3254"/>
      <c r="L40" s="3255"/>
      <c r="M40" s="3255"/>
    </row>
    <row r="41" spans="1:18" ht="18" customHeight="1">
      <c r="A41" s="3172"/>
      <c r="B41" s="3232"/>
      <c r="C41" s="3173"/>
      <c r="D41" s="3233" t="s">
        <v>1488</v>
      </c>
      <c r="E41" s="3167" t="s">
        <v>1476</v>
      </c>
      <c r="F41" s="2726">
        <f ca="1">IF(INDIRECT("'数据-取费表'!af"&amp;$G$1)=0,INDIRECT("'数据-取费表'!ae"&amp;$G$1),INDIRECT("'数据-取费表'!af"&amp;$G$1))</f>
        <v>0</v>
      </c>
      <c r="G41" s="3158"/>
      <c r="H41" s="2367"/>
      <c r="I41" s="3246"/>
      <c r="J41" s="3247"/>
      <c r="K41" s="3253"/>
      <c r="L41" s="2367"/>
      <c r="M41" s="2367"/>
    </row>
    <row r="42" spans="1:18" ht="18" customHeight="1">
      <c r="A42" s="3179"/>
      <c r="B42" s="3234"/>
      <c r="C42" s="3195"/>
      <c r="D42" s="2209"/>
      <c r="E42" s="3167" t="s">
        <v>1479</v>
      </c>
      <c r="F42" s="2726">
        <f ca="1">INDIRECT("'数据-取费表'!v"&amp;$G$1)</f>
        <v>0</v>
      </c>
      <c r="G42" s="3158"/>
      <c r="H42" s="2367"/>
      <c r="I42" s="3246"/>
      <c r="J42" s="3247"/>
      <c r="K42" s="3253"/>
      <c r="L42" s="2367"/>
      <c r="M42" s="2367"/>
    </row>
    <row r="43" spans="1:18" ht="18" customHeight="1" thickBot="1">
      <c r="A43" s="3236" t="s">
        <v>1033</v>
      </c>
      <c r="B43" s="3237" t="s">
        <v>1489</v>
      </c>
      <c r="C43" s="3238" t="e">
        <f ca="1">ROUND(C40*10000/F43,0)</f>
        <v>#DIV/0!</v>
      </c>
      <c r="D43" s="3239" t="s">
        <v>1490</v>
      </c>
      <c r="E43" s="3240" t="s">
        <v>1491</v>
      </c>
      <c r="F43" s="3241">
        <f ca="1">INDIRECT("'数据-取费表'!k"&amp;$G$1)</f>
        <v>4137.8500000000004</v>
      </c>
      <c r="G43" s="3158"/>
      <c r="H43" s="2367"/>
      <c r="I43" s="2367"/>
      <c r="J43" s="2367"/>
      <c r="K43" s="3253"/>
      <c r="L43" s="2367"/>
      <c r="M43" s="2367"/>
    </row>
    <row r="44" spans="1:18" s="3149" customFormat="1" ht="18" customHeight="1">
      <c r="A44" s="3256"/>
      <c r="B44" s="3256"/>
      <c r="C44" s="3257"/>
      <c r="D44" s="3256"/>
      <c r="E44" s="3256"/>
      <c r="F44" s="3256"/>
      <c r="K44" s="3258"/>
    </row>
    <row r="45" spans="1:18" s="3149" customFormat="1" ht="18" customHeight="1" thickBot="1">
      <c r="A45" s="3256"/>
      <c r="B45" s="3256"/>
      <c r="C45" s="3257"/>
      <c r="D45" s="3256"/>
      <c r="E45" s="3256"/>
      <c r="F45" s="3256"/>
      <c r="J45" s="3014"/>
      <c r="O45" s="3259" t="s">
        <v>1521</v>
      </c>
      <c r="P45" s="3255"/>
      <c r="Q45" s="3255"/>
      <c r="R45" s="3255"/>
    </row>
    <row r="46" spans="1:18" s="3149" customFormat="1" ht="13.5" thickBot="1">
      <c r="A46" s="3260" t="s">
        <v>1522</v>
      </c>
      <c r="C46" s="3261" t="e">
        <f ca="1">C68-C40</f>
        <v>#DIV/0!</v>
      </c>
      <c r="D46" s="3262" t="str">
        <f>C2</f>
        <v>万元</v>
      </c>
      <c r="E46" s="3256"/>
      <c r="F46" s="3256"/>
      <c r="I46" s="3263" t="s">
        <v>1523</v>
      </c>
      <c r="J46" s="3264"/>
      <c r="K46" s="3265"/>
      <c r="L46" s="3266">
        <f ca="1">IF(M47="住宅",0,IF(L48&gt;J51,L60,J60))</f>
        <v>2</v>
      </c>
      <c r="O46" s="3267" t="s">
        <v>1524</v>
      </c>
      <c r="P46" s="3268" t="s">
        <v>1525</v>
      </c>
      <c r="Q46" s="3269" t="s">
        <v>1526</v>
      </c>
      <c r="R46" s="3269" t="s">
        <v>1527</v>
      </c>
    </row>
    <row r="47" spans="1:18" s="3149" customFormat="1" ht="13.5" thickBot="1">
      <c r="A47" s="3270" t="s">
        <v>1397</v>
      </c>
      <c r="B47" s="3271" t="s">
        <v>1398</v>
      </c>
      <c r="C47" s="3272" t="s">
        <v>1399</v>
      </c>
      <c r="D47" s="3271" t="s">
        <v>1400</v>
      </c>
      <c r="E47" s="3273" t="s">
        <v>1401</v>
      </c>
      <c r="F47" s="3092"/>
      <c r="G47" s="3274"/>
      <c r="I47" s="3275" t="s">
        <v>1528</v>
      </c>
      <c r="J47" s="3276" t="s">
        <v>3093</v>
      </c>
      <c r="K47" s="3277" t="s">
        <v>1529</v>
      </c>
      <c r="L47" s="3278">
        <f ca="1">INDIRECT("'数据-取费表'!d"&amp;$G$1)</f>
        <v>40</v>
      </c>
      <c r="M47" s="3279" t="str">
        <f>IF(ISNUMBER(FIND("住宅",C1)),"住宅","非住宅")</f>
        <v>非住宅</v>
      </c>
      <c r="O47" s="3280" t="s">
        <v>1040</v>
      </c>
      <c r="P47" s="3281" t="s">
        <v>1530</v>
      </c>
      <c r="Q47" s="3282" t="e">
        <f ca="1">C40+J29</f>
        <v>#DIV/0!</v>
      </c>
      <c r="R47" s="3282" t="s">
        <v>1531</v>
      </c>
    </row>
    <row r="48" spans="1:18" s="3149" customFormat="1" ht="28.5" thickBot="1">
      <c r="A48" s="3283" t="s">
        <v>1135</v>
      </c>
      <c r="B48" s="3160" t="s">
        <v>1402</v>
      </c>
      <c r="C48" s="2614">
        <f ca="1">C49+C53+C55</f>
        <v>0</v>
      </c>
      <c r="D48" s="3284"/>
      <c r="E48" s="3285"/>
      <c r="F48" s="3286"/>
      <c r="G48" s="3274"/>
      <c r="H48" s="3287"/>
      <c r="I48" s="3288" t="s">
        <v>1532</v>
      </c>
      <c r="J48" s="3289" t="s">
        <v>7099</v>
      </c>
      <c r="K48" s="3290" t="s">
        <v>1533</v>
      </c>
      <c r="L48" s="3291">
        <f ca="1">INDIRECT("'数据-取费表'!f"&amp;$G$1)</f>
        <v>35.47</v>
      </c>
      <c r="O48" s="3280" t="s">
        <v>1041</v>
      </c>
      <c r="P48" s="3281" t="s">
        <v>1534</v>
      </c>
      <c r="Q48" s="3282">
        <f ca="1">J60</f>
        <v>2</v>
      </c>
      <c r="R48" s="3282" t="s">
        <v>1535</v>
      </c>
    </row>
    <row r="49" spans="1:18" s="3149" customFormat="1" ht="13.5" thickBot="1">
      <c r="A49" s="3292" t="s">
        <v>1136</v>
      </c>
      <c r="B49" s="3293" t="s">
        <v>1492</v>
      </c>
      <c r="C49" s="3294">
        <f ca="1">ROUND(F49*F51*F50*(1-F52)/10000,0)</f>
        <v>0</v>
      </c>
      <c r="D49" s="3295" t="s">
        <v>3042</v>
      </c>
      <c r="E49" s="3296" t="s">
        <v>1493</v>
      </c>
      <c r="F49" s="3297"/>
      <c r="G49" s="3298"/>
      <c r="H49" s="3287"/>
      <c r="I49" s="3288" t="s">
        <v>1536</v>
      </c>
      <c r="J49" s="3299">
        <v>2016</v>
      </c>
      <c r="K49" s="3290" t="s">
        <v>1537</v>
      </c>
      <c r="L49" s="3300"/>
      <c r="O49" s="3301" t="s">
        <v>1042</v>
      </c>
      <c r="P49" s="3281" t="s">
        <v>1538</v>
      </c>
      <c r="Q49" s="3282">
        <f ca="1">C29</f>
        <v>97</v>
      </c>
      <c r="R49" s="3282" t="s">
        <v>1531</v>
      </c>
    </row>
    <row r="50" spans="1:18" s="3149" customFormat="1" ht="13.5" thickBot="1">
      <c r="A50" s="3302"/>
      <c r="B50" s="3034"/>
      <c r="C50" s="3303"/>
      <c r="D50" s="3304"/>
      <c r="E50" s="3305" t="s">
        <v>1407</v>
      </c>
      <c r="F50" s="3306">
        <f ca="1">F7</f>
        <v>4137.8500000000004</v>
      </c>
      <c r="H50" s="3287"/>
      <c r="I50" s="3288" t="s">
        <v>1539</v>
      </c>
      <c r="J50" s="3307">
        <f>SUMPRODUCT((I63:I65=J47)*(J62:L62=J48)*(J63:L65))</f>
        <v>60</v>
      </c>
      <c r="K50" s="3290" t="s">
        <v>1540</v>
      </c>
      <c r="L50" s="3300"/>
      <c r="M50" s="3308"/>
      <c r="O50" s="3301" t="s">
        <v>1043</v>
      </c>
      <c r="P50" s="3281" t="s">
        <v>1541</v>
      </c>
      <c r="Q50" s="3282">
        <f ca="1">J58</f>
        <v>0.4</v>
      </c>
      <c r="R50" s="3282"/>
    </row>
    <row r="51" spans="1:18" s="3149" customFormat="1" ht="13.5" thickBot="1">
      <c r="A51" s="3309"/>
      <c r="B51" s="3034"/>
      <c r="C51" s="3310"/>
      <c r="D51" s="3304"/>
      <c r="E51" s="3311" t="s">
        <v>1408</v>
      </c>
      <c r="F51" s="2726">
        <f ca="1">F8</f>
        <v>365</v>
      </c>
      <c r="I51" s="3312" t="s">
        <v>1542</v>
      </c>
      <c r="J51" s="3291">
        <f>IF(J49="",J50,J49+J50-YEAR('数据-取费表'!B2))</f>
        <v>59</v>
      </c>
      <c r="K51" s="3313" t="s">
        <v>1543</v>
      </c>
      <c r="L51" s="3291">
        <f ca="1">ROUND(-PV(INDIRECT("'数据-取费表'!h"&amp;$G$1),L48,(C39-C13*C76),0),0)</f>
        <v>-71</v>
      </c>
      <c r="M51" s="3314"/>
      <c r="O51" s="3301" t="s">
        <v>1044</v>
      </c>
      <c r="P51" s="3281" t="s">
        <v>1544</v>
      </c>
      <c r="Q51" s="3282">
        <f>J52</f>
        <v>0.09</v>
      </c>
      <c r="R51" s="3282"/>
    </row>
    <row r="52" spans="1:18" s="3149" customFormat="1" ht="13.5" thickBot="1">
      <c r="A52" s="3309"/>
      <c r="B52" s="3034"/>
      <c r="C52" s="3310"/>
      <c r="D52" s="3304"/>
      <c r="E52" s="3311" t="s">
        <v>1409</v>
      </c>
      <c r="F52" s="3315"/>
      <c r="I52" s="3316" t="s">
        <v>1545</v>
      </c>
      <c r="J52" s="3317">
        <v>0.09</v>
      </c>
      <c r="K52" s="3316" t="s">
        <v>1546</v>
      </c>
      <c r="L52" s="3317"/>
      <c r="O52" s="3301" t="s">
        <v>1045</v>
      </c>
      <c r="P52" s="3281" t="s">
        <v>1547</v>
      </c>
      <c r="Q52" s="3282">
        <f ca="1">J53</f>
        <v>35.47</v>
      </c>
      <c r="R52" s="3282" t="s">
        <v>1548</v>
      </c>
    </row>
    <row r="53" spans="1:18" s="3149" customFormat="1" ht="24.75" thickBot="1">
      <c r="A53" s="3318" t="s">
        <v>1137</v>
      </c>
      <c r="B53" s="2507" t="s">
        <v>1410</v>
      </c>
      <c r="C53" s="3098">
        <f ca="1">ROUND(IF(F53="押一",F49*F51*F50/12*F11,IF(F53="押二",F49*F51*F50/12*2*F11,IF(F53="押三",F49*F51*F50/12*3*F11,C54*F11)))/10000,0)</f>
        <v>0</v>
      </c>
      <c r="D53" s="3177" t="s">
        <v>3040</v>
      </c>
      <c r="E53" s="3174" t="s">
        <v>1412</v>
      </c>
      <c r="F53" s="3178"/>
      <c r="I53" s="3319" t="s">
        <v>1549</v>
      </c>
      <c r="J53" s="3320">
        <f ca="1">IF(M47="住宅",J51,IF(D1="——",MIN(J51,L48),IF(D1="在建（套用方法）",MIN(J51,L48-'数据-取费表'!B24),IF(D1="土地（套用方法）",MIN(J51,L48-'数据-取费表'!B20)))))</f>
        <v>35.47</v>
      </c>
      <c r="K53" s="3950" t="s">
        <v>1550</v>
      </c>
      <c r="L53" s="3951"/>
      <c r="O53" s="3280" t="s">
        <v>1046</v>
      </c>
      <c r="P53" s="3281" t="s">
        <v>1551</v>
      </c>
      <c r="Q53" s="3282" t="e">
        <f ca="1">Q47+Q48</f>
        <v>#DIV/0!</v>
      </c>
      <c r="R53" s="3282" t="s">
        <v>1047</v>
      </c>
    </row>
    <row r="54" spans="1:18" s="3149" customFormat="1" ht="13.5" thickBot="1">
      <c r="A54" s="3321"/>
      <c r="B54" s="3180" t="s">
        <v>1389</v>
      </c>
      <c r="C54" s="3181"/>
      <c r="D54" s="3177"/>
      <c r="E54" s="3322"/>
      <c r="F54" s="3323"/>
      <c r="I54" s="332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3325"/>
      <c r="K54" s="3325"/>
      <c r="L54" s="3325"/>
      <c r="M54" s="3298"/>
      <c r="O54" s="3259" t="s">
        <v>1552</v>
      </c>
      <c r="P54" s="3255"/>
      <c r="Q54" s="3255"/>
      <c r="R54" s="3255"/>
    </row>
    <row r="55" spans="1:18" s="3149" customFormat="1" ht="13.5" thickBot="1">
      <c r="A55" s="3185" t="s">
        <v>1075</v>
      </c>
      <c r="B55" s="3186" t="s">
        <v>1415</v>
      </c>
      <c r="C55" s="3187"/>
      <c r="D55" s="3177"/>
      <c r="E55" s="3322"/>
      <c r="F55" s="3323"/>
      <c r="I55" s="3326" t="s">
        <v>1553</v>
      </c>
      <c r="J55" s="3327">
        <f ca="1">ROUND(IF(J47="钢混",J57/J50,1-(1-2%)*(J50-J57)/J50),3)</f>
        <v>0.39200000000000002</v>
      </c>
      <c r="K55" s="3328" t="s">
        <v>1554</v>
      </c>
      <c r="L55" s="3329" t="s">
        <v>1555</v>
      </c>
      <c r="O55" s="3267" t="s">
        <v>1524</v>
      </c>
      <c r="P55" s="3268" t="s">
        <v>1525</v>
      </c>
      <c r="Q55" s="3269" t="s">
        <v>1526</v>
      </c>
      <c r="R55" s="3269" t="s">
        <v>1527</v>
      </c>
    </row>
    <row r="56" spans="1:18" s="3149" customFormat="1" ht="25.5" thickTop="1" thickBot="1">
      <c r="A56" s="3330">
        <v>2</v>
      </c>
      <c r="B56" s="3331" t="s">
        <v>1416</v>
      </c>
      <c r="C56" s="3332">
        <f ca="1">C13</f>
        <v>0</v>
      </c>
      <c r="D56" s="3333"/>
      <c r="E56" s="3334"/>
      <c r="F56" s="3323"/>
      <c r="I56" s="3335" t="s">
        <v>1556</v>
      </c>
      <c r="J56" s="3336" t="s">
        <v>7100</v>
      </c>
      <c r="K56" s="3288" t="s">
        <v>1557</v>
      </c>
      <c r="L56" s="3291" t="str">
        <f ca="1">IF(L48&lt;J51,"——",L48-J53)</f>
        <v>——</v>
      </c>
      <c r="O56" s="3280" t="s">
        <v>1040</v>
      </c>
      <c r="P56" s="3281" t="s">
        <v>1530</v>
      </c>
      <c r="Q56" s="3282" t="e">
        <f ca="1">C40+J29</f>
        <v>#DIV/0!</v>
      </c>
      <c r="R56" s="3282" t="s">
        <v>1531</v>
      </c>
    </row>
    <row r="57" spans="1:18" s="3149" customFormat="1" ht="24.75" thickBot="1">
      <c r="A57" s="3337"/>
      <c r="B57" s="3338" t="s">
        <v>1480</v>
      </c>
      <c r="C57" s="3339">
        <f ca="1">C29</f>
        <v>97</v>
      </c>
      <c r="D57" s="3340"/>
      <c r="E57" s="3341"/>
      <c r="F57" s="3342"/>
      <c r="I57" s="3343" t="s">
        <v>1558</v>
      </c>
      <c r="J57" s="3344">
        <f ca="1">IF(OR(M47="住宅",J51&lt;L48,J56="是"),"——",J51-L48)</f>
        <v>23.53</v>
      </c>
      <c r="K57" s="3288" t="s">
        <v>1559</v>
      </c>
      <c r="L57" s="3291" t="str">
        <f ca="1">IF(L48&lt;J51,"——",IF(L55="比较法",L49,IF(L55="基准地价",L50,L51)))</f>
        <v>——</v>
      </c>
      <c r="O57" s="3280" t="s">
        <v>1041</v>
      </c>
      <c r="P57" s="3281" t="s">
        <v>1560</v>
      </c>
      <c r="Q57" s="3282">
        <f ca="1">L60</f>
        <v>0</v>
      </c>
      <c r="R57" s="3282" t="s">
        <v>1561</v>
      </c>
    </row>
    <row r="58" spans="1:18" s="3149" customFormat="1" ht="24.75" thickBot="1">
      <c r="A58" s="3345" t="s">
        <v>1030</v>
      </c>
      <c r="B58" s="3331" t="s">
        <v>1426</v>
      </c>
      <c r="C58" s="3098">
        <f ca="1">ROUND(C59+C64+C65+C66,0)</f>
        <v>2</v>
      </c>
      <c r="D58" s="3346" t="s">
        <v>1427</v>
      </c>
      <c r="E58" s="3347"/>
      <c r="F58" s="3286"/>
      <c r="I58" s="3343" t="s">
        <v>1562</v>
      </c>
      <c r="J58" s="3344">
        <f ca="1">IF(J55&lt;0.4,0.4,J55)</f>
        <v>0.4</v>
      </c>
      <c r="K58" s="3313" t="s">
        <v>1563</v>
      </c>
      <c r="L58" s="3291" t="e">
        <f ca="1">ROUND(POWER(1+L52,L47-L48)*(POWER(1+L52,L48)-1)/(POWER(1+L52,L47)-1),4)</f>
        <v>#DIV/0!</v>
      </c>
      <c r="O58" s="3301" t="s">
        <v>1042</v>
      </c>
      <c r="P58" s="3281" t="s">
        <v>1564</v>
      </c>
      <c r="Q58" s="3282">
        <f>IF(L55="比较法",L49,IF(L55="基准地价",L50,0))</f>
        <v>0</v>
      </c>
      <c r="R58" s="3282" t="s">
        <v>1531</v>
      </c>
    </row>
    <row r="59" spans="1:18" s="3149" customFormat="1" ht="24.75" thickBot="1">
      <c r="A59" s="3202" t="s">
        <v>1035</v>
      </c>
      <c r="B59" s="3338" t="s">
        <v>1431</v>
      </c>
      <c r="C59" s="2407">
        <f ca="1">ROUND(IF(项目基本情况!B11="自然人",C48*F59,C60+C61+C62),1)</f>
        <v>1.8</v>
      </c>
      <c r="D59" s="3348" t="s">
        <v>1432</v>
      </c>
      <c r="E59" s="3349" t="s">
        <v>1433</v>
      </c>
      <c r="F59" s="3217" t="str">
        <f ca="1">IF(项目基本情况!B11="企业","",IF(INDIRECT("'数据-取费表'!c"&amp;$G$1)="住宅",5%,IF(F49*F50*F51/12/(1+'数据-取费表'!C42)&gt;20000,12%,7%)))</f>
        <v/>
      </c>
      <c r="I59" s="3343" t="s">
        <v>1565</v>
      </c>
      <c r="J59" s="3344">
        <f ca="1">IF(OR(M47="住宅",J51&lt;L48,J56="是"),"——",ROUND(C29*J58,0))</f>
        <v>39</v>
      </c>
      <c r="K59" s="328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3291" t="e">
        <f ca="1">ROUND(IF(D1="在建（套用方法）",M59,IF(D1="土地（套用方法）",N59,POWER(1+L52,L47-J51)*(POWER(1+L52,J51)-1)/(POWER(1+L52,L47)-1))),4)</f>
        <v>#DIV/0!</v>
      </c>
      <c r="M59" s="3279" t="e">
        <f ca="1">ROUND(POWER(1+L52,L47-(J51+'数据-取费表'!B24))*(POWER(1+L52,(J51+'数据-取费表'!B24))-1)/(POWER(1+L52,L47)-1),4)</f>
        <v>#DIV/0!</v>
      </c>
      <c r="N59" s="3279" t="e">
        <f ca="1">ROUND(POWER(1+L52,L47-(J51+'数据-取费表'!B20))*(POWER(1+L52,(J51+'数据-取费表'!B20))-1)/(POWER(1+L52,L47)-1),4)</f>
        <v>#DIV/0!</v>
      </c>
      <c r="O59" s="3301" t="s">
        <v>1043</v>
      </c>
      <c r="P59" s="3281" t="s">
        <v>1566</v>
      </c>
      <c r="Q59" s="3282">
        <f>L52</f>
        <v>0</v>
      </c>
      <c r="R59" s="3282"/>
    </row>
    <row r="60" spans="1:18" s="3149" customFormat="1" ht="16.5" thickBot="1">
      <c r="A60" s="3202" t="s">
        <v>1034</v>
      </c>
      <c r="B60" s="3338" t="s">
        <v>1435</v>
      </c>
      <c r="C60" s="2407">
        <f ca="1">IF(项目基本情况!B11="自然人","——",ROUND(C48*F60/(1+'数据-取费表'!C42),2))</f>
        <v>0</v>
      </c>
      <c r="D60" s="3349" t="s">
        <v>1436</v>
      </c>
      <c r="E60" s="3338" t="s">
        <v>1424</v>
      </c>
      <c r="F60" s="2594">
        <f t="shared" ref="F60:F66" si="0">F32</f>
        <v>5.6000000000000001E-2</v>
      </c>
      <c r="I60" s="3350" t="s">
        <v>1567</v>
      </c>
      <c r="J60" s="3351">
        <f ca="1">IF(OR(M47="住宅",J51&lt;L48,J56="是"),"0",ROUND(J59/(1+J52)^J53,0))</f>
        <v>2</v>
      </c>
      <c r="K60" s="3352" t="s">
        <v>1568</v>
      </c>
      <c r="L60" s="3351">
        <f ca="1">IF(OR(M47="住宅",L48&lt;J51),0,ROUND(L57*(L58/L59-1),0))</f>
        <v>0</v>
      </c>
      <c r="O60" s="3301" t="s">
        <v>1044</v>
      </c>
      <c r="P60" s="3281" t="s">
        <v>1569</v>
      </c>
      <c r="Q60" s="3282" t="e">
        <f ca="1">L58</f>
        <v>#DIV/0!</v>
      </c>
      <c r="R60" s="3282" t="s">
        <v>1570</v>
      </c>
    </row>
    <row r="61" spans="1:18" s="3149" customFormat="1" ht="13.5" thickBot="1">
      <c r="A61" s="3202" t="s">
        <v>1494</v>
      </c>
      <c r="B61" s="3338" t="s">
        <v>1439</v>
      </c>
      <c r="C61" s="2407">
        <f ca="1">IF(项目基本情况!B11="自然人","——",IF(D61="按租金收入计税",ROUND(C48*F61,2),IF(D61="按房产原值计税",ROUND(C57*F61*0.7,2),INDIRECT("'数据-取费表'!Aj"&amp;$G$1))))</f>
        <v>0.81</v>
      </c>
      <c r="D61" s="3219" t="s">
        <v>1440</v>
      </c>
      <c r="E61" s="3338" t="s">
        <v>1424</v>
      </c>
      <c r="F61" s="2594">
        <f t="shared" si="0"/>
        <v>1.2E-2</v>
      </c>
      <c r="I61" s="3353"/>
      <c r="J61" s="3353"/>
      <c r="K61" s="3353"/>
      <c r="L61" s="3353"/>
      <c r="O61" s="3301" t="s">
        <v>1045</v>
      </c>
      <c r="P61" s="3281" t="str">
        <f>K59</f>
        <v>建筑物剩余耐用年限下的土地年期修正系数Kn</v>
      </c>
      <c r="Q61" s="3282" t="e">
        <f ca="1">L59</f>
        <v>#DIV/0!</v>
      </c>
      <c r="R61" s="3282" t="s">
        <v>1571</v>
      </c>
    </row>
    <row r="62" spans="1:18" s="3149" customFormat="1" ht="13.5" thickBot="1">
      <c r="A62" s="3202" t="s">
        <v>1497</v>
      </c>
      <c r="B62" s="3354" t="s">
        <v>1443</v>
      </c>
      <c r="C62" s="3221">
        <f ca="1">IF(项目基本情况!B11="自然人","——",ROUND(F62*F63/10000,2))</f>
        <v>0.98</v>
      </c>
      <c r="D62" s="3355" t="s">
        <v>1444</v>
      </c>
      <c r="E62" s="3338" t="s">
        <v>1445</v>
      </c>
      <c r="F62" s="2594">
        <f t="shared" si="0"/>
        <v>8</v>
      </c>
      <c r="I62" s="3356" t="s">
        <v>1572</v>
      </c>
      <c r="J62" s="3357" t="s">
        <v>1573</v>
      </c>
      <c r="K62" s="3357" t="s">
        <v>1574</v>
      </c>
      <c r="L62" s="3357" t="s">
        <v>1575</v>
      </c>
      <c r="M62" s="3358" t="s">
        <v>1576</v>
      </c>
      <c r="O62" s="3280" t="s">
        <v>1046</v>
      </c>
      <c r="P62" s="3281" t="s">
        <v>1577</v>
      </c>
      <c r="Q62" s="3282" t="e">
        <f ca="1">Q56+Q57</f>
        <v>#DIV/0!</v>
      </c>
      <c r="R62" s="3282" t="s">
        <v>1047</v>
      </c>
    </row>
    <row r="63" spans="1:18" s="3149" customFormat="1" ht="13.5" thickBot="1">
      <c r="A63" s="3223"/>
      <c r="B63" s="3359"/>
      <c r="C63" s="2596"/>
      <c r="D63" s="3360"/>
      <c r="E63" s="3338" t="s">
        <v>1501</v>
      </c>
      <c r="F63" s="2726">
        <f t="shared" ca="1" si="0"/>
        <v>1226.68</v>
      </c>
      <c r="I63" s="3356" t="s">
        <v>1578</v>
      </c>
      <c r="J63" s="3357">
        <v>70</v>
      </c>
      <c r="K63" s="3357">
        <v>50</v>
      </c>
      <c r="L63" s="3357">
        <v>80</v>
      </c>
      <c r="M63" s="3358">
        <v>0.02</v>
      </c>
      <c r="O63" s="3259" t="s">
        <v>1579</v>
      </c>
      <c r="P63" s="3255"/>
      <c r="Q63" s="3255"/>
      <c r="R63" s="3255"/>
    </row>
    <row r="64" spans="1:18" s="3149" customFormat="1" ht="13.5" thickBot="1">
      <c r="A64" s="3202" t="s">
        <v>1502</v>
      </c>
      <c r="B64" s="3338" t="s">
        <v>1503</v>
      </c>
      <c r="C64" s="2407">
        <f ca="1">ROUND(C57*F64,1)</f>
        <v>0</v>
      </c>
      <c r="D64" s="3349" t="s">
        <v>1484</v>
      </c>
      <c r="E64" s="3338" t="s">
        <v>1424</v>
      </c>
      <c r="F64" s="2726">
        <f t="shared" ca="1" si="0"/>
        <v>0</v>
      </c>
      <c r="I64" s="3356" t="s">
        <v>1580</v>
      </c>
      <c r="J64" s="3357">
        <v>50</v>
      </c>
      <c r="K64" s="3357">
        <v>35</v>
      </c>
      <c r="L64" s="3357">
        <v>60</v>
      </c>
      <c r="M64" s="3358">
        <v>0</v>
      </c>
      <c r="O64" s="3267" t="s">
        <v>1524</v>
      </c>
      <c r="P64" s="3268" t="s">
        <v>1525</v>
      </c>
      <c r="Q64" s="3269" t="s">
        <v>1526</v>
      </c>
      <c r="R64" s="3269" t="s">
        <v>1527</v>
      </c>
    </row>
    <row r="65" spans="1:18" s="3149" customFormat="1" ht="13.5" thickBot="1">
      <c r="A65" s="3202" t="s">
        <v>1505</v>
      </c>
      <c r="B65" s="3338" t="s">
        <v>1455</v>
      </c>
      <c r="C65" s="2407">
        <f ca="1">ROUND(C56*F65,1)</f>
        <v>0</v>
      </c>
      <c r="D65" s="3349" t="s">
        <v>1456</v>
      </c>
      <c r="E65" s="3338" t="s">
        <v>1424</v>
      </c>
      <c r="F65" s="2726">
        <f t="shared" ca="1" si="0"/>
        <v>0</v>
      </c>
      <c r="I65" s="3356" t="s">
        <v>1581</v>
      </c>
      <c r="J65" s="3357">
        <v>40</v>
      </c>
      <c r="K65" s="3357">
        <v>30</v>
      </c>
      <c r="L65" s="3357">
        <v>50</v>
      </c>
      <c r="M65" s="3358">
        <v>0.02</v>
      </c>
      <c r="O65" s="3280" t="s">
        <v>1040</v>
      </c>
      <c r="P65" s="3281" t="s">
        <v>1530</v>
      </c>
      <c r="Q65" s="3282" t="e">
        <f ca="1">C40+J29</f>
        <v>#DIV/0!</v>
      </c>
      <c r="R65" s="3282" t="s">
        <v>1531</v>
      </c>
    </row>
    <row r="66" spans="1:18" s="3149" customFormat="1" ht="16.5" thickBot="1">
      <c r="A66" s="3202" t="s">
        <v>1506</v>
      </c>
      <c r="B66" s="3338" t="s">
        <v>1441</v>
      </c>
      <c r="C66" s="2407">
        <f ca="1">ROUND(C48*F66,1)</f>
        <v>0</v>
      </c>
      <c r="D66" s="3349" t="s">
        <v>1507</v>
      </c>
      <c r="E66" s="3338" t="s">
        <v>1424</v>
      </c>
      <c r="F66" s="2726">
        <f t="shared" ca="1" si="0"/>
        <v>0</v>
      </c>
      <c r="O66" s="3280" t="s">
        <v>1041</v>
      </c>
      <c r="P66" s="3281" t="s">
        <v>1560</v>
      </c>
      <c r="Q66" s="3282">
        <f ca="1">L60</f>
        <v>0</v>
      </c>
      <c r="R66" s="3282" t="s">
        <v>1583</v>
      </c>
    </row>
    <row r="67" spans="1:18" s="3149" customFormat="1" ht="16.5" thickBot="1">
      <c r="A67" s="3330" t="s">
        <v>1031</v>
      </c>
      <c r="B67" s="3361" t="s">
        <v>1465</v>
      </c>
      <c r="C67" s="3098">
        <f ca="1">C48-C58</f>
        <v>-2</v>
      </c>
      <c r="D67" s="3348" t="s">
        <v>1466</v>
      </c>
      <c r="E67" s="3362"/>
      <c r="F67" s="3363"/>
      <c r="O67" s="3301" t="s">
        <v>1042</v>
      </c>
      <c r="P67" s="3281" t="s">
        <v>1564</v>
      </c>
      <c r="Q67" s="3282">
        <f ca="1">L51</f>
        <v>-71</v>
      </c>
      <c r="R67" s="3282" t="s">
        <v>1584</v>
      </c>
    </row>
    <row r="68" spans="1:18" s="3149" customFormat="1" ht="16.5" thickBot="1">
      <c r="A68" s="3364" t="s">
        <v>1032</v>
      </c>
      <c r="B68" s="3365" t="s">
        <v>1487</v>
      </c>
      <c r="C68" s="3168" t="e">
        <f ca="1">ROUND(C67*(1-((1+F70)/(1+F68))^F69)/(F68-F70),0)</f>
        <v>#DIV/0!</v>
      </c>
      <c r="D68" s="3355" t="s">
        <v>1471</v>
      </c>
      <c r="E68" s="3338" t="s">
        <v>1472</v>
      </c>
      <c r="F68" s="2726">
        <f ca="1">F40</f>
        <v>0</v>
      </c>
      <c r="O68" s="3301" t="s">
        <v>1043</v>
      </c>
      <c r="P68" s="3366" t="s">
        <v>1585</v>
      </c>
      <c r="Q68" s="3282">
        <f ca="1">ROUND(Q69-Q70*Q71,0)</f>
        <v>-2</v>
      </c>
      <c r="R68" s="3282" t="s">
        <v>1051</v>
      </c>
    </row>
    <row r="69" spans="1:18" s="3149" customFormat="1" ht="13.5" thickBot="1">
      <c r="A69" s="3367"/>
      <c r="B69" s="3368"/>
      <c r="C69" s="3173"/>
      <c r="D69" s="3369" t="s">
        <v>1475</v>
      </c>
      <c r="E69" s="3338" t="s">
        <v>1476</v>
      </c>
      <c r="F69" s="2726">
        <f ca="1">F41</f>
        <v>0</v>
      </c>
      <c r="O69" s="3301" t="s">
        <v>1048</v>
      </c>
      <c r="P69" s="3366" t="s">
        <v>1586</v>
      </c>
      <c r="Q69" s="3282">
        <f ca="1">C39</f>
        <v>-2</v>
      </c>
      <c r="R69" s="3282" t="s">
        <v>1531</v>
      </c>
    </row>
    <row r="70" spans="1:18" s="3149" customFormat="1" ht="13.5" thickBot="1">
      <c r="A70" s="3370"/>
      <c r="B70" s="3371"/>
      <c r="C70" s="3195"/>
      <c r="D70" s="3360"/>
      <c r="E70" s="3338" t="s">
        <v>1479</v>
      </c>
      <c r="F70" s="3315"/>
      <c r="O70" s="3301" t="s">
        <v>1049</v>
      </c>
      <c r="P70" s="3366" t="s">
        <v>1587</v>
      </c>
      <c r="Q70" s="3282">
        <f ca="1">C13</f>
        <v>0</v>
      </c>
      <c r="R70" s="3282" t="s">
        <v>1531</v>
      </c>
    </row>
    <row r="71" spans="1:18" s="3149" customFormat="1" ht="13.5" thickBot="1">
      <c r="A71" s="3372" t="s">
        <v>1033</v>
      </c>
      <c r="B71" s="3373" t="s">
        <v>1489</v>
      </c>
      <c r="C71" s="3238" t="e">
        <f ca="1">ROUND(C68*10000/F71,0)</f>
        <v>#DIV/0!</v>
      </c>
      <c r="D71" s="3374" t="s">
        <v>1490</v>
      </c>
      <c r="E71" s="3375" t="s">
        <v>1491</v>
      </c>
      <c r="F71" s="3241">
        <f ca="1">F43</f>
        <v>4137.8500000000004</v>
      </c>
      <c r="O71" s="3301" t="s">
        <v>1050</v>
      </c>
      <c r="P71" s="3366" t="s">
        <v>1588</v>
      </c>
      <c r="Q71" s="3282">
        <f ca="1">C76</f>
        <v>0</v>
      </c>
      <c r="R71" s="3282"/>
    </row>
    <row r="72" spans="1:18" s="3149" customFormat="1" ht="13.5" thickBot="1">
      <c r="B72" s="3014"/>
      <c r="C72" s="3014"/>
      <c r="O72" s="3301" t="s">
        <v>1044</v>
      </c>
      <c r="P72" s="3281" t="s">
        <v>1566</v>
      </c>
      <c r="Q72" s="3282">
        <f>L52</f>
        <v>0</v>
      </c>
      <c r="R72" s="3282"/>
    </row>
    <row r="73" spans="1:18" ht="16.5" thickBot="1">
      <c r="A73" s="3149"/>
      <c r="B73" s="3014"/>
      <c r="C73" s="3014"/>
      <c r="D73" s="3149"/>
      <c r="E73" s="3149"/>
      <c r="F73" s="3149"/>
      <c r="O73" s="3301" t="s">
        <v>1045</v>
      </c>
      <c r="P73" s="3281" t="s">
        <v>1569</v>
      </c>
      <c r="Q73" s="3282" t="e">
        <f ca="1">L58</f>
        <v>#DIV/0!</v>
      </c>
      <c r="R73" s="3282" t="s">
        <v>1570</v>
      </c>
    </row>
    <row r="74" spans="1:18" ht="13.5" thickBot="1">
      <c r="A74" s="3149"/>
      <c r="B74" s="3377" t="s">
        <v>1589</v>
      </c>
      <c r="C74" s="3378"/>
      <c r="D74" s="3149"/>
      <c r="E74" s="3149"/>
      <c r="F74" s="3149"/>
      <c r="O74" s="3301" t="s">
        <v>1052</v>
      </c>
      <c r="P74" s="3281" t="str">
        <f>K59</f>
        <v>建筑物剩余耐用年限下的土地年期修正系数Kn</v>
      </c>
      <c r="Q74" s="3282" t="e">
        <f ca="1">L59</f>
        <v>#DIV/0!</v>
      </c>
      <c r="R74" s="3282" t="s">
        <v>1571</v>
      </c>
    </row>
    <row r="75" spans="1:18" ht="13.5" thickBot="1">
      <c r="A75" s="3149"/>
      <c r="B75" s="3379" t="s">
        <v>1508</v>
      </c>
      <c r="C75" s="3380">
        <f ca="1">ROUND(C13*C76,0)</f>
        <v>0</v>
      </c>
      <c r="D75" s="3149"/>
      <c r="E75" s="3149"/>
      <c r="F75" s="3149"/>
      <c r="K75" s="3258"/>
      <c r="L75" s="3149"/>
      <c r="O75" s="3280" t="s">
        <v>1046</v>
      </c>
      <c r="P75" s="3281" t="s">
        <v>1551</v>
      </c>
      <c r="Q75" s="3282" t="e">
        <f ca="1">Q65+Q66</f>
        <v>#DIV/0!</v>
      </c>
      <c r="R75" s="3282" t="s">
        <v>1047</v>
      </c>
    </row>
    <row r="76" spans="1:18">
      <c r="B76" s="3381" t="s">
        <v>1509</v>
      </c>
      <c r="C76" s="3098">
        <f ca="1">INDIRECT("'数据-取费表'!j"&amp;$G$1)</f>
        <v>0</v>
      </c>
      <c r="I76" s="3149"/>
      <c r="J76" s="3149"/>
      <c r="K76" s="3258"/>
      <c r="L76" s="3149"/>
    </row>
    <row r="77" spans="1:18">
      <c r="B77" s="3382" t="s">
        <v>1510</v>
      </c>
      <c r="C77" s="3383"/>
      <c r="I77" s="3149"/>
      <c r="J77" s="3149"/>
      <c r="K77" s="3258"/>
      <c r="L77" s="3149"/>
    </row>
    <row r="78" spans="1:18">
      <c r="B78" s="3384" t="s">
        <v>1511</v>
      </c>
      <c r="C78" s="3385"/>
    </row>
    <row r="79" spans="1:18">
      <c r="B79" s="3379" t="s">
        <v>1512</v>
      </c>
      <c r="C79" s="3380">
        <f ca="1">1-C80</f>
        <v>1</v>
      </c>
    </row>
    <row r="80" spans="1:18">
      <c r="B80" s="3379" t="s">
        <v>1513</v>
      </c>
      <c r="C80" s="3380">
        <f ca="1">ROUND(C75/C39,3)</f>
        <v>0</v>
      </c>
    </row>
    <row r="81" spans="2:3">
      <c r="B81" s="3384" t="s">
        <v>1514</v>
      </c>
      <c r="C81" s="3339"/>
    </row>
    <row r="82" spans="2:3">
      <c r="B82" s="3377" t="s">
        <v>1515</v>
      </c>
      <c r="C82" s="3378" t="e">
        <f ca="1">1-C83</f>
        <v>#DIV/0!</v>
      </c>
    </row>
    <row r="83" spans="2:3">
      <c r="B83" s="3377" t="s">
        <v>1516</v>
      </c>
      <c r="C83" s="3380" t="e">
        <f ca="1">ROUND(C13/C40,3)</f>
        <v>#DIV/0!</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07" priority="4">
      <formula>$L$48&gt;$J$51</formula>
    </cfRule>
  </conditionalFormatting>
  <conditionalFormatting sqref="I55 I60">
    <cfRule type="expression" dxfId="106" priority="5">
      <formula>$J$51&gt;$L$48</formula>
    </cfRule>
  </conditionalFormatting>
  <conditionalFormatting sqref="C11">
    <cfRule type="expression" dxfId="105" priority="3">
      <formula>$F$10="自定义"</formula>
    </cfRule>
  </conditionalFormatting>
  <conditionalFormatting sqref="J11">
    <cfRule type="expression" dxfId="104" priority="2">
      <formula>$M$10="自定义"</formula>
    </cfRule>
  </conditionalFormatting>
  <conditionalFormatting sqref="C54">
    <cfRule type="expression" dxfId="103"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sqref="A1:XFD1048576"/>
    </sheetView>
  </sheetViews>
  <sheetFormatPr defaultRowHeight="12.75"/>
  <cols>
    <col min="1" max="1" width="9" style="3150" customWidth="1"/>
    <col min="2" max="2" width="20.625" style="3015" customWidth="1"/>
    <col min="3" max="3" width="11.875" style="3015" customWidth="1"/>
    <col min="4" max="4" width="40.5" style="3150" customWidth="1"/>
    <col min="5" max="5" width="15.75" style="3150" customWidth="1"/>
    <col min="6" max="6" width="10.625" style="3150" customWidth="1"/>
    <col min="7" max="7" width="4.875" style="3150" customWidth="1"/>
    <col min="8" max="8" width="8.5" style="3150" customWidth="1"/>
    <col min="9" max="9" width="21.25" style="3150" customWidth="1"/>
    <col min="10" max="10" width="12.25" style="3150" customWidth="1"/>
    <col min="11" max="11" width="45.125" style="3376" customWidth="1"/>
    <col min="12" max="12" width="16.375" style="3150" customWidth="1"/>
    <col min="13" max="13" width="13" style="3150" customWidth="1"/>
    <col min="14" max="14" width="13.75" style="3149" customWidth="1"/>
    <col min="15" max="15" width="5.125" style="3149" customWidth="1"/>
    <col min="16" max="16" width="25.75" style="3149" customWidth="1"/>
    <col min="17" max="17" width="13.75" style="3149" customWidth="1"/>
    <col min="18" max="18" width="20.5" style="3149" customWidth="1"/>
    <col min="19" max="19" width="13.25" style="3149" customWidth="1"/>
    <col min="20" max="37" width="9" style="3149"/>
    <col min="38" max="16384" width="9" style="3150"/>
  </cols>
  <sheetData>
    <row r="1" spans="1:37" s="3140" customFormat="1" ht="21">
      <c r="A1" s="3130" t="s">
        <v>1591</v>
      </c>
      <c r="B1" s="3131"/>
      <c r="C1" s="3132" t="s">
        <v>7108</v>
      </c>
      <c r="D1" s="3133" t="s">
        <v>70</v>
      </c>
      <c r="E1" s="3134" t="s">
        <v>1388</v>
      </c>
      <c r="F1" s="3134">
        <f ca="1">J53</f>
        <v>35.47</v>
      </c>
      <c r="G1" s="3135">
        <f>MATCH(C1,'数据-取费表'!A6:A16,0)+5</f>
        <v>11</v>
      </c>
      <c r="H1" s="3136"/>
      <c r="I1" s="3137"/>
      <c r="J1" s="3137"/>
      <c r="K1" s="3138"/>
      <c r="L1" s="3137"/>
      <c r="M1" s="3137"/>
      <c r="N1" s="3139"/>
      <c r="O1" s="3139"/>
      <c r="P1" s="3139"/>
      <c r="Q1" s="3139"/>
      <c r="R1" s="3139"/>
      <c r="S1" s="3139"/>
      <c r="T1" s="3139"/>
      <c r="U1" s="3139"/>
      <c r="V1" s="3139"/>
      <c r="W1" s="3139"/>
      <c r="X1" s="3139"/>
      <c r="Y1" s="3139"/>
      <c r="Z1" s="3139"/>
      <c r="AA1" s="3139"/>
      <c r="AB1" s="3139"/>
      <c r="AC1" s="3139"/>
      <c r="AD1" s="3139"/>
      <c r="AE1" s="3139"/>
      <c r="AF1" s="3139"/>
      <c r="AG1" s="3139"/>
      <c r="AH1" s="3139"/>
      <c r="AI1" s="3139"/>
      <c r="AJ1" s="3139"/>
      <c r="AK1" s="3139"/>
    </row>
    <row r="2" spans="1:37" ht="18" customHeight="1">
      <c r="A2" s="3141" t="s">
        <v>1517</v>
      </c>
      <c r="B2" s="3142" t="e">
        <f ca="1">C40+J29+L46</f>
        <v>#DIV/0!</v>
      </c>
      <c r="C2" s="3143" t="s">
        <v>1518</v>
      </c>
      <c r="D2" s="3143"/>
      <c r="E2" s="3144"/>
      <c r="F2" s="3145"/>
      <c r="G2" s="3146"/>
      <c r="H2" s="3147"/>
      <c r="I2" s="3147"/>
      <c r="J2" s="3147"/>
      <c r="K2" s="3148"/>
      <c r="L2" s="3147"/>
      <c r="M2" s="3147"/>
    </row>
    <row r="3" spans="1:37" ht="18" customHeight="1" thickBot="1">
      <c r="A3" s="3151" t="s">
        <v>1519</v>
      </c>
      <c r="B3" s="3152">
        <f ca="1">IF(ISERROR(B2*10000/F43),0,ROUND(B2*10000/F43,0))</f>
        <v>0</v>
      </c>
      <c r="C3" s="3143" t="s">
        <v>1520</v>
      </c>
      <c r="D3" s="3143"/>
      <c r="E3" s="3144"/>
      <c r="F3" s="3145"/>
      <c r="G3" s="3146"/>
      <c r="H3" s="3153" t="s">
        <v>1590</v>
      </c>
      <c r="I3" s="3147"/>
      <c r="J3" s="3147"/>
      <c r="K3" s="3148"/>
      <c r="L3" s="3147"/>
      <c r="M3" s="3147"/>
    </row>
    <row r="4" spans="1:37" ht="18" customHeight="1">
      <c r="A4" s="3154" t="s">
        <v>1397</v>
      </c>
      <c r="B4" s="3155" t="s">
        <v>1398</v>
      </c>
      <c r="C4" s="3155" t="s">
        <v>1399</v>
      </c>
      <c r="D4" s="3155" t="s">
        <v>1400</v>
      </c>
      <c r="E4" s="3156" t="s">
        <v>1401</v>
      </c>
      <c r="F4" s="3157"/>
      <c r="G4" s="3158"/>
      <c r="H4" s="3154" t="s">
        <v>1397</v>
      </c>
      <c r="I4" s="3155" t="s">
        <v>1398</v>
      </c>
      <c r="J4" s="3155" t="s">
        <v>1399</v>
      </c>
      <c r="K4" s="3155" t="s">
        <v>1400</v>
      </c>
      <c r="L4" s="3156" t="s">
        <v>1401</v>
      </c>
      <c r="M4" s="3157"/>
    </row>
    <row r="5" spans="1:37" ht="18" customHeight="1">
      <c r="A5" s="3159">
        <v>1</v>
      </c>
      <c r="B5" s="3160" t="s">
        <v>1402</v>
      </c>
      <c r="C5" s="3161">
        <f ca="1">C6+C10+C12</f>
        <v>0</v>
      </c>
      <c r="D5" s="3162" t="s">
        <v>1403</v>
      </c>
      <c r="E5" s="3163"/>
      <c r="F5" s="3164"/>
      <c r="G5" s="3158"/>
      <c r="H5" s="3159">
        <v>1</v>
      </c>
      <c r="I5" s="3160" t="s">
        <v>1402</v>
      </c>
      <c r="J5" s="3161">
        <f ca="1">J6+J10+J12</f>
        <v>0</v>
      </c>
      <c r="K5" s="3162" t="s">
        <v>1403</v>
      </c>
      <c r="L5" s="3163"/>
      <c r="M5" s="3164"/>
    </row>
    <row r="6" spans="1:37" ht="18" customHeight="1">
      <c r="A6" s="3165" t="s">
        <v>1035</v>
      </c>
      <c r="B6" s="3952" t="s">
        <v>1404</v>
      </c>
      <c r="C6" s="3166">
        <f ca="1">ROUND(F6*F8*F7*(1-F9)/10000,0)</f>
        <v>0</v>
      </c>
      <c r="D6" s="2584" t="s">
        <v>3039</v>
      </c>
      <c r="E6" s="3167" t="s">
        <v>1406</v>
      </c>
      <c r="F6" s="2726">
        <f ca="1">INDIRECT("'数据-取费表'!u"&amp;$G$1)</f>
        <v>0</v>
      </c>
      <c r="G6" s="3158"/>
      <c r="H6" s="3165" t="s">
        <v>1035</v>
      </c>
      <c r="I6" s="3952" t="s">
        <v>1404</v>
      </c>
      <c r="J6" s="3168">
        <f ca="1">ROUND(M6*M8*M7*(1-M9)/10000,0)</f>
        <v>0</v>
      </c>
      <c r="K6" s="2584" t="s">
        <v>3038</v>
      </c>
      <c r="L6" s="3167" t="s">
        <v>1406</v>
      </c>
      <c r="M6" s="2726">
        <f ca="1">INDIRECT("'数据-取费表'!z"&amp;$G$1)</f>
        <v>0</v>
      </c>
    </row>
    <row r="7" spans="1:37" ht="18" customHeight="1">
      <c r="A7" s="3169"/>
      <c r="B7" s="3953"/>
      <c r="C7" s="3170"/>
      <c r="D7" s="2210"/>
      <c r="E7" s="3171" t="s">
        <v>1407</v>
      </c>
      <c r="F7" s="2726">
        <f ca="1">IF(INDIRECT("'数据-取费表'!ah"&amp;$G$1)="",INDIRECT("'数据-取费表'!k"&amp;$G$1),INDIRECT("'数据-取费表'!ah"&amp;$G$1))</f>
        <v>14937.26</v>
      </c>
      <c r="G7" s="3158"/>
      <c r="H7" s="3172"/>
      <c r="I7" s="3953"/>
      <c r="J7" s="3173"/>
      <c r="K7" s="2210"/>
      <c r="L7" s="3167" t="s">
        <v>1407</v>
      </c>
      <c r="M7" s="2726">
        <f ca="1">F7</f>
        <v>14937.26</v>
      </c>
    </row>
    <row r="8" spans="1:37" ht="18" customHeight="1">
      <c r="A8" s="3172"/>
      <c r="B8" s="3953"/>
      <c r="C8" s="3173"/>
      <c r="D8" s="2210"/>
      <c r="E8" s="3167" t="s">
        <v>1408</v>
      </c>
      <c r="F8" s="2726">
        <f ca="1">INDIRECT("'数据-取费表'!ai"&amp;$G$1)</f>
        <v>365</v>
      </c>
      <c r="G8" s="3158"/>
      <c r="H8" s="3172"/>
      <c r="I8" s="3953"/>
      <c r="J8" s="3173"/>
      <c r="K8" s="2210"/>
      <c r="L8" s="3167" t="s">
        <v>1408</v>
      </c>
      <c r="M8" s="2726">
        <f ca="1">INDIRECT("'数据-取费表'!ai"&amp;$G$1)</f>
        <v>365</v>
      </c>
    </row>
    <row r="9" spans="1:37" ht="18" customHeight="1">
      <c r="A9" s="3172"/>
      <c r="B9" s="3954"/>
      <c r="C9" s="3173"/>
      <c r="D9" s="2210"/>
      <c r="E9" s="3167" t="s">
        <v>1409</v>
      </c>
      <c r="F9" s="2726">
        <f ca="1">INDIRECT("'数据-取费表'!w"&amp;$G$1)</f>
        <v>0</v>
      </c>
      <c r="G9" s="3158"/>
      <c r="H9" s="3172"/>
      <c r="I9" s="3954"/>
      <c r="J9" s="3173"/>
      <c r="K9" s="2210"/>
      <c r="L9" s="3174" t="s">
        <v>1409</v>
      </c>
      <c r="M9" s="3175">
        <f ca="1">INDIRECT("'数据-取费表'!ab"&amp;$G$1)</f>
        <v>0</v>
      </c>
    </row>
    <row r="10" spans="1:37" ht="18" customHeight="1">
      <c r="A10" s="3165" t="s">
        <v>1039</v>
      </c>
      <c r="B10" s="3176" t="s">
        <v>1410</v>
      </c>
      <c r="C10" s="3098">
        <f ca="1">ROUND(IF(F10="押一",F6*F8*F7/12*F11,IF(F10="押二",F6*F8*F7/12*2*F11,IF(F10="押三",F6*F8*F7/12*3*F11,C11*F11)))/10000,0)</f>
        <v>0</v>
      </c>
      <c r="D10" s="3177" t="s">
        <v>3040</v>
      </c>
      <c r="E10" s="3174" t="s">
        <v>1412</v>
      </c>
      <c r="F10" s="3178" t="s">
        <v>7118</v>
      </c>
      <c r="G10" s="3158"/>
      <c r="H10" s="3165" t="s">
        <v>1039</v>
      </c>
      <c r="I10" s="3176" t="s">
        <v>1410</v>
      </c>
      <c r="J10" s="3168">
        <f ca="1">ROUND(IF(M10="押一",M6*M8*M7/12*M11,IF(M10="押二",M6*M8*M7/12*2*M11,IF(M10="押三",M6*M8*M7/12*3*M11,J11*M11)))/10000,0)</f>
        <v>0</v>
      </c>
      <c r="K10" s="3177" t="s">
        <v>3041</v>
      </c>
      <c r="L10" s="3174" t="s">
        <v>1412</v>
      </c>
      <c r="M10" s="3178" t="s">
        <v>1413</v>
      </c>
    </row>
    <row r="11" spans="1:37" ht="18" customHeight="1">
      <c r="A11" s="3179"/>
      <c r="B11" s="3180" t="s">
        <v>1389</v>
      </c>
      <c r="C11" s="3181"/>
      <c r="D11" s="3182"/>
      <c r="E11" s="3174" t="s">
        <v>1414</v>
      </c>
      <c r="F11" s="3175">
        <f ca="1">'数据-取费表'!B39</f>
        <v>1.4999999999999999E-2</v>
      </c>
      <c r="G11" s="3158"/>
      <c r="H11" s="3183"/>
      <c r="I11" s="3180" t="s">
        <v>1389</v>
      </c>
      <c r="J11" s="3181"/>
      <c r="K11" s="2218"/>
      <c r="L11" s="3174" t="s">
        <v>1414</v>
      </c>
      <c r="M11" s="3184">
        <f ca="1">'数据-取费表'!B39</f>
        <v>1.4999999999999999E-2</v>
      </c>
    </row>
    <row r="12" spans="1:37" ht="18" customHeight="1" thickBot="1">
      <c r="A12" s="3185" t="s">
        <v>1075</v>
      </c>
      <c r="B12" s="3186" t="s">
        <v>1415</v>
      </c>
      <c r="C12" s="3187"/>
      <c r="D12" s="3188"/>
      <c r="E12" s="3189"/>
      <c r="F12" s="3190"/>
      <c r="G12" s="3158"/>
      <c r="H12" s="3185" t="s">
        <v>1075</v>
      </c>
      <c r="I12" s="3186" t="s">
        <v>1415</v>
      </c>
      <c r="J12" s="3187"/>
      <c r="K12" s="3191"/>
      <c r="L12" s="3189"/>
      <c r="M12" s="3192"/>
    </row>
    <row r="13" spans="1:37" ht="18" customHeight="1" thickTop="1">
      <c r="A13" s="3193">
        <v>2</v>
      </c>
      <c r="B13" s="3194" t="s">
        <v>1416</v>
      </c>
      <c r="C13" s="3195">
        <f ca="1">ROUND(C29*F13,0)</f>
        <v>0</v>
      </c>
      <c r="D13" s="3196" t="s">
        <v>1417</v>
      </c>
      <c r="E13" s="3196" t="s">
        <v>1418</v>
      </c>
      <c r="F13" s="3197">
        <f ca="1">INDIRECT("'数据-取费表'!y"&amp;$G$1)</f>
        <v>0</v>
      </c>
      <c r="G13" s="3158"/>
      <c r="H13" s="3193">
        <v>2</v>
      </c>
      <c r="I13" s="3194" t="s">
        <v>1416</v>
      </c>
      <c r="J13" s="3198">
        <f ca="1">ROUND(J14*J15,0)</f>
        <v>0</v>
      </c>
      <c r="K13" s="3199" t="s">
        <v>1417</v>
      </c>
      <c r="L13" s="3200"/>
      <c r="M13" s="3201"/>
    </row>
    <row r="14" spans="1:37" ht="18" customHeight="1">
      <c r="A14" s="3202" t="s">
        <v>1034</v>
      </c>
      <c r="B14" s="3167" t="s">
        <v>1419</v>
      </c>
      <c r="C14" s="3203">
        <f ca="1">INDIRECT("'数据-取费表'!m"&amp;$G$1)+INDIRECT("'数据-取费表'!t"&amp;$G$1)</f>
        <v>0</v>
      </c>
      <c r="D14" s="2678" t="s">
        <v>1420</v>
      </c>
      <c r="E14" s="2679"/>
      <c r="F14" s="3204"/>
      <c r="G14" s="3158"/>
      <c r="H14" s="3202" t="s">
        <v>1035</v>
      </c>
      <c r="I14" s="3167" t="s">
        <v>1421</v>
      </c>
      <c r="J14" s="2407">
        <f ca="1">C29</f>
        <v>352</v>
      </c>
      <c r="K14" s="2688"/>
      <c r="L14" s="3205"/>
      <c r="M14" s="2520"/>
    </row>
    <row r="15" spans="1:37" s="3214" customFormat="1" ht="18" customHeight="1" thickBot="1">
      <c r="A15" s="3202" t="s">
        <v>1036</v>
      </c>
      <c r="B15" s="3167" t="s">
        <v>1422</v>
      </c>
      <c r="C15" s="2407">
        <f ca="1">ROUND(C14*F15,0)</f>
        <v>0</v>
      </c>
      <c r="D15" s="3206" t="s">
        <v>1423</v>
      </c>
      <c r="E15" s="3206" t="s">
        <v>1424</v>
      </c>
      <c r="F15" s="3207">
        <f>'数据-取费表'!B33</f>
        <v>0.05</v>
      </c>
      <c r="G15" s="3208"/>
      <c r="H15" s="3209" t="s">
        <v>1039</v>
      </c>
      <c r="I15" s="3189" t="s">
        <v>1418</v>
      </c>
      <c r="J15" s="3192">
        <f ca="1">INDIRECT("'数据-取费表'!ad"&amp;$G$1)</f>
        <v>0</v>
      </c>
      <c r="K15" s="3210"/>
      <c r="L15" s="3211"/>
      <c r="M15" s="3212"/>
      <c r="N15" s="3213"/>
      <c r="O15" s="3213"/>
      <c r="P15" s="3213"/>
      <c r="Q15" s="3213"/>
      <c r="R15" s="3213"/>
      <c r="S15" s="3213"/>
      <c r="T15" s="3213"/>
      <c r="U15" s="3213"/>
      <c r="V15" s="3213"/>
      <c r="W15" s="3213"/>
      <c r="X15" s="3213"/>
      <c r="Y15" s="3213"/>
      <c r="Z15" s="3213"/>
      <c r="AA15" s="3213"/>
      <c r="AB15" s="3213"/>
      <c r="AC15" s="3213"/>
      <c r="AD15" s="3213"/>
      <c r="AE15" s="3213"/>
      <c r="AF15" s="3213"/>
      <c r="AG15" s="3213"/>
      <c r="AH15" s="3213"/>
      <c r="AI15" s="3213"/>
      <c r="AJ15" s="3213"/>
      <c r="AK15" s="3213"/>
    </row>
    <row r="16" spans="1:37" ht="18" customHeight="1" thickTop="1">
      <c r="A16" s="3202" t="s">
        <v>1390</v>
      </c>
      <c r="B16" s="3167" t="s">
        <v>1425</v>
      </c>
      <c r="C16" s="2407">
        <f ca="1">ROUND(INDIRECT("'数据-取费表'!m"&amp;$G$1)*F16,0)</f>
        <v>0</v>
      </c>
      <c r="D16" s="3167" t="s">
        <v>1423</v>
      </c>
      <c r="E16" s="3167" t="s">
        <v>1424</v>
      </c>
      <c r="F16" s="2594">
        <f ca="1">IF(INDIRECT("'数据-取费表'!c"&amp;$G$1)="住宅",'数据-取费表'!B34,0)</f>
        <v>0</v>
      </c>
      <c r="G16" s="3158"/>
      <c r="H16" s="3193" t="s">
        <v>1030</v>
      </c>
      <c r="I16" s="3194" t="s">
        <v>1426</v>
      </c>
      <c r="J16" s="3195">
        <f ca="1">ROUND(J17+J22+J23+J24,0)</f>
        <v>7</v>
      </c>
      <c r="K16" s="3199" t="s">
        <v>1427</v>
      </c>
      <c r="L16" s="3215"/>
      <c r="M16" s="3164"/>
    </row>
    <row r="17" spans="1:37" s="3214" customFormat="1" ht="18" customHeight="1">
      <c r="A17" s="3202" t="s">
        <v>1391</v>
      </c>
      <c r="B17" s="3167" t="s">
        <v>1428</v>
      </c>
      <c r="C17" s="2407">
        <f ca="1">ROUND(F17*(F43+INDIRECT("'数据-取费表'!S"&amp;$G$1))/10000,0)</f>
        <v>299</v>
      </c>
      <c r="D17" s="3167" t="s">
        <v>1429</v>
      </c>
      <c r="E17" s="3167" t="s">
        <v>1430</v>
      </c>
      <c r="F17" s="3216">
        <f>'数据-取费表'!B35</f>
        <v>200</v>
      </c>
      <c r="G17" s="3208"/>
      <c r="H17" s="3202" t="s">
        <v>1035</v>
      </c>
      <c r="I17" s="3167" t="s">
        <v>1431</v>
      </c>
      <c r="J17" s="2407">
        <f ca="1">ROUND(IF(项目基本情况!B11="自然人",J5*M17,J18+J19+J20),1)</f>
        <v>6.5</v>
      </c>
      <c r="K17" s="2678" t="s">
        <v>1432</v>
      </c>
      <c r="L17" s="2595" t="s">
        <v>1433</v>
      </c>
      <c r="M17" s="3217" t="str">
        <f ca="1">IF(项目基本情况!B11="企业","",IF(INDIRECT("'数据-取费表'!c"&amp;$G$1)="住宅",5%,IF(M6*M7*M8/12/(1+'数据-取费表'!C42)&gt;20000,12%,7%)))</f>
        <v/>
      </c>
      <c r="N17" s="3213"/>
      <c r="O17" s="3213"/>
      <c r="P17" s="3213"/>
      <c r="Q17" s="3213"/>
      <c r="R17" s="3213"/>
      <c r="S17" s="3213"/>
      <c r="T17" s="3213"/>
      <c r="U17" s="3213"/>
      <c r="V17" s="3213"/>
      <c r="W17" s="3213"/>
      <c r="X17" s="3213"/>
      <c r="Y17" s="3213"/>
      <c r="Z17" s="3213"/>
      <c r="AA17" s="3213"/>
      <c r="AB17" s="3213"/>
      <c r="AC17" s="3213"/>
      <c r="AD17" s="3213"/>
      <c r="AE17" s="3213"/>
      <c r="AF17" s="3213"/>
      <c r="AG17" s="3213"/>
      <c r="AH17" s="3213"/>
      <c r="AI17" s="3213"/>
      <c r="AJ17" s="3213"/>
      <c r="AK17" s="3213"/>
    </row>
    <row r="18" spans="1:37" s="3214" customFormat="1" ht="18" customHeight="1">
      <c r="A18" s="3202" t="s">
        <v>1392</v>
      </c>
      <c r="B18" s="3167" t="s">
        <v>1434</v>
      </c>
      <c r="C18" s="2407">
        <f ca="1">ROUND(C14*F18,0)</f>
        <v>0</v>
      </c>
      <c r="D18" s="3167" t="s">
        <v>1423</v>
      </c>
      <c r="E18" s="3167" t="s">
        <v>1424</v>
      </c>
      <c r="F18" s="2594">
        <f>'数据-取费表'!B36</f>
        <v>1.4999999999999999E-2</v>
      </c>
      <c r="G18" s="3208"/>
      <c r="H18" s="3202" t="s">
        <v>1034</v>
      </c>
      <c r="I18" s="3167" t="s">
        <v>1435</v>
      </c>
      <c r="J18" s="2407">
        <f ca="1">ROUND(J5*M18/(1+'数据-取费表'!C42),2)</f>
        <v>0</v>
      </c>
      <c r="K18" s="2595" t="s">
        <v>1436</v>
      </c>
      <c r="L18" s="3167" t="s">
        <v>1424</v>
      </c>
      <c r="M18" s="2594">
        <f>'数据-取费表'!B41</f>
        <v>5.6000000000000001E-2</v>
      </c>
      <c r="N18" s="3213"/>
      <c r="O18" s="3213"/>
      <c r="P18" s="3213"/>
      <c r="Q18" s="3213"/>
      <c r="R18" s="3213"/>
      <c r="S18" s="3213"/>
      <c r="T18" s="3213"/>
      <c r="U18" s="3213"/>
      <c r="V18" s="3213"/>
      <c r="W18" s="3213"/>
      <c r="X18" s="3213"/>
      <c r="Y18" s="3213"/>
      <c r="Z18" s="3213"/>
      <c r="AA18" s="3213"/>
      <c r="AB18" s="3213"/>
      <c r="AC18" s="3213"/>
      <c r="AD18" s="3213"/>
      <c r="AE18" s="3213"/>
      <c r="AF18" s="3213"/>
      <c r="AG18" s="3213"/>
      <c r="AH18" s="3213"/>
      <c r="AI18" s="3213"/>
      <c r="AJ18" s="3213"/>
      <c r="AK18" s="3213"/>
    </row>
    <row r="19" spans="1:37" ht="18" customHeight="1">
      <c r="A19" s="3202" t="s">
        <v>1035</v>
      </c>
      <c r="B19" s="3167" t="s">
        <v>1437</v>
      </c>
      <c r="C19" s="2407">
        <f ca="1">SUM(C14:C18)</f>
        <v>299</v>
      </c>
      <c r="D19" s="2505" t="s">
        <v>1438</v>
      </c>
      <c r="E19" s="3218"/>
      <c r="F19" s="3216"/>
      <c r="G19" s="3158"/>
      <c r="H19" s="3202" t="s">
        <v>1036</v>
      </c>
      <c r="I19" s="3167" t="s">
        <v>1439</v>
      </c>
      <c r="J19" s="2407">
        <f ca="1">IF(K19="按租金收入计税",ROUND(J5*M19,2),ROUND(C29*M19*0.7,2))</f>
        <v>2.96</v>
      </c>
      <c r="K19" s="3219" t="s">
        <v>1440</v>
      </c>
      <c r="L19" s="3167" t="s">
        <v>1424</v>
      </c>
      <c r="M19" s="2594">
        <f>IF(K19="按租金收入计税",'数据-取费表'!B51,'数据-取费表'!B50)</f>
        <v>1.2E-2</v>
      </c>
    </row>
    <row r="20" spans="1:37" s="3214" customFormat="1" ht="18" customHeight="1">
      <c r="A20" s="3202" t="s">
        <v>1039</v>
      </c>
      <c r="B20" s="3167" t="s">
        <v>1441</v>
      </c>
      <c r="C20" s="2407">
        <f ca="1">ROUND(C19*F20,0)</f>
        <v>9</v>
      </c>
      <c r="D20" s="3220" t="s">
        <v>1442</v>
      </c>
      <c r="E20" s="3167" t="s">
        <v>1424</v>
      </c>
      <c r="F20" s="2594">
        <f>'数据-取费表'!B37</f>
        <v>0.03</v>
      </c>
      <c r="G20" s="3208"/>
      <c r="H20" s="3202" t="s">
        <v>1390</v>
      </c>
      <c r="I20" s="2584" t="s">
        <v>1443</v>
      </c>
      <c r="J20" s="3221">
        <f ca="1">ROUND(M20*M21/10000,2)</f>
        <v>3.54</v>
      </c>
      <c r="K20" s="3222" t="s">
        <v>1444</v>
      </c>
      <c r="L20" s="3167" t="s">
        <v>1445</v>
      </c>
      <c r="M20" s="2594">
        <f>'数据-取费表'!B52</f>
        <v>8</v>
      </c>
      <c r="N20" s="3213"/>
      <c r="O20" s="3213"/>
      <c r="P20" s="3213"/>
      <c r="Q20" s="3213"/>
      <c r="R20" s="3213"/>
      <c r="S20" s="3213"/>
      <c r="T20" s="3213"/>
      <c r="U20" s="3213"/>
      <c r="V20" s="3213"/>
      <c r="W20" s="3213"/>
      <c r="X20" s="3213"/>
      <c r="Y20" s="3213"/>
      <c r="Z20" s="3213"/>
      <c r="AA20" s="3213"/>
      <c r="AB20" s="3213"/>
      <c r="AC20" s="3213"/>
      <c r="AD20" s="3213"/>
      <c r="AE20" s="3213"/>
      <c r="AF20" s="3213"/>
      <c r="AG20" s="3213"/>
      <c r="AH20" s="3213"/>
      <c r="AI20" s="3213"/>
      <c r="AJ20" s="3213"/>
      <c r="AK20" s="3213"/>
    </row>
    <row r="21" spans="1:37" s="3214" customFormat="1" ht="18" customHeight="1">
      <c r="A21" s="3202" t="s">
        <v>1075</v>
      </c>
      <c r="B21" s="3167" t="s">
        <v>1446</v>
      </c>
      <c r="C21" s="2407" t="s">
        <v>2</v>
      </c>
      <c r="D21" s="3220" t="s">
        <v>1447</v>
      </c>
      <c r="E21" s="3167" t="s">
        <v>1448</v>
      </c>
      <c r="F21" s="2594">
        <f>'数据-取费表'!B38</f>
        <v>0.03</v>
      </c>
      <c r="G21" s="3208"/>
      <c r="H21" s="3223"/>
      <c r="I21" s="3224"/>
      <c r="J21" s="2596"/>
      <c r="K21" s="2209"/>
      <c r="L21" s="3167" t="s">
        <v>1449</v>
      </c>
      <c r="M21" s="2726">
        <f ca="1">INDIRECT("'数据-取费表'!r"&amp;$G$1)</f>
        <v>4428.21</v>
      </c>
      <c r="N21" s="3213"/>
      <c r="O21" s="3213"/>
      <c r="P21" s="3213"/>
      <c r="Q21" s="3213"/>
      <c r="R21" s="3213"/>
      <c r="S21" s="3213"/>
      <c r="T21" s="3213"/>
      <c r="U21" s="3213"/>
      <c r="V21" s="3213"/>
      <c r="W21" s="3213"/>
      <c r="X21" s="3213"/>
      <c r="Y21" s="3213"/>
      <c r="Z21" s="3213"/>
      <c r="AA21" s="3213"/>
      <c r="AB21" s="3213"/>
      <c r="AC21" s="3213"/>
      <c r="AD21" s="3213"/>
      <c r="AE21" s="3213"/>
      <c r="AF21" s="3213"/>
      <c r="AG21" s="3213"/>
      <c r="AH21" s="3213"/>
      <c r="AI21" s="3213"/>
      <c r="AJ21" s="3213"/>
      <c r="AK21" s="3213"/>
    </row>
    <row r="22" spans="1:37" ht="18" customHeight="1">
      <c r="A22" s="3202" t="s">
        <v>1393</v>
      </c>
      <c r="B22" s="3167" t="s">
        <v>1450</v>
      </c>
      <c r="C22" s="2407"/>
      <c r="D22" s="2505" t="str">
        <f>IF(F23&lt;=1,"单利计息。","复利计息。")&amp;"建造成本、管理费用、销售费用产生的利息。"</f>
        <v>复利计息。建造成本、管理费用、销售费用产生的利息。</v>
      </c>
      <c r="E22" s="3218"/>
      <c r="F22" s="3216"/>
      <c r="G22" s="3158"/>
      <c r="H22" s="3202" t="s">
        <v>1039</v>
      </c>
      <c r="I22" s="3167" t="s">
        <v>1451</v>
      </c>
      <c r="J22" s="2407">
        <f ca="1">ROUND(J14*M22,1)</f>
        <v>0</v>
      </c>
      <c r="K22" s="2595" t="s">
        <v>1452</v>
      </c>
      <c r="L22" s="3167" t="s">
        <v>1424</v>
      </c>
      <c r="M22" s="2726">
        <f ca="1">INDIRECT("'数据-取费表'!Ak"&amp;$G$1)</f>
        <v>0</v>
      </c>
    </row>
    <row r="23" spans="1:37" s="3214" customFormat="1" ht="18" customHeight="1">
      <c r="A23" s="3202" t="s">
        <v>1034</v>
      </c>
      <c r="B23" s="3167" t="s">
        <v>1453</v>
      </c>
      <c r="C23" s="2407">
        <f ca="1">IF('数据-取费表'!B22&lt;=1,ROUND(C19*F24*F23/2,0)+ROUND(C20*F24*F23/2,0),ROUND(C19*(POWER((1+F24),F23/2)-1),0)+ROUND(C20*(POWER((1+F24),F23/2)-1),0))</f>
        <v>14</v>
      </c>
      <c r="D23" s="3225" t="str">
        <f>IF(F23&lt;=1,"(建造成本+管理费用)×利率×(建设周期÷2)","(建造成本+管理费用)×((1+利率)^(建设周期÷2)-1)")</f>
        <v>(建造成本+管理费用)×((1+利率)^(建设周期÷2)-1)</v>
      </c>
      <c r="E23" s="3167" t="s">
        <v>1454</v>
      </c>
      <c r="F23" s="2594">
        <f>'数据-取费表'!B20</f>
        <v>2</v>
      </c>
      <c r="G23" s="3208"/>
      <c r="H23" s="3202" t="s">
        <v>1075</v>
      </c>
      <c r="I23" s="3167" t="s">
        <v>1455</v>
      </c>
      <c r="J23" s="2407">
        <f ca="1">ROUND(J13*M23,1)</f>
        <v>0</v>
      </c>
      <c r="K23" s="2595" t="s">
        <v>1456</v>
      </c>
      <c r="L23" s="3167" t="s">
        <v>1424</v>
      </c>
      <c r="M23" s="2726">
        <f ca="1">INDIRECT("'数据-取费表'!Al"&amp;$G$1)</f>
        <v>0</v>
      </c>
      <c r="N23" s="3213"/>
      <c r="O23" s="3213"/>
      <c r="P23" s="3213"/>
      <c r="Q23" s="3213"/>
      <c r="R23" s="3213"/>
      <c r="S23" s="3213"/>
      <c r="T23" s="3213"/>
      <c r="U23" s="3213"/>
      <c r="V23" s="3213"/>
      <c r="W23" s="3213"/>
      <c r="X23" s="3213"/>
      <c r="Y23" s="3213"/>
      <c r="Z23" s="3213"/>
      <c r="AA23" s="3213"/>
      <c r="AB23" s="3213"/>
      <c r="AC23" s="3213"/>
      <c r="AD23" s="3213"/>
      <c r="AE23" s="3213"/>
      <c r="AF23" s="3213"/>
      <c r="AG23" s="3213"/>
      <c r="AH23" s="3213"/>
      <c r="AI23" s="3213"/>
      <c r="AJ23" s="3213"/>
      <c r="AK23" s="3213"/>
    </row>
    <row r="24" spans="1:37" s="3214" customFormat="1" ht="18" customHeight="1" thickBot="1">
      <c r="A24" s="3202" t="s">
        <v>1036</v>
      </c>
      <c r="B24" s="3167" t="s">
        <v>1459</v>
      </c>
      <c r="C24" s="2407">
        <f ca="1">ROUND(IF('数据-取费表'!B22&lt;=1,F21*F24*F23/2,F21*(POWER((1+F24),F23/2)-1)),4)</f>
        <v>1.4E-3</v>
      </c>
      <c r="D24" s="3225" t="str">
        <f>IF(F23&lt;=1,"销售费用×利率×(建设周期÷2)","销售费用×((1+利率)^(建设周期÷2)-1)")</f>
        <v>销售费用×((1+利率)^(建设周期÷2)-1)</v>
      </c>
      <c r="E24" s="3167" t="s">
        <v>1460</v>
      </c>
      <c r="F24" s="2594">
        <f ca="1">'数据-取费表'!B40</f>
        <v>4.7500000000000001E-2</v>
      </c>
      <c r="G24" s="3208"/>
      <c r="H24" s="3209" t="s">
        <v>1393</v>
      </c>
      <c r="I24" s="3189" t="s">
        <v>1441</v>
      </c>
      <c r="J24" s="3226">
        <f ca="1">ROUND(J5*M24,1)</f>
        <v>0</v>
      </c>
      <c r="K24" s="3227" t="s">
        <v>1461</v>
      </c>
      <c r="L24" s="3189" t="s">
        <v>1424</v>
      </c>
      <c r="M24" s="3190">
        <f ca="1">INDIRECT("'数据-取费表'!Am"&amp;$G$1)</f>
        <v>0</v>
      </c>
      <c r="N24" s="3213"/>
      <c r="O24" s="3213"/>
      <c r="P24" s="3213"/>
      <c r="Q24" s="3213"/>
      <c r="R24" s="3213"/>
      <c r="S24" s="3213"/>
      <c r="T24" s="3213"/>
      <c r="U24" s="3213"/>
      <c r="V24" s="3213"/>
      <c r="W24" s="3213"/>
      <c r="X24" s="3213"/>
      <c r="Y24" s="3213"/>
      <c r="Z24" s="3213"/>
      <c r="AA24" s="3213"/>
      <c r="AB24" s="3213"/>
      <c r="AC24" s="3213"/>
      <c r="AD24" s="3213"/>
      <c r="AE24" s="3213"/>
      <c r="AF24" s="3213"/>
      <c r="AG24" s="3213"/>
      <c r="AH24" s="3213"/>
      <c r="AI24" s="3213"/>
      <c r="AJ24" s="3213"/>
      <c r="AK24" s="3213"/>
    </row>
    <row r="25" spans="1:37" ht="24" customHeight="1" thickTop="1">
      <c r="A25" s="3202" t="s">
        <v>1462</v>
      </c>
      <c r="B25" s="3167" t="s">
        <v>1463</v>
      </c>
      <c r="C25" s="2407"/>
      <c r="D25" s="2505" t="s">
        <v>1464</v>
      </c>
      <c r="E25" s="3218"/>
      <c r="F25" s="3216"/>
      <c r="G25" s="3158"/>
      <c r="H25" s="3193" t="s">
        <v>1031</v>
      </c>
      <c r="I25" s="3228" t="s">
        <v>1465</v>
      </c>
      <c r="J25" s="3195">
        <f ca="1">J5-J16</f>
        <v>-7</v>
      </c>
      <c r="K25" s="3229" t="s">
        <v>1466</v>
      </c>
      <c r="L25" s="3230"/>
      <c r="M25" s="3231"/>
    </row>
    <row r="26" spans="1:37">
      <c r="A26" s="3202" t="s">
        <v>1034</v>
      </c>
      <c r="B26" s="3167" t="s">
        <v>1467</v>
      </c>
      <c r="C26" s="2407">
        <f ca="1">ROUND((C19+C20)*F26,0)</f>
        <v>0</v>
      </c>
      <c r="D26" s="3220" t="s">
        <v>1468</v>
      </c>
      <c r="E26" s="3174" t="s">
        <v>1469</v>
      </c>
      <c r="F26" s="2726">
        <f ca="1">INDIRECT("'数据-取费表'!q"&amp;$G$1)</f>
        <v>0</v>
      </c>
      <c r="G26" s="3158"/>
      <c r="H26" s="3159" t="s">
        <v>1032</v>
      </c>
      <c r="I26" s="3160" t="s">
        <v>1470</v>
      </c>
      <c r="J26" s="3168">
        <f ca="1">IF(J5&lt;&gt;0,ROUND(J25*(1-((1+M28)/(1+M26))^M27)/(M26-M28),0),0)</f>
        <v>0</v>
      </c>
      <c r="K26" s="3222" t="s">
        <v>1471</v>
      </c>
      <c r="L26" s="3167" t="s">
        <v>1472</v>
      </c>
      <c r="M26" s="2726">
        <f ca="1">INDIRECT("'数据-取费表'!I"&amp;$G$1)</f>
        <v>0</v>
      </c>
    </row>
    <row r="27" spans="1:37" ht="18" customHeight="1">
      <c r="A27" s="3202" t="s">
        <v>1036</v>
      </c>
      <c r="B27" s="3167" t="s">
        <v>1473</v>
      </c>
      <c r="C27" s="2407">
        <f ca="1">ROUND(F21*F26,4)</f>
        <v>0</v>
      </c>
      <c r="D27" s="3220" t="s">
        <v>1474</v>
      </c>
      <c r="E27" s="3206"/>
      <c r="F27" s="3207"/>
      <c r="G27" s="3158"/>
      <c r="H27" s="3172"/>
      <c r="I27" s="3232"/>
      <c r="J27" s="3173"/>
      <c r="K27" s="3233" t="s">
        <v>1475</v>
      </c>
      <c r="L27" s="3167" t="s">
        <v>1476</v>
      </c>
      <c r="M27" s="2726">
        <f ca="1">INDIRECT("'数据-取费表'!ag"&amp;$G$1)</f>
        <v>0</v>
      </c>
    </row>
    <row r="28" spans="1:37" s="3214" customFormat="1" ht="18" customHeight="1">
      <c r="A28" s="3202" t="s">
        <v>1037</v>
      </c>
      <c r="B28" s="3167" t="s">
        <v>1477</v>
      </c>
      <c r="C28" s="2407">
        <f>ROUND(F28/(1+'数据-取费表'!C42),4)</f>
        <v>5.33E-2</v>
      </c>
      <c r="D28" s="3220" t="s">
        <v>1478</v>
      </c>
      <c r="E28" s="3167" t="s">
        <v>1424</v>
      </c>
      <c r="F28" s="2594">
        <f>'数据-取费表'!B41</f>
        <v>5.6000000000000001E-2</v>
      </c>
      <c r="G28" s="3208"/>
      <c r="H28" s="3179"/>
      <c r="I28" s="3234"/>
      <c r="J28" s="3195"/>
      <c r="K28" s="2209"/>
      <c r="L28" s="3167" t="s">
        <v>1479</v>
      </c>
      <c r="M28" s="2726">
        <f ca="1">INDIRECT("'数据-取费表'!aa"&amp;$G$1)</f>
        <v>0</v>
      </c>
      <c r="N28" s="3213"/>
      <c r="O28" s="3213"/>
      <c r="P28" s="3213"/>
      <c r="Q28" s="3213"/>
      <c r="R28" s="3213"/>
      <c r="S28" s="3213"/>
      <c r="T28" s="3213"/>
      <c r="U28" s="3213"/>
      <c r="V28" s="3213"/>
      <c r="W28" s="3213"/>
      <c r="X28" s="3213"/>
      <c r="Y28" s="3213"/>
      <c r="Z28" s="3213"/>
      <c r="AA28" s="3213"/>
      <c r="AB28" s="3213"/>
      <c r="AC28" s="3213"/>
      <c r="AD28" s="3213"/>
      <c r="AE28" s="3213"/>
      <c r="AF28" s="3213"/>
      <c r="AG28" s="3213"/>
      <c r="AH28" s="3213"/>
      <c r="AI28" s="3213"/>
      <c r="AJ28" s="3213"/>
      <c r="AK28" s="3213"/>
    </row>
    <row r="29" spans="1:37" s="3214" customFormat="1" ht="18" customHeight="1" thickBot="1">
      <c r="A29" s="3209" t="s">
        <v>1038</v>
      </c>
      <c r="B29" s="3189" t="s">
        <v>1480</v>
      </c>
      <c r="C29" s="3226">
        <f ca="1">ROUND((C19+C20+C23+C26)/(1-F21-C24-C27-C28),0)</f>
        <v>352</v>
      </c>
      <c r="D29" s="3227"/>
      <c r="E29" s="3189"/>
      <c r="F29" s="3235"/>
      <c r="G29" s="3208"/>
      <c r="H29" s="3236" t="s">
        <v>1033</v>
      </c>
      <c r="I29" s="3237" t="s">
        <v>1481</v>
      </c>
      <c r="J29" s="3238">
        <f ca="1">ROUND(J26/(1+F40)^F41,0)</f>
        <v>0</v>
      </c>
      <c r="K29" s="3239" t="s">
        <v>1482</v>
      </c>
      <c r="L29" s="3240"/>
      <c r="M29" s="3241">
        <f ca="1">INDIRECT("'数据-取费表'!k"&amp;$G$1)</f>
        <v>14937.26</v>
      </c>
      <c r="N29" s="3213"/>
      <c r="O29" s="3213"/>
      <c r="P29" s="3213"/>
      <c r="Q29" s="3213"/>
      <c r="R29" s="3213"/>
      <c r="S29" s="3213"/>
      <c r="T29" s="3213"/>
      <c r="U29" s="3213"/>
      <c r="V29" s="3213"/>
      <c r="W29" s="3213"/>
      <c r="X29" s="3213"/>
      <c r="Y29" s="3213"/>
      <c r="Z29" s="3213"/>
      <c r="AA29" s="3213"/>
      <c r="AB29" s="3213"/>
      <c r="AC29" s="3213"/>
      <c r="AD29" s="3213"/>
      <c r="AE29" s="3213"/>
      <c r="AF29" s="3213"/>
      <c r="AG29" s="3213"/>
      <c r="AH29" s="3213"/>
      <c r="AI29" s="3213"/>
      <c r="AJ29" s="3213"/>
      <c r="AK29" s="3213"/>
    </row>
    <row r="30" spans="1:37" ht="18" customHeight="1" thickTop="1">
      <c r="A30" s="3193" t="s">
        <v>1030</v>
      </c>
      <c r="B30" s="3194" t="s">
        <v>1426</v>
      </c>
      <c r="C30" s="3195">
        <f ca="1">ROUND(C31+C36+C37+C38,0)</f>
        <v>7</v>
      </c>
      <c r="D30" s="3199" t="s">
        <v>1427</v>
      </c>
      <c r="E30" s="3215"/>
      <c r="F30" s="3164"/>
      <c r="G30" s="3158"/>
      <c r="H30" s="3242"/>
      <c r="I30" s="3242"/>
      <c r="J30" s="3243"/>
      <c r="K30" s="2218"/>
      <c r="L30" s="3244"/>
      <c r="M30" s="3243"/>
    </row>
    <row r="31" spans="1:37" ht="18" customHeight="1">
      <c r="A31" s="3202" t="s">
        <v>1035</v>
      </c>
      <c r="B31" s="3167" t="s">
        <v>1431</v>
      </c>
      <c r="C31" s="2407">
        <f ca="1">ROUND(IF(项目基本情况!B11="自然人",C5*F31,C32+C33+C34),1)</f>
        <v>6.5</v>
      </c>
      <c r="D31" s="2678" t="s">
        <v>1432</v>
      </c>
      <c r="E31" s="2595" t="s">
        <v>1483</v>
      </c>
      <c r="F31" s="3217" t="str">
        <f ca="1">IF(项目基本情况!B11="企业","",IF(INDIRECT("'数据-取费表'!c"&amp;$G$1)="住宅",5%,IF(F6*F7*F8/12/(1+'数据-取费表'!C42)&gt;20000,12%,7%)))</f>
        <v/>
      </c>
      <c r="G31" s="3158"/>
      <c r="H31" s="3242"/>
      <c r="I31" s="3242"/>
      <c r="J31" s="3243"/>
      <c r="K31" s="2218"/>
      <c r="L31" s="3244"/>
      <c r="M31" s="3243"/>
    </row>
    <row r="32" spans="1:37" ht="18" customHeight="1">
      <c r="A32" s="3202" t="s">
        <v>1034</v>
      </c>
      <c r="B32" s="3167" t="s">
        <v>1435</v>
      </c>
      <c r="C32" s="2407">
        <f ca="1">IF(项目基本情况!B11="自然人","——",ROUND(C5*F32/(1+'数据-取费表'!C42),2))</f>
        <v>0</v>
      </c>
      <c r="D32" s="2595" t="s">
        <v>1436</v>
      </c>
      <c r="E32" s="3167" t="s">
        <v>1424</v>
      </c>
      <c r="F32" s="2594">
        <f>'数据-取费表'!B41</f>
        <v>5.6000000000000001E-2</v>
      </c>
      <c r="G32" s="3158"/>
      <c r="H32" s="3242"/>
      <c r="I32" s="3242"/>
      <c r="J32" s="3243"/>
      <c r="K32" s="2218"/>
      <c r="L32" s="3244"/>
      <c r="M32" s="3243"/>
    </row>
    <row r="33" spans="1:18" ht="18" customHeight="1">
      <c r="A33" s="3202" t="s">
        <v>1036</v>
      </c>
      <c r="B33" s="3167" t="s">
        <v>1439</v>
      </c>
      <c r="C33" s="2407">
        <f ca="1">IF(项目基本情况!B11="自然人","——",IF(D33="按租金收入计税",ROUND(C5*F33,2),IF(D33="按房产原值计税",ROUND(C29*F33*0.7,2),INDIRECT("'数据-取费表'!Aj"&amp;$G$1))))</f>
        <v>2.96</v>
      </c>
      <c r="D33" s="3219" t="s">
        <v>1440</v>
      </c>
      <c r="E33" s="3167" t="s">
        <v>1424</v>
      </c>
      <c r="F33" s="2594">
        <f>IF(D33="按票据","——",IF(D33="按租金收入计税",'数据-取费表'!B51,'数据-取费表'!B50))</f>
        <v>1.2E-2</v>
      </c>
      <c r="G33" s="3158"/>
      <c r="H33" s="3245"/>
      <c r="I33" s="3246"/>
      <c r="J33" s="3247"/>
      <c r="K33" s="3248"/>
      <c r="L33" s="3245"/>
      <c r="M33" s="3245"/>
    </row>
    <row r="34" spans="1:18" ht="18" customHeight="1">
      <c r="A34" s="3165" t="s">
        <v>1390</v>
      </c>
      <c r="B34" s="2584" t="s">
        <v>1443</v>
      </c>
      <c r="C34" s="3221">
        <f ca="1">IF(项目基本情况!B11="自然人","——",ROUND(F34*F35/10000,2))</f>
        <v>3.54</v>
      </c>
      <c r="D34" s="3222" t="s">
        <v>1444</v>
      </c>
      <c r="E34" s="3167" t="s">
        <v>1445</v>
      </c>
      <c r="F34" s="2594">
        <f>'数据-取费表'!B52</f>
        <v>8</v>
      </c>
      <c r="G34" s="3158"/>
      <c r="H34" s="3242"/>
      <c r="I34" s="3246"/>
      <c r="J34" s="3247"/>
      <c r="K34" s="3249"/>
      <c r="L34" s="3250"/>
      <c r="M34" s="3250"/>
    </row>
    <row r="35" spans="1:18" ht="18" customHeight="1">
      <c r="A35" s="3251"/>
      <c r="B35" s="3251"/>
      <c r="C35" s="2596"/>
      <c r="D35" s="2209"/>
      <c r="E35" s="3167" t="s">
        <v>1449</v>
      </c>
      <c r="F35" s="2726">
        <f ca="1">INDIRECT("'数据-取费表'!r"&amp;$G$1)</f>
        <v>4428.21</v>
      </c>
      <c r="G35" s="3158"/>
      <c r="H35" s="3242"/>
      <c r="I35" s="3246"/>
      <c r="J35" s="3247"/>
      <c r="K35" s="3248"/>
      <c r="L35" s="3245"/>
      <c r="M35" s="3245"/>
    </row>
    <row r="36" spans="1:18" ht="18" customHeight="1">
      <c r="A36" s="3252" t="s">
        <v>1039</v>
      </c>
      <c r="B36" s="3167" t="s">
        <v>1451</v>
      </c>
      <c r="C36" s="2407">
        <f ca="1">ROUND(C29*F36,1)</f>
        <v>0</v>
      </c>
      <c r="D36" s="2595" t="s">
        <v>1484</v>
      </c>
      <c r="E36" s="3167" t="s">
        <v>1424</v>
      </c>
      <c r="F36" s="2726">
        <f ca="1">INDIRECT("'数据-取费表'!Ak"&amp;$G$1)</f>
        <v>0</v>
      </c>
      <c r="G36" s="3158"/>
      <c r="H36" s="3245"/>
      <c r="I36" s="3246"/>
      <c r="J36" s="3247"/>
      <c r="K36" s="3253"/>
      <c r="L36" s="3245"/>
      <c r="M36" s="3245"/>
    </row>
    <row r="37" spans="1:18" ht="18" customHeight="1">
      <c r="A37" s="3202" t="s">
        <v>1075</v>
      </c>
      <c r="B37" s="3167" t="s">
        <v>1455</v>
      </c>
      <c r="C37" s="2407">
        <f ca="1">ROUND(C13*F37,1)</f>
        <v>0</v>
      </c>
      <c r="D37" s="2595" t="s">
        <v>1456</v>
      </c>
      <c r="E37" s="3167" t="s">
        <v>1424</v>
      </c>
      <c r="F37" s="2726">
        <f ca="1">INDIRECT("'数据-取费表'!Al"&amp;$G$1)</f>
        <v>0</v>
      </c>
      <c r="G37" s="3158"/>
      <c r="H37" s="3245"/>
      <c r="I37" s="3246"/>
      <c r="J37" s="3247"/>
      <c r="K37" s="3253"/>
      <c r="L37" s="3245"/>
      <c r="M37" s="3245"/>
    </row>
    <row r="38" spans="1:18" ht="18" customHeight="1" thickBot="1">
      <c r="A38" s="3209" t="s">
        <v>1393</v>
      </c>
      <c r="B38" s="3189" t="s">
        <v>1441</v>
      </c>
      <c r="C38" s="3226">
        <f ca="1">ROUND(C5*F38,1)</f>
        <v>0</v>
      </c>
      <c r="D38" s="3227" t="s">
        <v>1461</v>
      </c>
      <c r="E38" s="3189" t="s">
        <v>1424</v>
      </c>
      <c r="F38" s="3190">
        <f ca="1">INDIRECT("'数据-取费表'!Am"&amp;$G$1)</f>
        <v>0</v>
      </c>
      <c r="G38" s="3158"/>
      <c r="H38" s="3245"/>
      <c r="I38" s="3246"/>
      <c r="J38" s="3247"/>
      <c r="K38" s="3254"/>
      <c r="L38" s="3245"/>
      <c r="M38" s="3245"/>
    </row>
    <row r="39" spans="1:18" ht="24.6" customHeight="1" thickTop="1">
      <c r="A39" s="3193" t="s">
        <v>1031</v>
      </c>
      <c r="B39" s="3228" t="s">
        <v>1465</v>
      </c>
      <c r="C39" s="3195">
        <f ca="1">C5-C30</f>
        <v>-7</v>
      </c>
      <c r="D39" s="3229" t="s">
        <v>1466</v>
      </c>
      <c r="E39" s="3230"/>
      <c r="F39" s="3231"/>
      <c r="G39" s="3158"/>
      <c r="H39" s="3245"/>
      <c r="I39" s="3246"/>
      <c r="J39" s="3247"/>
      <c r="K39" s="3254"/>
      <c r="L39" s="3245"/>
      <c r="M39" s="3245"/>
    </row>
    <row r="40" spans="1:18" ht="18" customHeight="1">
      <c r="A40" s="3159" t="s">
        <v>1032</v>
      </c>
      <c r="B40" s="3160" t="s">
        <v>1487</v>
      </c>
      <c r="C40" s="3168" t="e">
        <f ca="1">ROUND(C39*(1-((1+F42)/(1+F40))^F41)/(F40-F42),0)</f>
        <v>#DIV/0!</v>
      </c>
      <c r="D40" s="3222" t="s">
        <v>1471</v>
      </c>
      <c r="E40" s="3167" t="s">
        <v>1472</v>
      </c>
      <c r="F40" s="2726">
        <f ca="1">INDIRECT("'数据-取费表'!I"&amp;$G$1)</f>
        <v>0</v>
      </c>
      <c r="G40" s="3158"/>
      <c r="H40" s="3255"/>
      <c r="I40" s="3246"/>
      <c r="J40" s="3247"/>
      <c r="K40" s="3254"/>
      <c r="L40" s="3255"/>
      <c r="M40" s="3255"/>
    </row>
    <row r="41" spans="1:18" ht="18" customHeight="1">
      <c r="A41" s="3172"/>
      <c r="B41" s="3232"/>
      <c r="C41" s="3173"/>
      <c r="D41" s="3233" t="s">
        <v>1488</v>
      </c>
      <c r="E41" s="3167" t="s">
        <v>1476</v>
      </c>
      <c r="F41" s="2726">
        <f ca="1">IF(INDIRECT("'数据-取费表'!af"&amp;$G$1)=0,INDIRECT("'数据-取费表'!ae"&amp;$G$1),INDIRECT("'数据-取费表'!af"&amp;$G$1))</f>
        <v>0</v>
      </c>
      <c r="G41" s="3158"/>
      <c r="H41" s="2367"/>
      <c r="I41" s="3246"/>
      <c r="J41" s="3247"/>
      <c r="K41" s="3253"/>
      <c r="L41" s="2367"/>
      <c r="M41" s="2367"/>
    </row>
    <row r="42" spans="1:18" ht="18" customHeight="1">
      <c r="A42" s="3179"/>
      <c r="B42" s="3234"/>
      <c r="C42" s="3195"/>
      <c r="D42" s="2209"/>
      <c r="E42" s="3167" t="s">
        <v>1479</v>
      </c>
      <c r="F42" s="2726">
        <f ca="1">INDIRECT("'数据-取费表'!v"&amp;$G$1)</f>
        <v>0</v>
      </c>
      <c r="G42" s="3158"/>
      <c r="H42" s="2367"/>
      <c r="I42" s="3246"/>
      <c r="J42" s="3247"/>
      <c r="K42" s="3253"/>
      <c r="L42" s="2367"/>
      <c r="M42" s="2367"/>
    </row>
    <row r="43" spans="1:18" ht="18" customHeight="1" thickBot="1">
      <c r="A43" s="3236" t="s">
        <v>1033</v>
      </c>
      <c r="B43" s="3237" t="s">
        <v>1489</v>
      </c>
      <c r="C43" s="3238" t="e">
        <f ca="1">ROUND(C40*10000/F43,0)</f>
        <v>#DIV/0!</v>
      </c>
      <c r="D43" s="3239" t="s">
        <v>1490</v>
      </c>
      <c r="E43" s="3240" t="s">
        <v>1491</v>
      </c>
      <c r="F43" s="3241">
        <f ca="1">INDIRECT("'数据-取费表'!k"&amp;$G$1)</f>
        <v>14937.26</v>
      </c>
      <c r="G43" s="3158"/>
      <c r="H43" s="2367"/>
      <c r="I43" s="2367"/>
      <c r="J43" s="2367"/>
      <c r="K43" s="3253"/>
      <c r="L43" s="2367"/>
      <c r="M43" s="2367"/>
    </row>
    <row r="44" spans="1:18" s="3149" customFormat="1" ht="18" customHeight="1">
      <c r="A44" s="3256"/>
      <c r="B44" s="3256"/>
      <c r="C44" s="3257"/>
      <c r="D44" s="3256"/>
      <c r="E44" s="3256"/>
      <c r="F44" s="3256"/>
      <c r="K44" s="3258"/>
    </row>
    <row r="45" spans="1:18" s="3149" customFormat="1" ht="18" customHeight="1" thickBot="1">
      <c r="A45" s="3256"/>
      <c r="B45" s="3256"/>
      <c r="C45" s="3257"/>
      <c r="D45" s="3256"/>
      <c r="E45" s="3256"/>
      <c r="F45" s="3256"/>
      <c r="J45" s="3014"/>
      <c r="O45" s="3259" t="s">
        <v>1521</v>
      </c>
      <c r="P45" s="3255"/>
      <c r="Q45" s="3255"/>
      <c r="R45" s="3255"/>
    </row>
    <row r="46" spans="1:18" s="3149" customFormat="1" ht="13.5" thickBot="1">
      <c r="A46" s="3260" t="s">
        <v>1522</v>
      </c>
      <c r="C46" s="3261" t="e">
        <f ca="1">C68-C40</f>
        <v>#DIV/0!</v>
      </c>
      <c r="D46" s="3262" t="str">
        <f>C2</f>
        <v>万元</v>
      </c>
      <c r="E46" s="3256"/>
      <c r="F46" s="3256"/>
      <c r="I46" s="3263" t="s">
        <v>1523</v>
      </c>
      <c r="J46" s="3264"/>
      <c r="K46" s="3265"/>
      <c r="L46" s="3266">
        <f ca="1">IF(M47="住宅",0,IF(L48&gt;J51,L60,J60))</f>
        <v>7</v>
      </c>
      <c r="O46" s="3267" t="s">
        <v>1524</v>
      </c>
      <c r="P46" s="3268" t="s">
        <v>1525</v>
      </c>
      <c r="Q46" s="3269" t="s">
        <v>1526</v>
      </c>
      <c r="R46" s="3269" t="s">
        <v>1527</v>
      </c>
    </row>
    <row r="47" spans="1:18" s="3149" customFormat="1" ht="13.5" thickBot="1">
      <c r="A47" s="3270" t="s">
        <v>1397</v>
      </c>
      <c r="B47" s="3271" t="s">
        <v>1398</v>
      </c>
      <c r="C47" s="3272" t="s">
        <v>1399</v>
      </c>
      <c r="D47" s="3271" t="s">
        <v>1400</v>
      </c>
      <c r="E47" s="3273" t="s">
        <v>1401</v>
      </c>
      <c r="F47" s="3092"/>
      <c r="G47" s="3274"/>
      <c r="I47" s="3275" t="s">
        <v>1528</v>
      </c>
      <c r="J47" s="3276" t="s">
        <v>3093</v>
      </c>
      <c r="K47" s="3277" t="s">
        <v>1529</v>
      </c>
      <c r="L47" s="3278">
        <f ca="1">INDIRECT("'数据-取费表'!d"&amp;$G$1)</f>
        <v>40</v>
      </c>
      <c r="M47" s="3279" t="str">
        <f>IF(ISNUMBER(FIND("住宅",C1)),"住宅","非住宅")</f>
        <v>非住宅</v>
      </c>
      <c r="O47" s="3280" t="s">
        <v>1040</v>
      </c>
      <c r="P47" s="3281" t="s">
        <v>1530</v>
      </c>
      <c r="Q47" s="3282" t="e">
        <f ca="1">C40+J29</f>
        <v>#DIV/0!</v>
      </c>
      <c r="R47" s="3282" t="s">
        <v>1531</v>
      </c>
    </row>
    <row r="48" spans="1:18" s="3149" customFormat="1" ht="28.5" thickBot="1">
      <c r="A48" s="3283" t="s">
        <v>1135</v>
      </c>
      <c r="B48" s="3160" t="s">
        <v>1402</v>
      </c>
      <c r="C48" s="2614">
        <f ca="1">C49+C53+C55</f>
        <v>0</v>
      </c>
      <c r="D48" s="3284"/>
      <c r="E48" s="3285"/>
      <c r="F48" s="3286"/>
      <c r="G48" s="3274"/>
      <c r="H48" s="3287"/>
      <c r="I48" s="3288" t="s">
        <v>1532</v>
      </c>
      <c r="J48" s="3289" t="s">
        <v>7099</v>
      </c>
      <c r="K48" s="3290" t="s">
        <v>1533</v>
      </c>
      <c r="L48" s="3291">
        <f ca="1">INDIRECT("'数据-取费表'!f"&amp;$G$1)</f>
        <v>35.47</v>
      </c>
      <c r="O48" s="3280" t="s">
        <v>1041</v>
      </c>
      <c r="P48" s="3281" t="s">
        <v>1534</v>
      </c>
      <c r="Q48" s="3282">
        <f ca="1">J60</f>
        <v>7</v>
      </c>
      <c r="R48" s="3282" t="s">
        <v>1535</v>
      </c>
    </row>
    <row r="49" spans="1:18" s="3149" customFormat="1" ht="13.5" thickBot="1">
      <c r="A49" s="3292" t="s">
        <v>1136</v>
      </c>
      <c r="B49" s="3293" t="s">
        <v>1492</v>
      </c>
      <c r="C49" s="3294">
        <f ca="1">ROUND(F49*F51*F50*(1-F52)/10000,0)</f>
        <v>0</v>
      </c>
      <c r="D49" s="3295" t="s">
        <v>3042</v>
      </c>
      <c r="E49" s="3296" t="s">
        <v>1493</v>
      </c>
      <c r="F49" s="3297"/>
      <c r="G49" s="3298"/>
      <c r="H49" s="3287"/>
      <c r="I49" s="3288" t="s">
        <v>1536</v>
      </c>
      <c r="J49" s="3299">
        <v>2016</v>
      </c>
      <c r="K49" s="3290" t="s">
        <v>1537</v>
      </c>
      <c r="L49" s="3300"/>
      <c r="O49" s="3301" t="s">
        <v>1042</v>
      </c>
      <c r="P49" s="3281" t="s">
        <v>1538</v>
      </c>
      <c r="Q49" s="3282">
        <f ca="1">C29</f>
        <v>352</v>
      </c>
      <c r="R49" s="3282" t="s">
        <v>1531</v>
      </c>
    </row>
    <row r="50" spans="1:18" s="3149" customFormat="1" ht="13.5" thickBot="1">
      <c r="A50" s="3302"/>
      <c r="B50" s="3034"/>
      <c r="C50" s="3303"/>
      <c r="D50" s="3304"/>
      <c r="E50" s="3305" t="s">
        <v>1407</v>
      </c>
      <c r="F50" s="3306">
        <f ca="1">F7</f>
        <v>14937.26</v>
      </c>
      <c r="H50" s="3287"/>
      <c r="I50" s="3288" t="s">
        <v>1539</v>
      </c>
      <c r="J50" s="3307">
        <f>SUMPRODUCT((I63:I65=J47)*(J62:L62=J48)*(J63:L65))</f>
        <v>60</v>
      </c>
      <c r="K50" s="3290" t="s">
        <v>1540</v>
      </c>
      <c r="L50" s="3300"/>
      <c r="M50" s="3308"/>
      <c r="O50" s="3301" t="s">
        <v>1043</v>
      </c>
      <c r="P50" s="3281" t="s">
        <v>1541</v>
      </c>
      <c r="Q50" s="3282">
        <f ca="1">J58</f>
        <v>0.4</v>
      </c>
      <c r="R50" s="3282"/>
    </row>
    <row r="51" spans="1:18" s="3149" customFormat="1" ht="13.5" thickBot="1">
      <c r="A51" s="3309"/>
      <c r="B51" s="3034"/>
      <c r="C51" s="3310"/>
      <c r="D51" s="3304"/>
      <c r="E51" s="3311" t="s">
        <v>1408</v>
      </c>
      <c r="F51" s="2726">
        <f ca="1">F8</f>
        <v>365</v>
      </c>
      <c r="I51" s="3312" t="s">
        <v>1542</v>
      </c>
      <c r="J51" s="3291">
        <f>IF(J49="",J50,J49+J50-YEAR('数据-取费表'!B2))</f>
        <v>59</v>
      </c>
      <c r="K51" s="3313" t="s">
        <v>1543</v>
      </c>
      <c r="L51" s="3291">
        <f ca="1">ROUND(-PV(INDIRECT("'数据-取费表'!h"&amp;$G$1),L48,(C39-C13*C76),0),0)</f>
        <v>-248</v>
      </c>
      <c r="M51" s="3314"/>
      <c r="O51" s="3301" t="s">
        <v>1044</v>
      </c>
      <c r="P51" s="3281" t="s">
        <v>1544</v>
      </c>
      <c r="Q51" s="3282">
        <f>J52</f>
        <v>0.09</v>
      </c>
      <c r="R51" s="3282"/>
    </row>
    <row r="52" spans="1:18" s="3149" customFormat="1" ht="13.5" thickBot="1">
      <c r="A52" s="3309"/>
      <c r="B52" s="3034"/>
      <c r="C52" s="3310"/>
      <c r="D52" s="3304"/>
      <c r="E52" s="3311" t="s">
        <v>1409</v>
      </c>
      <c r="F52" s="3315"/>
      <c r="I52" s="3316" t="s">
        <v>1545</v>
      </c>
      <c r="J52" s="3317">
        <v>0.09</v>
      </c>
      <c r="K52" s="3316" t="s">
        <v>1546</v>
      </c>
      <c r="L52" s="3317"/>
      <c r="O52" s="3301" t="s">
        <v>1045</v>
      </c>
      <c r="P52" s="3281" t="s">
        <v>1547</v>
      </c>
      <c r="Q52" s="3282">
        <f ca="1">J53</f>
        <v>35.47</v>
      </c>
      <c r="R52" s="3282" t="s">
        <v>1548</v>
      </c>
    </row>
    <row r="53" spans="1:18" s="3149" customFormat="1" ht="24.75" thickBot="1">
      <c r="A53" s="3318" t="s">
        <v>1137</v>
      </c>
      <c r="B53" s="2507" t="s">
        <v>1410</v>
      </c>
      <c r="C53" s="3098">
        <f ca="1">ROUND(IF(F53="押一",F49*F51*F50/12*F11,IF(F53="押二",F49*F51*F50/12*2*F11,IF(F53="押三",F49*F51*F50/12*3*F11,C54*F11)))/10000,0)</f>
        <v>0</v>
      </c>
      <c r="D53" s="3177" t="s">
        <v>3040</v>
      </c>
      <c r="E53" s="3174" t="s">
        <v>1412</v>
      </c>
      <c r="F53" s="3178"/>
      <c r="I53" s="3319" t="s">
        <v>1549</v>
      </c>
      <c r="J53" s="3320">
        <f ca="1">IF(M47="住宅",J51,IF(D1="——",MIN(J51,L48),IF(D1="在建（套用方法）",MIN(J51,L48-'数据-取费表'!B24),IF(D1="土地（套用方法）",MIN(J51,L48-'数据-取费表'!B20)))))</f>
        <v>35.47</v>
      </c>
      <c r="K53" s="3950" t="s">
        <v>1550</v>
      </c>
      <c r="L53" s="3951"/>
      <c r="O53" s="3280" t="s">
        <v>1046</v>
      </c>
      <c r="P53" s="3281" t="s">
        <v>1551</v>
      </c>
      <c r="Q53" s="3282" t="e">
        <f ca="1">Q47+Q48</f>
        <v>#DIV/0!</v>
      </c>
      <c r="R53" s="3282" t="s">
        <v>1047</v>
      </c>
    </row>
    <row r="54" spans="1:18" s="3149" customFormat="1" ht="13.5" thickBot="1">
      <c r="A54" s="3321"/>
      <c r="B54" s="3180" t="s">
        <v>1389</v>
      </c>
      <c r="C54" s="3181"/>
      <c r="D54" s="3177"/>
      <c r="E54" s="3322"/>
      <c r="F54" s="3323"/>
      <c r="I54" s="332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3325"/>
      <c r="K54" s="3325"/>
      <c r="L54" s="3325"/>
      <c r="M54" s="3298"/>
      <c r="O54" s="3259" t="s">
        <v>1552</v>
      </c>
      <c r="P54" s="3255"/>
      <c r="Q54" s="3255"/>
      <c r="R54" s="3255"/>
    </row>
    <row r="55" spans="1:18" s="3149" customFormat="1" ht="13.5" thickBot="1">
      <c r="A55" s="3185" t="s">
        <v>1075</v>
      </c>
      <c r="B55" s="3186" t="s">
        <v>1415</v>
      </c>
      <c r="C55" s="3187"/>
      <c r="D55" s="3177"/>
      <c r="E55" s="3322"/>
      <c r="F55" s="3323"/>
      <c r="I55" s="3326" t="s">
        <v>1553</v>
      </c>
      <c r="J55" s="3327">
        <f ca="1">ROUND(IF(J47="钢混",J57/J50,1-(1-2%)*(J50-J57)/J50),3)</f>
        <v>0.39200000000000002</v>
      </c>
      <c r="K55" s="3328" t="s">
        <v>1554</v>
      </c>
      <c r="L55" s="3329" t="s">
        <v>1555</v>
      </c>
      <c r="O55" s="3267" t="s">
        <v>1524</v>
      </c>
      <c r="P55" s="3268" t="s">
        <v>1525</v>
      </c>
      <c r="Q55" s="3269" t="s">
        <v>1526</v>
      </c>
      <c r="R55" s="3269" t="s">
        <v>1527</v>
      </c>
    </row>
    <row r="56" spans="1:18" s="3149" customFormat="1" ht="25.5" thickTop="1" thickBot="1">
      <c r="A56" s="3330">
        <v>2</v>
      </c>
      <c r="B56" s="3331" t="s">
        <v>1416</v>
      </c>
      <c r="C56" s="3332">
        <f ca="1">C13</f>
        <v>0</v>
      </c>
      <c r="D56" s="3333"/>
      <c r="E56" s="3334"/>
      <c r="F56" s="3323"/>
      <c r="I56" s="3335" t="s">
        <v>1556</v>
      </c>
      <c r="J56" s="3336" t="s">
        <v>7100</v>
      </c>
      <c r="K56" s="3288" t="s">
        <v>1557</v>
      </c>
      <c r="L56" s="3291" t="str">
        <f ca="1">IF(L48&lt;J51,"——",L48-J53)</f>
        <v>——</v>
      </c>
      <c r="O56" s="3280" t="s">
        <v>1040</v>
      </c>
      <c r="P56" s="3281" t="s">
        <v>1530</v>
      </c>
      <c r="Q56" s="3282" t="e">
        <f ca="1">C40+J29</f>
        <v>#DIV/0!</v>
      </c>
      <c r="R56" s="3282" t="s">
        <v>1531</v>
      </c>
    </row>
    <row r="57" spans="1:18" s="3149" customFormat="1" ht="24.75" thickBot="1">
      <c r="A57" s="3337"/>
      <c r="B57" s="3338" t="s">
        <v>1480</v>
      </c>
      <c r="C57" s="3339">
        <f ca="1">C29</f>
        <v>352</v>
      </c>
      <c r="D57" s="3340"/>
      <c r="E57" s="3341"/>
      <c r="F57" s="3342"/>
      <c r="I57" s="3343" t="s">
        <v>1558</v>
      </c>
      <c r="J57" s="3344">
        <f ca="1">IF(OR(M47="住宅",J51&lt;L48,J56="是"),"——",J51-L48)</f>
        <v>23.53</v>
      </c>
      <c r="K57" s="3288" t="s">
        <v>1559</v>
      </c>
      <c r="L57" s="3291" t="str">
        <f ca="1">IF(L48&lt;J51,"——",IF(L55="比较法",L49,IF(L55="基准地价",L50,L51)))</f>
        <v>——</v>
      </c>
      <c r="O57" s="3280" t="s">
        <v>1041</v>
      </c>
      <c r="P57" s="3281" t="s">
        <v>1560</v>
      </c>
      <c r="Q57" s="3282">
        <f ca="1">L60</f>
        <v>0</v>
      </c>
      <c r="R57" s="3282" t="s">
        <v>1561</v>
      </c>
    </row>
    <row r="58" spans="1:18" s="3149" customFormat="1" ht="24.75" thickBot="1">
      <c r="A58" s="3345" t="s">
        <v>1030</v>
      </c>
      <c r="B58" s="3331" t="s">
        <v>1426</v>
      </c>
      <c r="C58" s="3098">
        <f ca="1">ROUND(C59+C64+C65+C66,0)</f>
        <v>7</v>
      </c>
      <c r="D58" s="3346" t="s">
        <v>1427</v>
      </c>
      <c r="E58" s="3347"/>
      <c r="F58" s="3286"/>
      <c r="I58" s="3343" t="s">
        <v>1562</v>
      </c>
      <c r="J58" s="3344">
        <f ca="1">IF(J55&lt;0.4,0.4,J55)</f>
        <v>0.4</v>
      </c>
      <c r="K58" s="3313" t="s">
        <v>1563</v>
      </c>
      <c r="L58" s="3291" t="e">
        <f ca="1">ROUND(POWER(1+L52,L47-L48)*(POWER(1+L52,L48)-1)/(POWER(1+L52,L47)-1),4)</f>
        <v>#DIV/0!</v>
      </c>
      <c r="O58" s="3301" t="s">
        <v>1042</v>
      </c>
      <c r="P58" s="3281" t="s">
        <v>1564</v>
      </c>
      <c r="Q58" s="3282">
        <f>IF(L55="比较法",L49,IF(L55="基准地价",L50,0))</f>
        <v>0</v>
      </c>
      <c r="R58" s="3282" t="s">
        <v>1531</v>
      </c>
    </row>
    <row r="59" spans="1:18" s="3149" customFormat="1" ht="24.75" thickBot="1">
      <c r="A59" s="3202" t="s">
        <v>1035</v>
      </c>
      <c r="B59" s="3338" t="s">
        <v>1431</v>
      </c>
      <c r="C59" s="2407">
        <f ca="1">ROUND(IF(项目基本情况!B11="自然人",C48*F59,C60+C61+C62),1)</f>
        <v>6.5</v>
      </c>
      <c r="D59" s="3348" t="s">
        <v>1432</v>
      </c>
      <c r="E59" s="3349" t="s">
        <v>1433</v>
      </c>
      <c r="F59" s="3217" t="str">
        <f ca="1">IF(项目基本情况!B11="企业","",IF(INDIRECT("'数据-取费表'!c"&amp;$G$1)="住宅",5%,IF(F49*F50*F51/12/(1+'数据-取费表'!C42)&gt;20000,12%,7%)))</f>
        <v/>
      </c>
      <c r="I59" s="3343" t="s">
        <v>1565</v>
      </c>
      <c r="J59" s="3344">
        <f ca="1">IF(OR(M47="住宅",J51&lt;L48,J56="是"),"——",ROUND(C29*J58,0))</f>
        <v>141</v>
      </c>
      <c r="K59" s="328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3291" t="e">
        <f ca="1">ROUND(IF(D1="在建（套用方法）",M59,IF(D1="土地（套用方法）",N59,POWER(1+L52,L47-J51)*(POWER(1+L52,J51)-1)/(POWER(1+L52,L47)-1))),4)</f>
        <v>#DIV/0!</v>
      </c>
      <c r="M59" s="3279" t="e">
        <f ca="1">ROUND(POWER(1+L52,L47-(J51+'数据-取费表'!B24))*(POWER(1+L52,(J51+'数据-取费表'!B24))-1)/(POWER(1+L52,L47)-1),4)</f>
        <v>#DIV/0!</v>
      </c>
      <c r="N59" s="3279" t="e">
        <f ca="1">ROUND(POWER(1+L52,L47-(J51+'数据-取费表'!B20))*(POWER(1+L52,(J51+'数据-取费表'!B20))-1)/(POWER(1+L52,L47)-1),4)</f>
        <v>#DIV/0!</v>
      </c>
      <c r="O59" s="3301" t="s">
        <v>1043</v>
      </c>
      <c r="P59" s="3281" t="s">
        <v>1566</v>
      </c>
      <c r="Q59" s="3282">
        <f>L52</f>
        <v>0</v>
      </c>
      <c r="R59" s="3282"/>
    </row>
    <row r="60" spans="1:18" s="3149" customFormat="1" ht="16.5" thickBot="1">
      <c r="A60" s="3202" t="s">
        <v>1034</v>
      </c>
      <c r="B60" s="3338" t="s">
        <v>1435</v>
      </c>
      <c r="C60" s="2407">
        <f ca="1">IF(项目基本情况!B11="自然人","——",ROUND(C48*F60/(1+'数据-取费表'!C42),2))</f>
        <v>0</v>
      </c>
      <c r="D60" s="3349" t="s">
        <v>1436</v>
      </c>
      <c r="E60" s="3338" t="s">
        <v>1424</v>
      </c>
      <c r="F60" s="2594">
        <f t="shared" ref="F60:F66" si="0">F32</f>
        <v>5.6000000000000001E-2</v>
      </c>
      <c r="I60" s="3350" t="s">
        <v>1567</v>
      </c>
      <c r="J60" s="3351">
        <f ca="1">IF(OR(M47="住宅",J51&lt;L48,J56="是"),"0",ROUND(J59/(1+J52)^J53,0))</f>
        <v>7</v>
      </c>
      <c r="K60" s="3352" t="s">
        <v>1568</v>
      </c>
      <c r="L60" s="3351">
        <f ca="1">IF(OR(M47="住宅",L48&lt;J51),0,ROUND(L57*(L58/L59-1),0))</f>
        <v>0</v>
      </c>
      <c r="O60" s="3301" t="s">
        <v>1044</v>
      </c>
      <c r="P60" s="3281" t="s">
        <v>1569</v>
      </c>
      <c r="Q60" s="3282" t="e">
        <f ca="1">L58</f>
        <v>#DIV/0!</v>
      </c>
      <c r="R60" s="3282" t="s">
        <v>1570</v>
      </c>
    </row>
    <row r="61" spans="1:18" s="3149" customFormat="1" ht="13.5" thickBot="1">
      <c r="A61" s="3202" t="s">
        <v>1494</v>
      </c>
      <c r="B61" s="3338" t="s">
        <v>1439</v>
      </c>
      <c r="C61" s="2407">
        <f ca="1">IF(项目基本情况!B11="自然人","——",IF(D61="按租金收入计税",ROUND(C48*F61,2),IF(D61="按房产原值计税",ROUND(C57*F61*0.7,2),INDIRECT("'数据-取费表'!Aj"&amp;$G$1))))</f>
        <v>2.96</v>
      </c>
      <c r="D61" s="3219" t="s">
        <v>1440</v>
      </c>
      <c r="E61" s="3338" t="s">
        <v>1424</v>
      </c>
      <c r="F61" s="2594">
        <f t="shared" si="0"/>
        <v>1.2E-2</v>
      </c>
      <c r="I61" s="3353"/>
      <c r="J61" s="3353"/>
      <c r="K61" s="3353"/>
      <c r="L61" s="3353"/>
      <c r="O61" s="3301" t="s">
        <v>1045</v>
      </c>
      <c r="P61" s="3281" t="str">
        <f>K59</f>
        <v>建筑物剩余耐用年限下的土地年期修正系数Kn</v>
      </c>
      <c r="Q61" s="3282" t="e">
        <f ca="1">L59</f>
        <v>#DIV/0!</v>
      </c>
      <c r="R61" s="3282" t="s">
        <v>1571</v>
      </c>
    </row>
    <row r="62" spans="1:18" s="3149" customFormat="1" ht="13.5" thickBot="1">
      <c r="A62" s="3202" t="s">
        <v>1497</v>
      </c>
      <c r="B62" s="3354" t="s">
        <v>1443</v>
      </c>
      <c r="C62" s="3221">
        <f ca="1">IF(项目基本情况!B11="自然人","——",ROUND(F62*F63/10000,2))</f>
        <v>3.54</v>
      </c>
      <c r="D62" s="3355" t="s">
        <v>1444</v>
      </c>
      <c r="E62" s="3338" t="s">
        <v>1445</v>
      </c>
      <c r="F62" s="2594">
        <f t="shared" si="0"/>
        <v>8</v>
      </c>
      <c r="I62" s="3356" t="s">
        <v>1572</v>
      </c>
      <c r="J62" s="3357" t="s">
        <v>1573</v>
      </c>
      <c r="K62" s="3357" t="s">
        <v>1574</v>
      </c>
      <c r="L62" s="3357" t="s">
        <v>1575</v>
      </c>
      <c r="M62" s="3358" t="s">
        <v>1576</v>
      </c>
      <c r="O62" s="3280" t="s">
        <v>1046</v>
      </c>
      <c r="P62" s="3281" t="s">
        <v>1577</v>
      </c>
      <c r="Q62" s="3282" t="e">
        <f ca="1">Q56+Q57</f>
        <v>#DIV/0!</v>
      </c>
      <c r="R62" s="3282" t="s">
        <v>1047</v>
      </c>
    </row>
    <row r="63" spans="1:18" s="3149" customFormat="1" ht="13.5" thickBot="1">
      <c r="A63" s="3223"/>
      <c r="B63" s="3359"/>
      <c r="C63" s="2596"/>
      <c r="D63" s="3360"/>
      <c r="E63" s="3338" t="s">
        <v>1501</v>
      </c>
      <c r="F63" s="2726">
        <f t="shared" ca="1" si="0"/>
        <v>4428.21</v>
      </c>
      <c r="I63" s="3356" t="s">
        <v>1578</v>
      </c>
      <c r="J63" s="3357">
        <v>70</v>
      </c>
      <c r="K63" s="3357">
        <v>50</v>
      </c>
      <c r="L63" s="3357">
        <v>80</v>
      </c>
      <c r="M63" s="3358">
        <v>0.02</v>
      </c>
      <c r="O63" s="3259" t="s">
        <v>1579</v>
      </c>
      <c r="P63" s="3255"/>
      <c r="Q63" s="3255"/>
      <c r="R63" s="3255"/>
    </row>
    <row r="64" spans="1:18" s="3149" customFormat="1" ht="13.5" thickBot="1">
      <c r="A64" s="3202" t="s">
        <v>1502</v>
      </c>
      <c r="B64" s="3338" t="s">
        <v>1503</v>
      </c>
      <c r="C64" s="2407">
        <f ca="1">ROUND(C57*F64,1)</f>
        <v>0</v>
      </c>
      <c r="D64" s="3349" t="s">
        <v>1484</v>
      </c>
      <c r="E64" s="3338" t="s">
        <v>1424</v>
      </c>
      <c r="F64" s="2726">
        <f t="shared" ca="1" si="0"/>
        <v>0</v>
      </c>
      <c r="I64" s="3356" t="s">
        <v>1580</v>
      </c>
      <c r="J64" s="3357">
        <v>50</v>
      </c>
      <c r="K64" s="3357">
        <v>35</v>
      </c>
      <c r="L64" s="3357">
        <v>60</v>
      </c>
      <c r="M64" s="3358">
        <v>0</v>
      </c>
      <c r="O64" s="3267" t="s">
        <v>1524</v>
      </c>
      <c r="P64" s="3268" t="s">
        <v>1525</v>
      </c>
      <c r="Q64" s="3269" t="s">
        <v>1526</v>
      </c>
      <c r="R64" s="3269" t="s">
        <v>1527</v>
      </c>
    </row>
    <row r="65" spans="1:18" s="3149" customFormat="1" ht="13.5" thickBot="1">
      <c r="A65" s="3202" t="s">
        <v>1505</v>
      </c>
      <c r="B65" s="3338" t="s">
        <v>1455</v>
      </c>
      <c r="C65" s="2407">
        <f ca="1">ROUND(C56*F65,1)</f>
        <v>0</v>
      </c>
      <c r="D65" s="3349" t="s">
        <v>1456</v>
      </c>
      <c r="E65" s="3338" t="s">
        <v>1424</v>
      </c>
      <c r="F65" s="2726">
        <f t="shared" ca="1" si="0"/>
        <v>0</v>
      </c>
      <c r="I65" s="3356" t="s">
        <v>1581</v>
      </c>
      <c r="J65" s="3357">
        <v>40</v>
      </c>
      <c r="K65" s="3357">
        <v>30</v>
      </c>
      <c r="L65" s="3357">
        <v>50</v>
      </c>
      <c r="M65" s="3358">
        <v>0.02</v>
      </c>
      <c r="O65" s="3280" t="s">
        <v>1040</v>
      </c>
      <c r="P65" s="3281" t="s">
        <v>1530</v>
      </c>
      <c r="Q65" s="3282" t="e">
        <f ca="1">C40+J29</f>
        <v>#DIV/0!</v>
      </c>
      <c r="R65" s="3282" t="s">
        <v>1531</v>
      </c>
    </row>
    <row r="66" spans="1:18" s="3149" customFormat="1" ht="16.5" thickBot="1">
      <c r="A66" s="3202" t="s">
        <v>1506</v>
      </c>
      <c r="B66" s="3338" t="s">
        <v>1441</v>
      </c>
      <c r="C66" s="2407">
        <f ca="1">ROUND(C48*F66,1)</f>
        <v>0</v>
      </c>
      <c r="D66" s="3349" t="s">
        <v>1507</v>
      </c>
      <c r="E66" s="3338" t="s">
        <v>1424</v>
      </c>
      <c r="F66" s="2726">
        <f t="shared" ca="1" si="0"/>
        <v>0</v>
      </c>
      <c r="O66" s="3280" t="s">
        <v>1041</v>
      </c>
      <c r="P66" s="3281" t="s">
        <v>1560</v>
      </c>
      <c r="Q66" s="3282">
        <f ca="1">L60</f>
        <v>0</v>
      </c>
      <c r="R66" s="3282" t="s">
        <v>1583</v>
      </c>
    </row>
    <row r="67" spans="1:18" s="3149" customFormat="1" ht="16.5" thickBot="1">
      <c r="A67" s="3330" t="s">
        <v>1031</v>
      </c>
      <c r="B67" s="3361" t="s">
        <v>1465</v>
      </c>
      <c r="C67" s="3098">
        <f ca="1">C48-C58</f>
        <v>-7</v>
      </c>
      <c r="D67" s="3348" t="s">
        <v>1466</v>
      </c>
      <c r="E67" s="3362"/>
      <c r="F67" s="3363"/>
      <c r="O67" s="3301" t="s">
        <v>1042</v>
      </c>
      <c r="P67" s="3281" t="s">
        <v>1564</v>
      </c>
      <c r="Q67" s="3282">
        <f ca="1">L51</f>
        <v>-248</v>
      </c>
      <c r="R67" s="3282" t="s">
        <v>1584</v>
      </c>
    </row>
    <row r="68" spans="1:18" s="3149" customFormat="1" ht="16.5" thickBot="1">
      <c r="A68" s="3364" t="s">
        <v>1032</v>
      </c>
      <c r="B68" s="3365" t="s">
        <v>1487</v>
      </c>
      <c r="C68" s="3168" t="e">
        <f ca="1">ROUND(C67*(1-((1+F70)/(1+F68))^F69)/(F68-F70),0)</f>
        <v>#DIV/0!</v>
      </c>
      <c r="D68" s="3355" t="s">
        <v>1471</v>
      </c>
      <c r="E68" s="3338" t="s">
        <v>1472</v>
      </c>
      <c r="F68" s="2726">
        <f ca="1">F40</f>
        <v>0</v>
      </c>
      <c r="O68" s="3301" t="s">
        <v>1043</v>
      </c>
      <c r="P68" s="3366" t="s">
        <v>1585</v>
      </c>
      <c r="Q68" s="3282">
        <f ca="1">ROUND(Q69-Q70*Q71,0)</f>
        <v>-7</v>
      </c>
      <c r="R68" s="3282" t="s">
        <v>1051</v>
      </c>
    </row>
    <row r="69" spans="1:18" s="3149" customFormat="1" ht="13.5" thickBot="1">
      <c r="A69" s="3367"/>
      <c r="B69" s="3368"/>
      <c r="C69" s="3173"/>
      <c r="D69" s="3369" t="s">
        <v>1475</v>
      </c>
      <c r="E69" s="3338" t="s">
        <v>1476</v>
      </c>
      <c r="F69" s="2726">
        <f ca="1">F41</f>
        <v>0</v>
      </c>
      <c r="O69" s="3301" t="s">
        <v>1048</v>
      </c>
      <c r="P69" s="3366" t="s">
        <v>1586</v>
      </c>
      <c r="Q69" s="3282">
        <f ca="1">C39</f>
        <v>-7</v>
      </c>
      <c r="R69" s="3282" t="s">
        <v>1531</v>
      </c>
    </row>
    <row r="70" spans="1:18" s="3149" customFormat="1" ht="13.5" thickBot="1">
      <c r="A70" s="3370"/>
      <c r="B70" s="3371"/>
      <c r="C70" s="3195"/>
      <c r="D70" s="3360"/>
      <c r="E70" s="3338" t="s">
        <v>1479</v>
      </c>
      <c r="F70" s="3315"/>
      <c r="O70" s="3301" t="s">
        <v>1049</v>
      </c>
      <c r="P70" s="3366" t="s">
        <v>1587</v>
      </c>
      <c r="Q70" s="3282">
        <f ca="1">C13</f>
        <v>0</v>
      </c>
      <c r="R70" s="3282" t="s">
        <v>1531</v>
      </c>
    </row>
    <row r="71" spans="1:18" s="3149" customFormat="1" ht="13.5" thickBot="1">
      <c r="A71" s="3372" t="s">
        <v>1033</v>
      </c>
      <c r="B71" s="3373" t="s">
        <v>1489</v>
      </c>
      <c r="C71" s="3238" t="e">
        <f ca="1">ROUND(C68*10000/F71,0)</f>
        <v>#DIV/0!</v>
      </c>
      <c r="D71" s="3374" t="s">
        <v>1490</v>
      </c>
      <c r="E71" s="3375" t="s">
        <v>1491</v>
      </c>
      <c r="F71" s="3241">
        <f ca="1">F43</f>
        <v>14937.26</v>
      </c>
      <c r="O71" s="3301" t="s">
        <v>1050</v>
      </c>
      <c r="P71" s="3366" t="s">
        <v>1588</v>
      </c>
      <c r="Q71" s="3282">
        <f ca="1">C76</f>
        <v>0</v>
      </c>
      <c r="R71" s="3282"/>
    </row>
    <row r="72" spans="1:18" s="3149" customFormat="1" ht="13.5" thickBot="1">
      <c r="B72" s="3014"/>
      <c r="C72" s="3014"/>
      <c r="O72" s="3301" t="s">
        <v>1044</v>
      </c>
      <c r="P72" s="3281" t="s">
        <v>1566</v>
      </c>
      <c r="Q72" s="3282">
        <f>L52</f>
        <v>0</v>
      </c>
      <c r="R72" s="3282"/>
    </row>
    <row r="73" spans="1:18" ht="16.5" thickBot="1">
      <c r="A73" s="3149"/>
      <c r="B73" s="3014"/>
      <c r="C73" s="3014"/>
      <c r="D73" s="3149"/>
      <c r="E73" s="3149"/>
      <c r="F73" s="3149"/>
      <c r="O73" s="3301" t="s">
        <v>1045</v>
      </c>
      <c r="P73" s="3281" t="s">
        <v>1569</v>
      </c>
      <c r="Q73" s="3282" t="e">
        <f ca="1">L58</f>
        <v>#DIV/0!</v>
      </c>
      <c r="R73" s="3282" t="s">
        <v>1570</v>
      </c>
    </row>
    <row r="74" spans="1:18" ht="13.5" thickBot="1">
      <c r="A74" s="3149"/>
      <c r="B74" s="3377" t="s">
        <v>1589</v>
      </c>
      <c r="C74" s="3378"/>
      <c r="D74" s="3149"/>
      <c r="E74" s="3149"/>
      <c r="F74" s="3149"/>
      <c r="O74" s="3301" t="s">
        <v>1052</v>
      </c>
      <c r="P74" s="3281" t="str">
        <f>K59</f>
        <v>建筑物剩余耐用年限下的土地年期修正系数Kn</v>
      </c>
      <c r="Q74" s="3282" t="e">
        <f ca="1">L59</f>
        <v>#DIV/0!</v>
      </c>
      <c r="R74" s="3282" t="s">
        <v>1571</v>
      </c>
    </row>
    <row r="75" spans="1:18" ht="13.5" thickBot="1">
      <c r="A75" s="3149"/>
      <c r="B75" s="3379" t="s">
        <v>1508</v>
      </c>
      <c r="C75" s="3380">
        <f ca="1">ROUND(C13*C76,0)</f>
        <v>0</v>
      </c>
      <c r="D75" s="3149"/>
      <c r="E75" s="3149"/>
      <c r="F75" s="3149"/>
      <c r="K75" s="3258"/>
      <c r="L75" s="3149"/>
      <c r="O75" s="3280" t="s">
        <v>1046</v>
      </c>
      <c r="P75" s="3281" t="s">
        <v>1551</v>
      </c>
      <c r="Q75" s="3282" t="e">
        <f ca="1">Q65+Q66</f>
        <v>#DIV/0!</v>
      </c>
      <c r="R75" s="3282" t="s">
        <v>1047</v>
      </c>
    </row>
    <row r="76" spans="1:18">
      <c r="B76" s="3381" t="s">
        <v>1509</v>
      </c>
      <c r="C76" s="3098">
        <f ca="1">INDIRECT("'数据-取费表'!j"&amp;$G$1)</f>
        <v>0</v>
      </c>
      <c r="I76" s="3149"/>
      <c r="J76" s="3149"/>
      <c r="K76" s="3258"/>
      <c r="L76" s="3149"/>
    </row>
    <row r="77" spans="1:18">
      <c r="B77" s="3382" t="s">
        <v>1510</v>
      </c>
      <c r="C77" s="3383"/>
      <c r="I77" s="3149"/>
      <c r="J77" s="3149"/>
      <c r="K77" s="3258"/>
      <c r="L77" s="3149"/>
    </row>
    <row r="78" spans="1:18">
      <c r="B78" s="3384" t="s">
        <v>1511</v>
      </c>
      <c r="C78" s="3385"/>
    </row>
    <row r="79" spans="1:18">
      <c r="B79" s="3379" t="s">
        <v>1512</v>
      </c>
      <c r="C79" s="3380">
        <f ca="1">1-C80</f>
        <v>1</v>
      </c>
    </row>
    <row r="80" spans="1:18">
      <c r="B80" s="3379" t="s">
        <v>1513</v>
      </c>
      <c r="C80" s="3380">
        <f ca="1">ROUND(C75/C39,3)</f>
        <v>0</v>
      </c>
    </row>
    <row r="81" spans="2:3">
      <c r="B81" s="3384" t="s">
        <v>1514</v>
      </c>
      <c r="C81" s="3339"/>
    </row>
    <row r="82" spans="2:3">
      <c r="B82" s="3377" t="s">
        <v>1515</v>
      </c>
      <c r="C82" s="3378" t="e">
        <f ca="1">1-C83</f>
        <v>#DIV/0!</v>
      </c>
    </row>
    <row r="83" spans="2:3">
      <c r="B83" s="3377" t="s">
        <v>1516</v>
      </c>
      <c r="C83" s="3380" t="e">
        <f ca="1">ROUND(C13/C40,3)</f>
        <v>#DIV/0!</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02" priority="4">
      <formula>$L$48&gt;$J$51</formula>
    </cfRule>
  </conditionalFormatting>
  <conditionalFormatting sqref="I55 I60">
    <cfRule type="expression" dxfId="101" priority="5">
      <formula>$J$51&gt;$L$48</formula>
    </cfRule>
  </conditionalFormatting>
  <conditionalFormatting sqref="C11">
    <cfRule type="expression" dxfId="100" priority="3">
      <formula>$F$10="自定义"</formula>
    </cfRule>
  </conditionalFormatting>
  <conditionalFormatting sqref="J11">
    <cfRule type="expression" dxfId="99" priority="2">
      <formula>$M$10="自定义"</formula>
    </cfRule>
  </conditionalFormatting>
  <conditionalFormatting sqref="C54">
    <cfRule type="expression" dxfId="98"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sqref="A1:XFD1048576"/>
    </sheetView>
  </sheetViews>
  <sheetFormatPr defaultRowHeight="12.75"/>
  <cols>
    <col min="1" max="1" width="9" style="3150" customWidth="1"/>
    <col min="2" max="2" width="20.625" style="3015" customWidth="1"/>
    <col min="3" max="3" width="11.875" style="3015" customWidth="1"/>
    <col min="4" max="4" width="40.5" style="3150" customWidth="1"/>
    <col min="5" max="5" width="15.75" style="3150" customWidth="1"/>
    <col min="6" max="6" width="10.625" style="3150" customWidth="1"/>
    <col min="7" max="7" width="4.875" style="3150" customWidth="1"/>
    <col min="8" max="8" width="8.5" style="3150" customWidth="1"/>
    <col min="9" max="9" width="21.25" style="3150" customWidth="1"/>
    <col min="10" max="10" width="12.25" style="3150" customWidth="1"/>
    <col min="11" max="11" width="45.125" style="3376" customWidth="1"/>
    <col min="12" max="12" width="16.375" style="3150" customWidth="1"/>
    <col min="13" max="13" width="13" style="3150" customWidth="1"/>
    <col min="14" max="14" width="13.75" style="3149" customWidth="1"/>
    <col min="15" max="15" width="5.125" style="3149" customWidth="1"/>
    <col min="16" max="16" width="25.75" style="3149" customWidth="1"/>
    <col min="17" max="17" width="13.75" style="3149" customWidth="1"/>
    <col min="18" max="18" width="20.5" style="3149" customWidth="1"/>
    <col min="19" max="19" width="13.25" style="3149" customWidth="1"/>
    <col min="20" max="37" width="9" style="3149"/>
    <col min="38" max="16384" width="9" style="3150"/>
  </cols>
  <sheetData>
    <row r="1" spans="1:37" s="3140" customFormat="1" ht="21">
      <c r="A1" s="3130" t="s">
        <v>1591</v>
      </c>
      <c r="B1" s="3131"/>
      <c r="C1" s="3132" t="s">
        <v>7109</v>
      </c>
      <c r="D1" s="3133" t="s">
        <v>70</v>
      </c>
      <c r="E1" s="3134" t="s">
        <v>1388</v>
      </c>
      <c r="F1" s="3134">
        <f ca="1">J53</f>
        <v>35.47</v>
      </c>
      <c r="G1" s="3135">
        <f>MATCH(C1,'数据-取费表'!A6:A16,0)+5</f>
        <v>12</v>
      </c>
      <c r="H1" s="3136"/>
      <c r="I1" s="3137"/>
      <c r="J1" s="3137"/>
      <c r="K1" s="3138"/>
      <c r="L1" s="3137"/>
      <c r="M1" s="3137"/>
      <c r="N1" s="3139"/>
      <c r="O1" s="3139"/>
      <c r="P1" s="3139"/>
      <c r="Q1" s="3139"/>
      <c r="R1" s="3139"/>
      <c r="S1" s="3139"/>
      <c r="T1" s="3139"/>
      <c r="U1" s="3139"/>
      <c r="V1" s="3139"/>
      <c r="W1" s="3139"/>
      <c r="X1" s="3139"/>
      <c r="Y1" s="3139"/>
      <c r="Z1" s="3139"/>
      <c r="AA1" s="3139"/>
      <c r="AB1" s="3139"/>
      <c r="AC1" s="3139"/>
      <c r="AD1" s="3139"/>
      <c r="AE1" s="3139"/>
      <c r="AF1" s="3139"/>
      <c r="AG1" s="3139"/>
      <c r="AH1" s="3139"/>
      <c r="AI1" s="3139"/>
      <c r="AJ1" s="3139"/>
      <c r="AK1" s="3139"/>
    </row>
    <row r="2" spans="1:37" ht="18" customHeight="1">
      <c r="A2" s="3141" t="s">
        <v>1517</v>
      </c>
      <c r="B2" s="3142" t="e">
        <f ca="1">C40+J29+L46</f>
        <v>#DIV/0!</v>
      </c>
      <c r="C2" s="3143" t="s">
        <v>1518</v>
      </c>
      <c r="D2" s="3143"/>
      <c r="E2" s="3144"/>
      <c r="F2" s="3145"/>
      <c r="G2" s="3146"/>
      <c r="H2" s="3147"/>
      <c r="I2" s="3147"/>
      <c r="J2" s="3147"/>
      <c r="K2" s="3148"/>
      <c r="L2" s="3147"/>
      <c r="M2" s="3147"/>
    </row>
    <row r="3" spans="1:37" ht="18" customHeight="1" thickBot="1">
      <c r="A3" s="3151" t="s">
        <v>1519</v>
      </c>
      <c r="B3" s="3152">
        <f ca="1">IF(ISERROR(B2*10000/F43),0,ROUND(B2*10000/F43,0))</f>
        <v>0</v>
      </c>
      <c r="C3" s="3143" t="s">
        <v>1520</v>
      </c>
      <c r="D3" s="3143"/>
      <c r="E3" s="3144"/>
      <c r="F3" s="3145"/>
      <c r="G3" s="3146"/>
      <c r="H3" s="3153" t="s">
        <v>1590</v>
      </c>
      <c r="I3" s="3147"/>
      <c r="J3" s="3147"/>
      <c r="K3" s="3148"/>
      <c r="L3" s="3147"/>
      <c r="M3" s="3147"/>
    </row>
    <row r="4" spans="1:37" ht="18" customHeight="1">
      <c r="A4" s="3154" t="s">
        <v>1397</v>
      </c>
      <c r="B4" s="3155" t="s">
        <v>1398</v>
      </c>
      <c r="C4" s="3155" t="s">
        <v>1399</v>
      </c>
      <c r="D4" s="3155" t="s">
        <v>1400</v>
      </c>
      <c r="E4" s="3156" t="s">
        <v>1401</v>
      </c>
      <c r="F4" s="3157"/>
      <c r="G4" s="3158"/>
      <c r="H4" s="3154" t="s">
        <v>1397</v>
      </c>
      <c r="I4" s="3155" t="s">
        <v>1398</v>
      </c>
      <c r="J4" s="3155" t="s">
        <v>1399</v>
      </c>
      <c r="K4" s="3155" t="s">
        <v>1400</v>
      </c>
      <c r="L4" s="3156" t="s">
        <v>1401</v>
      </c>
      <c r="M4" s="3157"/>
    </row>
    <row r="5" spans="1:37" ht="18" customHeight="1">
      <c r="A5" s="3159">
        <v>1</v>
      </c>
      <c r="B5" s="3160" t="s">
        <v>1402</v>
      </c>
      <c r="C5" s="3161">
        <f ca="1">C6+C10+C12</f>
        <v>0</v>
      </c>
      <c r="D5" s="3162" t="s">
        <v>1403</v>
      </c>
      <c r="E5" s="3163"/>
      <c r="F5" s="3164"/>
      <c r="G5" s="3158"/>
      <c r="H5" s="3159">
        <v>1</v>
      </c>
      <c r="I5" s="3160" t="s">
        <v>1402</v>
      </c>
      <c r="J5" s="3161">
        <f ca="1">J6+J10+J12</f>
        <v>0</v>
      </c>
      <c r="K5" s="3162" t="s">
        <v>1403</v>
      </c>
      <c r="L5" s="3163"/>
      <c r="M5" s="3164"/>
    </row>
    <row r="6" spans="1:37" ht="18" customHeight="1">
      <c r="A6" s="3165" t="s">
        <v>1035</v>
      </c>
      <c r="B6" s="3952" t="s">
        <v>1404</v>
      </c>
      <c r="C6" s="3166">
        <f ca="1">ROUND(F6*F8*F7*(1-F9)/10000,0)</f>
        <v>0</v>
      </c>
      <c r="D6" s="2584" t="s">
        <v>3039</v>
      </c>
      <c r="E6" s="3167" t="s">
        <v>1406</v>
      </c>
      <c r="F6" s="2726">
        <f ca="1">INDIRECT("'数据-取费表'!u"&amp;$G$1)</f>
        <v>0</v>
      </c>
      <c r="G6" s="3158"/>
      <c r="H6" s="3165" t="s">
        <v>1035</v>
      </c>
      <c r="I6" s="3952" t="s">
        <v>1404</v>
      </c>
      <c r="J6" s="3168">
        <f ca="1">ROUND(M6*M8*M7*(1-M9)/10000,0)</f>
        <v>0</v>
      </c>
      <c r="K6" s="2584" t="s">
        <v>3038</v>
      </c>
      <c r="L6" s="3167" t="s">
        <v>1406</v>
      </c>
      <c r="M6" s="2726">
        <f ca="1">INDIRECT("'数据-取费表'!z"&amp;$G$1)</f>
        <v>0</v>
      </c>
    </row>
    <row r="7" spans="1:37" ht="18" customHeight="1">
      <c r="A7" s="3169"/>
      <c r="B7" s="3953"/>
      <c r="C7" s="3170"/>
      <c r="D7" s="2210"/>
      <c r="E7" s="3171" t="s">
        <v>1407</v>
      </c>
      <c r="F7" s="2726">
        <f ca="1">IF(INDIRECT("'数据-取费表'!ah"&amp;$G$1)="",INDIRECT("'数据-取费表'!k"&amp;$G$1),INDIRECT("'数据-取费表'!ah"&amp;$G$1))</f>
        <v>6813.5700000000006</v>
      </c>
      <c r="G7" s="3158"/>
      <c r="H7" s="3172"/>
      <c r="I7" s="3953"/>
      <c r="J7" s="3173"/>
      <c r="K7" s="2210"/>
      <c r="L7" s="3167" t="s">
        <v>1407</v>
      </c>
      <c r="M7" s="2726">
        <f ca="1">F7</f>
        <v>6813.5700000000006</v>
      </c>
    </row>
    <row r="8" spans="1:37" ht="18" customHeight="1">
      <c r="A8" s="3172"/>
      <c r="B8" s="3953"/>
      <c r="C8" s="3173"/>
      <c r="D8" s="2210"/>
      <c r="E8" s="3167" t="s">
        <v>1408</v>
      </c>
      <c r="F8" s="2726">
        <f ca="1">INDIRECT("'数据-取费表'!ai"&amp;$G$1)</f>
        <v>365</v>
      </c>
      <c r="G8" s="3158"/>
      <c r="H8" s="3172"/>
      <c r="I8" s="3953"/>
      <c r="J8" s="3173"/>
      <c r="K8" s="2210"/>
      <c r="L8" s="3167" t="s">
        <v>1408</v>
      </c>
      <c r="M8" s="2726">
        <f ca="1">INDIRECT("'数据-取费表'!ai"&amp;$G$1)</f>
        <v>365</v>
      </c>
    </row>
    <row r="9" spans="1:37" ht="18" customHeight="1">
      <c r="A9" s="3172"/>
      <c r="B9" s="3954"/>
      <c r="C9" s="3173"/>
      <c r="D9" s="2210"/>
      <c r="E9" s="3167" t="s">
        <v>1409</v>
      </c>
      <c r="F9" s="2726">
        <f ca="1">INDIRECT("'数据-取费表'!w"&amp;$G$1)</f>
        <v>0</v>
      </c>
      <c r="G9" s="3158"/>
      <c r="H9" s="3172"/>
      <c r="I9" s="3954"/>
      <c r="J9" s="3173"/>
      <c r="K9" s="2210"/>
      <c r="L9" s="3174" t="s">
        <v>1409</v>
      </c>
      <c r="M9" s="3175">
        <f ca="1">INDIRECT("'数据-取费表'!ab"&amp;$G$1)</f>
        <v>0</v>
      </c>
    </row>
    <row r="10" spans="1:37" ht="18" customHeight="1">
      <c r="A10" s="3165" t="s">
        <v>1039</v>
      </c>
      <c r="B10" s="3176" t="s">
        <v>1410</v>
      </c>
      <c r="C10" s="3098">
        <f ca="1">ROUND(IF(F10="押一",F6*F8*F7/12*F11,IF(F10="押二",F6*F8*F7/12*2*F11,IF(F10="押三",F6*F8*F7/12*3*F11,C11*F11)))/10000,0)</f>
        <v>0</v>
      </c>
      <c r="D10" s="3177" t="s">
        <v>3040</v>
      </c>
      <c r="E10" s="3174" t="s">
        <v>1412</v>
      </c>
      <c r="F10" s="3178" t="s">
        <v>7118</v>
      </c>
      <c r="G10" s="3158"/>
      <c r="H10" s="3165" t="s">
        <v>1039</v>
      </c>
      <c r="I10" s="3176" t="s">
        <v>1410</v>
      </c>
      <c r="J10" s="3168">
        <f ca="1">ROUND(IF(M10="押一",M6*M8*M7/12*M11,IF(M10="押二",M6*M8*M7/12*2*M11,IF(M10="押三",M6*M8*M7/12*3*M11,J11*M11)))/10000,0)</f>
        <v>0</v>
      </c>
      <c r="K10" s="3177" t="s">
        <v>3041</v>
      </c>
      <c r="L10" s="3174" t="s">
        <v>1412</v>
      </c>
      <c r="M10" s="3178" t="s">
        <v>1413</v>
      </c>
    </row>
    <row r="11" spans="1:37" ht="18" customHeight="1">
      <c r="A11" s="3179"/>
      <c r="B11" s="3180" t="s">
        <v>1389</v>
      </c>
      <c r="C11" s="3181"/>
      <c r="D11" s="3182"/>
      <c r="E11" s="3174" t="s">
        <v>1414</v>
      </c>
      <c r="F11" s="3175">
        <f ca="1">'数据-取费表'!B39</f>
        <v>1.4999999999999999E-2</v>
      </c>
      <c r="G11" s="3158"/>
      <c r="H11" s="3183"/>
      <c r="I11" s="3180" t="s">
        <v>1389</v>
      </c>
      <c r="J11" s="3181"/>
      <c r="K11" s="2218"/>
      <c r="L11" s="3174" t="s">
        <v>1414</v>
      </c>
      <c r="M11" s="3184">
        <f ca="1">'数据-取费表'!B39</f>
        <v>1.4999999999999999E-2</v>
      </c>
    </row>
    <row r="12" spans="1:37" ht="18" customHeight="1" thickBot="1">
      <c r="A12" s="3185" t="s">
        <v>1075</v>
      </c>
      <c r="B12" s="3186" t="s">
        <v>1415</v>
      </c>
      <c r="C12" s="3187"/>
      <c r="D12" s="3188"/>
      <c r="E12" s="3189"/>
      <c r="F12" s="3190"/>
      <c r="G12" s="3158"/>
      <c r="H12" s="3185" t="s">
        <v>1075</v>
      </c>
      <c r="I12" s="3186" t="s">
        <v>1415</v>
      </c>
      <c r="J12" s="3187"/>
      <c r="K12" s="3191"/>
      <c r="L12" s="3189"/>
      <c r="M12" s="3192"/>
    </row>
    <row r="13" spans="1:37" ht="18" customHeight="1" thickTop="1">
      <c r="A13" s="3193">
        <v>2</v>
      </c>
      <c r="B13" s="3194" t="s">
        <v>1416</v>
      </c>
      <c r="C13" s="3195">
        <f ca="1">ROUND(C29*F13,0)</f>
        <v>0</v>
      </c>
      <c r="D13" s="3196" t="s">
        <v>1417</v>
      </c>
      <c r="E13" s="3196" t="s">
        <v>1418</v>
      </c>
      <c r="F13" s="3197">
        <f ca="1">INDIRECT("'数据-取费表'!y"&amp;$G$1)</f>
        <v>0</v>
      </c>
      <c r="G13" s="3158"/>
      <c r="H13" s="3193">
        <v>2</v>
      </c>
      <c r="I13" s="3194" t="s">
        <v>1416</v>
      </c>
      <c r="J13" s="3198">
        <f ca="1">ROUND(J14*J15,0)</f>
        <v>0</v>
      </c>
      <c r="K13" s="3199" t="s">
        <v>1417</v>
      </c>
      <c r="L13" s="3200"/>
      <c r="M13" s="3201"/>
    </row>
    <row r="14" spans="1:37" ht="18" customHeight="1">
      <c r="A14" s="3202" t="s">
        <v>1034</v>
      </c>
      <c r="B14" s="3167" t="s">
        <v>1419</v>
      </c>
      <c r="C14" s="3203">
        <f ca="1">INDIRECT("'数据-取费表'!m"&amp;$G$1)+INDIRECT("'数据-取费表'!t"&amp;$G$1)</f>
        <v>0</v>
      </c>
      <c r="D14" s="2678" t="s">
        <v>1420</v>
      </c>
      <c r="E14" s="2679"/>
      <c r="F14" s="3204"/>
      <c r="G14" s="3158"/>
      <c r="H14" s="3202" t="s">
        <v>1035</v>
      </c>
      <c r="I14" s="3167" t="s">
        <v>1421</v>
      </c>
      <c r="J14" s="2407">
        <f ca="1">C29</f>
        <v>160</v>
      </c>
      <c r="K14" s="2688"/>
      <c r="L14" s="3205"/>
      <c r="M14" s="2520"/>
    </row>
    <row r="15" spans="1:37" s="3214" customFormat="1" ht="18" customHeight="1" thickBot="1">
      <c r="A15" s="3202" t="s">
        <v>1036</v>
      </c>
      <c r="B15" s="3167" t="s">
        <v>1422</v>
      </c>
      <c r="C15" s="2407">
        <f ca="1">ROUND(C14*F15,0)</f>
        <v>0</v>
      </c>
      <c r="D15" s="3206" t="s">
        <v>1423</v>
      </c>
      <c r="E15" s="3206" t="s">
        <v>1424</v>
      </c>
      <c r="F15" s="3207">
        <f>'数据-取费表'!B33</f>
        <v>0.05</v>
      </c>
      <c r="G15" s="3208"/>
      <c r="H15" s="3209" t="s">
        <v>1039</v>
      </c>
      <c r="I15" s="3189" t="s">
        <v>1418</v>
      </c>
      <c r="J15" s="3192">
        <f ca="1">INDIRECT("'数据-取费表'!ad"&amp;$G$1)</f>
        <v>0</v>
      </c>
      <c r="K15" s="3210"/>
      <c r="L15" s="3211"/>
      <c r="M15" s="3212"/>
      <c r="N15" s="3213"/>
      <c r="O15" s="3213"/>
      <c r="P15" s="3213"/>
      <c r="Q15" s="3213"/>
      <c r="R15" s="3213"/>
      <c r="S15" s="3213"/>
      <c r="T15" s="3213"/>
      <c r="U15" s="3213"/>
      <c r="V15" s="3213"/>
      <c r="W15" s="3213"/>
      <c r="X15" s="3213"/>
      <c r="Y15" s="3213"/>
      <c r="Z15" s="3213"/>
      <c r="AA15" s="3213"/>
      <c r="AB15" s="3213"/>
      <c r="AC15" s="3213"/>
      <c r="AD15" s="3213"/>
      <c r="AE15" s="3213"/>
      <c r="AF15" s="3213"/>
      <c r="AG15" s="3213"/>
      <c r="AH15" s="3213"/>
      <c r="AI15" s="3213"/>
      <c r="AJ15" s="3213"/>
      <c r="AK15" s="3213"/>
    </row>
    <row r="16" spans="1:37" ht="18" customHeight="1" thickTop="1">
      <c r="A16" s="3202" t="s">
        <v>1390</v>
      </c>
      <c r="B16" s="3167" t="s">
        <v>1425</v>
      </c>
      <c r="C16" s="2407">
        <f ca="1">ROUND(INDIRECT("'数据-取费表'!m"&amp;$G$1)*F16,0)</f>
        <v>0</v>
      </c>
      <c r="D16" s="3167" t="s">
        <v>1423</v>
      </c>
      <c r="E16" s="3167" t="s">
        <v>1424</v>
      </c>
      <c r="F16" s="2594">
        <f ca="1">IF(INDIRECT("'数据-取费表'!c"&amp;$G$1)="住宅",'数据-取费表'!B34,0)</f>
        <v>0</v>
      </c>
      <c r="G16" s="3158"/>
      <c r="H16" s="3193" t="s">
        <v>1030</v>
      </c>
      <c r="I16" s="3194" t="s">
        <v>1426</v>
      </c>
      <c r="J16" s="3195">
        <f ca="1">ROUND(J17+J22+J23+J24,0)</f>
        <v>3</v>
      </c>
      <c r="K16" s="3199" t="s">
        <v>1427</v>
      </c>
      <c r="L16" s="3215"/>
      <c r="M16" s="3164"/>
    </row>
    <row r="17" spans="1:37" s="3214" customFormat="1" ht="18" customHeight="1">
      <c r="A17" s="3202" t="s">
        <v>1391</v>
      </c>
      <c r="B17" s="3167" t="s">
        <v>1428</v>
      </c>
      <c r="C17" s="2407">
        <f ca="1">ROUND(F17*(F43+INDIRECT("'数据-取费表'!S"&amp;$G$1))/10000,0)</f>
        <v>136</v>
      </c>
      <c r="D17" s="3167" t="s">
        <v>1429</v>
      </c>
      <c r="E17" s="3167" t="s">
        <v>1430</v>
      </c>
      <c r="F17" s="3216">
        <f>'数据-取费表'!B35</f>
        <v>200</v>
      </c>
      <c r="G17" s="3208"/>
      <c r="H17" s="3202" t="s">
        <v>1035</v>
      </c>
      <c r="I17" s="3167" t="s">
        <v>1431</v>
      </c>
      <c r="J17" s="2407">
        <f ca="1">ROUND(IF(项目基本情况!B11="自然人",J5*M17,J18+J19+J20),1)</f>
        <v>3</v>
      </c>
      <c r="K17" s="2678" t="s">
        <v>1432</v>
      </c>
      <c r="L17" s="2595" t="s">
        <v>1433</v>
      </c>
      <c r="M17" s="3217" t="str">
        <f ca="1">IF(项目基本情况!B11="企业","",IF(INDIRECT("'数据-取费表'!c"&amp;$G$1)="住宅",5%,IF(M6*M7*M8/12/(1+'数据-取费表'!C42)&gt;20000,12%,7%)))</f>
        <v/>
      </c>
      <c r="N17" s="3213"/>
      <c r="O17" s="3213"/>
      <c r="P17" s="3213"/>
      <c r="Q17" s="3213"/>
      <c r="R17" s="3213"/>
      <c r="S17" s="3213"/>
      <c r="T17" s="3213"/>
      <c r="U17" s="3213"/>
      <c r="V17" s="3213"/>
      <c r="W17" s="3213"/>
      <c r="X17" s="3213"/>
      <c r="Y17" s="3213"/>
      <c r="Z17" s="3213"/>
      <c r="AA17" s="3213"/>
      <c r="AB17" s="3213"/>
      <c r="AC17" s="3213"/>
      <c r="AD17" s="3213"/>
      <c r="AE17" s="3213"/>
      <c r="AF17" s="3213"/>
      <c r="AG17" s="3213"/>
      <c r="AH17" s="3213"/>
      <c r="AI17" s="3213"/>
      <c r="AJ17" s="3213"/>
      <c r="AK17" s="3213"/>
    </row>
    <row r="18" spans="1:37" s="3214" customFormat="1" ht="18" customHeight="1">
      <c r="A18" s="3202" t="s">
        <v>1392</v>
      </c>
      <c r="B18" s="3167" t="s">
        <v>1434</v>
      </c>
      <c r="C18" s="2407">
        <f ca="1">ROUND(C14*F18,0)</f>
        <v>0</v>
      </c>
      <c r="D18" s="3167" t="s">
        <v>1423</v>
      </c>
      <c r="E18" s="3167" t="s">
        <v>1424</v>
      </c>
      <c r="F18" s="2594">
        <f>'数据-取费表'!B36</f>
        <v>1.4999999999999999E-2</v>
      </c>
      <c r="G18" s="3208"/>
      <c r="H18" s="3202" t="s">
        <v>1034</v>
      </c>
      <c r="I18" s="3167" t="s">
        <v>1435</v>
      </c>
      <c r="J18" s="2407">
        <f ca="1">ROUND(J5*M18/(1+'数据-取费表'!C42),2)</f>
        <v>0</v>
      </c>
      <c r="K18" s="2595" t="s">
        <v>1436</v>
      </c>
      <c r="L18" s="3167" t="s">
        <v>1424</v>
      </c>
      <c r="M18" s="2594">
        <f>'数据-取费表'!B41</f>
        <v>5.6000000000000001E-2</v>
      </c>
      <c r="N18" s="3213"/>
      <c r="O18" s="3213"/>
      <c r="P18" s="3213"/>
      <c r="Q18" s="3213"/>
      <c r="R18" s="3213"/>
      <c r="S18" s="3213"/>
      <c r="T18" s="3213"/>
      <c r="U18" s="3213"/>
      <c r="V18" s="3213"/>
      <c r="W18" s="3213"/>
      <c r="X18" s="3213"/>
      <c r="Y18" s="3213"/>
      <c r="Z18" s="3213"/>
      <c r="AA18" s="3213"/>
      <c r="AB18" s="3213"/>
      <c r="AC18" s="3213"/>
      <c r="AD18" s="3213"/>
      <c r="AE18" s="3213"/>
      <c r="AF18" s="3213"/>
      <c r="AG18" s="3213"/>
      <c r="AH18" s="3213"/>
      <c r="AI18" s="3213"/>
      <c r="AJ18" s="3213"/>
      <c r="AK18" s="3213"/>
    </row>
    <row r="19" spans="1:37" ht="18" customHeight="1">
      <c r="A19" s="3202" t="s">
        <v>1035</v>
      </c>
      <c r="B19" s="3167" t="s">
        <v>1437</v>
      </c>
      <c r="C19" s="2407">
        <f ca="1">SUM(C14:C18)</f>
        <v>136</v>
      </c>
      <c r="D19" s="2505" t="s">
        <v>1438</v>
      </c>
      <c r="E19" s="3218"/>
      <c r="F19" s="3216"/>
      <c r="G19" s="3158"/>
      <c r="H19" s="3202" t="s">
        <v>1036</v>
      </c>
      <c r="I19" s="3167" t="s">
        <v>1439</v>
      </c>
      <c r="J19" s="2407">
        <f ca="1">IF(K19="按租金收入计税",ROUND(J5*M19,2),ROUND(C29*M19*0.7,2))</f>
        <v>1.34</v>
      </c>
      <c r="K19" s="3219" t="s">
        <v>1440</v>
      </c>
      <c r="L19" s="3167" t="s">
        <v>1424</v>
      </c>
      <c r="M19" s="2594">
        <f>IF(K19="按租金收入计税",'数据-取费表'!B51,'数据-取费表'!B50)</f>
        <v>1.2E-2</v>
      </c>
    </row>
    <row r="20" spans="1:37" s="3214" customFormat="1" ht="18" customHeight="1">
      <c r="A20" s="3202" t="s">
        <v>1039</v>
      </c>
      <c r="B20" s="3167" t="s">
        <v>1441</v>
      </c>
      <c r="C20" s="2407">
        <f ca="1">ROUND(C19*F20,0)</f>
        <v>4</v>
      </c>
      <c r="D20" s="3220" t="s">
        <v>1442</v>
      </c>
      <c r="E20" s="3167" t="s">
        <v>1424</v>
      </c>
      <c r="F20" s="2594">
        <f>'数据-取费表'!B37</f>
        <v>0.03</v>
      </c>
      <c r="G20" s="3208"/>
      <c r="H20" s="3202" t="s">
        <v>1390</v>
      </c>
      <c r="I20" s="2584" t="s">
        <v>1443</v>
      </c>
      <c r="J20" s="3221">
        <f ca="1">ROUND(M20*M21/10000,2)</f>
        <v>1.62</v>
      </c>
      <c r="K20" s="3222" t="s">
        <v>1444</v>
      </c>
      <c r="L20" s="3167" t="s">
        <v>1445</v>
      </c>
      <c r="M20" s="2594">
        <f>'数据-取费表'!B52</f>
        <v>8</v>
      </c>
      <c r="N20" s="3213"/>
      <c r="O20" s="3213"/>
      <c r="P20" s="3213"/>
      <c r="Q20" s="3213"/>
      <c r="R20" s="3213"/>
      <c r="S20" s="3213"/>
      <c r="T20" s="3213"/>
      <c r="U20" s="3213"/>
      <c r="V20" s="3213"/>
      <c r="W20" s="3213"/>
      <c r="X20" s="3213"/>
      <c r="Y20" s="3213"/>
      <c r="Z20" s="3213"/>
      <c r="AA20" s="3213"/>
      <c r="AB20" s="3213"/>
      <c r="AC20" s="3213"/>
      <c r="AD20" s="3213"/>
      <c r="AE20" s="3213"/>
      <c r="AF20" s="3213"/>
      <c r="AG20" s="3213"/>
      <c r="AH20" s="3213"/>
      <c r="AI20" s="3213"/>
      <c r="AJ20" s="3213"/>
      <c r="AK20" s="3213"/>
    </row>
    <row r="21" spans="1:37" s="3214" customFormat="1" ht="18" customHeight="1">
      <c r="A21" s="3202" t="s">
        <v>1075</v>
      </c>
      <c r="B21" s="3167" t="s">
        <v>1446</v>
      </c>
      <c r="C21" s="2407" t="s">
        <v>2</v>
      </c>
      <c r="D21" s="3220" t="s">
        <v>1447</v>
      </c>
      <c r="E21" s="3167" t="s">
        <v>1448</v>
      </c>
      <c r="F21" s="2594">
        <f>'数据-取费表'!B38</f>
        <v>0.03</v>
      </c>
      <c r="G21" s="3208"/>
      <c r="H21" s="3223"/>
      <c r="I21" s="3224"/>
      <c r="J21" s="2596"/>
      <c r="K21" s="2209"/>
      <c r="L21" s="3167" t="s">
        <v>1449</v>
      </c>
      <c r="M21" s="2726">
        <f ca="1">INDIRECT("'数据-取费表'!r"&amp;$G$1)</f>
        <v>2019.91</v>
      </c>
      <c r="N21" s="3213"/>
      <c r="O21" s="3213"/>
      <c r="P21" s="3213"/>
      <c r="Q21" s="3213"/>
      <c r="R21" s="3213"/>
      <c r="S21" s="3213"/>
      <c r="T21" s="3213"/>
      <c r="U21" s="3213"/>
      <c r="V21" s="3213"/>
      <c r="W21" s="3213"/>
      <c r="X21" s="3213"/>
      <c r="Y21" s="3213"/>
      <c r="Z21" s="3213"/>
      <c r="AA21" s="3213"/>
      <c r="AB21" s="3213"/>
      <c r="AC21" s="3213"/>
      <c r="AD21" s="3213"/>
      <c r="AE21" s="3213"/>
      <c r="AF21" s="3213"/>
      <c r="AG21" s="3213"/>
      <c r="AH21" s="3213"/>
      <c r="AI21" s="3213"/>
      <c r="AJ21" s="3213"/>
      <c r="AK21" s="3213"/>
    </row>
    <row r="22" spans="1:37" ht="18" customHeight="1">
      <c r="A22" s="3202" t="s">
        <v>1393</v>
      </c>
      <c r="B22" s="3167" t="s">
        <v>1450</v>
      </c>
      <c r="C22" s="2407"/>
      <c r="D22" s="2505" t="str">
        <f>IF(F23&lt;=1,"单利计息。","复利计息。")&amp;"建造成本、管理费用、销售费用产生的利息。"</f>
        <v>复利计息。建造成本、管理费用、销售费用产生的利息。</v>
      </c>
      <c r="E22" s="3218"/>
      <c r="F22" s="3216"/>
      <c r="G22" s="3158"/>
      <c r="H22" s="3202" t="s">
        <v>1039</v>
      </c>
      <c r="I22" s="3167" t="s">
        <v>1451</v>
      </c>
      <c r="J22" s="2407">
        <f ca="1">ROUND(J14*M22,1)</f>
        <v>0</v>
      </c>
      <c r="K22" s="2595" t="s">
        <v>1452</v>
      </c>
      <c r="L22" s="3167" t="s">
        <v>1424</v>
      </c>
      <c r="M22" s="2726">
        <f ca="1">INDIRECT("'数据-取费表'!Ak"&amp;$G$1)</f>
        <v>0</v>
      </c>
    </row>
    <row r="23" spans="1:37" s="3214" customFormat="1" ht="18" customHeight="1">
      <c r="A23" s="3202" t="s">
        <v>1034</v>
      </c>
      <c r="B23" s="3167" t="s">
        <v>1453</v>
      </c>
      <c r="C23" s="2407">
        <f ca="1">IF('数据-取费表'!B22&lt;=1,ROUND(C19*F24*F23/2,0)+ROUND(C20*F24*F23/2,0),ROUND(C19*(POWER((1+F24),F23/2)-1),0)+ROUND(C20*(POWER((1+F24),F23/2)-1),0))</f>
        <v>6</v>
      </c>
      <c r="D23" s="3225" t="str">
        <f>IF(F23&lt;=1,"(建造成本+管理费用)×利率×(建设周期÷2)","(建造成本+管理费用)×((1+利率)^(建设周期÷2)-1)")</f>
        <v>(建造成本+管理费用)×((1+利率)^(建设周期÷2)-1)</v>
      </c>
      <c r="E23" s="3167" t="s">
        <v>1454</v>
      </c>
      <c r="F23" s="2594">
        <f>'数据-取费表'!B20</f>
        <v>2</v>
      </c>
      <c r="G23" s="3208"/>
      <c r="H23" s="3202" t="s">
        <v>1075</v>
      </c>
      <c r="I23" s="3167" t="s">
        <v>1455</v>
      </c>
      <c r="J23" s="2407">
        <f ca="1">ROUND(J13*M23,1)</f>
        <v>0</v>
      </c>
      <c r="K23" s="2595" t="s">
        <v>1456</v>
      </c>
      <c r="L23" s="3167" t="s">
        <v>1424</v>
      </c>
      <c r="M23" s="2726">
        <f ca="1">INDIRECT("'数据-取费表'!Al"&amp;$G$1)</f>
        <v>0</v>
      </c>
      <c r="N23" s="3213"/>
      <c r="O23" s="3213"/>
      <c r="P23" s="3213"/>
      <c r="Q23" s="3213"/>
      <c r="R23" s="3213"/>
      <c r="S23" s="3213"/>
      <c r="T23" s="3213"/>
      <c r="U23" s="3213"/>
      <c r="V23" s="3213"/>
      <c r="W23" s="3213"/>
      <c r="X23" s="3213"/>
      <c r="Y23" s="3213"/>
      <c r="Z23" s="3213"/>
      <c r="AA23" s="3213"/>
      <c r="AB23" s="3213"/>
      <c r="AC23" s="3213"/>
      <c r="AD23" s="3213"/>
      <c r="AE23" s="3213"/>
      <c r="AF23" s="3213"/>
      <c r="AG23" s="3213"/>
      <c r="AH23" s="3213"/>
      <c r="AI23" s="3213"/>
      <c r="AJ23" s="3213"/>
      <c r="AK23" s="3213"/>
    </row>
    <row r="24" spans="1:37" s="3214" customFormat="1" ht="18" customHeight="1" thickBot="1">
      <c r="A24" s="3202" t="s">
        <v>1036</v>
      </c>
      <c r="B24" s="3167" t="s">
        <v>1459</v>
      </c>
      <c r="C24" s="2407">
        <f ca="1">ROUND(IF('数据-取费表'!B22&lt;=1,F21*F24*F23/2,F21*(POWER((1+F24),F23/2)-1)),4)</f>
        <v>1.4E-3</v>
      </c>
      <c r="D24" s="3225" t="str">
        <f>IF(F23&lt;=1,"销售费用×利率×(建设周期÷2)","销售费用×((1+利率)^(建设周期÷2)-1)")</f>
        <v>销售费用×((1+利率)^(建设周期÷2)-1)</v>
      </c>
      <c r="E24" s="3167" t="s">
        <v>1460</v>
      </c>
      <c r="F24" s="2594">
        <f ca="1">'数据-取费表'!B40</f>
        <v>4.7500000000000001E-2</v>
      </c>
      <c r="G24" s="3208"/>
      <c r="H24" s="3209" t="s">
        <v>1393</v>
      </c>
      <c r="I24" s="3189" t="s">
        <v>1441</v>
      </c>
      <c r="J24" s="3226">
        <f ca="1">ROUND(J5*M24,1)</f>
        <v>0</v>
      </c>
      <c r="K24" s="3227" t="s">
        <v>1461</v>
      </c>
      <c r="L24" s="3189" t="s">
        <v>1424</v>
      </c>
      <c r="M24" s="3190">
        <f ca="1">INDIRECT("'数据-取费表'!Am"&amp;$G$1)</f>
        <v>0</v>
      </c>
      <c r="N24" s="3213"/>
      <c r="O24" s="3213"/>
      <c r="P24" s="3213"/>
      <c r="Q24" s="3213"/>
      <c r="R24" s="3213"/>
      <c r="S24" s="3213"/>
      <c r="T24" s="3213"/>
      <c r="U24" s="3213"/>
      <c r="V24" s="3213"/>
      <c r="W24" s="3213"/>
      <c r="X24" s="3213"/>
      <c r="Y24" s="3213"/>
      <c r="Z24" s="3213"/>
      <c r="AA24" s="3213"/>
      <c r="AB24" s="3213"/>
      <c r="AC24" s="3213"/>
      <c r="AD24" s="3213"/>
      <c r="AE24" s="3213"/>
      <c r="AF24" s="3213"/>
      <c r="AG24" s="3213"/>
      <c r="AH24" s="3213"/>
      <c r="AI24" s="3213"/>
      <c r="AJ24" s="3213"/>
      <c r="AK24" s="3213"/>
    </row>
    <row r="25" spans="1:37" ht="24" customHeight="1" thickTop="1">
      <c r="A25" s="3202" t="s">
        <v>1462</v>
      </c>
      <c r="B25" s="3167" t="s">
        <v>1463</v>
      </c>
      <c r="C25" s="2407"/>
      <c r="D25" s="2505" t="s">
        <v>1464</v>
      </c>
      <c r="E25" s="3218"/>
      <c r="F25" s="3216"/>
      <c r="G25" s="3158"/>
      <c r="H25" s="3193" t="s">
        <v>1031</v>
      </c>
      <c r="I25" s="3228" t="s">
        <v>1465</v>
      </c>
      <c r="J25" s="3195">
        <f ca="1">J5-J16</f>
        <v>-3</v>
      </c>
      <c r="K25" s="3229" t="s">
        <v>1466</v>
      </c>
      <c r="L25" s="3230"/>
      <c r="M25" s="3231"/>
    </row>
    <row r="26" spans="1:37">
      <c r="A26" s="3202" t="s">
        <v>1034</v>
      </c>
      <c r="B26" s="3167" t="s">
        <v>1467</v>
      </c>
      <c r="C26" s="2407">
        <f ca="1">ROUND((C19+C20)*F26,0)</f>
        <v>0</v>
      </c>
      <c r="D26" s="3220" t="s">
        <v>1468</v>
      </c>
      <c r="E26" s="3174" t="s">
        <v>1469</v>
      </c>
      <c r="F26" s="2726">
        <f ca="1">INDIRECT("'数据-取费表'!q"&amp;$G$1)</f>
        <v>0</v>
      </c>
      <c r="G26" s="3158"/>
      <c r="H26" s="3159" t="s">
        <v>1032</v>
      </c>
      <c r="I26" s="3160" t="s">
        <v>1470</v>
      </c>
      <c r="J26" s="3168">
        <f ca="1">IF(J5&lt;&gt;0,ROUND(J25*(1-((1+M28)/(1+M26))^M27)/(M26-M28),0),0)</f>
        <v>0</v>
      </c>
      <c r="K26" s="3222" t="s">
        <v>1471</v>
      </c>
      <c r="L26" s="3167" t="s">
        <v>1472</v>
      </c>
      <c r="M26" s="2726">
        <f ca="1">INDIRECT("'数据-取费表'!I"&amp;$G$1)</f>
        <v>0</v>
      </c>
    </row>
    <row r="27" spans="1:37" ht="18" customHeight="1">
      <c r="A27" s="3202" t="s">
        <v>1036</v>
      </c>
      <c r="B27" s="3167" t="s">
        <v>1473</v>
      </c>
      <c r="C27" s="2407">
        <f ca="1">ROUND(F21*F26,4)</f>
        <v>0</v>
      </c>
      <c r="D27" s="3220" t="s">
        <v>1474</v>
      </c>
      <c r="E27" s="3206"/>
      <c r="F27" s="3207"/>
      <c r="G27" s="3158"/>
      <c r="H27" s="3172"/>
      <c r="I27" s="3232"/>
      <c r="J27" s="3173"/>
      <c r="K27" s="3233" t="s">
        <v>1475</v>
      </c>
      <c r="L27" s="3167" t="s">
        <v>1476</v>
      </c>
      <c r="M27" s="2726">
        <f ca="1">INDIRECT("'数据-取费表'!ag"&amp;$G$1)</f>
        <v>0</v>
      </c>
    </row>
    <row r="28" spans="1:37" s="3214" customFormat="1" ht="18" customHeight="1">
      <c r="A28" s="3202" t="s">
        <v>1037</v>
      </c>
      <c r="B28" s="3167" t="s">
        <v>1477</v>
      </c>
      <c r="C28" s="2407">
        <f>ROUND(F28/(1+'数据-取费表'!C42),4)</f>
        <v>5.33E-2</v>
      </c>
      <c r="D28" s="3220" t="s">
        <v>1478</v>
      </c>
      <c r="E28" s="3167" t="s">
        <v>1424</v>
      </c>
      <c r="F28" s="2594">
        <f>'数据-取费表'!B41</f>
        <v>5.6000000000000001E-2</v>
      </c>
      <c r="G28" s="3208"/>
      <c r="H28" s="3179"/>
      <c r="I28" s="3234"/>
      <c r="J28" s="3195"/>
      <c r="K28" s="2209"/>
      <c r="L28" s="3167" t="s">
        <v>1479</v>
      </c>
      <c r="M28" s="2726">
        <f ca="1">INDIRECT("'数据-取费表'!aa"&amp;$G$1)</f>
        <v>0</v>
      </c>
      <c r="N28" s="3213"/>
      <c r="O28" s="3213"/>
      <c r="P28" s="3213"/>
      <c r="Q28" s="3213"/>
      <c r="R28" s="3213"/>
      <c r="S28" s="3213"/>
      <c r="T28" s="3213"/>
      <c r="U28" s="3213"/>
      <c r="V28" s="3213"/>
      <c r="W28" s="3213"/>
      <c r="X28" s="3213"/>
      <c r="Y28" s="3213"/>
      <c r="Z28" s="3213"/>
      <c r="AA28" s="3213"/>
      <c r="AB28" s="3213"/>
      <c r="AC28" s="3213"/>
      <c r="AD28" s="3213"/>
      <c r="AE28" s="3213"/>
      <c r="AF28" s="3213"/>
      <c r="AG28" s="3213"/>
      <c r="AH28" s="3213"/>
      <c r="AI28" s="3213"/>
      <c r="AJ28" s="3213"/>
      <c r="AK28" s="3213"/>
    </row>
    <row r="29" spans="1:37" s="3214" customFormat="1" ht="18" customHeight="1" thickBot="1">
      <c r="A29" s="3209" t="s">
        <v>1038</v>
      </c>
      <c r="B29" s="3189" t="s">
        <v>1480</v>
      </c>
      <c r="C29" s="3226">
        <f ca="1">ROUND((C19+C20+C23+C26)/(1-F21-C24-C27-C28),0)</f>
        <v>160</v>
      </c>
      <c r="D29" s="3227"/>
      <c r="E29" s="3189"/>
      <c r="F29" s="3235"/>
      <c r="G29" s="3208"/>
      <c r="H29" s="3236" t="s">
        <v>1033</v>
      </c>
      <c r="I29" s="3237" t="s">
        <v>1481</v>
      </c>
      <c r="J29" s="3238">
        <f ca="1">ROUND(J26/(1+F40)^F41,0)</f>
        <v>0</v>
      </c>
      <c r="K29" s="3239" t="s">
        <v>1482</v>
      </c>
      <c r="L29" s="3240"/>
      <c r="M29" s="3241">
        <f ca="1">INDIRECT("'数据-取费表'!k"&amp;$G$1)</f>
        <v>6813.5700000000006</v>
      </c>
      <c r="N29" s="3213"/>
      <c r="O29" s="3213"/>
      <c r="P29" s="3213"/>
      <c r="Q29" s="3213"/>
      <c r="R29" s="3213"/>
      <c r="S29" s="3213"/>
      <c r="T29" s="3213"/>
      <c r="U29" s="3213"/>
      <c r="V29" s="3213"/>
      <c r="W29" s="3213"/>
      <c r="X29" s="3213"/>
      <c r="Y29" s="3213"/>
      <c r="Z29" s="3213"/>
      <c r="AA29" s="3213"/>
      <c r="AB29" s="3213"/>
      <c r="AC29" s="3213"/>
      <c r="AD29" s="3213"/>
      <c r="AE29" s="3213"/>
      <c r="AF29" s="3213"/>
      <c r="AG29" s="3213"/>
      <c r="AH29" s="3213"/>
      <c r="AI29" s="3213"/>
      <c r="AJ29" s="3213"/>
      <c r="AK29" s="3213"/>
    </row>
    <row r="30" spans="1:37" ht="18" customHeight="1" thickTop="1">
      <c r="A30" s="3193" t="s">
        <v>1030</v>
      </c>
      <c r="B30" s="3194" t="s">
        <v>1426</v>
      </c>
      <c r="C30" s="3195">
        <f ca="1">ROUND(C31+C36+C37+C38,0)</f>
        <v>3</v>
      </c>
      <c r="D30" s="3199" t="s">
        <v>1427</v>
      </c>
      <c r="E30" s="3215"/>
      <c r="F30" s="3164"/>
      <c r="G30" s="3158"/>
      <c r="H30" s="3242"/>
      <c r="I30" s="3242"/>
      <c r="J30" s="3243"/>
      <c r="K30" s="2218"/>
      <c r="L30" s="3244"/>
      <c r="M30" s="3243"/>
    </row>
    <row r="31" spans="1:37" ht="18" customHeight="1">
      <c r="A31" s="3202" t="s">
        <v>1035</v>
      </c>
      <c r="B31" s="3167" t="s">
        <v>1431</v>
      </c>
      <c r="C31" s="2407">
        <f ca="1">ROUND(IF(项目基本情况!B11="自然人",C5*F31,C32+C33+C34),1)</f>
        <v>3</v>
      </c>
      <c r="D31" s="2678" t="s">
        <v>1432</v>
      </c>
      <c r="E31" s="2595" t="s">
        <v>1483</v>
      </c>
      <c r="F31" s="3217" t="str">
        <f ca="1">IF(项目基本情况!B11="企业","",IF(INDIRECT("'数据-取费表'!c"&amp;$G$1)="住宅",5%,IF(F6*F7*F8/12/(1+'数据-取费表'!C42)&gt;20000,12%,7%)))</f>
        <v/>
      </c>
      <c r="G31" s="3158"/>
      <c r="H31" s="3242"/>
      <c r="I31" s="3242"/>
      <c r="J31" s="3243"/>
      <c r="K31" s="2218"/>
      <c r="L31" s="3244"/>
      <c r="M31" s="3243"/>
    </row>
    <row r="32" spans="1:37" ht="18" customHeight="1">
      <c r="A32" s="3202" t="s">
        <v>1034</v>
      </c>
      <c r="B32" s="3167" t="s">
        <v>1435</v>
      </c>
      <c r="C32" s="2407">
        <f ca="1">IF(项目基本情况!B11="自然人","——",ROUND(C5*F32/(1+'数据-取费表'!C42),2))</f>
        <v>0</v>
      </c>
      <c r="D32" s="2595" t="s">
        <v>1436</v>
      </c>
      <c r="E32" s="3167" t="s">
        <v>1424</v>
      </c>
      <c r="F32" s="2594">
        <f>'数据-取费表'!B41</f>
        <v>5.6000000000000001E-2</v>
      </c>
      <c r="G32" s="3158"/>
      <c r="H32" s="3242"/>
      <c r="I32" s="3242"/>
      <c r="J32" s="3243"/>
      <c r="K32" s="2218"/>
      <c r="L32" s="3244"/>
      <c r="M32" s="3243"/>
    </row>
    <row r="33" spans="1:18" ht="18" customHeight="1">
      <c r="A33" s="3202" t="s">
        <v>1036</v>
      </c>
      <c r="B33" s="3167" t="s">
        <v>1439</v>
      </c>
      <c r="C33" s="2407">
        <f ca="1">IF(项目基本情况!B11="自然人","——",IF(D33="按租金收入计税",ROUND(C5*F33,2),IF(D33="按房产原值计税",ROUND(C29*F33*0.7,2),INDIRECT("'数据-取费表'!Aj"&amp;$G$1))))</f>
        <v>1.34</v>
      </c>
      <c r="D33" s="3219" t="s">
        <v>1440</v>
      </c>
      <c r="E33" s="3167" t="s">
        <v>1424</v>
      </c>
      <c r="F33" s="2594">
        <f>IF(D33="按票据","——",IF(D33="按租金收入计税",'数据-取费表'!B51,'数据-取费表'!B50))</f>
        <v>1.2E-2</v>
      </c>
      <c r="G33" s="3158"/>
      <c r="H33" s="3245"/>
      <c r="I33" s="3246"/>
      <c r="J33" s="3247"/>
      <c r="K33" s="3248"/>
      <c r="L33" s="3245"/>
      <c r="M33" s="3245"/>
    </row>
    <row r="34" spans="1:18" ht="18" customHeight="1">
      <c r="A34" s="3165" t="s">
        <v>1390</v>
      </c>
      <c r="B34" s="2584" t="s">
        <v>1443</v>
      </c>
      <c r="C34" s="3221">
        <f ca="1">IF(项目基本情况!B11="自然人","——",ROUND(F34*F35/10000,2))</f>
        <v>1.62</v>
      </c>
      <c r="D34" s="3222" t="s">
        <v>1444</v>
      </c>
      <c r="E34" s="3167" t="s">
        <v>1445</v>
      </c>
      <c r="F34" s="2594">
        <f>'数据-取费表'!B52</f>
        <v>8</v>
      </c>
      <c r="G34" s="3158"/>
      <c r="H34" s="3242"/>
      <c r="I34" s="3246"/>
      <c r="J34" s="3247"/>
      <c r="K34" s="3249"/>
      <c r="L34" s="3250"/>
      <c r="M34" s="3250"/>
    </row>
    <row r="35" spans="1:18" ht="18" customHeight="1">
      <c r="A35" s="3251"/>
      <c r="B35" s="3251"/>
      <c r="C35" s="2596"/>
      <c r="D35" s="2209"/>
      <c r="E35" s="3167" t="s">
        <v>1449</v>
      </c>
      <c r="F35" s="2726">
        <f ca="1">INDIRECT("'数据-取费表'!r"&amp;$G$1)</f>
        <v>2019.91</v>
      </c>
      <c r="G35" s="3158"/>
      <c r="H35" s="3242"/>
      <c r="I35" s="3246"/>
      <c r="J35" s="3247"/>
      <c r="K35" s="3248"/>
      <c r="L35" s="3245"/>
      <c r="M35" s="3245"/>
    </row>
    <row r="36" spans="1:18" ht="18" customHeight="1">
      <c r="A36" s="3252" t="s">
        <v>1039</v>
      </c>
      <c r="B36" s="3167" t="s">
        <v>1451</v>
      </c>
      <c r="C36" s="2407">
        <f ca="1">ROUND(C29*F36,1)</f>
        <v>0</v>
      </c>
      <c r="D36" s="2595" t="s">
        <v>1484</v>
      </c>
      <c r="E36" s="3167" t="s">
        <v>1424</v>
      </c>
      <c r="F36" s="2726">
        <f ca="1">INDIRECT("'数据-取费表'!Ak"&amp;$G$1)</f>
        <v>0</v>
      </c>
      <c r="G36" s="3158"/>
      <c r="H36" s="3245"/>
      <c r="I36" s="3246"/>
      <c r="J36" s="3247"/>
      <c r="K36" s="3253"/>
      <c r="L36" s="3245"/>
      <c r="M36" s="3245"/>
    </row>
    <row r="37" spans="1:18" ht="18" customHeight="1">
      <c r="A37" s="3202" t="s">
        <v>1075</v>
      </c>
      <c r="B37" s="3167" t="s">
        <v>1455</v>
      </c>
      <c r="C37" s="2407">
        <f ca="1">ROUND(C13*F37,1)</f>
        <v>0</v>
      </c>
      <c r="D37" s="2595" t="s">
        <v>1456</v>
      </c>
      <c r="E37" s="3167" t="s">
        <v>1424</v>
      </c>
      <c r="F37" s="2726">
        <f ca="1">INDIRECT("'数据-取费表'!Al"&amp;$G$1)</f>
        <v>0</v>
      </c>
      <c r="G37" s="3158"/>
      <c r="H37" s="3245"/>
      <c r="I37" s="3246"/>
      <c r="J37" s="3247"/>
      <c r="K37" s="3253"/>
      <c r="L37" s="3245"/>
      <c r="M37" s="3245"/>
    </row>
    <row r="38" spans="1:18" ht="18" customHeight="1" thickBot="1">
      <c r="A38" s="3209" t="s">
        <v>1393</v>
      </c>
      <c r="B38" s="3189" t="s">
        <v>1441</v>
      </c>
      <c r="C38" s="3226">
        <f ca="1">ROUND(C5*F38,1)</f>
        <v>0</v>
      </c>
      <c r="D38" s="3227" t="s">
        <v>1461</v>
      </c>
      <c r="E38" s="3189" t="s">
        <v>1424</v>
      </c>
      <c r="F38" s="3190">
        <f ca="1">INDIRECT("'数据-取费表'!Am"&amp;$G$1)</f>
        <v>0</v>
      </c>
      <c r="G38" s="3158"/>
      <c r="H38" s="3245"/>
      <c r="I38" s="3246"/>
      <c r="J38" s="3247"/>
      <c r="K38" s="3254"/>
      <c r="L38" s="3245"/>
      <c r="M38" s="3245"/>
    </row>
    <row r="39" spans="1:18" ht="24.6" customHeight="1" thickTop="1">
      <c r="A39" s="3193" t="s">
        <v>1031</v>
      </c>
      <c r="B39" s="3228" t="s">
        <v>1465</v>
      </c>
      <c r="C39" s="3195">
        <f ca="1">C5-C30</f>
        <v>-3</v>
      </c>
      <c r="D39" s="3229" t="s">
        <v>1466</v>
      </c>
      <c r="E39" s="3230"/>
      <c r="F39" s="3231"/>
      <c r="G39" s="3158"/>
      <c r="H39" s="3245"/>
      <c r="I39" s="3246"/>
      <c r="J39" s="3247"/>
      <c r="K39" s="3254"/>
      <c r="L39" s="3245"/>
      <c r="M39" s="3245"/>
    </row>
    <row r="40" spans="1:18" ht="18" customHeight="1">
      <c r="A40" s="3159" t="s">
        <v>1032</v>
      </c>
      <c r="B40" s="3160" t="s">
        <v>1487</v>
      </c>
      <c r="C40" s="3168" t="e">
        <f ca="1">ROUND(C39*(1-((1+F42)/(1+F40))^F41)/(F40-F42),0)</f>
        <v>#DIV/0!</v>
      </c>
      <c r="D40" s="3222" t="s">
        <v>1471</v>
      </c>
      <c r="E40" s="3167" t="s">
        <v>1472</v>
      </c>
      <c r="F40" s="2726">
        <f ca="1">INDIRECT("'数据-取费表'!I"&amp;$G$1)</f>
        <v>0</v>
      </c>
      <c r="G40" s="3158"/>
      <c r="H40" s="3255"/>
      <c r="I40" s="3246"/>
      <c r="J40" s="3247"/>
      <c r="K40" s="3254"/>
      <c r="L40" s="3255"/>
      <c r="M40" s="3255"/>
    </row>
    <row r="41" spans="1:18" ht="18" customHeight="1">
      <c r="A41" s="3172"/>
      <c r="B41" s="3232"/>
      <c r="C41" s="3173"/>
      <c r="D41" s="3233" t="s">
        <v>1488</v>
      </c>
      <c r="E41" s="3167" t="s">
        <v>1476</v>
      </c>
      <c r="F41" s="2726">
        <f ca="1">IF(INDIRECT("'数据-取费表'!af"&amp;$G$1)=0,INDIRECT("'数据-取费表'!ae"&amp;$G$1),INDIRECT("'数据-取费表'!af"&amp;$G$1))</f>
        <v>0</v>
      </c>
      <c r="G41" s="3158"/>
      <c r="H41" s="2367"/>
      <c r="I41" s="3246"/>
      <c r="J41" s="3247"/>
      <c r="K41" s="3253"/>
      <c r="L41" s="2367"/>
      <c r="M41" s="2367"/>
    </row>
    <row r="42" spans="1:18" ht="18" customHeight="1">
      <c r="A42" s="3179"/>
      <c r="B42" s="3234"/>
      <c r="C42" s="3195"/>
      <c r="D42" s="2209"/>
      <c r="E42" s="3167" t="s">
        <v>1479</v>
      </c>
      <c r="F42" s="2726">
        <f ca="1">INDIRECT("'数据-取费表'!v"&amp;$G$1)</f>
        <v>0</v>
      </c>
      <c r="G42" s="3158"/>
      <c r="H42" s="2367"/>
      <c r="I42" s="3246"/>
      <c r="J42" s="3247"/>
      <c r="K42" s="3253"/>
      <c r="L42" s="2367"/>
      <c r="M42" s="2367"/>
    </row>
    <row r="43" spans="1:18" ht="18" customHeight="1" thickBot="1">
      <c r="A43" s="3236" t="s">
        <v>1033</v>
      </c>
      <c r="B43" s="3237" t="s">
        <v>1489</v>
      </c>
      <c r="C43" s="3238" t="e">
        <f ca="1">ROUND(C40*10000/F43,0)</f>
        <v>#DIV/0!</v>
      </c>
      <c r="D43" s="3239" t="s">
        <v>1490</v>
      </c>
      <c r="E43" s="3240" t="s">
        <v>1491</v>
      </c>
      <c r="F43" s="3241">
        <f ca="1">INDIRECT("'数据-取费表'!k"&amp;$G$1)</f>
        <v>6813.5700000000006</v>
      </c>
      <c r="G43" s="3158"/>
      <c r="H43" s="2367"/>
      <c r="I43" s="2367"/>
      <c r="J43" s="2367"/>
      <c r="K43" s="3253"/>
      <c r="L43" s="2367"/>
      <c r="M43" s="2367"/>
    </row>
    <row r="44" spans="1:18" s="3149" customFormat="1" ht="18" customHeight="1">
      <c r="A44" s="3256"/>
      <c r="B44" s="3256"/>
      <c r="C44" s="3257"/>
      <c r="D44" s="3256"/>
      <c r="E44" s="3256"/>
      <c r="F44" s="3256"/>
      <c r="K44" s="3258"/>
    </row>
    <row r="45" spans="1:18" s="3149" customFormat="1" ht="18" customHeight="1" thickBot="1">
      <c r="A45" s="3256"/>
      <c r="B45" s="3256"/>
      <c r="C45" s="3257"/>
      <c r="D45" s="3256"/>
      <c r="E45" s="3256"/>
      <c r="F45" s="3256"/>
      <c r="J45" s="3014"/>
      <c r="O45" s="3259" t="s">
        <v>1521</v>
      </c>
      <c r="P45" s="3255"/>
      <c r="Q45" s="3255"/>
      <c r="R45" s="3255"/>
    </row>
    <row r="46" spans="1:18" s="3149" customFormat="1" ht="13.5" thickBot="1">
      <c r="A46" s="3260" t="s">
        <v>1522</v>
      </c>
      <c r="C46" s="3261" t="e">
        <f ca="1">C68-C40</f>
        <v>#DIV/0!</v>
      </c>
      <c r="D46" s="3262" t="str">
        <f>C2</f>
        <v>万元</v>
      </c>
      <c r="E46" s="3256"/>
      <c r="F46" s="3256"/>
      <c r="I46" s="3263" t="s">
        <v>1523</v>
      </c>
      <c r="J46" s="3264"/>
      <c r="K46" s="3265"/>
      <c r="L46" s="3266">
        <f ca="1">IF(M47="住宅",0,IF(L48&gt;J51,L60,J60))</f>
        <v>3</v>
      </c>
      <c r="O46" s="3267" t="s">
        <v>1524</v>
      </c>
      <c r="P46" s="3268" t="s">
        <v>1525</v>
      </c>
      <c r="Q46" s="3269" t="s">
        <v>1526</v>
      </c>
      <c r="R46" s="3269" t="s">
        <v>1527</v>
      </c>
    </row>
    <row r="47" spans="1:18" s="3149" customFormat="1" ht="13.5" thickBot="1">
      <c r="A47" s="3270" t="s">
        <v>1397</v>
      </c>
      <c r="B47" s="3271" t="s">
        <v>1398</v>
      </c>
      <c r="C47" s="3272" t="s">
        <v>1399</v>
      </c>
      <c r="D47" s="3271" t="s">
        <v>1400</v>
      </c>
      <c r="E47" s="3273" t="s">
        <v>1401</v>
      </c>
      <c r="F47" s="3092"/>
      <c r="G47" s="3274"/>
      <c r="I47" s="3275" t="s">
        <v>1528</v>
      </c>
      <c r="J47" s="3276" t="s">
        <v>3093</v>
      </c>
      <c r="K47" s="3277" t="s">
        <v>1529</v>
      </c>
      <c r="L47" s="3278">
        <f ca="1">INDIRECT("'数据-取费表'!d"&amp;$G$1)</f>
        <v>40</v>
      </c>
      <c r="M47" s="3279" t="str">
        <f>IF(ISNUMBER(FIND("住宅",C1)),"住宅","非住宅")</f>
        <v>非住宅</v>
      </c>
      <c r="O47" s="3280" t="s">
        <v>1040</v>
      </c>
      <c r="P47" s="3281" t="s">
        <v>1530</v>
      </c>
      <c r="Q47" s="3282" t="e">
        <f ca="1">C40+J29</f>
        <v>#DIV/0!</v>
      </c>
      <c r="R47" s="3282" t="s">
        <v>1531</v>
      </c>
    </row>
    <row r="48" spans="1:18" s="3149" customFormat="1" ht="28.5" thickBot="1">
      <c r="A48" s="3283" t="s">
        <v>1135</v>
      </c>
      <c r="B48" s="3160" t="s">
        <v>1402</v>
      </c>
      <c r="C48" s="2614">
        <f ca="1">C49+C53+C55</f>
        <v>0</v>
      </c>
      <c r="D48" s="3284"/>
      <c r="E48" s="3285"/>
      <c r="F48" s="3286"/>
      <c r="G48" s="3274"/>
      <c r="H48" s="3287"/>
      <c r="I48" s="3288" t="s">
        <v>1532</v>
      </c>
      <c r="J48" s="3289" t="s">
        <v>7099</v>
      </c>
      <c r="K48" s="3290" t="s">
        <v>1533</v>
      </c>
      <c r="L48" s="3291">
        <f ca="1">INDIRECT("'数据-取费表'!f"&amp;$G$1)</f>
        <v>35.47</v>
      </c>
      <c r="O48" s="3280" t="s">
        <v>1041</v>
      </c>
      <c r="P48" s="3281" t="s">
        <v>1534</v>
      </c>
      <c r="Q48" s="3282">
        <f ca="1">J60</f>
        <v>3</v>
      </c>
      <c r="R48" s="3282" t="s">
        <v>1535</v>
      </c>
    </row>
    <row r="49" spans="1:18" s="3149" customFormat="1" ht="13.5" thickBot="1">
      <c r="A49" s="3292" t="s">
        <v>1136</v>
      </c>
      <c r="B49" s="3293" t="s">
        <v>1492</v>
      </c>
      <c r="C49" s="3294">
        <f ca="1">ROUND(F49*F51*F50*(1-F52)/10000,0)</f>
        <v>0</v>
      </c>
      <c r="D49" s="3295" t="s">
        <v>3042</v>
      </c>
      <c r="E49" s="3296" t="s">
        <v>1493</v>
      </c>
      <c r="F49" s="3297"/>
      <c r="G49" s="3298"/>
      <c r="H49" s="3287"/>
      <c r="I49" s="3288" t="s">
        <v>1536</v>
      </c>
      <c r="J49" s="3299">
        <v>2016</v>
      </c>
      <c r="K49" s="3290" t="s">
        <v>1537</v>
      </c>
      <c r="L49" s="3300"/>
      <c r="O49" s="3301" t="s">
        <v>1042</v>
      </c>
      <c r="P49" s="3281" t="s">
        <v>1538</v>
      </c>
      <c r="Q49" s="3282">
        <f ca="1">C29</f>
        <v>160</v>
      </c>
      <c r="R49" s="3282" t="s">
        <v>1531</v>
      </c>
    </row>
    <row r="50" spans="1:18" s="3149" customFormat="1" ht="13.5" thickBot="1">
      <c r="A50" s="3302"/>
      <c r="B50" s="3034"/>
      <c r="C50" s="3303"/>
      <c r="D50" s="3304"/>
      <c r="E50" s="3305" t="s">
        <v>1407</v>
      </c>
      <c r="F50" s="3306">
        <f ca="1">F7</f>
        <v>6813.5700000000006</v>
      </c>
      <c r="H50" s="3287"/>
      <c r="I50" s="3288" t="s">
        <v>1539</v>
      </c>
      <c r="J50" s="3307">
        <f>SUMPRODUCT((I63:I65=J47)*(J62:L62=J48)*(J63:L65))</f>
        <v>60</v>
      </c>
      <c r="K50" s="3290" t="s">
        <v>1540</v>
      </c>
      <c r="L50" s="3300"/>
      <c r="M50" s="3308"/>
      <c r="O50" s="3301" t="s">
        <v>1043</v>
      </c>
      <c r="P50" s="3281" t="s">
        <v>1541</v>
      </c>
      <c r="Q50" s="3282">
        <f ca="1">J58</f>
        <v>0.4</v>
      </c>
      <c r="R50" s="3282"/>
    </row>
    <row r="51" spans="1:18" s="3149" customFormat="1" ht="13.5" thickBot="1">
      <c r="A51" s="3309"/>
      <c r="B51" s="3034"/>
      <c r="C51" s="3310"/>
      <c r="D51" s="3304"/>
      <c r="E51" s="3311" t="s">
        <v>1408</v>
      </c>
      <c r="F51" s="2726">
        <f ca="1">F8</f>
        <v>365</v>
      </c>
      <c r="I51" s="3312" t="s">
        <v>1542</v>
      </c>
      <c r="J51" s="3291">
        <f>IF(J49="",J50,J49+J50-YEAR('数据-取费表'!B2))</f>
        <v>59</v>
      </c>
      <c r="K51" s="3313" t="s">
        <v>1543</v>
      </c>
      <c r="L51" s="3291">
        <f ca="1">ROUND(-PV(INDIRECT("'数据-取费表'!h"&amp;$G$1),L48,(C39-C13*C76),0),0)</f>
        <v>-106</v>
      </c>
      <c r="M51" s="3314"/>
      <c r="O51" s="3301" t="s">
        <v>1044</v>
      </c>
      <c r="P51" s="3281" t="s">
        <v>1544</v>
      </c>
      <c r="Q51" s="3282">
        <f>J52</f>
        <v>0.09</v>
      </c>
      <c r="R51" s="3282"/>
    </row>
    <row r="52" spans="1:18" s="3149" customFormat="1" ht="13.5" thickBot="1">
      <c r="A52" s="3309"/>
      <c r="B52" s="3034"/>
      <c r="C52" s="3310"/>
      <c r="D52" s="3304"/>
      <c r="E52" s="3311" t="s">
        <v>1409</v>
      </c>
      <c r="F52" s="3315"/>
      <c r="I52" s="3316" t="s">
        <v>1545</v>
      </c>
      <c r="J52" s="3317">
        <v>0.09</v>
      </c>
      <c r="K52" s="3316" t="s">
        <v>1546</v>
      </c>
      <c r="L52" s="3317"/>
      <c r="O52" s="3301" t="s">
        <v>1045</v>
      </c>
      <c r="P52" s="3281" t="s">
        <v>1547</v>
      </c>
      <c r="Q52" s="3282">
        <f ca="1">J53</f>
        <v>35.47</v>
      </c>
      <c r="R52" s="3282" t="s">
        <v>1548</v>
      </c>
    </row>
    <row r="53" spans="1:18" s="3149" customFormat="1" ht="24.75" thickBot="1">
      <c r="A53" s="3318" t="s">
        <v>1137</v>
      </c>
      <c r="B53" s="2507" t="s">
        <v>1410</v>
      </c>
      <c r="C53" s="3098">
        <f ca="1">ROUND(IF(F53="押一",F49*F51*F50/12*F11,IF(F53="押二",F49*F51*F50/12*2*F11,IF(F53="押三",F49*F51*F50/12*3*F11,C54*F11)))/10000,0)</f>
        <v>0</v>
      </c>
      <c r="D53" s="3177" t="s">
        <v>3040</v>
      </c>
      <c r="E53" s="3174" t="s">
        <v>1412</v>
      </c>
      <c r="F53" s="3178"/>
      <c r="I53" s="3319" t="s">
        <v>1549</v>
      </c>
      <c r="J53" s="3320">
        <f ca="1">IF(M47="住宅",J51,IF(D1="——",MIN(J51,L48),IF(D1="在建（套用方法）",MIN(J51,L48-'数据-取费表'!B24),IF(D1="土地（套用方法）",MIN(J51,L48-'数据-取费表'!B20)))))</f>
        <v>35.47</v>
      </c>
      <c r="K53" s="3950" t="s">
        <v>1550</v>
      </c>
      <c r="L53" s="3951"/>
      <c r="O53" s="3280" t="s">
        <v>1046</v>
      </c>
      <c r="P53" s="3281" t="s">
        <v>1551</v>
      </c>
      <c r="Q53" s="3282" t="e">
        <f ca="1">Q47+Q48</f>
        <v>#DIV/0!</v>
      </c>
      <c r="R53" s="3282" t="s">
        <v>1047</v>
      </c>
    </row>
    <row r="54" spans="1:18" s="3149" customFormat="1" ht="13.5" thickBot="1">
      <c r="A54" s="3321"/>
      <c r="B54" s="3180" t="s">
        <v>1389</v>
      </c>
      <c r="C54" s="3181"/>
      <c r="D54" s="3177"/>
      <c r="E54" s="3322"/>
      <c r="F54" s="3323"/>
      <c r="I54" s="332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3325"/>
      <c r="K54" s="3325"/>
      <c r="L54" s="3325"/>
      <c r="M54" s="3298"/>
      <c r="O54" s="3259" t="s">
        <v>1552</v>
      </c>
      <c r="P54" s="3255"/>
      <c r="Q54" s="3255"/>
      <c r="R54" s="3255"/>
    </row>
    <row r="55" spans="1:18" s="3149" customFormat="1" ht="13.5" thickBot="1">
      <c r="A55" s="3185" t="s">
        <v>1075</v>
      </c>
      <c r="B55" s="3186" t="s">
        <v>1415</v>
      </c>
      <c r="C55" s="3187"/>
      <c r="D55" s="3177"/>
      <c r="E55" s="3322"/>
      <c r="F55" s="3323"/>
      <c r="I55" s="3326" t="s">
        <v>1553</v>
      </c>
      <c r="J55" s="3327">
        <f ca="1">ROUND(IF(J47="钢混",J57/J50,1-(1-2%)*(J50-J57)/J50),3)</f>
        <v>0.39200000000000002</v>
      </c>
      <c r="K55" s="3328" t="s">
        <v>1554</v>
      </c>
      <c r="L55" s="3329" t="s">
        <v>1555</v>
      </c>
      <c r="O55" s="3267" t="s">
        <v>1524</v>
      </c>
      <c r="P55" s="3268" t="s">
        <v>1525</v>
      </c>
      <c r="Q55" s="3269" t="s">
        <v>1526</v>
      </c>
      <c r="R55" s="3269" t="s">
        <v>1527</v>
      </c>
    </row>
    <row r="56" spans="1:18" s="3149" customFormat="1" ht="25.5" thickTop="1" thickBot="1">
      <c r="A56" s="3330">
        <v>2</v>
      </c>
      <c r="B56" s="3331" t="s">
        <v>1416</v>
      </c>
      <c r="C56" s="3332">
        <f ca="1">C13</f>
        <v>0</v>
      </c>
      <c r="D56" s="3333"/>
      <c r="E56" s="3334"/>
      <c r="F56" s="3323"/>
      <c r="I56" s="3335" t="s">
        <v>1556</v>
      </c>
      <c r="J56" s="3336" t="s">
        <v>7100</v>
      </c>
      <c r="K56" s="3288" t="s">
        <v>1557</v>
      </c>
      <c r="L56" s="3291" t="str">
        <f ca="1">IF(L48&lt;J51,"——",L48-J53)</f>
        <v>——</v>
      </c>
      <c r="O56" s="3280" t="s">
        <v>1040</v>
      </c>
      <c r="P56" s="3281" t="s">
        <v>1530</v>
      </c>
      <c r="Q56" s="3282" t="e">
        <f ca="1">C40+J29</f>
        <v>#DIV/0!</v>
      </c>
      <c r="R56" s="3282" t="s">
        <v>1531</v>
      </c>
    </row>
    <row r="57" spans="1:18" s="3149" customFormat="1" ht="24.75" thickBot="1">
      <c r="A57" s="3337"/>
      <c r="B57" s="3338" t="s">
        <v>1480</v>
      </c>
      <c r="C57" s="3339">
        <f ca="1">C29</f>
        <v>160</v>
      </c>
      <c r="D57" s="3340"/>
      <c r="E57" s="3341"/>
      <c r="F57" s="3342"/>
      <c r="I57" s="3343" t="s">
        <v>1558</v>
      </c>
      <c r="J57" s="3344">
        <f ca="1">IF(OR(M47="住宅",J51&lt;L48,J56="是"),"——",J51-L48)</f>
        <v>23.53</v>
      </c>
      <c r="K57" s="3288" t="s">
        <v>1559</v>
      </c>
      <c r="L57" s="3291" t="str">
        <f ca="1">IF(L48&lt;J51,"——",IF(L55="比较法",L49,IF(L55="基准地价",L50,L51)))</f>
        <v>——</v>
      </c>
      <c r="O57" s="3280" t="s">
        <v>1041</v>
      </c>
      <c r="P57" s="3281" t="s">
        <v>1560</v>
      </c>
      <c r="Q57" s="3282">
        <f ca="1">L60</f>
        <v>0</v>
      </c>
      <c r="R57" s="3282" t="s">
        <v>1561</v>
      </c>
    </row>
    <row r="58" spans="1:18" s="3149" customFormat="1" ht="24.75" thickBot="1">
      <c r="A58" s="3345" t="s">
        <v>1030</v>
      </c>
      <c r="B58" s="3331" t="s">
        <v>1426</v>
      </c>
      <c r="C58" s="3098">
        <f ca="1">ROUND(C59+C64+C65+C66,0)</f>
        <v>3</v>
      </c>
      <c r="D58" s="3346" t="s">
        <v>1427</v>
      </c>
      <c r="E58" s="3347"/>
      <c r="F58" s="3286"/>
      <c r="I58" s="3343" t="s">
        <v>1562</v>
      </c>
      <c r="J58" s="3344">
        <f ca="1">IF(J55&lt;0.4,0.4,J55)</f>
        <v>0.4</v>
      </c>
      <c r="K58" s="3313" t="s">
        <v>1563</v>
      </c>
      <c r="L58" s="3291" t="e">
        <f ca="1">ROUND(POWER(1+L52,L47-L48)*(POWER(1+L52,L48)-1)/(POWER(1+L52,L47)-1),4)</f>
        <v>#DIV/0!</v>
      </c>
      <c r="O58" s="3301" t="s">
        <v>1042</v>
      </c>
      <c r="P58" s="3281" t="s">
        <v>1564</v>
      </c>
      <c r="Q58" s="3282">
        <f>IF(L55="比较法",L49,IF(L55="基准地价",L50,0))</f>
        <v>0</v>
      </c>
      <c r="R58" s="3282" t="s">
        <v>1531</v>
      </c>
    </row>
    <row r="59" spans="1:18" s="3149" customFormat="1" ht="24.75" thickBot="1">
      <c r="A59" s="3202" t="s">
        <v>1035</v>
      </c>
      <c r="B59" s="3338" t="s">
        <v>1431</v>
      </c>
      <c r="C59" s="2407">
        <f ca="1">ROUND(IF(项目基本情况!B11="自然人",C48*F59,C60+C61+C62),1)</f>
        <v>3</v>
      </c>
      <c r="D59" s="3348" t="s">
        <v>1432</v>
      </c>
      <c r="E59" s="3349" t="s">
        <v>1433</v>
      </c>
      <c r="F59" s="3217" t="str">
        <f ca="1">IF(项目基本情况!B11="企业","",IF(INDIRECT("'数据-取费表'!c"&amp;$G$1)="住宅",5%,IF(F49*F50*F51/12/(1+'数据-取费表'!C42)&gt;20000,12%,7%)))</f>
        <v/>
      </c>
      <c r="I59" s="3343" t="s">
        <v>1565</v>
      </c>
      <c r="J59" s="3344">
        <f ca="1">IF(OR(M47="住宅",J51&lt;L48,J56="是"),"——",ROUND(C29*J58,0))</f>
        <v>64</v>
      </c>
      <c r="K59" s="328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3291" t="e">
        <f ca="1">ROUND(IF(D1="在建（套用方法）",M59,IF(D1="土地（套用方法）",N59,POWER(1+L52,L47-J51)*(POWER(1+L52,J51)-1)/(POWER(1+L52,L47)-1))),4)</f>
        <v>#DIV/0!</v>
      </c>
      <c r="M59" s="3279" t="e">
        <f ca="1">ROUND(POWER(1+L52,L47-(J51+'数据-取费表'!B24))*(POWER(1+L52,(J51+'数据-取费表'!B24))-1)/(POWER(1+L52,L47)-1),4)</f>
        <v>#DIV/0!</v>
      </c>
      <c r="N59" s="3279" t="e">
        <f ca="1">ROUND(POWER(1+L52,L47-(J51+'数据-取费表'!B20))*(POWER(1+L52,(J51+'数据-取费表'!B20))-1)/(POWER(1+L52,L47)-1),4)</f>
        <v>#DIV/0!</v>
      </c>
      <c r="O59" s="3301" t="s">
        <v>1043</v>
      </c>
      <c r="P59" s="3281" t="s">
        <v>1566</v>
      </c>
      <c r="Q59" s="3282">
        <f>L52</f>
        <v>0</v>
      </c>
      <c r="R59" s="3282"/>
    </row>
    <row r="60" spans="1:18" s="3149" customFormat="1" ht="16.5" thickBot="1">
      <c r="A60" s="3202" t="s">
        <v>1034</v>
      </c>
      <c r="B60" s="3338" t="s">
        <v>1435</v>
      </c>
      <c r="C60" s="2407">
        <f ca="1">IF(项目基本情况!B11="自然人","——",ROUND(C48*F60/(1+'数据-取费表'!C42),2))</f>
        <v>0</v>
      </c>
      <c r="D60" s="3349" t="s">
        <v>1436</v>
      </c>
      <c r="E60" s="3338" t="s">
        <v>1424</v>
      </c>
      <c r="F60" s="2594">
        <f t="shared" ref="F60:F66" si="0">F32</f>
        <v>5.6000000000000001E-2</v>
      </c>
      <c r="I60" s="3350" t="s">
        <v>1567</v>
      </c>
      <c r="J60" s="3351">
        <f ca="1">IF(OR(M47="住宅",J51&lt;L48,J56="是"),"0",ROUND(J59/(1+J52)^J53,0))</f>
        <v>3</v>
      </c>
      <c r="K60" s="3352" t="s">
        <v>1568</v>
      </c>
      <c r="L60" s="3351">
        <f ca="1">IF(OR(M47="住宅",L48&lt;J51),0,ROUND(L57*(L58/L59-1),0))</f>
        <v>0</v>
      </c>
      <c r="O60" s="3301" t="s">
        <v>1044</v>
      </c>
      <c r="P60" s="3281" t="s">
        <v>1569</v>
      </c>
      <c r="Q60" s="3282" t="e">
        <f ca="1">L58</f>
        <v>#DIV/0!</v>
      </c>
      <c r="R60" s="3282" t="s">
        <v>1570</v>
      </c>
    </row>
    <row r="61" spans="1:18" s="3149" customFormat="1" ht="13.5" thickBot="1">
      <c r="A61" s="3202" t="s">
        <v>1494</v>
      </c>
      <c r="B61" s="3338" t="s">
        <v>1439</v>
      </c>
      <c r="C61" s="2407">
        <f ca="1">IF(项目基本情况!B11="自然人","——",IF(D61="按租金收入计税",ROUND(C48*F61,2),IF(D61="按房产原值计税",ROUND(C57*F61*0.7,2),INDIRECT("'数据-取费表'!Aj"&amp;$G$1))))</f>
        <v>1.34</v>
      </c>
      <c r="D61" s="3219" t="s">
        <v>1440</v>
      </c>
      <c r="E61" s="3338" t="s">
        <v>1424</v>
      </c>
      <c r="F61" s="2594">
        <f t="shared" si="0"/>
        <v>1.2E-2</v>
      </c>
      <c r="I61" s="3353"/>
      <c r="J61" s="3353"/>
      <c r="K61" s="3353"/>
      <c r="L61" s="3353"/>
      <c r="O61" s="3301" t="s">
        <v>1045</v>
      </c>
      <c r="P61" s="3281" t="str">
        <f>K59</f>
        <v>建筑物剩余耐用年限下的土地年期修正系数Kn</v>
      </c>
      <c r="Q61" s="3282" t="e">
        <f ca="1">L59</f>
        <v>#DIV/0!</v>
      </c>
      <c r="R61" s="3282" t="s">
        <v>1571</v>
      </c>
    </row>
    <row r="62" spans="1:18" s="3149" customFormat="1" ht="13.5" thickBot="1">
      <c r="A62" s="3202" t="s">
        <v>1497</v>
      </c>
      <c r="B62" s="3354" t="s">
        <v>1443</v>
      </c>
      <c r="C62" s="3221">
        <f ca="1">IF(项目基本情况!B11="自然人","——",ROUND(F62*F63/10000,2))</f>
        <v>1.62</v>
      </c>
      <c r="D62" s="3355" t="s">
        <v>1444</v>
      </c>
      <c r="E62" s="3338" t="s">
        <v>1445</v>
      </c>
      <c r="F62" s="2594">
        <f t="shared" si="0"/>
        <v>8</v>
      </c>
      <c r="I62" s="3356" t="s">
        <v>1572</v>
      </c>
      <c r="J62" s="3357" t="s">
        <v>1573</v>
      </c>
      <c r="K62" s="3357" t="s">
        <v>1574</v>
      </c>
      <c r="L62" s="3357" t="s">
        <v>1575</v>
      </c>
      <c r="M62" s="3358" t="s">
        <v>1576</v>
      </c>
      <c r="O62" s="3280" t="s">
        <v>1046</v>
      </c>
      <c r="P62" s="3281" t="s">
        <v>1577</v>
      </c>
      <c r="Q62" s="3282" t="e">
        <f ca="1">Q56+Q57</f>
        <v>#DIV/0!</v>
      </c>
      <c r="R62" s="3282" t="s">
        <v>1047</v>
      </c>
    </row>
    <row r="63" spans="1:18" s="3149" customFormat="1" ht="13.5" thickBot="1">
      <c r="A63" s="3223"/>
      <c r="B63" s="3359"/>
      <c r="C63" s="2596"/>
      <c r="D63" s="3360"/>
      <c r="E63" s="3338" t="s">
        <v>1501</v>
      </c>
      <c r="F63" s="2726">
        <f t="shared" ca="1" si="0"/>
        <v>2019.91</v>
      </c>
      <c r="I63" s="3356" t="s">
        <v>1578</v>
      </c>
      <c r="J63" s="3357">
        <v>70</v>
      </c>
      <c r="K63" s="3357">
        <v>50</v>
      </c>
      <c r="L63" s="3357">
        <v>80</v>
      </c>
      <c r="M63" s="3358">
        <v>0.02</v>
      </c>
      <c r="O63" s="3259" t="s">
        <v>1579</v>
      </c>
      <c r="P63" s="3255"/>
      <c r="Q63" s="3255"/>
      <c r="R63" s="3255"/>
    </row>
    <row r="64" spans="1:18" s="3149" customFormat="1" ht="13.5" thickBot="1">
      <c r="A64" s="3202" t="s">
        <v>1502</v>
      </c>
      <c r="B64" s="3338" t="s">
        <v>1503</v>
      </c>
      <c r="C64" s="2407">
        <f ca="1">ROUND(C57*F64,1)</f>
        <v>0</v>
      </c>
      <c r="D64" s="3349" t="s">
        <v>1484</v>
      </c>
      <c r="E64" s="3338" t="s">
        <v>1424</v>
      </c>
      <c r="F64" s="2726">
        <f t="shared" ca="1" si="0"/>
        <v>0</v>
      </c>
      <c r="I64" s="3356" t="s">
        <v>1580</v>
      </c>
      <c r="J64" s="3357">
        <v>50</v>
      </c>
      <c r="K64" s="3357">
        <v>35</v>
      </c>
      <c r="L64" s="3357">
        <v>60</v>
      </c>
      <c r="M64" s="3358">
        <v>0</v>
      </c>
      <c r="O64" s="3267" t="s">
        <v>1524</v>
      </c>
      <c r="P64" s="3268" t="s">
        <v>1525</v>
      </c>
      <c r="Q64" s="3269" t="s">
        <v>1526</v>
      </c>
      <c r="R64" s="3269" t="s">
        <v>1527</v>
      </c>
    </row>
    <row r="65" spans="1:18" s="3149" customFormat="1" ht="13.5" thickBot="1">
      <c r="A65" s="3202" t="s">
        <v>1505</v>
      </c>
      <c r="B65" s="3338" t="s">
        <v>1455</v>
      </c>
      <c r="C65" s="2407">
        <f ca="1">ROUND(C56*F65,1)</f>
        <v>0</v>
      </c>
      <c r="D65" s="3349" t="s">
        <v>1456</v>
      </c>
      <c r="E65" s="3338" t="s">
        <v>1424</v>
      </c>
      <c r="F65" s="2726">
        <f t="shared" ca="1" si="0"/>
        <v>0</v>
      </c>
      <c r="I65" s="3356" t="s">
        <v>1581</v>
      </c>
      <c r="J65" s="3357">
        <v>40</v>
      </c>
      <c r="K65" s="3357">
        <v>30</v>
      </c>
      <c r="L65" s="3357">
        <v>50</v>
      </c>
      <c r="M65" s="3358">
        <v>0.02</v>
      </c>
      <c r="O65" s="3280" t="s">
        <v>1040</v>
      </c>
      <c r="P65" s="3281" t="s">
        <v>1530</v>
      </c>
      <c r="Q65" s="3282" t="e">
        <f ca="1">C40+J29</f>
        <v>#DIV/0!</v>
      </c>
      <c r="R65" s="3282" t="s">
        <v>1531</v>
      </c>
    </row>
    <row r="66" spans="1:18" s="3149" customFormat="1" ht="16.5" thickBot="1">
      <c r="A66" s="3202" t="s">
        <v>1506</v>
      </c>
      <c r="B66" s="3338" t="s">
        <v>1441</v>
      </c>
      <c r="C66" s="2407">
        <f ca="1">ROUND(C48*F66,1)</f>
        <v>0</v>
      </c>
      <c r="D66" s="3349" t="s">
        <v>1507</v>
      </c>
      <c r="E66" s="3338" t="s">
        <v>1424</v>
      </c>
      <c r="F66" s="2726">
        <f t="shared" ca="1" si="0"/>
        <v>0</v>
      </c>
      <c r="O66" s="3280" t="s">
        <v>1041</v>
      </c>
      <c r="P66" s="3281" t="s">
        <v>1560</v>
      </c>
      <c r="Q66" s="3282">
        <f ca="1">L60</f>
        <v>0</v>
      </c>
      <c r="R66" s="3282" t="s">
        <v>1583</v>
      </c>
    </row>
    <row r="67" spans="1:18" s="3149" customFormat="1" ht="16.5" thickBot="1">
      <c r="A67" s="3330" t="s">
        <v>1031</v>
      </c>
      <c r="B67" s="3361" t="s">
        <v>1465</v>
      </c>
      <c r="C67" s="3098">
        <f ca="1">C48-C58</f>
        <v>-3</v>
      </c>
      <c r="D67" s="3348" t="s">
        <v>1466</v>
      </c>
      <c r="E67" s="3362"/>
      <c r="F67" s="3363"/>
      <c r="O67" s="3301" t="s">
        <v>1042</v>
      </c>
      <c r="P67" s="3281" t="s">
        <v>1564</v>
      </c>
      <c r="Q67" s="3282">
        <f ca="1">L51</f>
        <v>-106</v>
      </c>
      <c r="R67" s="3282" t="s">
        <v>1584</v>
      </c>
    </row>
    <row r="68" spans="1:18" s="3149" customFormat="1" ht="16.5" thickBot="1">
      <c r="A68" s="3364" t="s">
        <v>1032</v>
      </c>
      <c r="B68" s="3365" t="s">
        <v>1487</v>
      </c>
      <c r="C68" s="3168" t="e">
        <f ca="1">ROUND(C67*(1-((1+F70)/(1+F68))^F69)/(F68-F70),0)</f>
        <v>#DIV/0!</v>
      </c>
      <c r="D68" s="3355" t="s">
        <v>1471</v>
      </c>
      <c r="E68" s="3338" t="s">
        <v>1472</v>
      </c>
      <c r="F68" s="2726">
        <f ca="1">F40</f>
        <v>0</v>
      </c>
      <c r="O68" s="3301" t="s">
        <v>1043</v>
      </c>
      <c r="P68" s="3366" t="s">
        <v>1585</v>
      </c>
      <c r="Q68" s="3282">
        <f ca="1">ROUND(Q69-Q70*Q71,0)</f>
        <v>-3</v>
      </c>
      <c r="R68" s="3282" t="s">
        <v>1051</v>
      </c>
    </row>
    <row r="69" spans="1:18" s="3149" customFormat="1" ht="13.5" thickBot="1">
      <c r="A69" s="3367"/>
      <c r="B69" s="3368"/>
      <c r="C69" s="3173"/>
      <c r="D69" s="3369" t="s">
        <v>1475</v>
      </c>
      <c r="E69" s="3338" t="s">
        <v>1476</v>
      </c>
      <c r="F69" s="2726">
        <f ca="1">F41</f>
        <v>0</v>
      </c>
      <c r="O69" s="3301" t="s">
        <v>1048</v>
      </c>
      <c r="P69" s="3366" t="s">
        <v>1586</v>
      </c>
      <c r="Q69" s="3282">
        <f ca="1">C39</f>
        <v>-3</v>
      </c>
      <c r="R69" s="3282" t="s">
        <v>1531</v>
      </c>
    </row>
    <row r="70" spans="1:18" s="3149" customFormat="1" ht="13.5" thickBot="1">
      <c r="A70" s="3370"/>
      <c r="B70" s="3371"/>
      <c r="C70" s="3195"/>
      <c r="D70" s="3360"/>
      <c r="E70" s="3338" t="s">
        <v>1479</v>
      </c>
      <c r="F70" s="3315"/>
      <c r="O70" s="3301" t="s">
        <v>1049</v>
      </c>
      <c r="P70" s="3366" t="s">
        <v>1587</v>
      </c>
      <c r="Q70" s="3282">
        <f ca="1">C13</f>
        <v>0</v>
      </c>
      <c r="R70" s="3282" t="s">
        <v>1531</v>
      </c>
    </row>
    <row r="71" spans="1:18" s="3149" customFormat="1" ht="13.5" thickBot="1">
      <c r="A71" s="3372" t="s">
        <v>1033</v>
      </c>
      <c r="B71" s="3373" t="s">
        <v>1489</v>
      </c>
      <c r="C71" s="3238" t="e">
        <f ca="1">ROUND(C68*10000/F71,0)</f>
        <v>#DIV/0!</v>
      </c>
      <c r="D71" s="3374" t="s">
        <v>1490</v>
      </c>
      <c r="E71" s="3375" t="s">
        <v>1491</v>
      </c>
      <c r="F71" s="3241">
        <f ca="1">F43</f>
        <v>6813.5700000000006</v>
      </c>
      <c r="O71" s="3301" t="s">
        <v>1050</v>
      </c>
      <c r="P71" s="3366" t="s">
        <v>1588</v>
      </c>
      <c r="Q71" s="3282">
        <f ca="1">C76</f>
        <v>0</v>
      </c>
      <c r="R71" s="3282"/>
    </row>
    <row r="72" spans="1:18" s="3149" customFormat="1" ht="13.5" thickBot="1">
      <c r="B72" s="3014"/>
      <c r="C72" s="3014"/>
      <c r="O72" s="3301" t="s">
        <v>1044</v>
      </c>
      <c r="P72" s="3281" t="s">
        <v>1566</v>
      </c>
      <c r="Q72" s="3282">
        <f>L52</f>
        <v>0</v>
      </c>
      <c r="R72" s="3282"/>
    </row>
    <row r="73" spans="1:18" ht="16.5" thickBot="1">
      <c r="A73" s="3149"/>
      <c r="B73" s="3014"/>
      <c r="C73" s="3014"/>
      <c r="D73" s="3149"/>
      <c r="E73" s="3149"/>
      <c r="F73" s="3149"/>
      <c r="O73" s="3301" t="s">
        <v>1045</v>
      </c>
      <c r="P73" s="3281" t="s">
        <v>1569</v>
      </c>
      <c r="Q73" s="3282" t="e">
        <f ca="1">L58</f>
        <v>#DIV/0!</v>
      </c>
      <c r="R73" s="3282" t="s">
        <v>1570</v>
      </c>
    </row>
    <row r="74" spans="1:18" ht="13.5" thickBot="1">
      <c r="A74" s="3149"/>
      <c r="B74" s="3377" t="s">
        <v>1589</v>
      </c>
      <c r="C74" s="3378"/>
      <c r="D74" s="3149"/>
      <c r="E74" s="3149"/>
      <c r="F74" s="3149"/>
      <c r="O74" s="3301" t="s">
        <v>1052</v>
      </c>
      <c r="P74" s="3281" t="str">
        <f>K59</f>
        <v>建筑物剩余耐用年限下的土地年期修正系数Kn</v>
      </c>
      <c r="Q74" s="3282" t="e">
        <f ca="1">L59</f>
        <v>#DIV/0!</v>
      </c>
      <c r="R74" s="3282" t="s">
        <v>1571</v>
      </c>
    </row>
    <row r="75" spans="1:18" ht="13.5" thickBot="1">
      <c r="A75" s="3149"/>
      <c r="B75" s="3379" t="s">
        <v>1508</v>
      </c>
      <c r="C75" s="3380">
        <f ca="1">ROUND(C13*C76,0)</f>
        <v>0</v>
      </c>
      <c r="D75" s="3149"/>
      <c r="E75" s="3149"/>
      <c r="F75" s="3149"/>
      <c r="K75" s="3258"/>
      <c r="L75" s="3149"/>
      <c r="O75" s="3280" t="s">
        <v>1046</v>
      </c>
      <c r="P75" s="3281" t="s">
        <v>1551</v>
      </c>
      <c r="Q75" s="3282" t="e">
        <f ca="1">Q65+Q66</f>
        <v>#DIV/0!</v>
      </c>
      <c r="R75" s="3282" t="s">
        <v>1047</v>
      </c>
    </row>
    <row r="76" spans="1:18">
      <c r="B76" s="3381" t="s">
        <v>1509</v>
      </c>
      <c r="C76" s="3098">
        <f ca="1">INDIRECT("'数据-取费表'!j"&amp;$G$1)</f>
        <v>0</v>
      </c>
      <c r="I76" s="3149"/>
      <c r="J76" s="3149"/>
      <c r="K76" s="3258"/>
      <c r="L76" s="3149"/>
    </row>
    <row r="77" spans="1:18">
      <c r="B77" s="3382" t="s">
        <v>1510</v>
      </c>
      <c r="C77" s="3383"/>
      <c r="I77" s="3149"/>
      <c r="J77" s="3149"/>
      <c r="K77" s="3258"/>
      <c r="L77" s="3149"/>
    </row>
    <row r="78" spans="1:18">
      <c r="B78" s="3384" t="s">
        <v>1511</v>
      </c>
      <c r="C78" s="3385"/>
    </row>
    <row r="79" spans="1:18">
      <c r="B79" s="3379" t="s">
        <v>1512</v>
      </c>
      <c r="C79" s="3380">
        <f ca="1">1-C80</f>
        <v>1</v>
      </c>
    </row>
    <row r="80" spans="1:18">
      <c r="B80" s="3379" t="s">
        <v>1513</v>
      </c>
      <c r="C80" s="3380">
        <f ca="1">ROUND(C75/C39,3)</f>
        <v>0</v>
      </c>
    </row>
    <row r="81" spans="2:3">
      <c r="B81" s="3384" t="s">
        <v>1514</v>
      </c>
      <c r="C81" s="3339"/>
    </row>
    <row r="82" spans="2:3">
      <c r="B82" s="3377" t="s">
        <v>1515</v>
      </c>
      <c r="C82" s="3378" t="e">
        <f ca="1">1-C83</f>
        <v>#DIV/0!</v>
      </c>
    </row>
    <row r="83" spans="2:3">
      <c r="B83" s="3377" t="s">
        <v>1516</v>
      </c>
      <c r="C83" s="3380" t="e">
        <f ca="1">ROUND(C13/C40,3)</f>
        <v>#DIV/0!</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97" priority="4">
      <formula>$L$48&gt;$J$51</formula>
    </cfRule>
  </conditionalFormatting>
  <conditionalFormatting sqref="I55 I60">
    <cfRule type="expression" dxfId="96" priority="5">
      <formula>$J$51&gt;$L$48</formula>
    </cfRule>
  </conditionalFormatting>
  <conditionalFormatting sqref="C11">
    <cfRule type="expression" dxfId="95" priority="3">
      <formula>$F$10="自定义"</formula>
    </cfRule>
  </conditionalFormatting>
  <conditionalFormatting sqref="J11">
    <cfRule type="expression" dxfId="94" priority="2">
      <formula>$M$10="自定义"</formula>
    </cfRule>
  </conditionalFormatting>
  <conditionalFormatting sqref="C54">
    <cfRule type="expression" dxfId="93"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C38" sqref="C38"/>
    </sheetView>
  </sheetViews>
  <sheetFormatPr defaultRowHeight="14.25"/>
  <cols>
    <col min="1" max="1" width="10.5" style="227" customWidth="1"/>
    <col min="2" max="2" width="15.75" style="227" customWidth="1"/>
    <col min="3" max="3" width="15.625" style="227" customWidth="1"/>
    <col min="4" max="4" width="12.25" style="227" customWidth="1"/>
    <col min="5" max="5" width="14.375" style="227" customWidth="1"/>
    <col min="6" max="6" width="12.25" style="227" customWidth="1"/>
    <col min="7" max="7" width="14.5" style="227" customWidth="1"/>
    <col min="8" max="8" width="12.25" style="227" customWidth="1"/>
    <col min="9" max="9" width="14.5" style="227" customWidth="1"/>
    <col min="10" max="10" width="12.25" style="227" customWidth="1"/>
    <col min="11" max="11" width="12.25" style="318" customWidth="1"/>
    <col min="12" max="12" width="12.25" style="319" customWidth="1"/>
    <col min="13" max="15" width="12.25" style="227" customWidth="1"/>
    <col min="16" max="16" width="4.75" style="868" customWidth="1"/>
    <col min="17" max="17" width="19.5" style="227" customWidth="1"/>
    <col min="18" max="22" width="6.125" style="227" customWidth="1"/>
    <col min="23" max="23" width="5.75" style="227" customWidth="1"/>
    <col min="24" max="24" width="4.25" style="227" customWidth="1"/>
    <col min="25" max="25" width="3.5" style="227" customWidth="1"/>
    <col min="26" max="26" width="19.75" style="227" customWidth="1"/>
    <col min="27" max="28" width="9.375" style="227" customWidth="1"/>
    <col min="29" max="16384" width="9" style="227"/>
  </cols>
  <sheetData>
    <row r="1" spans="1:29" s="1292" customFormat="1" ht="28.5" customHeight="1" thickBot="1">
      <c r="A1" s="1281" t="s">
        <v>2534</v>
      </c>
      <c r="B1" s="1865" t="s">
        <v>2692</v>
      </c>
      <c r="C1" s="1283" t="s">
        <v>2536</v>
      </c>
      <c r="D1" s="1284"/>
      <c r="E1" s="1293"/>
      <c r="F1" s="1789"/>
      <c r="G1" s="1294" t="s">
        <v>2649</v>
      </c>
      <c r="H1" s="1293"/>
      <c r="I1" s="1293"/>
      <c r="J1" s="1293"/>
      <c r="K1" s="1295"/>
      <c r="L1" s="1296"/>
      <c r="M1" s="1297"/>
      <c r="N1" s="1297"/>
      <c r="O1" s="1297"/>
      <c r="P1" s="1283"/>
      <c r="Q1" s="1283"/>
      <c r="R1" s="1283"/>
      <c r="S1" s="1283"/>
      <c r="T1" s="1283"/>
      <c r="U1" s="1283"/>
      <c r="V1" s="1283"/>
      <c r="W1" s="1283"/>
      <c r="X1" s="1283"/>
      <c r="Y1" s="1283"/>
      <c r="Z1" s="1283"/>
      <c r="AA1" s="1283"/>
      <c r="AB1" s="1283"/>
      <c r="AC1" s="1291"/>
    </row>
    <row r="2" spans="1:29" s="222" customFormat="1" ht="28.5" customHeight="1" thickTop="1">
      <c r="A2" s="1280" t="s">
        <v>2333</v>
      </c>
      <c r="B2" s="1084" t="e">
        <f ca="1">IF(C2="——",ROUND(C50*D3/10000,0),ROUND(C50*D3/10000,0)-D2)</f>
        <v>#DIV/0!</v>
      </c>
      <c r="C2" s="1791"/>
      <c r="D2" s="1044" t="e">
        <f ca="1">SUMIF(INDIRECT("'"&amp;F2&amp;"'"&amp;"!A:A"),"承租人权益价值",INDIRECT("'"&amp;F2&amp;"'"&amp;"!c:c"))</f>
        <v>#REF!</v>
      </c>
      <c r="E2" s="1792" t="s">
        <v>2334</v>
      </c>
      <c r="F2" s="1793"/>
      <c r="G2" s="870"/>
      <c r="H2" s="870"/>
      <c r="I2" s="870"/>
      <c r="J2" s="870"/>
      <c r="K2" s="870"/>
      <c r="L2" s="873"/>
      <c r="M2" s="874"/>
      <c r="N2" s="874"/>
      <c r="O2" s="874"/>
      <c r="P2" s="550"/>
      <c r="Q2" s="550"/>
      <c r="R2" s="550"/>
      <c r="S2" s="550"/>
      <c r="T2" s="550"/>
      <c r="U2" s="550"/>
      <c r="V2" s="550"/>
      <c r="W2" s="550"/>
      <c r="X2" s="550"/>
      <c r="Y2" s="550"/>
      <c r="Z2" s="550"/>
      <c r="AA2" s="550"/>
      <c r="AB2" s="550"/>
      <c r="AC2" s="551"/>
    </row>
    <row r="3" spans="1:29" s="222" customFormat="1" ht="28.5" customHeight="1" thickBot="1">
      <c r="A3" s="73" t="s">
        <v>2335</v>
      </c>
      <c r="B3" s="432" t="e">
        <f ca="1">IF(C2="——",C50,ROUND(B2*10000/D3,0))</f>
        <v>#DIV/0!</v>
      </c>
      <c r="C3" s="224" t="s">
        <v>2650</v>
      </c>
      <c r="D3" s="223">
        <f>IF(D1="",'数据-汇总表'!E3,SUMIF('数据-汇总表'!$C19:$C33,D1,'数据-汇总表'!$E19:$E33))</f>
        <v>44516.22</v>
      </c>
      <c r="E3" s="1862"/>
      <c r="F3" s="871"/>
      <c r="G3" s="870"/>
      <c r="H3" s="870"/>
      <c r="I3" s="870"/>
      <c r="J3" s="870"/>
      <c r="K3" s="872"/>
      <c r="L3" s="873"/>
      <c r="M3" s="874"/>
      <c r="N3" s="874"/>
      <c r="O3" s="874"/>
      <c r="P3" s="550"/>
      <c r="Q3" s="550"/>
      <c r="R3" s="550"/>
      <c r="S3" s="550"/>
      <c r="T3" s="550"/>
      <c r="U3" s="550"/>
      <c r="V3" s="550"/>
      <c r="W3" s="550"/>
      <c r="X3" s="550"/>
      <c r="Y3" s="550"/>
      <c r="Z3" s="550"/>
      <c r="AA3" s="550"/>
      <c r="AB3" s="550"/>
      <c r="AC3" s="551"/>
    </row>
    <row r="4" spans="1:29" ht="15">
      <c r="A4" s="225" t="s">
        <v>2651</v>
      </c>
      <c r="B4" s="226"/>
      <c r="C4" s="3922" t="s">
        <v>2652</v>
      </c>
      <c r="D4" s="3923"/>
      <c r="E4" s="3924" t="s">
        <v>2653</v>
      </c>
      <c r="F4" s="3925"/>
      <c r="G4" s="3922" t="s">
        <v>2654</v>
      </c>
      <c r="H4" s="3923"/>
      <c r="I4" s="3922" t="s">
        <v>2655</v>
      </c>
      <c r="J4" s="3923"/>
      <c r="K4" s="433" t="s">
        <v>2656</v>
      </c>
      <c r="L4" s="875"/>
      <c r="M4" s="876"/>
      <c r="N4" s="876"/>
      <c r="O4" s="876"/>
      <c r="P4" s="3961" t="s">
        <v>2657</v>
      </c>
      <c r="Q4" s="3962"/>
      <c r="R4" s="3956" t="s">
        <v>2653</v>
      </c>
      <c r="S4" s="3957"/>
      <c r="T4" s="3956" t="s">
        <v>2654</v>
      </c>
      <c r="U4" s="3957"/>
      <c r="V4" s="3965" t="s">
        <v>2655</v>
      </c>
      <c r="W4" s="3965"/>
      <c r="X4" s="1866"/>
      <c r="Y4" s="3956" t="s">
        <v>2657</v>
      </c>
      <c r="Z4" s="3957"/>
      <c r="AA4" s="3955" t="s">
        <v>2653</v>
      </c>
      <c r="AB4" s="3955" t="s">
        <v>2654</v>
      </c>
      <c r="AC4" s="3958" t="s">
        <v>2655</v>
      </c>
    </row>
    <row r="5" spans="1:29" ht="15">
      <c r="A5" s="228"/>
      <c r="B5" s="229"/>
      <c r="C5" s="3914" t="s">
        <v>2548</v>
      </c>
      <c r="D5" s="3915"/>
      <c r="E5" s="3912" t="s">
        <v>2549</v>
      </c>
      <c r="F5" s="3913"/>
      <c r="G5" s="3914" t="s">
        <v>2550</v>
      </c>
      <c r="H5" s="3915"/>
      <c r="I5" s="3914" t="s">
        <v>2551</v>
      </c>
      <c r="J5" s="3915"/>
      <c r="K5" s="433"/>
      <c r="L5" s="875"/>
      <c r="M5" s="876"/>
      <c r="N5" s="876"/>
      <c r="O5" s="876"/>
      <c r="P5" s="3963"/>
      <c r="Q5" s="3929"/>
      <c r="R5" s="3910"/>
      <c r="S5" s="3911"/>
      <c r="T5" s="3910"/>
      <c r="U5" s="3911"/>
      <c r="V5" s="3934"/>
      <c r="W5" s="3934"/>
      <c r="X5" s="1415"/>
      <c r="Y5" s="3910"/>
      <c r="Z5" s="3911"/>
      <c r="AA5" s="3904"/>
      <c r="AB5" s="3904"/>
      <c r="AC5" s="3959"/>
    </row>
    <row r="6" spans="1:29" ht="15.75" thickBot="1">
      <c r="A6" s="230"/>
      <c r="B6" s="231"/>
      <c r="C6" s="3916" t="s">
        <v>2552</v>
      </c>
      <c r="D6" s="3917"/>
      <c r="E6" s="3918" t="s">
        <v>2552</v>
      </c>
      <c r="F6" s="3919"/>
      <c r="G6" s="3916" t="s">
        <v>2552</v>
      </c>
      <c r="H6" s="3917"/>
      <c r="I6" s="3916" t="s">
        <v>2552</v>
      </c>
      <c r="J6" s="3917"/>
      <c r="K6" s="433" t="s">
        <v>2553</v>
      </c>
      <c r="L6" s="875"/>
      <c r="M6" s="876"/>
      <c r="N6" s="876"/>
      <c r="O6" s="876"/>
      <c r="P6" s="3964"/>
      <c r="Q6" s="3931"/>
      <c r="R6" s="3910"/>
      <c r="S6" s="3911"/>
      <c r="T6" s="3932"/>
      <c r="U6" s="3933"/>
      <c r="V6" s="3934"/>
      <c r="W6" s="3934"/>
      <c r="X6" s="1415"/>
      <c r="Y6" s="3932"/>
      <c r="Z6" s="3933"/>
      <c r="AA6" s="3905"/>
      <c r="AB6" s="3905"/>
      <c r="AC6" s="3960"/>
    </row>
    <row r="7" spans="1:29" s="51" customFormat="1" ht="15.75" thickBot="1">
      <c r="A7" s="232" t="s">
        <v>2554</v>
      </c>
      <c r="B7" s="233"/>
      <c r="C7" s="234">
        <f>'数据-取费表'!B2</f>
        <v>43071</v>
      </c>
      <c r="D7" s="235">
        <v>100</v>
      </c>
      <c r="E7" s="236"/>
      <c r="F7" s="237">
        <f>SUMIF(59:59,YEAR(E7)&amp;"-"&amp;MONTH(E7),60:60)</f>
        <v>0</v>
      </c>
      <c r="G7" s="236"/>
      <c r="H7" s="235">
        <f>SUMIF(59:59,YEAR(G7)&amp;"-"&amp;MONTH(G7),60:60)</f>
        <v>0</v>
      </c>
      <c r="I7" s="236"/>
      <c r="J7" s="235">
        <f>SUMIF(59:59,YEAR(I7)&amp;"-"&amp;MONTH(I7),60:60)</f>
        <v>0</v>
      </c>
      <c r="K7" s="434"/>
      <c r="L7" s="877"/>
      <c r="M7" s="878"/>
      <c r="N7" s="878"/>
      <c r="O7" s="878"/>
      <c r="P7" s="3966" t="s">
        <v>2555</v>
      </c>
      <c r="Q7" s="3935"/>
      <c r="R7" s="552" t="s">
        <v>17</v>
      </c>
      <c r="S7" s="553">
        <f t="shared" ref="S7:S15" si="0">F7</f>
        <v>0</v>
      </c>
      <c r="T7" s="552" t="s">
        <v>17</v>
      </c>
      <c r="U7" s="553">
        <f t="shared" ref="U7:U15" si="1">H7</f>
        <v>0</v>
      </c>
      <c r="V7" s="552" t="s">
        <v>17</v>
      </c>
      <c r="W7" s="553">
        <f t="shared" ref="W7:W15" si="2">J7</f>
        <v>0</v>
      </c>
      <c r="X7" s="554"/>
      <c r="Y7" s="3906" t="s">
        <v>2555</v>
      </c>
      <c r="Z7" s="3907"/>
      <c r="AA7" s="555" t="e">
        <f>D7/F7</f>
        <v>#DIV/0!</v>
      </c>
      <c r="AB7" s="555" t="e">
        <f>D7/H7</f>
        <v>#DIV/0!</v>
      </c>
      <c r="AC7" s="1867" t="e">
        <f>D7/J7</f>
        <v>#DIV/0!</v>
      </c>
    </row>
    <row r="8" spans="1:29" s="51" customFormat="1" ht="15.75" thickBot="1">
      <c r="A8" s="232" t="s">
        <v>2556</v>
      </c>
      <c r="B8" s="233"/>
      <c r="C8" s="238" t="s">
        <v>2658</v>
      </c>
      <c r="D8" s="235">
        <v>100</v>
      </c>
      <c r="E8" s="238"/>
      <c r="F8" s="237">
        <f>SUMIF(62:62,E8,63:63)-SUMIF(62:62,C8,63:63)+100</f>
        <v>0</v>
      </c>
      <c r="G8" s="238"/>
      <c r="H8" s="235">
        <f>SUMIF(62:62,G8,63:63)-SUMIF(62:62,C8,63:63)+100</f>
        <v>0</v>
      </c>
      <c r="I8" s="238"/>
      <c r="J8" s="235">
        <f>SUMIF(62:62,I8,63:63)-SUMIF(62:62,C8,63:63)+100</f>
        <v>0</v>
      </c>
      <c r="K8" s="434"/>
      <c r="L8" s="877"/>
      <c r="M8" s="878"/>
      <c r="N8" s="878"/>
      <c r="O8" s="878"/>
      <c r="P8" s="3966" t="s">
        <v>2558</v>
      </c>
      <c r="Q8" s="3907"/>
      <c r="R8" s="552" t="s">
        <v>17</v>
      </c>
      <c r="S8" s="553">
        <f t="shared" si="0"/>
        <v>0</v>
      </c>
      <c r="T8" s="552" t="s">
        <v>17</v>
      </c>
      <c r="U8" s="553">
        <f t="shared" si="1"/>
        <v>0</v>
      </c>
      <c r="V8" s="552" t="s">
        <v>17</v>
      </c>
      <c r="W8" s="553">
        <f t="shared" si="2"/>
        <v>0</v>
      </c>
      <c r="X8" s="554"/>
      <c r="Y8" s="3906" t="s">
        <v>2558</v>
      </c>
      <c r="Z8" s="3907"/>
      <c r="AA8" s="555" t="e">
        <f t="shared" ref="AA8:AA47" si="3">D8/F8</f>
        <v>#DIV/0!</v>
      </c>
      <c r="AB8" s="555" t="e">
        <f t="shared" ref="AB8:AB47" si="4">D8/H8</f>
        <v>#DIV/0!</v>
      </c>
      <c r="AC8" s="1867" t="e">
        <f t="shared" ref="AC8:AC47" si="5">D8/J8</f>
        <v>#DIV/0!</v>
      </c>
    </row>
    <row r="9" spans="1:29" s="51" customFormat="1">
      <c r="A9" s="239" t="s">
        <v>2559</v>
      </c>
      <c r="B9" s="45" t="s">
        <v>2560</v>
      </c>
      <c r="C9" s="240"/>
      <c r="D9" s="52">
        <v>100</v>
      </c>
      <c r="E9" s="243"/>
      <c r="F9" s="52">
        <f>SUMIF(64:64,E9,65:65)-SUMIF(64:64,C9,65:65)+100</f>
        <v>100</v>
      </c>
      <c r="G9" s="241"/>
      <c r="H9" s="52">
        <f>SUMIF(64:64,G9,65:65)-SUMIF(64:64,C9,65:65)+100</f>
        <v>100</v>
      </c>
      <c r="I9" s="241"/>
      <c r="J9" s="52">
        <f>SUMIF(64:64,I9,65:65)-SUMIF(64:64,C9,65:65)+100</f>
        <v>100</v>
      </c>
      <c r="K9" s="434"/>
      <c r="L9" s="877"/>
      <c r="M9" s="878"/>
      <c r="N9" s="878"/>
      <c r="O9" s="878"/>
      <c r="P9" s="3920" t="s">
        <v>2561</v>
      </c>
      <c r="Q9" s="1403" t="str">
        <f t="shared" ref="Q9:Q15" si="6">B9</f>
        <v>用途</v>
      </c>
      <c r="R9" s="552" t="s">
        <v>17</v>
      </c>
      <c r="S9" s="553">
        <f t="shared" si="0"/>
        <v>100</v>
      </c>
      <c r="T9" s="552" t="s">
        <v>17</v>
      </c>
      <c r="U9" s="553">
        <f t="shared" si="1"/>
        <v>100</v>
      </c>
      <c r="V9" s="552" t="s">
        <v>17</v>
      </c>
      <c r="W9" s="553">
        <f t="shared" si="2"/>
        <v>100</v>
      </c>
      <c r="X9" s="554"/>
      <c r="Y9" s="3921" t="s">
        <v>2562</v>
      </c>
      <c r="Z9" s="40" t="str">
        <f t="shared" ref="Z9:Z15" si="7">Q9</f>
        <v>用途</v>
      </c>
      <c r="AA9" s="555">
        <f t="shared" si="3"/>
        <v>1</v>
      </c>
      <c r="AB9" s="555">
        <f t="shared" si="4"/>
        <v>1</v>
      </c>
      <c r="AC9" s="1867">
        <f t="shared" si="5"/>
        <v>1</v>
      </c>
    </row>
    <row r="10" spans="1:29" s="250" customFormat="1" ht="27">
      <c r="A10" s="244"/>
      <c r="B10" s="245" t="s">
        <v>2563</v>
      </c>
      <c r="C10" s="246"/>
      <c r="D10" s="53">
        <v>100</v>
      </c>
      <c r="E10" s="246"/>
      <c r="F10" s="53">
        <f>SUMIF(66:66,E10,67:67)-SUMIF(66:66,C10,67:67)+100</f>
        <v>100</v>
      </c>
      <c r="G10" s="247"/>
      <c r="H10" s="53">
        <f>SUMIF(66:66,G10,67:67)-SUMIF(66:66,C10,67:67)+100</f>
        <v>100</v>
      </c>
      <c r="I10" s="246"/>
      <c r="J10" s="53">
        <f>SUMIF(66:66,I10,67:67)-SUMIF(66:66,C10,67:67)+100</f>
        <v>100</v>
      </c>
      <c r="K10" s="435"/>
      <c r="L10" s="880"/>
      <c r="M10" s="881"/>
      <c r="N10" s="881"/>
      <c r="O10" s="881"/>
      <c r="P10" s="3920"/>
      <c r="Q10" s="1403" t="str">
        <f t="shared" si="6"/>
        <v>土地使用年限（年）</v>
      </c>
      <c r="R10" s="552" t="s">
        <v>17</v>
      </c>
      <c r="S10" s="553">
        <f t="shared" si="0"/>
        <v>100</v>
      </c>
      <c r="T10" s="552" t="s">
        <v>17</v>
      </c>
      <c r="U10" s="553">
        <f t="shared" si="1"/>
        <v>100</v>
      </c>
      <c r="V10" s="552" t="s">
        <v>17</v>
      </c>
      <c r="W10" s="553">
        <f t="shared" si="2"/>
        <v>100</v>
      </c>
      <c r="X10" s="554"/>
      <c r="Y10" s="3921"/>
      <c r="Z10" s="40" t="str">
        <f t="shared" si="7"/>
        <v>土地使用年限（年）</v>
      </c>
      <c r="AA10" s="555">
        <f t="shared" si="3"/>
        <v>1</v>
      </c>
      <c r="AB10" s="555">
        <f t="shared" si="4"/>
        <v>1</v>
      </c>
      <c r="AC10" s="1867">
        <f t="shared" si="5"/>
        <v>1</v>
      </c>
    </row>
    <row r="11" spans="1:29" ht="15">
      <c r="A11" s="251"/>
      <c r="B11" s="245" t="s">
        <v>2564</v>
      </c>
      <c r="C11" s="252"/>
      <c r="D11" s="53">
        <v>100</v>
      </c>
      <c r="E11" s="252"/>
      <c r="F11" s="53" t="e">
        <f>LOOKUP(E11,69:69,70:70)-LOOKUP(C11,69:69,70:70)+100</f>
        <v>#N/A</v>
      </c>
      <c r="G11" s="253"/>
      <c r="H11" s="53" t="e">
        <f>LOOKUP(G11,69:69,70:70)-LOOKUP(C11,69:69,70:70)+100</f>
        <v>#N/A</v>
      </c>
      <c r="I11" s="252"/>
      <c r="J11" s="53" t="e">
        <f>LOOKUP(I11,69:69,70:70)-LOOKUP(C11,69:69,70:70)+100</f>
        <v>#N/A</v>
      </c>
      <c r="K11" s="435"/>
      <c r="L11" s="883"/>
      <c r="M11" s="876"/>
      <c r="N11" s="876"/>
      <c r="O11" s="876"/>
      <c r="P11" s="3920"/>
      <c r="Q11" s="1403" t="str">
        <f t="shared" si="6"/>
        <v>容积率</v>
      </c>
      <c r="R11" s="552" t="s">
        <v>17</v>
      </c>
      <c r="S11" s="553" t="e">
        <f t="shared" si="0"/>
        <v>#N/A</v>
      </c>
      <c r="T11" s="552" t="s">
        <v>17</v>
      </c>
      <c r="U11" s="553" t="e">
        <f t="shared" si="1"/>
        <v>#N/A</v>
      </c>
      <c r="V11" s="552" t="s">
        <v>17</v>
      </c>
      <c r="W11" s="553" t="e">
        <f t="shared" si="2"/>
        <v>#N/A</v>
      </c>
      <c r="X11" s="554"/>
      <c r="Y11" s="3921"/>
      <c r="Z11" s="40" t="str">
        <f t="shared" si="7"/>
        <v>容积率</v>
      </c>
      <c r="AA11" s="555" t="e">
        <f t="shared" si="3"/>
        <v>#N/A</v>
      </c>
      <c r="AB11" s="555" t="e">
        <f t="shared" si="4"/>
        <v>#N/A</v>
      </c>
      <c r="AC11" s="1867" t="e">
        <f t="shared" si="5"/>
        <v>#N/A</v>
      </c>
    </row>
    <row r="12" spans="1:29" s="51" customFormat="1" ht="15">
      <c r="A12" s="254"/>
      <c r="B12" s="1805">
        <v>111</v>
      </c>
      <c r="C12" s="255"/>
      <c r="D12" s="256">
        <v>100</v>
      </c>
      <c r="E12" s="255"/>
      <c r="F12" s="53">
        <f>SUMIF(71:71,E12,72:72)-SUMIF(71:71,C12,72:72)+100</f>
        <v>100</v>
      </c>
      <c r="G12" s="1868"/>
      <c r="H12" s="53">
        <f>SUMIF(71:71,G12,72:72)-SUMIF(71:71,C12,72:72)+100</f>
        <v>100</v>
      </c>
      <c r="I12" s="255"/>
      <c r="J12" s="53">
        <f>SUMIF(71:71,I12,72:72)-SUMIF(71:71,C12,72:72)+100</f>
        <v>100</v>
      </c>
      <c r="K12" s="436"/>
      <c r="L12" s="877"/>
      <c r="M12" s="878"/>
      <c r="N12" s="878"/>
      <c r="O12" s="878"/>
      <c r="P12" s="3920"/>
      <c r="Q12" s="1403">
        <f t="shared" si="6"/>
        <v>111</v>
      </c>
      <c r="R12" s="552" t="s">
        <v>17</v>
      </c>
      <c r="S12" s="553">
        <f t="shared" si="0"/>
        <v>100</v>
      </c>
      <c r="T12" s="552" t="s">
        <v>17</v>
      </c>
      <c r="U12" s="553">
        <f t="shared" si="1"/>
        <v>100</v>
      </c>
      <c r="V12" s="552" t="s">
        <v>17</v>
      </c>
      <c r="W12" s="553">
        <f t="shared" si="2"/>
        <v>100</v>
      </c>
      <c r="X12" s="554"/>
      <c r="Y12" s="3921"/>
      <c r="Z12" s="40">
        <f t="shared" si="7"/>
        <v>111</v>
      </c>
      <c r="AA12" s="555">
        <f>D12/F12</f>
        <v>1</v>
      </c>
      <c r="AB12" s="555">
        <f>D12/H12</f>
        <v>1</v>
      </c>
      <c r="AC12" s="1867">
        <f>D12/J12</f>
        <v>1</v>
      </c>
    </row>
    <row r="13" spans="1:29" ht="15">
      <c r="A13" s="251"/>
      <c r="B13" s="1805">
        <v>111</v>
      </c>
      <c r="C13" s="257"/>
      <c r="D13" s="258">
        <v>100</v>
      </c>
      <c r="E13" s="255"/>
      <c r="F13" s="53">
        <f>SUMIF(73:73,E13,74:74)-SUMIF(73:73,C13,74:74)+100</f>
        <v>100</v>
      </c>
      <c r="G13" s="1868"/>
      <c r="H13" s="258">
        <f>SUMIF(73:73,G13,74:74)-SUMIF(73:73,C13,74:74)+100</f>
        <v>100</v>
      </c>
      <c r="I13" s="255"/>
      <c r="J13" s="258">
        <f>SUMIF(73:73,I13,74:74)-SUMIF(73:73,C13,74:74)+100</f>
        <v>100</v>
      </c>
      <c r="K13" s="436"/>
      <c r="L13" s="885"/>
      <c r="M13" s="876"/>
      <c r="N13" s="876"/>
      <c r="O13" s="876"/>
      <c r="P13" s="3920"/>
      <c r="Q13" s="1403">
        <f t="shared" si="6"/>
        <v>111</v>
      </c>
      <c r="R13" s="552" t="s">
        <v>17</v>
      </c>
      <c r="S13" s="553">
        <f t="shared" si="0"/>
        <v>100</v>
      </c>
      <c r="T13" s="552" t="s">
        <v>17</v>
      </c>
      <c r="U13" s="553">
        <f t="shared" si="1"/>
        <v>100</v>
      </c>
      <c r="V13" s="552" t="s">
        <v>17</v>
      </c>
      <c r="W13" s="553">
        <f t="shared" si="2"/>
        <v>100</v>
      </c>
      <c r="X13" s="554"/>
      <c r="Y13" s="3921"/>
      <c r="Z13" s="40">
        <f t="shared" si="7"/>
        <v>111</v>
      </c>
      <c r="AA13" s="555">
        <f t="shared" si="3"/>
        <v>1</v>
      </c>
      <c r="AB13" s="555">
        <f t="shared" si="4"/>
        <v>1</v>
      </c>
      <c r="AC13" s="1867">
        <f t="shared" si="5"/>
        <v>1</v>
      </c>
    </row>
    <row r="14" spans="1:29" ht="15.75" thickBot="1">
      <c r="A14" s="259"/>
      <c r="B14" s="1807">
        <v>111</v>
      </c>
      <c r="C14" s="260"/>
      <c r="D14" s="261">
        <v>100</v>
      </c>
      <c r="E14" s="448"/>
      <c r="F14" s="261">
        <f>SUMIF(75:75,E14,76:76)-SUMIF(75:75,C14,76:76)+100</f>
        <v>100</v>
      </c>
      <c r="G14" s="1868"/>
      <c r="H14" s="261">
        <f>SUMIF(75:75,G14,76:76)-SUMIF(75:75,C14,76:76)+100</f>
        <v>100</v>
      </c>
      <c r="I14" s="255"/>
      <c r="J14" s="261">
        <f>SUMIF(75:75,I14,76:76)-SUMIF(75:75,C14,76:76)+100</f>
        <v>100</v>
      </c>
      <c r="K14" s="436"/>
      <c r="L14" s="885"/>
      <c r="M14" s="876"/>
      <c r="N14" s="876"/>
      <c r="O14" s="876"/>
      <c r="P14" s="3920"/>
      <c r="Q14" s="1403">
        <f t="shared" si="6"/>
        <v>111</v>
      </c>
      <c r="R14" s="552" t="s">
        <v>17</v>
      </c>
      <c r="S14" s="553">
        <f t="shared" si="0"/>
        <v>100</v>
      </c>
      <c r="T14" s="552" t="s">
        <v>17</v>
      </c>
      <c r="U14" s="553">
        <f t="shared" si="1"/>
        <v>100</v>
      </c>
      <c r="V14" s="552" t="s">
        <v>17</v>
      </c>
      <c r="W14" s="553">
        <f t="shared" si="2"/>
        <v>100</v>
      </c>
      <c r="X14" s="554"/>
      <c r="Y14" s="3921"/>
      <c r="Z14" s="40">
        <f t="shared" si="7"/>
        <v>111</v>
      </c>
      <c r="AA14" s="555">
        <f t="shared" si="3"/>
        <v>1</v>
      </c>
      <c r="AB14" s="555">
        <f t="shared" si="4"/>
        <v>1</v>
      </c>
      <c r="AC14" s="1867">
        <f t="shared" si="5"/>
        <v>1</v>
      </c>
    </row>
    <row r="15" spans="1:29" ht="71.25">
      <c r="A15" s="263" t="s">
        <v>2565</v>
      </c>
      <c r="B15" s="449" t="s">
        <v>2693</v>
      </c>
      <c r="C15" s="1869" t="str">
        <f>估价对象房地状况!C5</f>
        <v>估价对象位于XX商圈，周边办公楼项目较多，入驻率高，办公集聚程度较好</v>
      </c>
      <c r="D15" s="264">
        <v>100</v>
      </c>
      <c r="E15" s="267"/>
      <c r="F15" s="264">
        <f>SUMIF(77:77,E16,78:78)-SUMIF(77:77,C16,78:78)+100</f>
        <v>100</v>
      </c>
      <c r="G15" s="265"/>
      <c r="H15" s="264">
        <f>SUMIF(77:77,G16,78:78)-SUMIF(77:77,C16,78:78)+100</f>
        <v>100</v>
      </c>
      <c r="I15" s="265"/>
      <c r="J15" s="264">
        <f>SUMIF(77:77,I16,78:78)-SUMIF(77:77,C16,78:78)+100</f>
        <v>100</v>
      </c>
      <c r="K15" s="437"/>
      <c r="L15" s="885"/>
      <c r="M15" s="876"/>
      <c r="N15" s="876"/>
      <c r="O15" s="876"/>
      <c r="P15" s="3948" t="s">
        <v>2566</v>
      </c>
      <c r="Q15" s="1412" t="str">
        <f t="shared" si="6"/>
        <v>办公集聚程度</v>
      </c>
      <c r="R15" s="556" t="s">
        <v>17</v>
      </c>
      <c r="S15" s="557">
        <f t="shared" si="0"/>
        <v>100</v>
      </c>
      <c r="T15" s="556" t="s">
        <v>17</v>
      </c>
      <c r="U15" s="557">
        <f t="shared" si="1"/>
        <v>100</v>
      </c>
      <c r="V15" s="556" t="s">
        <v>17</v>
      </c>
      <c r="W15" s="557">
        <f t="shared" si="2"/>
        <v>100</v>
      </c>
      <c r="X15" s="1415"/>
      <c r="Y15" s="3941" t="s">
        <v>2566</v>
      </c>
      <c r="Z15" s="1416" t="str">
        <f t="shared" si="7"/>
        <v>办公集聚程度</v>
      </c>
      <c r="AA15" s="1413">
        <f t="shared" si="3"/>
        <v>1</v>
      </c>
      <c r="AB15" s="1413">
        <f t="shared" si="4"/>
        <v>1</v>
      </c>
      <c r="AC15" s="1870">
        <f t="shared" si="5"/>
        <v>1</v>
      </c>
    </row>
    <row r="16" spans="1:29" ht="15">
      <c r="A16" s="251"/>
      <c r="B16" s="450"/>
      <c r="C16" s="1816"/>
      <c r="D16" s="271"/>
      <c r="E16" s="270"/>
      <c r="F16" s="271"/>
      <c r="G16" s="1816"/>
      <c r="H16" s="273"/>
      <c r="I16" s="270"/>
      <c r="J16" s="271"/>
      <c r="K16" s="438"/>
      <c r="L16" s="885"/>
      <c r="M16" s="876"/>
      <c r="N16" s="876"/>
      <c r="O16" s="876"/>
      <c r="P16" s="3949"/>
      <c r="Q16" s="1412"/>
      <c r="R16" s="556"/>
      <c r="S16" s="557"/>
      <c r="T16" s="556"/>
      <c r="U16" s="557"/>
      <c r="V16" s="556"/>
      <c r="W16" s="557"/>
      <c r="X16" s="1415"/>
      <c r="Y16" s="3942"/>
      <c r="Z16" s="1416"/>
      <c r="AA16" s="1413">
        <v>1</v>
      </c>
      <c r="AB16" s="1413">
        <v>1</v>
      </c>
      <c r="AC16" s="1870">
        <v>1</v>
      </c>
    </row>
    <row r="17" spans="1:29" ht="71.25">
      <c r="A17" s="251"/>
      <c r="B17" s="451" t="s">
        <v>2102</v>
      </c>
      <c r="C17" s="1871" t="str">
        <f>估价对象房地状况!C6</f>
        <v>估价对象周边道路状况、公共交通通达情况、停车便捷程度，综合评价交通便捷度较好</v>
      </c>
      <c r="D17" s="273">
        <v>100</v>
      </c>
      <c r="E17" s="277"/>
      <c r="F17" s="273">
        <f>SUMIF(79:79,E18,80:80)-SUMIF(79:79,C18,80:80)+100</f>
        <v>100</v>
      </c>
      <c r="G17" s="275"/>
      <c r="H17" s="278">
        <f>SUMIF(79:79,G18,80:80)-SUMIF(79:79,C18,80:80)+100</f>
        <v>100</v>
      </c>
      <c r="I17" s="275"/>
      <c r="J17" s="278">
        <f>SUMIF(79:79,I18,80:80)-SUMIF(79:79,C18,80:80)+100</f>
        <v>100</v>
      </c>
      <c r="K17" s="437"/>
      <c r="L17" s="885"/>
      <c r="M17" s="876"/>
      <c r="N17" s="876"/>
      <c r="O17" s="876"/>
      <c r="P17" s="3949"/>
      <c r="Q17" s="1412" t="str">
        <f>B17</f>
        <v>交通便捷度</v>
      </c>
      <c r="R17" s="556" t="s">
        <v>17</v>
      </c>
      <c r="S17" s="557">
        <f>F17</f>
        <v>100</v>
      </c>
      <c r="T17" s="556" t="s">
        <v>17</v>
      </c>
      <c r="U17" s="557">
        <f>H17</f>
        <v>100</v>
      </c>
      <c r="V17" s="556" t="s">
        <v>17</v>
      </c>
      <c r="W17" s="557">
        <f>J17</f>
        <v>100</v>
      </c>
      <c r="X17" s="1415"/>
      <c r="Y17" s="3942"/>
      <c r="Z17" s="1416" t="str">
        <f>Q17</f>
        <v>交通便捷度</v>
      </c>
      <c r="AA17" s="1413">
        <f t="shared" si="3"/>
        <v>1</v>
      </c>
      <c r="AB17" s="1413">
        <f t="shared" si="4"/>
        <v>1</v>
      </c>
      <c r="AC17" s="1870">
        <f t="shared" si="5"/>
        <v>1</v>
      </c>
    </row>
    <row r="18" spans="1:29" ht="15">
      <c r="A18" s="251"/>
      <c r="B18" s="452"/>
      <c r="C18" s="1872"/>
      <c r="D18" s="273"/>
      <c r="E18" s="1814"/>
      <c r="F18" s="273"/>
      <c r="G18" s="1815"/>
      <c r="H18" s="271"/>
      <c r="I18" s="1815"/>
      <c r="J18" s="271"/>
      <c r="K18" s="438"/>
      <c r="L18" s="885"/>
      <c r="M18" s="876"/>
      <c r="N18" s="876"/>
      <c r="O18" s="876"/>
      <c r="P18" s="3949"/>
      <c r="Q18" s="1412"/>
      <c r="R18" s="556"/>
      <c r="S18" s="557"/>
      <c r="T18" s="556"/>
      <c r="U18" s="557"/>
      <c r="V18" s="556"/>
      <c r="W18" s="557"/>
      <c r="X18" s="1415"/>
      <c r="Y18" s="3942"/>
      <c r="Z18" s="1416"/>
      <c r="AA18" s="1413">
        <v>1</v>
      </c>
      <c r="AB18" s="1413">
        <v>1</v>
      </c>
      <c r="AC18" s="1870">
        <v>1</v>
      </c>
    </row>
    <row r="19" spans="1:29" ht="42.75">
      <c r="A19" s="251"/>
      <c r="B19" s="451" t="s">
        <v>2694</v>
      </c>
      <c r="C19" s="1871" t="str">
        <f>估价对象房地状况!C7</f>
        <v>估价对象所在区域公共配套设施齐备情况</v>
      </c>
      <c r="D19" s="278">
        <v>100</v>
      </c>
      <c r="E19" s="282"/>
      <c r="F19" s="278">
        <f>SUMIF(81:81,E20,82:82)-SUMIF(81:81,C20,82:82)+100</f>
        <v>100</v>
      </c>
      <c r="G19" s="280"/>
      <c r="H19" s="273">
        <f>SUMIF(81:81,G20,82:82)-SUMIF(81:81,C20,82:82)+100</f>
        <v>100</v>
      </c>
      <c r="I19" s="280"/>
      <c r="J19" s="273">
        <f>SUMIF(81:81,I20,82:82)-SUMIF(81:81,C20,82:82)+100</f>
        <v>100</v>
      </c>
      <c r="K19" s="437"/>
      <c r="L19" s="885"/>
      <c r="M19" s="876"/>
      <c r="N19" s="876"/>
      <c r="O19" s="876"/>
      <c r="P19" s="3949"/>
      <c r="Q19" s="1412" t="str">
        <f>B19</f>
        <v>公共配套设施</v>
      </c>
      <c r="R19" s="556" t="s">
        <v>17</v>
      </c>
      <c r="S19" s="557">
        <f>F19</f>
        <v>100</v>
      </c>
      <c r="T19" s="556" t="s">
        <v>17</v>
      </c>
      <c r="U19" s="557">
        <f>H19</f>
        <v>100</v>
      </c>
      <c r="V19" s="556" t="s">
        <v>17</v>
      </c>
      <c r="W19" s="557">
        <f>J19</f>
        <v>100</v>
      </c>
      <c r="X19" s="1415"/>
      <c r="Y19" s="3942"/>
      <c r="Z19" s="1416" t="str">
        <f>Q19</f>
        <v>公共配套设施</v>
      </c>
      <c r="AA19" s="1413">
        <f t="shared" si="3"/>
        <v>1</v>
      </c>
      <c r="AB19" s="1413">
        <f t="shared" si="4"/>
        <v>1</v>
      </c>
      <c r="AC19" s="1870">
        <f t="shared" si="5"/>
        <v>1</v>
      </c>
    </row>
    <row r="20" spans="1:29" ht="15">
      <c r="A20" s="251"/>
      <c r="B20" s="452"/>
      <c r="C20" s="1816"/>
      <c r="D20" s="271"/>
      <c r="E20" s="1809"/>
      <c r="F20" s="271"/>
      <c r="G20" s="1810"/>
      <c r="H20" s="271"/>
      <c r="I20" s="1810"/>
      <c r="J20" s="271"/>
      <c r="K20" s="438"/>
      <c r="L20" s="885"/>
      <c r="M20" s="876"/>
      <c r="N20" s="876"/>
      <c r="O20" s="876"/>
      <c r="P20" s="3949"/>
      <c r="Q20" s="1412"/>
      <c r="R20" s="556"/>
      <c r="S20" s="557"/>
      <c r="T20" s="556"/>
      <c r="U20" s="557"/>
      <c r="V20" s="556"/>
      <c r="W20" s="557"/>
      <c r="X20" s="1415"/>
      <c r="Y20" s="3942"/>
      <c r="Z20" s="1416"/>
      <c r="AA20" s="1413">
        <v>1</v>
      </c>
      <c r="AB20" s="1413">
        <v>1</v>
      </c>
      <c r="AC20" s="1870">
        <v>1</v>
      </c>
    </row>
    <row r="21" spans="1:29" ht="28.5">
      <c r="A21" s="251"/>
      <c r="B21" s="453" t="s">
        <v>2695</v>
      </c>
      <c r="C21" s="1871" t="str">
        <f>估价对象房地状况!C8</f>
        <v>估价对象所在区域基础设施水平</v>
      </c>
      <c r="D21" s="273">
        <v>100</v>
      </c>
      <c r="E21" s="282"/>
      <c r="F21" s="278">
        <f>SUMIF(83:83,E22,84:84)-SUMIF(83:83,C22,84:84)+100</f>
        <v>100</v>
      </c>
      <c r="G21" s="280"/>
      <c r="H21" s="273">
        <f>SUMIF(83:83,G22,84:84)-SUMIF(83:83,C22,84:84)+100</f>
        <v>100</v>
      </c>
      <c r="I21" s="280"/>
      <c r="J21" s="273">
        <f>SUMIF(83:83,I22,84:84)-SUMIF(83:83,C22,84:84)+100</f>
        <v>100</v>
      </c>
      <c r="K21" s="437"/>
      <c r="L21" s="885"/>
      <c r="M21" s="876"/>
      <c r="N21" s="876"/>
      <c r="O21" s="876"/>
      <c r="P21" s="3949"/>
      <c r="Q21" s="1412" t="str">
        <f>B21</f>
        <v>基础设施水平</v>
      </c>
      <c r="R21" s="556" t="s">
        <v>17</v>
      </c>
      <c r="S21" s="557">
        <f>F21</f>
        <v>100</v>
      </c>
      <c r="T21" s="556" t="s">
        <v>17</v>
      </c>
      <c r="U21" s="557">
        <f>H21</f>
        <v>100</v>
      </c>
      <c r="V21" s="556" t="s">
        <v>17</v>
      </c>
      <c r="W21" s="557">
        <f>J21</f>
        <v>100</v>
      </c>
      <c r="X21" s="1415"/>
      <c r="Y21" s="3942"/>
      <c r="Z21" s="1416" t="str">
        <f>Q21</f>
        <v>基础设施水平</v>
      </c>
      <c r="AA21" s="1413">
        <f t="shared" ref="AA21" si="8">D21/F21</f>
        <v>1</v>
      </c>
      <c r="AB21" s="1413">
        <f t="shared" ref="AB21" si="9">D21/H21</f>
        <v>1</v>
      </c>
      <c r="AC21" s="1870">
        <f t="shared" ref="AC21" si="10">D21/J21</f>
        <v>1</v>
      </c>
    </row>
    <row r="22" spans="1:29" ht="15">
      <c r="A22" s="251"/>
      <c r="B22" s="453"/>
      <c r="C22" s="1872"/>
      <c r="D22" s="271"/>
      <c r="E22" s="270"/>
      <c r="F22" s="271"/>
      <c r="G22" s="1816"/>
      <c r="H22" s="271"/>
      <c r="I22" s="1816"/>
      <c r="J22" s="271"/>
      <c r="K22" s="1060"/>
      <c r="L22" s="885"/>
      <c r="M22" s="876"/>
      <c r="N22" s="876"/>
      <c r="O22" s="876"/>
      <c r="P22" s="3949"/>
      <c r="Q22" s="1412"/>
      <c r="R22" s="556"/>
      <c r="S22" s="557"/>
      <c r="T22" s="556"/>
      <c r="U22" s="557"/>
      <c r="V22" s="556"/>
      <c r="W22" s="557"/>
      <c r="X22" s="1415"/>
      <c r="Y22" s="3942"/>
      <c r="Z22" s="1416"/>
      <c r="AA22" s="1413">
        <v>1</v>
      </c>
      <c r="AB22" s="1413">
        <v>1</v>
      </c>
      <c r="AC22" s="1870">
        <v>1</v>
      </c>
    </row>
    <row r="23" spans="1:29" ht="42.75">
      <c r="A23" s="251"/>
      <c r="B23" s="451" t="s">
        <v>2696</v>
      </c>
      <c r="C23" s="1871" t="str">
        <f>估价对象房地状况!C9</f>
        <v>区域自然环境：；人文环境；综合评价环境状况一般</v>
      </c>
      <c r="D23" s="273">
        <v>100</v>
      </c>
      <c r="E23" s="277"/>
      <c r="F23" s="273">
        <f>SUMIF(85:85,E24,86:86)-SUMIF(85:85,C24,86:86)+100</f>
        <v>100</v>
      </c>
      <c r="G23" s="275"/>
      <c r="H23" s="273">
        <f>SUMIF(85:85,G24,86:86)-SUMIF(85:85,C24,86:86)+100</f>
        <v>100</v>
      </c>
      <c r="I23" s="275"/>
      <c r="J23" s="273">
        <f>SUMIF(85:85,I24,86:86)-SUMIF(85:85,C24,86:86)+100</f>
        <v>100</v>
      </c>
      <c r="K23" s="437"/>
      <c r="L23" s="885"/>
      <c r="M23" s="876"/>
      <c r="N23" s="876"/>
      <c r="O23" s="876"/>
      <c r="P23" s="3949"/>
      <c r="Q23" s="1412" t="str">
        <f>B23</f>
        <v>环境质量</v>
      </c>
      <c r="R23" s="556" t="s">
        <v>17</v>
      </c>
      <c r="S23" s="557">
        <f>F23</f>
        <v>100</v>
      </c>
      <c r="T23" s="556" t="s">
        <v>17</v>
      </c>
      <c r="U23" s="557">
        <f>H23</f>
        <v>100</v>
      </c>
      <c r="V23" s="556" t="s">
        <v>17</v>
      </c>
      <c r="W23" s="557">
        <f>J23</f>
        <v>100</v>
      </c>
      <c r="X23" s="1415"/>
      <c r="Y23" s="3942"/>
      <c r="Z23" s="1416" t="str">
        <f>Q23</f>
        <v>环境质量</v>
      </c>
      <c r="AA23" s="1413">
        <f t="shared" si="3"/>
        <v>1</v>
      </c>
      <c r="AB23" s="1413">
        <f t="shared" si="4"/>
        <v>1</v>
      </c>
      <c r="AC23" s="1870">
        <f t="shared" si="5"/>
        <v>1</v>
      </c>
    </row>
    <row r="24" spans="1:29" ht="15">
      <c r="A24" s="251"/>
      <c r="B24" s="453"/>
      <c r="C24" s="1816"/>
      <c r="D24" s="271"/>
      <c r="E24" s="1809"/>
      <c r="F24" s="271"/>
      <c r="G24" s="1810"/>
      <c r="H24" s="271"/>
      <c r="I24" s="1810"/>
      <c r="J24" s="271"/>
      <c r="K24" s="438"/>
      <c r="L24" s="885"/>
      <c r="M24" s="876"/>
      <c r="N24" s="876"/>
      <c r="O24" s="876"/>
      <c r="P24" s="3949"/>
      <c r="Q24" s="1412"/>
      <c r="R24" s="556"/>
      <c r="S24" s="557"/>
      <c r="T24" s="556"/>
      <c r="U24" s="557"/>
      <c r="V24" s="556"/>
      <c r="W24" s="557"/>
      <c r="X24" s="1415"/>
      <c r="Y24" s="3942"/>
      <c r="Z24" s="1416"/>
      <c r="AA24" s="1413">
        <v>1</v>
      </c>
      <c r="AB24" s="1413">
        <v>1</v>
      </c>
      <c r="AC24" s="1870">
        <v>1</v>
      </c>
    </row>
    <row r="25" spans="1:29" ht="27">
      <c r="A25" s="228"/>
      <c r="B25" s="451" t="s">
        <v>2697</v>
      </c>
      <c r="C25" s="1820"/>
      <c r="D25" s="258">
        <v>100</v>
      </c>
      <c r="E25" s="257"/>
      <c r="F25" s="258">
        <f>SUMIF(87:87,E26,88:88)-SUMIF(87:87,C26,88:88)+100</f>
        <v>100</v>
      </c>
      <c r="G25" s="1820"/>
      <c r="H25" s="258">
        <f>SUMIF(87:87,G26,88:88)-SUMIF(87:87,C26,88:88)+100</f>
        <v>100</v>
      </c>
      <c r="I25" s="257"/>
      <c r="J25" s="258">
        <f>SUMIF(87:87,I26,88:88)-SUMIF(87:87,C26,88:88)+100</f>
        <v>100</v>
      </c>
      <c r="K25" s="437"/>
      <c r="L25" s="885"/>
      <c r="M25" s="876"/>
      <c r="N25" s="876"/>
      <c r="O25" s="876"/>
      <c r="P25" s="3949"/>
      <c r="Q25" s="1412" t="str">
        <f>B25</f>
        <v>毗邻道路的类型与等级</v>
      </c>
      <c r="R25" s="556" t="s">
        <v>17</v>
      </c>
      <c r="S25" s="557">
        <f>F25</f>
        <v>100</v>
      </c>
      <c r="T25" s="556" t="s">
        <v>17</v>
      </c>
      <c r="U25" s="557">
        <f>H25</f>
        <v>100</v>
      </c>
      <c r="V25" s="556" t="s">
        <v>17</v>
      </c>
      <c r="W25" s="557">
        <f>J25</f>
        <v>100</v>
      </c>
      <c r="X25" s="1415"/>
      <c r="Y25" s="3942"/>
      <c r="Z25" s="1416" t="str">
        <f>Q25</f>
        <v>毗邻道路的类型与等级</v>
      </c>
      <c r="AA25" s="1413">
        <f t="shared" si="3"/>
        <v>1</v>
      </c>
      <c r="AB25" s="1413">
        <f t="shared" si="4"/>
        <v>1</v>
      </c>
      <c r="AC25" s="1870">
        <f t="shared" si="5"/>
        <v>1</v>
      </c>
    </row>
    <row r="26" spans="1:29" ht="15">
      <c r="A26" s="228"/>
      <c r="B26" s="452"/>
      <c r="C26" s="454"/>
      <c r="D26" s="258"/>
      <c r="E26" s="439"/>
      <c r="F26" s="258"/>
      <c r="G26" s="454"/>
      <c r="H26" s="258"/>
      <c r="I26" s="439"/>
      <c r="J26" s="258"/>
      <c r="K26" s="438"/>
      <c r="L26" s="885"/>
      <c r="M26" s="876"/>
      <c r="N26" s="876"/>
      <c r="O26" s="876"/>
      <c r="P26" s="3949"/>
      <c r="Q26" s="1412"/>
      <c r="R26" s="556"/>
      <c r="S26" s="557"/>
      <c r="T26" s="556"/>
      <c r="U26" s="557"/>
      <c r="V26" s="556"/>
      <c r="W26" s="557"/>
      <c r="X26" s="1415"/>
      <c r="Y26" s="3942"/>
      <c r="Z26" s="1416"/>
      <c r="AA26" s="1413">
        <v>1</v>
      </c>
      <c r="AB26" s="1413">
        <v>1</v>
      </c>
      <c r="AC26" s="1870">
        <v>1</v>
      </c>
    </row>
    <row r="27" spans="1:29" ht="15">
      <c r="A27" s="251"/>
      <c r="B27" s="452" t="s">
        <v>2665</v>
      </c>
      <c r="C27" s="454"/>
      <c r="D27" s="258">
        <v>100</v>
      </c>
      <c r="E27" s="439"/>
      <c r="F27" s="258">
        <f>SUMIF(89:89,E27,90:90)-SUMIF(89:89,C27,90:90)+100</f>
        <v>100</v>
      </c>
      <c r="G27" s="454"/>
      <c r="H27" s="258">
        <f>SUMIF(89:89,G27,90:90)-SUMIF(89:89,C27,90:90)+100</f>
        <v>100</v>
      </c>
      <c r="I27" s="439"/>
      <c r="J27" s="258">
        <f>SUMIF(89:89,I27,90:90)-SUMIF(89:89,C27,90:90)+100</f>
        <v>100</v>
      </c>
      <c r="K27" s="435"/>
      <c r="L27" s="885"/>
      <c r="M27" s="876"/>
      <c r="N27" s="876"/>
      <c r="O27" s="876"/>
      <c r="P27" s="3949"/>
      <c r="Q27" s="1412" t="str">
        <f t="shared" ref="Q27:Q47" si="11">B27</f>
        <v>楼层</v>
      </c>
      <c r="R27" s="556" t="s">
        <v>17</v>
      </c>
      <c r="S27" s="557">
        <f>F27</f>
        <v>100</v>
      </c>
      <c r="T27" s="556" t="s">
        <v>17</v>
      </c>
      <c r="U27" s="557">
        <f>H27</f>
        <v>100</v>
      </c>
      <c r="V27" s="556" t="s">
        <v>17</v>
      </c>
      <c r="W27" s="557">
        <f>J27</f>
        <v>100</v>
      </c>
      <c r="X27" s="1415"/>
      <c r="Y27" s="3942"/>
      <c r="Z27" s="1416" t="str">
        <f>Q27</f>
        <v>楼层</v>
      </c>
      <c r="AA27" s="1413">
        <f t="shared" si="3"/>
        <v>1</v>
      </c>
      <c r="AB27" s="1413">
        <f t="shared" si="4"/>
        <v>1</v>
      </c>
      <c r="AC27" s="1870">
        <f t="shared" si="5"/>
        <v>1</v>
      </c>
    </row>
    <row r="28" spans="1:29" s="51" customFormat="1" ht="15">
      <c r="A28" s="254"/>
      <c r="B28" s="451" t="s">
        <v>2698</v>
      </c>
      <c r="C28" s="1873"/>
      <c r="D28" s="285">
        <v>100</v>
      </c>
      <c r="E28" s="1864"/>
      <c r="F28" s="285">
        <f>SUMIF(91:91,E28,92:92)-SUMIF(91:91,C28,92:92)+100</f>
        <v>100</v>
      </c>
      <c r="G28" s="1873"/>
      <c r="H28" s="285">
        <f>SUMIF(91:91,G28,92:92)-SUMIF(91:91,C28,92:92)+100</f>
        <v>100</v>
      </c>
      <c r="I28" s="1864"/>
      <c r="J28" s="285">
        <f>SUMIF(91:91,I28,92:92)-SUMIF(91:91,C28,92:92)+100</f>
        <v>100</v>
      </c>
      <c r="K28" s="435"/>
      <c r="L28" s="877"/>
      <c r="M28" s="878"/>
      <c r="N28" s="878"/>
      <c r="O28" s="878"/>
      <c r="P28" s="3949"/>
      <c r="Q28" s="1403" t="str">
        <f t="shared" si="11"/>
        <v>朝向</v>
      </c>
      <c r="R28" s="552" t="s">
        <v>17</v>
      </c>
      <c r="S28" s="553">
        <f>F28</f>
        <v>100</v>
      </c>
      <c r="T28" s="552" t="s">
        <v>17</v>
      </c>
      <c r="U28" s="553">
        <f>H28</f>
        <v>100</v>
      </c>
      <c r="V28" s="552" t="s">
        <v>17</v>
      </c>
      <c r="W28" s="553">
        <f>J28</f>
        <v>100</v>
      </c>
      <c r="X28" s="554"/>
      <c r="Y28" s="3942"/>
      <c r="Z28" s="40" t="str">
        <f>Q28</f>
        <v>朝向</v>
      </c>
      <c r="AA28" s="1413">
        <f>D28/F28</f>
        <v>1</v>
      </c>
      <c r="AB28" s="1413">
        <f>D28/H28</f>
        <v>1</v>
      </c>
      <c r="AC28" s="1870">
        <f>D28/J28</f>
        <v>1</v>
      </c>
    </row>
    <row r="29" spans="1:29" ht="15">
      <c r="A29" s="251"/>
      <c r="B29" s="1874">
        <v>111</v>
      </c>
      <c r="C29" s="1820"/>
      <c r="D29" s="258">
        <v>100</v>
      </c>
      <c r="E29" s="255"/>
      <c r="F29" s="258">
        <f>SUMIF(93:93,E29,94:94)-SUMIF(93:93,C29,94:94)+100</f>
        <v>100</v>
      </c>
      <c r="G29" s="1868"/>
      <c r="H29" s="258">
        <f>SUMIF(93:93,G29,94:94)-SUMIF(93:93,C29,94:94)+100</f>
        <v>100</v>
      </c>
      <c r="I29" s="255"/>
      <c r="J29" s="258">
        <f>SUMIF(93:93,I29,94:94)-SUMIF(93:93,C29,94:94)+100</f>
        <v>100</v>
      </c>
      <c r="K29" s="436"/>
      <c r="L29" s="885"/>
      <c r="M29" s="876"/>
      <c r="N29" s="876"/>
      <c r="O29" s="876"/>
      <c r="P29" s="3949"/>
      <c r="Q29" s="1412">
        <f t="shared" si="11"/>
        <v>111</v>
      </c>
      <c r="R29" s="556" t="s">
        <v>17</v>
      </c>
      <c r="S29" s="557">
        <f t="shared" ref="S29:S47" si="12">F29</f>
        <v>100</v>
      </c>
      <c r="T29" s="556" t="s">
        <v>17</v>
      </c>
      <c r="U29" s="557">
        <f t="shared" ref="U29:U47" si="13">H29</f>
        <v>100</v>
      </c>
      <c r="V29" s="556" t="s">
        <v>17</v>
      </c>
      <c r="W29" s="557">
        <f t="shared" ref="W29:W47" si="14">J29</f>
        <v>100</v>
      </c>
      <c r="X29" s="1415"/>
      <c r="Y29" s="3942"/>
      <c r="Z29" s="1416">
        <f t="shared" ref="Z29:Z47" si="15">Q29</f>
        <v>111</v>
      </c>
      <c r="AA29" s="1413">
        <f t="shared" si="3"/>
        <v>1</v>
      </c>
      <c r="AB29" s="1413">
        <f t="shared" si="4"/>
        <v>1</v>
      </c>
      <c r="AC29" s="1870">
        <f t="shared" si="5"/>
        <v>1</v>
      </c>
    </row>
    <row r="30" spans="1:29" ht="15">
      <c r="A30" s="251"/>
      <c r="B30" s="1874">
        <v>111</v>
      </c>
      <c r="C30" s="1820"/>
      <c r="D30" s="258">
        <v>100</v>
      </c>
      <c r="E30" s="255"/>
      <c r="F30" s="258">
        <f>SUMIF(95:95,E30,96:96)-SUMIF(95:95,C30,96:96)+100</f>
        <v>100</v>
      </c>
      <c r="G30" s="1868"/>
      <c r="H30" s="258">
        <f>SUMIF(95:95,G30,96:96)-SUMIF(95:95,C30,96:96)+100</f>
        <v>100</v>
      </c>
      <c r="I30" s="255"/>
      <c r="J30" s="258">
        <f>SUMIF(95:95,I30,96:96)-SUMIF(95:95,C30,96:96)+100</f>
        <v>100</v>
      </c>
      <c r="K30" s="436"/>
      <c r="L30" s="885"/>
      <c r="M30" s="876"/>
      <c r="N30" s="876"/>
      <c r="O30" s="876"/>
      <c r="P30" s="3949"/>
      <c r="Q30" s="1412">
        <f t="shared" si="11"/>
        <v>111</v>
      </c>
      <c r="R30" s="556" t="s">
        <v>17</v>
      </c>
      <c r="S30" s="557">
        <f t="shared" si="12"/>
        <v>100</v>
      </c>
      <c r="T30" s="556" t="s">
        <v>17</v>
      </c>
      <c r="U30" s="557">
        <f t="shared" si="13"/>
        <v>100</v>
      </c>
      <c r="V30" s="556" t="s">
        <v>17</v>
      </c>
      <c r="W30" s="557">
        <f t="shared" si="14"/>
        <v>100</v>
      </c>
      <c r="X30" s="1415"/>
      <c r="Y30" s="3942"/>
      <c r="Z30" s="1416">
        <f t="shared" si="15"/>
        <v>111</v>
      </c>
      <c r="AA30" s="1413">
        <f t="shared" si="3"/>
        <v>1</v>
      </c>
      <c r="AB30" s="1413">
        <f t="shared" si="4"/>
        <v>1</v>
      </c>
      <c r="AC30" s="1870">
        <f t="shared" si="5"/>
        <v>1</v>
      </c>
    </row>
    <row r="31" spans="1:29" ht="15">
      <c r="A31" s="251"/>
      <c r="B31" s="1874">
        <v>111</v>
      </c>
      <c r="C31" s="1820"/>
      <c r="D31" s="258">
        <v>100</v>
      </c>
      <c r="E31" s="255"/>
      <c r="F31" s="258">
        <f>SUMIF(97:97,E31,98:98)-SUMIF(97:97,C31,98:98)+100</f>
        <v>100</v>
      </c>
      <c r="G31" s="1868"/>
      <c r="H31" s="258">
        <f>SUMIF(97:97,G31,98:98)-SUMIF(97:97,C31,98:98)+100</f>
        <v>100</v>
      </c>
      <c r="I31" s="255"/>
      <c r="J31" s="258">
        <f>SUMIF(97:97,I31,98:98)-SUMIF(97:97,C31,98:98)+100</f>
        <v>100</v>
      </c>
      <c r="K31" s="436"/>
      <c r="L31" s="885"/>
      <c r="M31" s="876"/>
      <c r="N31" s="876"/>
      <c r="O31" s="876"/>
      <c r="P31" s="3949"/>
      <c r="Q31" s="1412">
        <f t="shared" si="11"/>
        <v>111</v>
      </c>
      <c r="R31" s="556" t="s">
        <v>17</v>
      </c>
      <c r="S31" s="557">
        <f t="shared" si="12"/>
        <v>100</v>
      </c>
      <c r="T31" s="556" t="s">
        <v>17</v>
      </c>
      <c r="U31" s="557">
        <f t="shared" si="13"/>
        <v>100</v>
      </c>
      <c r="V31" s="556" t="s">
        <v>17</v>
      </c>
      <c r="W31" s="557">
        <f t="shared" si="14"/>
        <v>100</v>
      </c>
      <c r="X31" s="1415"/>
      <c r="Y31" s="3942"/>
      <c r="Z31" s="1416">
        <f t="shared" si="15"/>
        <v>111</v>
      </c>
      <c r="AA31" s="1413">
        <f t="shared" si="3"/>
        <v>1</v>
      </c>
      <c r="AB31" s="1413">
        <f t="shared" si="4"/>
        <v>1</v>
      </c>
      <c r="AC31" s="1870">
        <f t="shared" si="5"/>
        <v>1</v>
      </c>
    </row>
    <row r="32" spans="1:29" ht="15.75" thickBot="1">
      <c r="A32" s="259"/>
      <c r="B32" s="455">
        <v>111</v>
      </c>
      <c r="C32" s="1821"/>
      <c r="D32" s="261">
        <v>100</v>
      </c>
      <c r="E32" s="448"/>
      <c r="F32" s="261">
        <f>SUMIF(99:99,E32,100:100)-SUMIF(99:99,C32,100:100)+100</f>
        <v>100</v>
      </c>
      <c r="G32" s="1868"/>
      <c r="H32" s="261">
        <f>SUMIF(99:99,G32,100:100)-SUMIF(99:99,C32,100:100)+100</f>
        <v>100</v>
      </c>
      <c r="I32" s="255"/>
      <c r="J32" s="261">
        <f>SUMIF(99:99,I32,100:100)-SUMIF(99:99,C32,100:100)+100</f>
        <v>100</v>
      </c>
      <c r="K32" s="436"/>
      <c r="L32" s="885"/>
      <c r="M32" s="876"/>
      <c r="N32" s="876"/>
      <c r="O32" s="876"/>
      <c r="P32" s="3949"/>
      <c r="Q32" s="1412">
        <f t="shared" si="11"/>
        <v>111</v>
      </c>
      <c r="R32" s="556" t="s">
        <v>17</v>
      </c>
      <c r="S32" s="557">
        <f t="shared" si="12"/>
        <v>100</v>
      </c>
      <c r="T32" s="556" t="s">
        <v>17</v>
      </c>
      <c r="U32" s="557">
        <f t="shared" si="13"/>
        <v>100</v>
      </c>
      <c r="V32" s="556" t="s">
        <v>17</v>
      </c>
      <c r="W32" s="557">
        <f t="shared" si="14"/>
        <v>100</v>
      </c>
      <c r="X32" s="1415"/>
      <c r="Y32" s="3942"/>
      <c r="Z32" s="1416">
        <f t="shared" si="15"/>
        <v>111</v>
      </c>
      <c r="AA32" s="1413">
        <f t="shared" si="3"/>
        <v>1</v>
      </c>
      <c r="AB32" s="1413">
        <f t="shared" si="4"/>
        <v>1</v>
      </c>
      <c r="AC32" s="1870">
        <f t="shared" si="5"/>
        <v>1</v>
      </c>
    </row>
    <row r="33" spans="1:29" ht="15">
      <c r="A33" s="263" t="s">
        <v>2569</v>
      </c>
      <c r="B33" s="45" t="s">
        <v>2699</v>
      </c>
      <c r="C33" s="1875"/>
      <c r="D33" s="290">
        <v>100</v>
      </c>
      <c r="E33" s="1875"/>
      <c r="F33" s="284">
        <f>SUMIF(101:101,E33,102:102)-SUMIF(101:101,C33,102:102)+100</f>
        <v>100</v>
      </c>
      <c r="G33" s="1875"/>
      <c r="H33" s="258">
        <f>SUMIF(101:101,G33,102:102)-SUMIF(101:101,C33,102:102)+100</f>
        <v>100</v>
      </c>
      <c r="I33" s="1875"/>
      <c r="J33" s="290">
        <f>SUMIF(101:101,I33,102:102)-SUMIF(101:101,C33,102:102)+100</f>
        <v>100</v>
      </c>
      <c r="K33" s="435"/>
      <c r="L33" s="885"/>
      <c r="M33" s="876"/>
      <c r="N33" s="876"/>
      <c r="O33" s="876"/>
      <c r="P33" s="3943" t="s">
        <v>2571</v>
      </c>
      <c r="Q33" s="1412" t="str">
        <f t="shared" si="11"/>
        <v>建筑类型</v>
      </c>
      <c r="R33" s="556" t="s">
        <v>17</v>
      </c>
      <c r="S33" s="557">
        <f t="shared" si="12"/>
        <v>100</v>
      </c>
      <c r="T33" s="556" t="s">
        <v>17</v>
      </c>
      <c r="U33" s="557">
        <f t="shared" si="13"/>
        <v>100</v>
      </c>
      <c r="V33" s="556" t="s">
        <v>17</v>
      </c>
      <c r="W33" s="557">
        <f t="shared" si="14"/>
        <v>100</v>
      </c>
      <c r="X33" s="1415"/>
      <c r="Y33" s="3946" t="s">
        <v>2571</v>
      </c>
      <c r="Z33" s="1416" t="str">
        <f t="shared" si="15"/>
        <v>建筑类型</v>
      </c>
      <c r="AA33" s="1413">
        <f t="shared" si="3"/>
        <v>1</v>
      </c>
      <c r="AB33" s="1413">
        <f t="shared" si="4"/>
        <v>1</v>
      </c>
      <c r="AC33" s="1870">
        <f t="shared" si="5"/>
        <v>1</v>
      </c>
    </row>
    <row r="34" spans="1:29" s="294" customFormat="1" ht="15">
      <c r="A34" s="291"/>
      <c r="B34" s="245" t="s">
        <v>2572</v>
      </c>
      <c r="C34" s="292"/>
      <c r="D34" s="53">
        <v>100</v>
      </c>
      <c r="E34" s="253"/>
      <c r="F34" s="248" t="e">
        <f>LOOKUP(E34,104:104,105:105)-LOOKUP(C34,104:104,105:105)+100</f>
        <v>#N/A</v>
      </c>
      <c r="G34" s="252"/>
      <c r="H34" s="53" t="e">
        <f>LOOKUP(G34,104:104,105:105)-LOOKUP(C34,104:104,105:105)+100</f>
        <v>#N/A</v>
      </c>
      <c r="I34" s="252"/>
      <c r="J34" s="53" t="e">
        <f>LOOKUP(I34,104:104,105:105)-LOOKUP(C34,104:104,105:105)+100</f>
        <v>#N/A</v>
      </c>
      <c r="K34" s="436"/>
      <c r="L34" s="883"/>
      <c r="M34" s="886"/>
      <c r="N34" s="886"/>
      <c r="O34" s="886"/>
      <c r="P34" s="3944"/>
      <c r="Q34" s="558" t="str">
        <f t="shared" si="11"/>
        <v>项目建筑规模</v>
      </c>
      <c r="R34" s="559" t="s">
        <v>17</v>
      </c>
      <c r="S34" s="560" t="e">
        <f t="shared" si="12"/>
        <v>#N/A</v>
      </c>
      <c r="T34" s="559" t="s">
        <v>17</v>
      </c>
      <c r="U34" s="560" t="e">
        <f t="shared" si="13"/>
        <v>#N/A</v>
      </c>
      <c r="V34" s="559" t="s">
        <v>17</v>
      </c>
      <c r="W34" s="560" t="e">
        <f t="shared" si="14"/>
        <v>#N/A</v>
      </c>
      <c r="X34" s="561"/>
      <c r="Y34" s="3946"/>
      <c r="Z34" s="562" t="str">
        <f t="shared" si="15"/>
        <v>项目建筑规模</v>
      </c>
      <c r="AA34" s="1413" t="e">
        <f t="shared" si="3"/>
        <v>#N/A</v>
      </c>
      <c r="AB34" s="1413" t="e">
        <f t="shared" si="4"/>
        <v>#N/A</v>
      </c>
      <c r="AC34" s="1870" t="e">
        <f t="shared" si="5"/>
        <v>#N/A</v>
      </c>
    </row>
    <row r="35" spans="1:29" ht="15">
      <c r="A35" s="295"/>
      <c r="B35" s="245" t="s">
        <v>2573</v>
      </c>
      <c r="C35" s="283"/>
      <c r="D35" s="258">
        <v>100</v>
      </c>
      <c r="E35" s="283"/>
      <c r="F35" s="284">
        <f>SUMIF(106:106,E35,107:107)-SUMIF(106:106,C35,107:107)+100</f>
        <v>100</v>
      </c>
      <c r="G35" s="283"/>
      <c r="H35" s="258">
        <f>SUMIF(106:106,G35,107:107)-SUMIF(106:106,C35,107:107)+100</f>
        <v>100</v>
      </c>
      <c r="I35" s="283"/>
      <c r="J35" s="258">
        <f>SUMIF(106:106,I35,107:107)-SUMIF(106:106,C35,107:107)+100</f>
        <v>100</v>
      </c>
      <c r="K35" s="435"/>
      <c r="L35" s="885"/>
      <c r="M35" s="876"/>
      <c r="N35" s="876"/>
      <c r="O35" s="876"/>
      <c r="P35" s="3944"/>
      <c r="Q35" s="1412" t="str">
        <f t="shared" si="11"/>
        <v>建筑结构</v>
      </c>
      <c r="R35" s="556" t="s">
        <v>17</v>
      </c>
      <c r="S35" s="557">
        <f t="shared" si="12"/>
        <v>100</v>
      </c>
      <c r="T35" s="556" t="s">
        <v>17</v>
      </c>
      <c r="U35" s="557">
        <f t="shared" si="13"/>
        <v>100</v>
      </c>
      <c r="V35" s="556" t="s">
        <v>17</v>
      </c>
      <c r="W35" s="557">
        <f t="shared" si="14"/>
        <v>100</v>
      </c>
      <c r="X35" s="1415"/>
      <c r="Y35" s="3946"/>
      <c r="Z35" s="1416" t="str">
        <f t="shared" si="15"/>
        <v>建筑结构</v>
      </c>
      <c r="AA35" s="1413">
        <f t="shared" si="3"/>
        <v>1</v>
      </c>
      <c r="AB35" s="1413">
        <f t="shared" si="4"/>
        <v>1</v>
      </c>
      <c r="AC35" s="1870">
        <f t="shared" si="5"/>
        <v>1</v>
      </c>
    </row>
    <row r="36" spans="1:29" ht="15">
      <c r="A36" s="295"/>
      <c r="B36" s="245" t="s">
        <v>2667</v>
      </c>
      <c r="C36" s="283"/>
      <c r="D36" s="258">
        <v>100</v>
      </c>
      <c r="E36" s="283"/>
      <c r="F36" s="284">
        <f>SUMIF(108:108,E36,109:109)-SUMIF(108:108,C36,109:109)+100</f>
        <v>100</v>
      </c>
      <c r="G36" s="283"/>
      <c r="H36" s="258">
        <f>SUMIF(108:108,G36,109:109)-SUMIF(108:108,C36,109:109)+100</f>
        <v>100</v>
      </c>
      <c r="I36" s="283"/>
      <c r="J36" s="258">
        <f>SUMIF(108:108,I36,109:109)-SUMIF(108:108,C36,109:109)+100</f>
        <v>100</v>
      </c>
      <c r="K36" s="435"/>
      <c r="L36" s="885"/>
      <c r="M36" s="876"/>
      <c r="N36" s="876"/>
      <c r="O36" s="876"/>
      <c r="P36" s="3944"/>
      <c r="Q36" s="1412" t="str">
        <f t="shared" si="11"/>
        <v>公共部分装修</v>
      </c>
      <c r="R36" s="556" t="s">
        <v>17</v>
      </c>
      <c r="S36" s="557">
        <f t="shared" si="12"/>
        <v>100</v>
      </c>
      <c r="T36" s="556" t="s">
        <v>17</v>
      </c>
      <c r="U36" s="557">
        <f t="shared" si="13"/>
        <v>100</v>
      </c>
      <c r="V36" s="556" t="s">
        <v>17</v>
      </c>
      <c r="W36" s="557">
        <f t="shared" si="14"/>
        <v>100</v>
      </c>
      <c r="X36" s="1415"/>
      <c r="Y36" s="3946"/>
      <c r="Z36" s="1416" t="str">
        <f t="shared" si="15"/>
        <v>公共部分装修</v>
      </c>
      <c r="AA36" s="1413">
        <f t="shared" si="3"/>
        <v>1</v>
      </c>
      <c r="AB36" s="1413">
        <f t="shared" si="4"/>
        <v>1</v>
      </c>
      <c r="AC36" s="1870">
        <f t="shared" si="5"/>
        <v>1</v>
      </c>
    </row>
    <row r="37" spans="1:29" ht="15">
      <c r="A37" s="295"/>
      <c r="B37" s="245" t="s">
        <v>2668</v>
      </c>
      <c r="C37" s="297"/>
      <c r="D37" s="258">
        <v>100</v>
      </c>
      <c r="E37" s="297"/>
      <c r="F37" s="284" t="e">
        <f>LOOKUP(E37,111:111,112:112)-LOOKUP(C37,111:111,112:112)+100</f>
        <v>#N/A</v>
      </c>
      <c r="G37" s="297"/>
      <c r="H37" s="284" t="e">
        <f>LOOKUP(G37,111:111,112:112)-LOOKUP(C37,111:111,112:112)+100</f>
        <v>#N/A</v>
      </c>
      <c r="I37" s="297"/>
      <c r="J37" s="258" t="e">
        <f>LOOKUP(I37,111:111,112:112)-LOOKUP(C37,111:111,112:112)+100</f>
        <v>#N/A</v>
      </c>
      <c r="K37" s="435"/>
      <c r="L37" s="885"/>
      <c r="M37" s="876"/>
      <c r="N37" s="876"/>
      <c r="O37" s="876"/>
      <c r="P37" s="3944"/>
      <c r="Q37" s="1412" t="str">
        <f t="shared" si="11"/>
        <v>成新度</v>
      </c>
      <c r="R37" s="556" t="s">
        <v>17</v>
      </c>
      <c r="S37" s="557" t="e">
        <f t="shared" si="12"/>
        <v>#N/A</v>
      </c>
      <c r="T37" s="556" t="s">
        <v>17</v>
      </c>
      <c r="U37" s="557" t="e">
        <f t="shared" si="13"/>
        <v>#N/A</v>
      </c>
      <c r="V37" s="556" t="s">
        <v>17</v>
      </c>
      <c r="W37" s="557" t="e">
        <f t="shared" si="14"/>
        <v>#N/A</v>
      </c>
      <c r="X37" s="1415"/>
      <c r="Y37" s="3946"/>
      <c r="Z37" s="1416" t="str">
        <f t="shared" si="15"/>
        <v>成新度</v>
      </c>
      <c r="AA37" s="1413" t="e">
        <f t="shared" si="3"/>
        <v>#N/A</v>
      </c>
      <c r="AB37" s="1413" t="e">
        <f t="shared" si="4"/>
        <v>#N/A</v>
      </c>
      <c r="AC37" s="1870" t="e">
        <f t="shared" si="5"/>
        <v>#N/A</v>
      </c>
    </row>
    <row r="38" spans="1:29" s="51" customFormat="1" ht="15">
      <c r="A38" s="296"/>
      <c r="B38" s="245" t="s">
        <v>2700</v>
      </c>
      <c r="C38" s="283"/>
      <c r="D38" s="53">
        <v>100</v>
      </c>
      <c r="E38" s="283"/>
      <c r="F38" s="284">
        <f>SUMIF(113:113,E38,114:114)-SUMIF(113:113,C38,114:114)+100</f>
        <v>100</v>
      </c>
      <c r="G38" s="283"/>
      <c r="H38" s="258">
        <f>SUMIF(113:113,G38,114:114)-SUMIF(113:113,C38,114:114)+100</f>
        <v>100</v>
      </c>
      <c r="I38" s="283"/>
      <c r="J38" s="258">
        <f>SUMIF(113:113,I38,114:114)-SUMIF(113:113,C38,114:114)+100</f>
        <v>100</v>
      </c>
      <c r="K38" s="435"/>
      <c r="L38" s="877"/>
      <c r="M38" s="878"/>
      <c r="N38" s="878"/>
      <c r="O38" s="878"/>
      <c r="P38" s="3944"/>
      <c r="Q38" s="1403" t="str">
        <f t="shared" si="11"/>
        <v>写字楼等级</v>
      </c>
      <c r="R38" s="552" t="s">
        <v>17</v>
      </c>
      <c r="S38" s="553">
        <f t="shared" si="12"/>
        <v>100</v>
      </c>
      <c r="T38" s="552" t="s">
        <v>17</v>
      </c>
      <c r="U38" s="553">
        <f t="shared" si="13"/>
        <v>100</v>
      </c>
      <c r="V38" s="552" t="s">
        <v>17</v>
      </c>
      <c r="W38" s="553">
        <f t="shared" si="14"/>
        <v>100</v>
      </c>
      <c r="X38" s="554"/>
      <c r="Y38" s="3946"/>
      <c r="Z38" s="40" t="str">
        <f t="shared" si="15"/>
        <v>写字楼等级</v>
      </c>
      <c r="AA38" s="555">
        <f t="shared" si="3"/>
        <v>1</v>
      </c>
      <c r="AB38" s="555">
        <f t="shared" si="4"/>
        <v>1</v>
      </c>
      <c r="AC38" s="1867">
        <f t="shared" si="5"/>
        <v>1</v>
      </c>
    </row>
    <row r="39" spans="1:29" ht="15">
      <c r="A39" s="295"/>
      <c r="B39" s="245" t="s">
        <v>2701</v>
      </c>
      <c r="C39" s="283"/>
      <c r="D39" s="258">
        <v>100</v>
      </c>
      <c r="E39" s="283"/>
      <c r="F39" s="284">
        <f>SUMIF(115:115,E39,116:116)-SUMIF(115:115,C39,116:116)+100</f>
        <v>100</v>
      </c>
      <c r="G39" s="283"/>
      <c r="H39" s="258">
        <f>SUMIF(115:115,G39,116:116)-SUMIF(115:115,C39,116:116)+100</f>
        <v>100</v>
      </c>
      <c r="I39" s="283"/>
      <c r="J39" s="258">
        <f>SUMIF(115:115,I39,116:116)-SUMIF(115:115,C39,116:116)+100</f>
        <v>100</v>
      </c>
      <c r="K39" s="435"/>
      <c r="L39" s="885"/>
      <c r="M39" s="876"/>
      <c r="N39" s="876"/>
      <c r="O39" s="876"/>
      <c r="P39" s="3944" t="s">
        <v>2571</v>
      </c>
      <c r="Q39" s="1412" t="str">
        <f t="shared" si="11"/>
        <v>物业管理</v>
      </c>
      <c r="R39" s="556" t="s">
        <v>17</v>
      </c>
      <c r="S39" s="557">
        <f t="shared" si="12"/>
        <v>100</v>
      </c>
      <c r="T39" s="556" t="s">
        <v>17</v>
      </c>
      <c r="U39" s="557">
        <f t="shared" si="13"/>
        <v>100</v>
      </c>
      <c r="V39" s="556" t="s">
        <v>17</v>
      </c>
      <c r="W39" s="557">
        <f t="shared" si="14"/>
        <v>100</v>
      </c>
      <c r="X39" s="1415"/>
      <c r="Y39" s="3946" t="s">
        <v>2571</v>
      </c>
      <c r="Z39" s="1416" t="str">
        <f t="shared" si="15"/>
        <v>物业管理</v>
      </c>
      <c r="AA39" s="1413">
        <f t="shared" si="3"/>
        <v>1</v>
      </c>
      <c r="AB39" s="1413">
        <f t="shared" si="4"/>
        <v>1</v>
      </c>
      <c r="AC39" s="1870">
        <f t="shared" si="5"/>
        <v>1</v>
      </c>
    </row>
    <row r="40" spans="1:29" ht="15">
      <c r="A40" s="295"/>
      <c r="B40" s="245" t="s">
        <v>2669</v>
      </c>
      <c r="C40" s="283"/>
      <c r="D40" s="258">
        <v>100</v>
      </c>
      <c r="E40" s="283"/>
      <c r="F40" s="284">
        <f>SUMIF(117:117,E40,118:118)-SUMIF(117:117,C40,118:118)+100</f>
        <v>100</v>
      </c>
      <c r="G40" s="283"/>
      <c r="H40" s="258">
        <f>SUMIF(117:117,G40,118:118)-SUMIF(117:117,C40,118:118)+100</f>
        <v>100</v>
      </c>
      <c r="I40" s="283"/>
      <c r="J40" s="258">
        <f>SUMIF(117:117,I40,118:118)-SUMIF(117:117,C40,118:118)+100</f>
        <v>100</v>
      </c>
      <c r="K40" s="435"/>
      <c r="L40" s="885"/>
      <c r="M40" s="876"/>
      <c r="N40" s="876"/>
      <c r="O40" s="876"/>
      <c r="P40" s="3944"/>
      <c r="Q40" s="1412" t="str">
        <f t="shared" si="11"/>
        <v>市政基础设施</v>
      </c>
      <c r="R40" s="556" t="s">
        <v>17</v>
      </c>
      <c r="S40" s="557">
        <f t="shared" si="12"/>
        <v>100</v>
      </c>
      <c r="T40" s="556" t="s">
        <v>17</v>
      </c>
      <c r="U40" s="557">
        <f t="shared" si="13"/>
        <v>100</v>
      </c>
      <c r="V40" s="556" t="s">
        <v>17</v>
      </c>
      <c r="W40" s="557">
        <f t="shared" si="14"/>
        <v>100</v>
      </c>
      <c r="X40" s="1415"/>
      <c r="Y40" s="3946"/>
      <c r="Z40" s="1416" t="str">
        <f t="shared" si="15"/>
        <v>市政基础设施</v>
      </c>
      <c r="AA40" s="1413">
        <f t="shared" si="3"/>
        <v>1</v>
      </c>
      <c r="AB40" s="1413">
        <f t="shared" si="4"/>
        <v>1</v>
      </c>
      <c r="AC40" s="1870">
        <f t="shared" si="5"/>
        <v>1</v>
      </c>
    </row>
    <row r="41" spans="1:29" ht="15">
      <c r="A41" s="295"/>
      <c r="B41" s="245" t="s">
        <v>2671</v>
      </c>
      <c r="C41" s="439"/>
      <c r="D41" s="258">
        <v>100</v>
      </c>
      <c r="E41" s="439"/>
      <c r="F41" s="284">
        <f>SUMIF(119:119,E41,120:120)-SUMIF(119:119,C41,120:120)+100</f>
        <v>100</v>
      </c>
      <c r="G41" s="439"/>
      <c r="H41" s="258">
        <f>SUMIF(119:119,G41,120:120)-SUMIF(119:119,C41,120:120)+100</f>
        <v>100</v>
      </c>
      <c r="I41" s="439"/>
      <c r="J41" s="258">
        <f>SUMIF(119:119,I41,120:120)-SUMIF(119:119,C41,120:120)+100</f>
        <v>100</v>
      </c>
      <c r="K41" s="435"/>
      <c r="L41" s="885"/>
      <c r="M41" s="876"/>
      <c r="N41" s="876"/>
      <c r="O41" s="876"/>
      <c r="P41" s="3944"/>
      <c r="Q41" s="1412" t="str">
        <f t="shared" si="11"/>
        <v>层高</v>
      </c>
      <c r="R41" s="556" t="s">
        <v>17</v>
      </c>
      <c r="S41" s="557">
        <f t="shared" si="12"/>
        <v>100</v>
      </c>
      <c r="T41" s="556" t="s">
        <v>17</v>
      </c>
      <c r="U41" s="557">
        <f t="shared" si="13"/>
        <v>100</v>
      </c>
      <c r="V41" s="556" t="s">
        <v>17</v>
      </c>
      <c r="W41" s="557">
        <f t="shared" si="14"/>
        <v>100</v>
      </c>
      <c r="X41" s="1415"/>
      <c r="Y41" s="3946"/>
      <c r="Z41" s="1416" t="str">
        <f t="shared" si="15"/>
        <v>层高</v>
      </c>
      <c r="AA41" s="1413">
        <f t="shared" si="3"/>
        <v>1</v>
      </c>
      <c r="AB41" s="1413">
        <f t="shared" si="4"/>
        <v>1</v>
      </c>
      <c r="AC41" s="1870">
        <f t="shared" si="5"/>
        <v>1</v>
      </c>
    </row>
    <row r="42" spans="1:29" s="294" customFormat="1" ht="15">
      <c r="A42" s="291"/>
      <c r="B42" s="1414" t="s">
        <v>2702</v>
      </c>
      <c r="C42" s="257"/>
      <c r="D42" s="258">
        <v>100</v>
      </c>
      <c r="E42" s="257"/>
      <c r="F42" s="284">
        <f>SUMIF(121:121,E42,122:122)-SUMIF(121:121,C42,122:122)+100</f>
        <v>100</v>
      </c>
      <c r="G42" s="257"/>
      <c r="H42" s="258">
        <f>SUMIF(121:121,G42,122:122)-SUMIF(121:121,C42,122:122)+100</f>
        <v>100</v>
      </c>
      <c r="I42" s="257"/>
      <c r="J42" s="258">
        <f>SUMIF(121:121,I42,122:122)-SUMIF(121:121,C42,122:122)+100</f>
        <v>100</v>
      </c>
      <c r="K42" s="436"/>
      <c r="L42" s="883"/>
      <c r="M42" s="886"/>
      <c r="N42" s="886"/>
      <c r="O42" s="886"/>
      <c r="P42" s="3944"/>
      <c r="Q42" s="558" t="str">
        <f t="shared" si="11"/>
        <v>单套建筑面积</v>
      </c>
      <c r="R42" s="559" t="s">
        <v>17</v>
      </c>
      <c r="S42" s="560">
        <f t="shared" si="12"/>
        <v>100</v>
      </c>
      <c r="T42" s="559" t="s">
        <v>17</v>
      </c>
      <c r="U42" s="560">
        <f t="shared" si="13"/>
        <v>100</v>
      </c>
      <c r="V42" s="559" t="s">
        <v>17</v>
      </c>
      <c r="W42" s="560">
        <f t="shared" si="14"/>
        <v>100</v>
      </c>
      <c r="X42" s="561"/>
      <c r="Y42" s="3946"/>
      <c r="Z42" s="562" t="str">
        <f t="shared" si="15"/>
        <v>单套建筑面积</v>
      </c>
      <c r="AA42" s="1413">
        <f t="shared" si="3"/>
        <v>1</v>
      </c>
      <c r="AB42" s="1413">
        <f t="shared" si="4"/>
        <v>1</v>
      </c>
      <c r="AC42" s="1870">
        <f t="shared" si="5"/>
        <v>1</v>
      </c>
    </row>
    <row r="43" spans="1:29" ht="15">
      <c r="A43" s="295"/>
      <c r="B43" s="245" t="s">
        <v>2674</v>
      </c>
      <c r="C43" s="283"/>
      <c r="D43" s="258">
        <v>100</v>
      </c>
      <c r="E43" s="283"/>
      <c r="F43" s="284">
        <f>SUMIF(123:123,E43,124:124)-SUMIF(123:123,C43,124:124)+100</f>
        <v>100</v>
      </c>
      <c r="G43" s="283"/>
      <c r="H43" s="258">
        <f>SUMIF(123:123,G43,124:124)-SUMIF(123:123,C43,124:124)+100</f>
        <v>100</v>
      </c>
      <c r="I43" s="283"/>
      <c r="J43" s="258">
        <f>SUMIF(123:123,I43,124:124)-SUMIF(123:123,C43,124:124)+100</f>
        <v>100</v>
      </c>
      <c r="K43" s="435"/>
      <c r="L43" s="885"/>
      <c r="M43" s="876"/>
      <c r="N43" s="876"/>
      <c r="O43" s="876"/>
      <c r="P43" s="3944"/>
      <c r="Q43" s="1412" t="str">
        <f t="shared" si="11"/>
        <v>内部装修</v>
      </c>
      <c r="R43" s="556" t="s">
        <v>17</v>
      </c>
      <c r="S43" s="557">
        <f t="shared" si="12"/>
        <v>100</v>
      </c>
      <c r="T43" s="556" t="s">
        <v>17</v>
      </c>
      <c r="U43" s="557">
        <f t="shared" si="13"/>
        <v>100</v>
      </c>
      <c r="V43" s="556" t="s">
        <v>17</v>
      </c>
      <c r="W43" s="557">
        <f t="shared" si="14"/>
        <v>100</v>
      </c>
      <c r="X43" s="1415"/>
      <c r="Y43" s="3946"/>
      <c r="Z43" s="1416" t="str">
        <f t="shared" si="15"/>
        <v>内部装修</v>
      </c>
      <c r="AA43" s="1413">
        <f t="shared" si="3"/>
        <v>1</v>
      </c>
      <c r="AB43" s="1413">
        <f t="shared" si="4"/>
        <v>1</v>
      </c>
      <c r="AC43" s="1870">
        <f t="shared" si="5"/>
        <v>1</v>
      </c>
    </row>
    <row r="44" spans="1:29" ht="15">
      <c r="A44" s="295"/>
      <c r="B44" s="245" t="s">
        <v>2582</v>
      </c>
      <c r="C44" s="283"/>
      <c r="D44" s="258">
        <v>100</v>
      </c>
      <c r="E44" s="1818"/>
      <c r="F44" s="284">
        <f>SUMIF(125:125,E44,126:126)-SUMIF(125:125,C44,126:126)+100</f>
        <v>100</v>
      </c>
      <c r="G44" s="1818"/>
      <c r="H44" s="258">
        <f>SUMIF(125:125,G44,126:126)-SUMIF(125:125,C44,126:126)+100</f>
        <v>100</v>
      </c>
      <c r="I44" s="1818"/>
      <c r="J44" s="258">
        <f>SUMIF(125:125,I44,126:126)-SUMIF(125:125,C44,126:126)+100</f>
        <v>100</v>
      </c>
      <c r="K44" s="435"/>
      <c r="L44" s="885"/>
      <c r="M44" s="876"/>
      <c r="N44" s="876"/>
      <c r="O44" s="876"/>
      <c r="P44" s="3944"/>
      <c r="Q44" s="1412" t="str">
        <f t="shared" si="11"/>
        <v>内部装修维护情况</v>
      </c>
      <c r="R44" s="556" t="s">
        <v>17</v>
      </c>
      <c r="S44" s="557">
        <f t="shared" si="12"/>
        <v>100</v>
      </c>
      <c r="T44" s="556" t="s">
        <v>17</v>
      </c>
      <c r="U44" s="557">
        <f t="shared" si="13"/>
        <v>100</v>
      </c>
      <c r="V44" s="556" t="s">
        <v>17</v>
      </c>
      <c r="W44" s="557">
        <f t="shared" si="14"/>
        <v>100</v>
      </c>
      <c r="X44" s="1415"/>
      <c r="Y44" s="3946"/>
      <c r="Z44" s="1416" t="str">
        <f t="shared" si="15"/>
        <v>内部装修维护情况</v>
      </c>
      <c r="AA44" s="1413">
        <f t="shared" si="3"/>
        <v>1</v>
      </c>
      <c r="AB44" s="1413">
        <f t="shared" si="4"/>
        <v>1</v>
      </c>
      <c r="AC44" s="1870">
        <f t="shared" si="5"/>
        <v>1</v>
      </c>
    </row>
    <row r="45" spans="1:29" s="51" customFormat="1" ht="15">
      <c r="A45" s="296"/>
      <c r="B45" s="1063">
        <v>111</v>
      </c>
      <c r="C45" s="292"/>
      <c r="D45" s="53">
        <v>100</v>
      </c>
      <c r="E45" s="255"/>
      <c r="F45" s="248">
        <f>SUMIF(127:127,E45,128:128)-SUMIF(127:127,C45,128:128)+100</f>
        <v>100</v>
      </c>
      <c r="G45" s="255"/>
      <c r="H45" s="53">
        <f>SUMIF(127:127,G45,128:128)-SUMIF(127:127,C45,128:128)+100</f>
        <v>100</v>
      </c>
      <c r="I45" s="255"/>
      <c r="J45" s="53">
        <f>SUMIF(127:127,I45,128:128)-SUMIF(127:127,C45,128:128)+100</f>
        <v>100</v>
      </c>
      <c r="K45" s="436"/>
      <c r="L45" s="877"/>
      <c r="M45" s="878"/>
      <c r="N45" s="878"/>
      <c r="O45" s="878"/>
      <c r="P45" s="3944"/>
      <c r="Q45" s="1403">
        <f t="shared" si="11"/>
        <v>111</v>
      </c>
      <c r="R45" s="552" t="s">
        <v>17</v>
      </c>
      <c r="S45" s="553">
        <f t="shared" si="12"/>
        <v>100</v>
      </c>
      <c r="T45" s="552" t="s">
        <v>17</v>
      </c>
      <c r="U45" s="553">
        <f t="shared" si="13"/>
        <v>100</v>
      </c>
      <c r="V45" s="552" t="s">
        <v>17</v>
      </c>
      <c r="W45" s="553">
        <f t="shared" si="14"/>
        <v>100</v>
      </c>
      <c r="X45" s="554"/>
      <c r="Y45" s="3946"/>
      <c r="Z45" s="40">
        <f t="shared" si="15"/>
        <v>111</v>
      </c>
      <c r="AA45" s="555">
        <f t="shared" si="3"/>
        <v>1</v>
      </c>
      <c r="AB45" s="555">
        <f t="shared" si="4"/>
        <v>1</v>
      </c>
      <c r="AC45" s="1867">
        <f t="shared" si="5"/>
        <v>1</v>
      </c>
    </row>
    <row r="46" spans="1:29" ht="15">
      <c r="A46" s="295"/>
      <c r="B46" s="1063">
        <v>111</v>
      </c>
      <c r="C46" s="257"/>
      <c r="D46" s="258">
        <v>100</v>
      </c>
      <c r="E46" s="255"/>
      <c r="F46" s="284">
        <f>SUMIF(129:129,E46,130:130)-SUMIF(129:129,C46,130:130)+100</f>
        <v>100</v>
      </c>
      <c r="G46" s="255"/>
      <c r="H46" s="258">
        <f>SUMIF(129:129,G46,130:130)-SUMIF(129:129,C46,130:130)+100</f>
        <v>100</v>
      </c>
      <c r="I46" s="255"/>
      <c r="J46" s="258">
        <f>SUMIF(129:129,I46,130:130)-SUMIF(129:129,C46,130:130)+100</f>
        <v>100</v>
      </c>
      <c r="K46" s="436"/>
      <c r="L46" s="885"/>
      <c r="M46" s="876"/>
      <c r="N46" s="876"/>
      <c r="O46" s="876"/>
      <c r="P46" s="3944"/>
      <c r="Q46" s="1412">
        <f t="shared" si="11"/>
        <v>111</v>
      </c>
      <c r="R46" s="556" t="s">
        <v>17</v>
      </c>
      <c r="S46" s="557">
        <f t="shared" si="12"/>
        <v>100</v>
      </c>
      <c r="T46" s="556" t="s">
        <v>17</v>
      </c>
      <c r="U46" s="557">
        <f t="shared" si="13"/>
        <v>100</v>
      </c>
      <c r="V46" s="556" t="s">
        <v>17</v>
      </c>
      <c r="W46" s="557">
        <f t="shared" si="14"/>
        <v>100</v>
      </c>
      <c r="X46" s="1415"/>
      <c r="Y46" s="3946"/>
      <c r="Z46" s="1416">
        <f t="shared" si="15"/>
        <v>111</v>
      </c>
      <c r="AA46" s="1413">
        <f t="shared" si="3"/>
        <v>1</v>
      </c>
      <c r="AB46" s="1413">
        <f t="shared" si="4"/>
        <v>1</v>
      </c>
      <c r="AC46" s="1870">
        <f t="shared" si="5"/>
        <v>1</v>
      </c>
    </row>
    <row r="47" spans="1:29" ht="15.75" thickBot="1">
      <c r="A47" s="301"/>
      <c r="B47" s="1807">
        <v>111</v>
      </c>
      <c r="C47" s="260"/>
      <c r="D47" s="261">
        <v>100</v>
      </c>
      <c r="E47" s="255"/>
      <c r="F47" s="262">
        <f>SUMIF(131:131,E47,132:132)-SUMIF(131:131,C47,132:132)+100</f>
        <v>100</v>
      </c>
      <c r="G47" s="255"/>
      <c r="H47" s="261">
        <f>SUMIF(131:131,G47,132:132)-SUMIF(131:131,C47,132:132)+100</f>
        <v>100</v>
      </c>
      <c r="I47" s="255"/>
      <c r="J47" s="261">
        <f>SUMIF(131:131,I47,132:132)-SUMIF(131:131,C47,132:132)+100</f>
        <v>100</v>
      </c>
      <c r="K47" s="436"/>
      <c r="L47" s="885"/>
      <c r="M47" s="876"/>
      <c r="N47" s="876"/>
      <c r="O47" s="876"/>
      <c r="P47" s="3945"/>
      <c r="Q47" s="1412">
        <f t="shared" si="11"/>
        <v>111</v>
      </c>
      <c r="R47" s="556" t="s">
        <v>17</v>
      </c>
      <c r="S47" s="557">
        <f t="shared" si="12"/>
        <v>100</v>
      </c>
      <c r="T47" s="556" t="s">
        <v>17</v>
      </c>
      <c r="U47" s="557">
        <f t="shared" si="13"/>
        <v>100</v>
      </c>
      <c r="V47" s="556" t="s">
        <v>17</v>
      </c>
      <c r="W47" s="557">
        <f t="shared" si="14"/>
        <v>100</v>
      </c>
      <c r="X47" s="1415"/>
      <c r="Y47" s="3947"/>
      <c r="Z47" s="1416">
        <f t="shared" si="15"/>
        <v>111</v>
      </c>
      <c r="AA47" s="1413">
        <f t="shared" si="3"/>
        <v>1</v>
      </c>
      <c r="AB47" s="1413">
        <f t="shared" si="4"/>
        <v>1</v>
      </c>
      <c r="AC47" s="1870">
        <f t="shared" si="5"/>
        <v>1</v>
      </c>
    </row>
    <row r="48" spans="1:29" ht="15">
      <c r="A48" s="302" t="s">
        <v>2583</v>
      </c>
      <c r="B48" s="303"/>
      <c r="C48" s="1073" t="s">
        <v>1</v>
      </c>
      <c r="D48" s="1074"/>
      <c r="E48" s="1075"/>
      <c r="F48" s="1076"/>
      <c r="G48" s="1077"/>
      <c r="H48" s="1078"/>
      <c r="I48" s="1075"/>
      <c r="J48" s="308"/>
      <c r="K48" s="565"/>
      <c r="L48" s="888"/>
      <c r="M48" s="876"/>
      <c r="N48" s="876"/>
      <c r="O48" s="876"/>
      <c r="P48" s="3920" t="str">
        <f>A48</f>
        <v>成交单价（元/平方米）</v>
      </c>
      <c r="Q48" s="3939"/>
      <c r="R48" s="3940">
        <f>E48</f>
        <v>0</v>
      </c>
      <c r="S48" s="3940"/>
      <c r="T48" s="3940">
        <f>G48</f>
        <v>0</v>
      </c>
      <c r="U48" s="3940"/>
      <c r="V48" s="3940">
        <f>I48</f>
        <v>0</v>
      </c>
      <c r="W48" s="3940"/>
      <c r="X48" s="269"/>
      <c r="Y48" s="563"/>
      <c r="Z48" s="269"/>
      <c r="AA48" s="269"/>
      <c r="AB48" s="269"/>
      <c r="AC48" s="450"/>
    </row>
    <row r="49" spans="1:29" ht="15.75" thickBot="1">
      <c r="A49" s="309" t="s">
        <v>2675</v>
      </c>
      <c r="B49" s="310"/>
      <c r="C49" s="1079" t="e">
        <f>R50</f>
        <v>#DIV/0!</v>
      </c>
      <c r="D49" s="1080"/>
      <c r="E49" s="1081" t="e">
        <f>R49</f>
        <v>#DIV/0!</v>
      </c>
      <c r="F49" s="1081"/>
      <c r="G49" s="1079" t="e">
        <f>T49</f>
        <v>#DIV/0!</v>
      </c>
      <c r="H49" s="1080"/>
      <c r="I49" s="1081" t="e">
        <f>V49</f>
        <v>#DIV/0!</v>
      </c>
      <c r="J49" s="312"/>
      <c r="K49" s="566"/>
      <c r="L49" s="888"/>
      <c r="M49" s="876"/>
      <c r="N49" s="876"/>
      <c r="O49" s="876"/>
      <c r="P49" s="3920" t="str">
        <f>A49</f>
        <v>比较价值（元/平方米）</v>
      </c>
      <c r="Q49" s="3939"/>
      <c r="R49" s="3940" t="e">
        <f>IF(F1="售价",ROUND(PRODUCT(R48,AA7:AA47),0),ROUND(PRODUCT(R48,AA7:AA47),1))</f>
        <v>#DIV/0!</v>
      </c>
      <c r="S49" s="3940"/>
      <c r="T49" s="3940" t="e">
        <f>IF(F1="售价",ROUND(PRODUCT(T48,AB7:AB47),0),ROUND(PRODUCT(T48,AB7:AB47),1))</f>
        <v>#DIV/0!</v>
      </c>
      <c r="U49" s="3940"/>
      <c r="V49" s="3940" t="e">
        <f>IF(F1="售价",ROUND(PRODUCT(V48,AC7:AC47),0),ROUND(PRODUCT(V48,AC7:AC47),1))</f>
        <v>#DIV/0!</v>
      </c>
      <c r="W49" s="3940"/>
      <c r="X49" s="269"/>
      <c r="Y49" s="269"/>
      <c r="Z49" s="269"/>
      <c r="AA49" s="269"/>
      <c r="AB49" s="269"/>
      <c r="AC49" s="450"/>
    </row>
    <row r="50" spans="1:29" ht="15.75" thickBot="1">
      <c r="A50" s="315" t="s">
        <v>2676</v>
      </c>
      <c r="B50" s="316"/>
      <c r="C50" s="1083" t="e">
        <f>R50</f>
        <v>#DIV/0!</v>
      </c>
      <c r="D50" s="1083"/>
      <c r="E50" s="1083"/>
      <c r="F50" s="1083"/>
      <c r="G50" s="1083"/>
      <c r="H50" s="1083"/>
      <c r="I50" s="1083"/>
      <c r="J50" s="317"/>
      <c r="K50" s="567"/>
      <c r="L50" s="888"/>
      <c r="M50" s="876"/>
      <c r="N50" s="876"/>
      <c r="O50" s="876"/>
      <c r="P50" s="3967" t="str">
        <f>A50</f>
        <v>估价对象XX用房的比较价值（楼面单价，元/平方米）</v>
      </c>
      <c r="Q50" s="3968"/>
      <c r="R50" s="3969" t="e">
        <f>IF(F1="售价",ROUND(AVERAGE(R49:V49),0),ROUND(AVERAGE(R49:V49),1))</f>
        <v>#DIV/0!</v>
      </c>
      <c r="S50" s="3969"/>
      <c r="T50" s="3969"/>
      <c r="U50" s="3969"/>
      <c r="V50" s="3969"/>
      <c r="W50" s="3969"/>
      <c r="X50" s="1859"/>
      <c r="Y50" s="1859"/>
      <c r="Z50" s="1859"/>
      <c r="AA50" s="1859"/>
      <c r="AB50" s="1859"/>
      <c r="AC50" s="1860"/>
    </row>
    <row r="51" spans="1:29">
      <c r="A51" s="889"/>
      <c r="B51" s="889"/>
      <c r="C51" s="889"/>
      <c r="D51" s="889"/>
      <c r="E51" s="889"/>
      <c r="F51" s="889"/>
      <c r="G51" s="892"/>
      <c r="H51" s="889"/>
      <c r="I51" s="889"/>
      <c r="J51" s="889"/>
      <c r="K51" s="858"/>
      <c r="L51" s="859"/>
      <c r="M51" s="889"/>
      <c r="N51" s="889"/>
      <c r="O51" s="889"/>
    </row>
    <row r="52" spans="1:29">
      <c r="A52" s="889"/>
      <c r="B52" s="889"/>
      <c r="C52" s="889"/>
      <c r="D52" s="889"/>
      <c r="E52" s="889"/>
      <c r="F52" s="889"/>
      <c r="G52" s="889"/>
      <c r="H52" s="889"/>
      <c r="I52" s="889"/>
      <c r="J52" s="889"/>
      <c r="K52" s="858"/>
      <c r="L52" s="859"/>
      <c r="M52" s="889"/>
      <c r="N52" s="889"/>
      <c r="O52" s="889"/>
    </row>
    <row r="53" spans="1:29" ht="13.5" customHeight="1">
      <c r="A53" s="889"/>
      <c r="B53" s="889"/>
      <c r="C53" s="320" t="s">
        <v>2677</v>
      </c>
      <c r="D53" s="321"/>
      <c r="E53" s="322" t="e">
        <f>IF(E48&lt;E49,E49/E48-1,E48/E49-1)</f>
        <v>#DIV/0!</v>
      </c>
      <c r="F53" s="323" t="e">
        <f>IF(OR(E53&gt;=0.3,E53&lt;=-0.3),"超过30%","")</f>
        <v>#DIV/0!</v>
      </c>
      <c r="G53" s="322" t="e">
        <f>IF(G48&lt;G49,G49/G48-1,G48/G49-1)</f>
        <v>#DIV/0!</v>
      </c>
      <c r="H53" s="323" t="e">
        <f>IF(OR(G53&gt;=0.3,G53&lt;=-0.3),"超过30%","")</f>
        <v>#DIV/0!</v>
      </c>
      <c r="I53" s="322" t="e">
        <f>IF(I48&lt;I49,I49/I48-1,I48/I49-1)</f>
        <v>#DIV/0!</v>
      </c>
      <c r="J53" s="323" t="e">
        <f>IF(OR(I53&gt;=0.3,I53&lt;=-0.3),"超过30%","")</f>
        <v>#DIV/0!</v>
      </c>
      <c r="K53" s="858"/>
      <c r="L53" s="859"/>
      <c r="M53" s="889"/>
      <c r="N53" s="889"/>
      <c r="O53" s="889"/>
    </row>
    <row r="54" spans="1:29" ht="13.5" customHeight="1">
      <c r="A54" s="889"/>
      <c r="B54" s="889"/>
      <c r="C54" s="320" t="s">
        <v>2678</v>
      </c>
      <c r="D54" s="324"/>
      <c r="E54" s="322" t="e">
        <f>IF(E49&lt;G49,G49/E49-1,E49/G49-1)</f>
        <v>#DIV/0!</v>
      </c>
      <c r="F54" s="323" t="e">
        <f>IF(OR(E54&gt;=0.2,E54&lt;=-0.2),"超过20%","")</f>
        <v>#DIV/0!</v>
      </c>
      <c r="G54" s="322" t="e">
        <f>IF(G49&lt;I49,I49/G49-1,G49/I49-1)</f>
        <v>#DIV/0!</v>
      </c>
      <c r="H54" s="323" t="e">
        <f>IF(OR(G54&gt;=0.2,G54&lt;=-0.2),"超过20%","")</f>
        <v>#DIV/0!</v>
      </c>
      <c r="I54" s="322" t="e">
        <f>IF(I49&lt;E49,E49/I49-1,I49/E49-1)</f>
        <v>#DIV/0!</v>
      </c>
      <c r="J54" s="323" t="e">
        <f>IF(OR(I54&gt;=0.2,I54&lt;=-0.2),"超过20%","")</f>
        <v>#DIV/0!</v>
      </c>
      <c r="K54" s="858"/>
      <c r="L54" s="859"/>
      <c r="M54" s="889"/>
      <c r="N54" s="889"/>
      <c r="O54" s="889"/>
    </row>
    <row r="55" spans="1:29" s="325" customFormat="1" ht="13.5" customHeight="1">
      <c r="A55" s="890"/>
      <c r="B55" s="890"/>
      <c r="C55" s="320" t="s">
        <v>2679</v>
      </c>
      <c r="D55" s="324"/>
      <c r="E55" s="322" t="e">
        <f>IF(E48&lt;G48,G48/E48-1,E48/G48-1)</f>
        <v>#DIV/0!</v>
      </c>
      <c r="F55" s="323" t="e">
        <f>IF(OR(E55&gt;=0.3,E55&lt;=-0.3),"超过30%","")</f>
        <v>#DIV/0!</v>
      </c>
      <c r="G55" s="322" t="e">
        <f>IF(G48&lt;I48,I48/G48-1,G48/I48-1)</f>
        <v>#DIV/0!</v>
      </c>
      <c r="H55" s="323" t="e">
        <f>IF(OR(G55&gt;=0.3,G55&lt;=-0.3),"超过30%","")</f>
        <v>#DIV/0!</v>
      </c>
      <c r="I55" s="322" t="e">
        <f>IF(I48&lt;E48,E48/I48-1,I48/E48-1)</f>
        <v>#DIV/0!</v>
      </c>
      <c r="J55" s="323" t="e">
        <f>IF(OR(I55&gt;=0.3,I55&lt;=-0.3),"超过30%","")</f>
        <v>#DIV/0!</v>
      </c>
      <c r="K55" s="893"/>
      <c r="L55" s="894"/>
      <c r="M55" s="890"/>
      <c r="N55" s="890"/>
      <c r="O55" s="890"/>
      <c r="P55" s="1876"/>
    </row>
    <row r="56" spans="1:29" s="325" customFormat="1">
      <c r="A56" s="890"/>
      <c r="B56" s="891"/>
      <c r="C56" s="895"/>
      <c r="D56" s="890"/>
      <c r="E56" s="890"/>
      <c r="F56" s="890"/>
      <c r="G56" s="890"/>
      <c r="H56" s="890"/>
      <c r="I56" s="890"/>
      <c r="J56" s="890"/>
      <c r="K56" s="893"/>
      <c r="L56" s="894"/>
      <c r="M56" s="890"/>
      <c r="N56" s="890"/>
      <c r="O56" s="890"/>
      <c r="P56" s="1876"/>
    </row>
    <row r="57" spans="1:29">
      <c r="A57" s="889"/>
      <c r="B57" s="891"/>
      <c r="C57" s="895"/>
      <c r="D57" s="889"/>
      <c r="E57" s="889"/>
      <c r="F57" s="889"/>
      <c r="G57" s="889"/>
      <c r="H57" s="889"/>
      <c r="I57" s="889"/>
      <c r="J57" s="889"/>
      <c r="K57" s="858"/>
      <c r="L57" s="859"/>
      <c r="M57" s="889"/>
      <c r="N57" s="889"/>
      <c r="O57" s="889"/>
    </row>
    <row r="58" spans="1:29" ht="21.75" thickBot="1">
      <c r="A58" s="545" t="s">
        <v>2680</v>
      </c>
      <c r="B58" s="541"/>
      <c r="C58" s="546"/>
      <c r="D58" s="546"/>
      <c r="E58" s="546"/>
      <c r="F58" s="547"/>
      <c r="G58" s="547"/>
      <c r="H58" s="546"/>
      <c r="I58" s="546"/>
      <c r="J58" s="546"/>
      <c r="K58" s="548"/>
      <c r="L58" s="906"/>
      <c r="M58" s="904"/>
      <c r="N58" s="904"/>
      <c r="O58" s="904"/>
      <c r="P58" s="1877"/>
      <c r="Q58" s="327"/>
    </row>
    <row r="59" spans="1:29" s="331" customFormat="1" ht="15">
      <c r="A59" s="328" t="s">
        <v>2554</v>
      </c>
      <c r="B59" s="329"/>
      <c r="C59" s="1237" t="str">
        <f>YEAR(C7)&amp;"-"&amp;MONTH(C7)</f>
        <v>2017-12</v>
      </c>
      <c r="D59" s="1238">
        <f>EDATE(C59,-1)</f>
        <v>43040</v>
      </c>
      <c r="E59" s="1238">
        <f>EDATE(D59,-1)</f>
        <v>43009</v>
      </c>
      <c r="F59" s="1238">
        <f t="shared" ref="F59:O59" si="16">EDATE(E59,-1)</f>
        <v>42979</v>
      </c>
      <c r="G59" s="1238">
        <f t="shared" si="16"/>
        <v>42948</v>
      </c>
      <c r="H59" s="1238">
        <f t="shared" si="16"/>
        <v>42917</v>
      </c>
      <c r="I59" s="1238">
        <f t="shared" si="16"/>
        <v>42887</v>
      </c>
      <c r="J59" s="1238">
        <f t="shared" si="16"/>
        <v>42856</v>
      </c>
      <c r="K59" s="1238">
        <f t="shared" si="16"/>
        <v>42826</v>
      </c>
      <c r="L59" s="1238">
        <f t="shared" si="16"/>
        <v>42795</v>
      </c>
      <c r="M59" s="1238">
        <f t="shared" si="16"/>
        <v>42767</v>
      </c>
      <c r="N59" s="1238">
        <f t="shared" si="16"/>
        <v>42736</v>
      </c>
      <c r="O59" s="1238">
        <f t="shared" si="16"/>
        <v>42705</v>
      </c>
      <c r="P59" s="1234"/>
    </row>
    <row r="60" spans="1:29" s="51" customFormat="1" ht="15">
      <c r="A60" s="332"/>
      <c r="B60" s="333"/>
      <c r="C60" s="1236">
        <v>100</v>
      </c>
      <c r="D60" s="335"/>
      <c r="E60" s="335"/>
      <c r="F60" s="335"/>
      <c r="G60" s="335"/>
      <c r="H60" s="335"/>
      <c r="I60" s="335"/>
      <c r="J60" s="335"/>
      <c r="K60" s="335"/>
      <c r="L60" s="335"/>
      <c r="M60" s="336"/>
      <c r="N60" s="335"/>
      <c r="O60" s="336"/>
      <c r="P60" s="1878"/>
    </row>
    <row r="61" spans="1:29" s="51" customFormat="1" ht="15.75" thickBot="1">
      <c r="A61" s="338" t="s">
        <v>2591</v>
      </c>
      <c r="B61" s="339"/>
      <c r="C61" s="340"/>
      <c r="D61" s="341"/>
      <c r="E61" s="341"/>
      <c r="F61" s="341"/>
      <c r="G61" s="341"/>
      <c r="H61" s="341"/>
      <c r="I61" s="341"/>
      <c r="J61" s="341"/>
      <c r="K61" s="341"/>
      <c r="L61" s="341"/>
      <c r="M61" s="342"/>
      <c r="N61" s="341"/>
      <c r="O61" s="342"/>
      <c r="P61" s="1878"/>
      <c r="Q61" s="327"/>
    </row>
    <row r="62" spans="1:29" s="51" customFormat="1" ht="15">
      <c r="A62" s="344" t="s">
        <v>2556</v>
      </c>
      <c r="B62" s="333"/>
      <c r="C62" s="345" t="s">
        <v>2658</v>
      </c>
      <c r="D62" s="346"/>
      <c r="E62" s="346"/>
      <c r="F62" s="346"/>
      <c r="G62" s="346"/>
      <c r="H62" s="346"/>
      <c r="I62" s="346"/>
      <c r="J62" s="346"/>
      <c r="K62" s="346"/>
      <c r="L62" s="347"/>
      <c r="M62" s="348"/>
      <c r="N62" s="896"/>
      <c r="O62" s="896"/>
      <c r="P62" s="1879"/>
      <c r="Q62" s="327"/>
    </row>
    <row r="63" spans="1:29" s="51" customFormat="1" ht="15.75" thickBot="1">
      <c r="A63" s="344"/>
      <c r="B63" s="333"/>
      <c r="C63" s="334">
        <v>100</v>
      </c>
      <c r="D63" s="335"/>
      <c r="E63" s="335"/>
      <c r="F63" s="335"/>
      <c r="G63" s="335"/>
      <c r="H63" s="335"/>
      <c r="I63" s="335"/>
      <c r="J63" s="335"/>
      <c r="K63" s="335"/>
      <c r="L63" s="335"/>
      <c r="M63" s="337"/>
      <c r="N63" s="896"/>
      <c r="O63" s="896"/>
      <c r="P63" s="1878"/>
      <c r="Q63" s="327"/>
    </row>
    <row r="64" spans="1:29">
      <c r="A64" s="350" t="s">
        <v>2594</v>
      </c>
      <c r="B64" s="351" t="s">
        <v>2560</v>
      </c>
      <c r="C64" s="352">
        <f>C9</f>
        <v>0</v>
      </c>
      <c r="D64" s="353"/>
      <c r="E64" s="353"/>
      <c r="F64" s="353"/>
      <c r="G64" s="353"/>
      <c r="H64" s="353"/>
      <c r="I64" s="353"/>
      <c r="J64" s="353"/>
      <c r="K64" s="354"/>
      <c r="L64" s="355"/>
      <c r="M64" s="356"/>
      <c r="N64" s="897"/>
      <c r="O64" s="897"/>
      <c r="P64" s="1880"/>
      <c r="Q64" s="327"/>
    </row>
    <row r="65" spans="1:17" ht="15.75" thickBot="1">
      <c r="A65" s="357"/>
      <c r="B65" s="358"/>
      <c r="C65" s="359">
        <v>100</v>
      </c>
      <c r="D65" s="359"/>
      <c r="E65" s="359"/>
      <c r="F65" s="359"/>
      <c r="G65" s="359"/>
      <c r="H65" s="359"/>
      <c r="I65" s="359"/>
      <c r="J65" s="359"/>
      <c r="K65" s="359"/>
      <c r="L65" s="359"/>
      <c r="M65" s="360"/>
      <c r="N65" s="898"/>
      <c r="O65" s="898"/>
      <c r="P65" s="1880"/>
      <c r="Q65" s="327"/>
    </row>
    <row r="66" spans="1:17" ht="27.75" thickTop="1">
      <c r="A66" s="357"/>
      <c r="B66" s="361" t="s">
        <v>2563</v>
      </c>
      <c r="C66" s="362" t="s">
        <v>2595</v>
      </c>
      <c r="D66" s="362" t="s">
        <v>2596</v>
      </c>
      <c r="E66" s="362" t="s">
        <v>2597</v>
      </c>
      <c r="F66" s="362" t="s">
        <v>2598</v>
      </c>
      <c r="G66" s="362" t="s">
        <v>2599</v>
      </c>
      <c r="H66" s="362" t="s">
        <v>2600</v>
      </c>
      <c r="I66" s="362" t="s">
        <v>2601</v>
      </c>
      <c r="J66" s="362"/>
      <c r="K66" s="363"/>
      <c r="L66" s="364"/>
      <c r="M66" s="365"/>
      <c r="N66" s="897"/>
      <c r="O66" s="897"/>
      <c r="P66" s="1880"/>
      <c r="Q66" s="327"/>
    </row>
    <row r="67" spans="1:17" ht="15.75" thickBot="1">
      <c r="A67" s="357"/>
      <c r="B67" s="366"/>
      <c r="C67" s="367" t="s">
        <v>24</v>
      </c>
      <c r="D67" s="367" t="s">
        <v>25</v>
      </c>
      <c r="E67" s="367">
        <v>100</v>
      </c>
      <c r="F67" s="367">
        <f>E67-$K10</f>
        <v>100</v>
      </c>
      <c r="G67" s="367">
        <f>F67-$K10</f>
        <v>100</v>
      </c>
      <c r="H67" s="367">
        <f>G67-$K10</f>
        <v>100</v>
      </c>
      <c r="I67" s="367">
        <f>H67-$K10</f>
        <v>100</v>
      </c>
      <c r="J67" s="367"/>
      <c r="K67" s="367"/>
      <c r="L67" s="367"/>
      <c r="M67" s="368"/>
      <c r="N67" s="898"/>
      <c r="O67" s="898"/>
      <c r="P67" s="1880"/>
      <c r="Q67" s="327"/>
    </row>
    <row r="68" spans="1:17" ht="15.75" thickTop="1">
      <c r="A68" s="357"/>
      <c r="B68" s="369" t="s">
        <v>2564</v>
      </c>
      <c r="C68" s="370" t="str">
        <f>C69&amp;"（含）"&amp;"-"&amp;D69</f>
        <v>（含）-</v>
      </c>
      <c r="D68" s="370" t="str">
        <f t="shared" ref="D68:L68" si="17">D69&amp;"（含）"&amp;"-"&amp;E69</f>
        <v>（含）-</v>
      </c>
      <c r="E68" s="370" t="str">
        <f t="shared" si="17"/>
        <v>（含）-</v>
      </c>
      <c r="F68" s="370" t="str">
        <f t="shared" si="17"/>
        <v>（含）-</v>
      </c>
      <c r="G68" s="370" t="str">
        <f t="shared" si="17"/>
        <v>（含）-</v>
      </c>
      <c r="H68" s="370" t="str">
        <f t="shared" si="17"/>
        <v>（含）-</v>
      </c>
      <c r="I68" s="370" t="str">
        <f t="shared" si="17"/>
        <v>（含）-</v>
      </c>
      <c r="J68" s="370" t="str">
        <f t="shared" si="17"/>
        <v>（含）-</v>
      </c>
      <c r="K68" s="370" t="str">
        <f t="shared" si="17"/>
        <v>（含）-</v>
      </c>
      <c r="L68" s="370" t="str">
        <f t="shared" si="17"/>
        <v>（含）-</v>
      </c>
      <c r="M68" s="271" t="str">
        <f>M69&amp;"（含）"&amp;"-"&amp;P69</f>
        <v>（含）-</v>
      </c>
      <c r="N68" s="898"/>
      <c r="O68" s="898"/>
      <c r="P68" s="1880"/>
      <c r="Q68" s="327"/>
    </row>
    <row r="69" spans="1:17" ht="15">
      <c r="A69" s="357"/>
      <c r="B69" s="371"/>
      <c r="C69" s="372"/>
      <c r="D69" s="372"/>
      <c r="E69" s="372"/>
      <c r="F69" s="372"/>
      <c r="G69" s="372"/>
      <c r="H69" s="372"/>
      <c r="I69" s="372"/>
      <c r="J69" s="372"/>
      <c r="K69" s="373"/>
      <c r="L69" s="374"/>
      <c r="M69" s="375"/>
      <c r="N69" s="897"/>
      <c r="O69" s="897"/>
      <c r="P69" s="1880"/>
      <c r="Q69" s="327"/>
    </row>
    <row r="70" spans="1:17" ht="15.75" thickBot="1">
      <c r="A70" s="357"/>
      <c r="B70" s="358"/>
      <c r="C70" s="367">
        <v>100</v>
      </c>
      <c r="D70" s="367">
        <f t="shared" ref="D70:M70" si="18">C70-$K11</f>
        <v>100</v>
      </c>
      <c r="E70" s="367">
        <f t="shared" si="18"/>
        <v>100</v>
      </c>
      <c r="F70" s="367">
        <f t="shared" si="18"/>
        <v>100</v>
      </c>
      <c r="G70" s="367">
        <f t="shared" si="18"/>
        <v>100</v>
      </c>
      <c r="H70" s="367">
        <f t="shared" si="18"/>
        <v>100</v>
      </c>
      <c r="I70" s="367">
        <f t="shared" si="18"/>
        <v>100</v>
      </c>
      <c r="J70" s="367">
        <f t="shared" si="18"/>
        <v>100</v>
      </c>
      <c r="K70" s="367">
        <f t="shared" si="18"/>
        <v>100</v>
      </c>
      <c r="L70" s="367">
        <f t="shared" si="18"/>
        <v>100</v>
      </c>
      <c r="M70" s="368">
        <f t="shared" si="18"/>
        <v>100</v>
      </c>
      <c r="N70" s="898"/>
      <c r="O70" s="898"/>
      <c r="P70" s="1880"/>
      <c r="Q70" s="327"/>
    </row>
    <row r="71" spans="1:17" s="294" customFormat="1" ht="15.75" thickTop="1">
      <c r="A71" s="376"/>
      <c r="B71" s="361">
        <f>B12</f>
        <v>111</v>
      </c>
      <c r="C71" s="377"/>
      <c r="D71" s="377"/>
      <c r="E71" s="377"/>
      <c r="F71" s="377"/>
      <c r="G71" s="377"/>
      <c r="H71" s="378"/>
      <c r="I71" s="378"/>
      <c r="J71" s="378"/>
      <c r="K71" s="378"/>
      <c r="L71" s="379"/>
      <c r="M71" s="380"/>
      <c r="N71" s="899"/>
      <c r="O71" s="899"/>
      <c r="P71" s="1881"/>
      <c r="Q71" s="382"/>
    </row>
    <row r="72" spans="1:17" s="294" customFormat="1" ht="15.75" thickBot="1">
      <c r="A72" s="376"/>
      <c r="B72" s="366"/>
      <c r="C72" s="383"/>
      <c r="D72" s="359"/>
      <c r="E72" s="359"/>
      <c r="F72" s="359"/>
      <c r="G72" s="359"/>
      <c r="H72" s="359"/>
      <c r="I72" s="359"/>
      <c r="J72" s="359"/>
      <c r="K72" s="359"/>
      <c r="L72" s="359"/>
      <c r="M72" s="360"/>
      <c r="N72" s="898"/>
      <c r="O72" s="898"/>
      <c r="P72" s="1881"/>
      <c r="Q72" s="382"/>
    </row>
    <row r="73" spans="1:17" s="294" customFormat="1" ht="15.75" thickTop="1">
      <c r="A73" s="376"/>
      <c r="B73" s="361">
        <f>B13</f>
        <v>111</v>
      </c>
      <c r="C73" s="377"/>
      <c r="D73" s="377"/>
      <c r="E73" s="377"/>
      <c r="F73" s="377"/>
      <c r="G73" s="377"/>
      <c r="H73" s="378"/>
      <c r="I73" s="378"/>
      <c r="J73" s="378"/>
      <c r="K73" s="378"/>
      <c r="L73" s="379"/>
      <c r="M73" s="380"/>
      <c r="N73" s="899"/>
      <c r="O73" s="899"/>
      <c r="P73" s="1882"/>
      <c r="Q73" s="384"/>
    </row>
    <row r="74" spans="1:17" s="294" customFormat="1" ht="15.75" thickBot="1">
      <c r="A74" s="376"/>
      <c r="B74" s="366"/>
      <c r="C74" s="383"/>
      <c r="D74" s="383"/>
      <c r="E74" s="383"/>
      <c r="F74" s="383"/>
      <c r="G74" s="383"/>
      <c r="H74" s="385"/>
      <c r="I74" s="385"/>
      <c r="J74" s="385"/>
      <c r="K74" s="385"/>
      <c r="L74" s="385"/>
      <c r="M74" s="386"/>
      <c r="N74" s="899"/>
      <c r="O74" s="899"/>
      <c r="P74" s="1881"/>
      <c r="Q74" s="382"/>
    </row>
    <row r="75" spans="1:17" s="294" customFormat="1" ht="15.75" thickTop="1">
      <c r="A75" s="376"/>
      <c r="B75" s="369">
        <f>B14</f>
        <v>111</v>
      </c>
      <c r="C75" s="346"/>
      <c r="D75" s="346"/>
      <c r="E75" s="346"/>
      <c r="F75" s="346"/>
      <c r="G75" s="346"/>
      <c r="H75" s="387"/>
      <c r="I75" s="387"/>
      <c r="J75" s="387"/>
      <c r="K75" s="387"/>
      <c r="L75" s="388"/>
      <c r="M75" s="389"/>
      <c r="N75" s="899"/>
      <c r="O75" s="899"/>
      <c r="P75" s="1883"/>
      <c r="Q75" s="382"/>
    </row>
    <row r="76" spans="1:17" s="294" customFormat="1" ht="15.75" thickBot="1">
      <c r="A76" s="391"/>
      <c r="B76" s="392"/>
      <c r="C76" s="393"/>
      <c r="D76" s="393"/>
      <c r="E76" s="393"/>
      <c r="F76" s="393"/>
      <c r="G76" s="393"/>
      <c r="H76" s="394"/>
      <c r="I76" s="394"/>
      <c r="J76" s="394"/>
      <c r="K76" s="394"/>
      <c r="L76" s="394"/>
      <c r="M76" s="395"/>
      <c r="N76" s="899"/>
      <c r="O76" s="899"/>
      <c r="P76" s="1881"/>
      <c r="Q76" s="382"/>
    </row>
    <row r="77" spans="1:17">
      <c r="A77" s="350" t="s">
        <v>2565</v>
      </c>
      <c r="B77" s="351" t="s">
        <v>2703</v>
      </c>
      <c r="C77" s="396" t="s">
        <v>2603</v>
      </c>
      <c r="D77" s="396" t="s">
        <v>2604</v>
      </c>
      <c r="E77" s="396" t="s">
        <v>2605</v>
      </c>
      <c r="F77" s="396" t="s">
        <v>2606</v>
      </c>
      <c r="G77" s="396" t="s">
        <v>2607</v>
      </c>
      <c r="H77" s="352"/>
      <c r="I77" s="352"/>
      <c r="J77" s="352"/>
      <c r="K77" s="397"/>
      <c r="L77" s="398"/>
      <c r="M77" s="399"/>
      <c r="N77" s="897"/>
      <c r="O77" s="897"/>
      <c r="P77" s="1884"/>
      <c r="Q77" s="327"/>
    </row>
    <row r="78" spans="1:17" ht="15.75" thickBot="1">
      <c r="A78" s="357"/>
      <c r="B78" s="366"/>
      <c r="C78" s="367">
        <v>100</v>
      </c>
      <c r="D78" s="367">
        <f>C78-$K15</f>
        <v>100</v>
      </c>
      <c r="E78" s="367">
        <f>D78-$K15</f>
        <v>100</v>
      </c>
      <c r="F78" s="367">
        <f>E78-$K15</f>
        <v>100</v>
      </c>
      <c r="G78" s="367">
        <f>F78-$K15</f>
        <v>100</v>
      </c>
      <c r="H78" s="367"/>
      <c r="I78" s="367"/>
      <c r="J78" s="367"/>
      <c r="K78" s="367"/>
      <c r="L78" s="367"/>
      <c r="M78" s="368"/>
      <c r="N78" s="898"/>
      <c r="O78" s="898"/>
      <c r="P78" s="1880"/>
      <c r="Q78" s="327"/>
    </row>
    <row r="79" spans="1:17" ht="15.75" thickTop="1">
      <c r="A79" s="357"/>
      <c r="B79" s="361" t="s">
        <v>2608</v>
      </c>
      <c r="C79" s="401" t="s">
        <v>2603</v>
      </c>
      <c r="D79" s="401" t="s">
        <v>2604</v>
      </c>
      <c r="E79" s="401" t="s">
        <v>2605</v>
      </c>
      <c r="F79" s="401" t="s">
        <v>2606</v>
      </c>
      <c r="G79" s="401" t="s">
        <v>2607</v>
      </c>
      <c r="H79" s="362"/>
      <c r="I79" s="362"/>
      <c r="J79" s="362"/>
      <c r="K79" s="363"/>
      <c r="L79" s="364"/>
      <c r="M79" s="365"/>
      <c r="N79" s="897"/>
      <c r="O79" s="897"/>
      <c r="P79" s="1880"/>
      <c r="Q79" s="327"/>
    </row>
    <row r="80" spans="1:17" ht="15.75" thickBot="1">
      <c r="A80" s="357"/>
      <c r="B80" s="366"/>
      <c r="C80" s="367">
        <v>100</v>
      </c>
      <c r="D80" s="367">
        <f>C80-$K17</f>
        <v>100</v>
      </c>
      <c r="E80" s="367">
        <f>D80-$K17</f>
        <v>100</v>
      </c>
      <c r="F80" s="367">
        <f>E80-$K17</f>
        <v>100</v>
      </c>
      <c r="G80" s="367">
        <f>F80-$K17</f>
        <v>100</v>
      </c>
      <c r="H80" s="367"/>
      <c r="I80" s="367"/>
      <c r="J80" s="367"/>
      <c r="K80" s="367"/>
      <c r="L80" s="367"/>
      <c r="M80" s="368"/>
      <c r="N80" s="898"/>
      <c r="O80" s="898"/>
      <c r="P80" s="1880"/>
      <c r="Q80" s="327"/>
    </row>
    <row r="81" spans="1:17" ht="15.75" thickTop="1">
      <c r="A81" s="357"/>
      <c r="B81" s="361" t="s">
        <v>2609</v>
      </c>
      <c r="C81" s="401" t="s">
        <v>2603</v>
      </c>
      <c r="D81" s="401" t="s">
        <v>2604</v>
      </c>
      <c r="E81" s="401" t="s">
        <v>2605</v>
      </c>
      <c r="F81" s="401" t="s">
        <v>2606</v>
      </c>
      <c r="G81" s="401" t="s">
        <v>2607</v>
      </c>
      <c r="H81" s="362"/>
      <c r="I81" s="362"/>
      <c r="J81" s="362"/>
      <c r="K81" s="363"/>
      <c r="L81" s="364"/>
      <c r="M81" s="365"/>
      <c r="N81" s="897"/>
      <c r="O81" s="897"/>
      <c r="P81" s="1880"/>
      <c r="Q81" s="327"/>
    </row>
    <row r="82" spans="1:17" ht="15.75" thickBot="1">
      <c r="A82" s="357"/>
      <c r="B82" s="366"/>
      <c r="C82" s="367">
        <v>100</v>
      </c>
      <c r="D82" s="367">
        <f>C82-$K19</f>
        <v>100</v>
      </c>
      <c r="E82" s="367">
        <f>D82-$K19</f>
        <v>100</v>
      </c>
      <c r="F82" s="367">
        <f>E82-$K19</f>
        <v>100</v>
      </c>
      <c r="G82" s="367">
        <f>F82-$K19</f>
        <v>100</v>
      </c>
      <c r="H82" s="367"/>
      <c r="I82" s="367"/>
      <c r="J82" s="367"/>
      <c r="K82" s="367"/>
      <c r="L82" s="367"/>
      <c r="M82" s="368"/>
      <c r="N82" s="898"/>
      <c r="O82" s="898"/>
      <c r="P82" s="1880"/>
      <c r="Q82" s="327"/>
    </row>
    <row r="83" spans="1:17" ht="15.75" thickTop="1">
      <c r="A83" s="357"/>
      <c r="B83" s="369" t="s">
        <v>2695</v>
      </c>
      <c r="C83" s="480" t="s">
        <v>2681</v>
      </c>
      <c r="D83" s="480" t="s">
        <v>2682</v>
      </c>
      <c r="E83" s="480" t="s">
        <v>2683</v>
      </c>
      <c r="F83" s="480" t="s">
        <v>2684</v>
      </c>
      <c r="G83" s="480" t="s">
        <v>2685</v>
      </c>
      <c r="H83" s="362"/>
      <c r="I83" s="362"/>
      <c r="J83" s="362"/>
      <c r="K83" s="362"/>
      <c r="L83" s="362"/>
      <c r="M83" s="1059"/>
      <c r="N83" s="898"/>
      <c r="O83" s="898"/>
      <c r="P83" s="1880"/>
      <c r="Q83" s="327"/>
    </row>
    <row r="84" spans="1:17" ht="15.75" thickBot="1">
      <c r="A84" s="357"/>
      <c r="B84" s="369"/>
      <c r="C84" s="367">
        <v>100</v>
      </c>
      <c r="D84" s="367">
        <f>C84-$K21</f>
        <v>100</v>
      </c>
      <c r="E84" s="367">
        <f>D84-$K21</f>
        <v>100</v>
      </c>
      <c r="F84" s="367">
        <f>E84-$K21</f>
        <v>100</v>
      </c>
      <c r="G84" s="367">
        <f>F84-$K21</f>
        <v>100</v>
      </c>
      <c r="H84" s="480"/>
      <c r="I84" s="480"/>
      <c r="J84" s="480"/>
      <c r="K84" s="480"/>
      <c r="L84" s="480"/>
      <c r="M84" s="273"/>
      <c r="N84" s="898"/>
      <c r="O84" s="898"/>
      <c r="P84" s="1880"/>
      <c r="Q84" s="327"/>
    </row>
    <row r="85" spans="1:17" ht="15.75" thickTop="1">
      <c r="A85" s="357"/>
      <c r="B85" s="361" t="s">
        <v>2704</v>
      </c>
      <c r="C85" s="401" t="s">
        <v>2603</v>
      </c>
      <c r="D85" s="401" t="s">
        <v>2604</v>
      </c>
      <c r="E85" s="401" t="s">
        <v>2605</v>
      </c>
      <c r="F85" s="401" t="s">
        <v>2606</v>
      </c>
      <c r="G85" s="401" t="s">
        <v>2607</v>
      </c>
      <c r="H85" s="362"/>
      <c r="I85" s="362"/>
      <c r="J85" s="362"/>
      <c r="K85" s="363"/>
      <c r="L85" s="364"/>
      <c r="M85" s="365"/>
      <c r="N85" s="897"/>
      <c r="O85" s="897"/>
      <c r="P85" s="1880"/>
      <c r="Q85" s="327"/>
    </row>
    <row r="86" spans="1:17" ht="15.75" thickBot="1">
      <c r="A86" s="357"/>
      <c r="B86" s="366"/>
      <c r="C86" s="367">
        <v>100</v>
      </c>
      <c r="D86" s="367">
        <f>C86-$K23</f>
        <v>100</v>
      </c>
      <c r="E86" s="367">
        <f>D86-$K23</f>
        <v>100</v>
      </c>
      <c r="F86" s="367">
        <f>E86-$K23</f>
        <v>100</v>
      </c>
      <c r="G86" s="367">
        <f>F86-$K23</f>
        <v>100</v>
      </c>
      <c r="H86" s="367"/>
      <c r="I86" s="367"/>
      <c r="J86" s="367"/>
      <c r="K86" s="367"/>
      <c r="L86" s="367"/>
      <c r="M86" s="368"/>
      <c r="N86" s="898"/>
      <c r="O86" s="898"/>
      <c r="P86" s="1880"/>
      <c r="Q86" s="327"/>
    </row>
    <row r="87" spans="1:17" s="51" customFormat="1" ht="27.75" thickTop="1">
      <c r="A87" s="402"/>
      <c r="B87" s="361" t="s">
        <v>2705</v>
      </c>
      <c r="C87" s="377"/>
      <c r="D87" s="377"/>
      <c r="E87" s="377"/>
      <c r="F87" s="377"/>
      <c r="G87" s="377"/>
      <c r="H87" s="377"/>
      <c r="I87" s="377"/>
      <c r="J87" s="377"/>
      <c r="K87" s="377"/>
      <c r="L87" s="403"/>
      <c r="M87" s="404"/>
      <c r="N87" s="896"/>
      <c r="O87" s="896"/>
      <c r="P87" s="1880"/>
      <c r="Q87" s="327"/>
    </row>
    <row r="88" spans="1:17" s="51" customFormat="1" ht="15.75" thickBot="1">
      <c r="A88" s="402"/>
      <c r="B88" s="366"/>
      <c r="C88" s="405">
        <v>100</v>
      </c>
      <c r="D88" s="367">
        <f t="shared" ref="D88:M88" si="19">C88-$K25</f>
        <v>100</v>
      </c>
      <c r="E88" s="367">
        <f t="shared" si="19"/>
        <v>100</v>
      </c>
      <c r="F88" s="367">
        <f t="shared" si="19"/>
        <v>100</v>
      </c>
      <c r="G88" s="367">
        <f t="shared" si="19"/>
        <v>100</v>
      </c>
      <c r="H88" s="367">
        <f t="shared" si="19"/>
        <v>100</v>
      </c>
      <c r="I88" s="367">
        <f t="shared" si="19"/>
        <v>100</v>
      </c>
      <c r="J88" s="367">
        <f t="shared" si="19"/>
        <v>100</v>
      </c>
      <c r="K88" s="367">
        <f t="shared" si="19"/>
        <v>100</v>
      </c>
      <c r="L88" s="367">
        <f t="shared" si="19"/>
        <v>100</v>
      </c>
      <c r="M88" s="367">
        <f t="shared" si="19"/>
        <v>100</v>
      </c>
      <c r="N88" s="898"/>
      <c r="O88" s="898"/>
      <c r="P88" s="1880"/>
      <c r="Q88" s="327"/>
    </row>
    <row r="89" spans="1:17" s="51" customFormat="1" ht="15.75" thickTop="1">
      <c r="A89" s="402"/>
      <c r="B89" s="361" t="str">
        <f>B27</f>
        <v>楼层</v>
      </c>
      <c r="C89" s="377"/>
      <c r="D89" s="377"/>
      <c r="E89" s="377"/>
      <c r="F89" s="1840"/>
      <c r="G89" s="377"/>
      <c r="H89" s="377"/>
      <c r="I89" s="377"/>
      <c r="J89" s="377"/>
      <c r="K89" s="377"/>
      <c r="L89" s="377"/>
      <c r="M89" s="404"/>
      <c r="N89" s="896"/>
      <c r="O89" s="896"/>
      <c r="P89" s="1880"/>
      <c r="Q89" s="327"/>
    </row>
    <row r="90" spans="1:17" s="51" customFormat="1" ht="15.75" thickBot="1">
      <c r="A90" s="402"/>
      <c r="B90" s="366"/>
      <c r="C90" s="405">
        <v>100</v>
      </c>
      <c r="D90" s="367">
        <f>C90-$K27</f>
        <v>100</v>
      </c>
      <c r="E90" s="367">
        <f t="shared" ref="E90:M90" si="20">D90-$K27</f>
        <v>100</v>
      </c>
      <c r="F90" s="367">
        <f t="shared" si="20"/>
        <v>100</v>
      </c>
      <c r="G90" s="367">
        <f t="shared" si="20"/>
        <v>100</v>
      </c>
      <c r="H90" s="367">
        <f t="shared" si="20"/>
        <v>100</v>
      </c>
      <c r="I90" s="367">
        <f t="shared" si="20"/>
        <v>100</v>
      </c>
      <c r="J90" s="367">
        <f t="shared" si="20"/>
        <v>100</v>
      </c>
      <c r="K90" s="367">
        <f t="shared" si="20"/>
        <v>100</v>
      </c>
      <c r="L90" s="367">
        <f t="shared" si="20"/>
        <v>100</v>
      </c>
      <c r="M90" s="367">
        <f t="shared" si="20"/>
        <v>100</v>
      </c>
      <c r="N90" s="898"/>
      <c r="O90" s="898"/>
      <c r="P90" s="1880"/>
      <c r="Q90" s="327"/>
    </row>
    <row r="91" spans="1:17" s="294" customFormat="1" ht="15.75" thickTop="1">
      <c r="A91" s="376"/>
      <c r="B91" s="361" t="str">
        <f>B28</f>
        <v>朝向</v>
      </c>
      <c r="C91" s="377"/>
      <c r="D91" s="377"/>
      <c r="E91" s="377"/>
      <c r="F91" s="377"/>
      <c r="G91" s="377"/>
      <c r="H91" s="378"/>
      <c r="I91" s="378"/>
      <c r="J91" s="378"/>
      <c r="K91" s="378"/>
      <c r="L91" s="379"/>
      <c r="M91" s="380"/>
      <c r="N91" s="899"/>
      <c r="O91" s="899"/>
      <c r="P91" s="1881"/>
      <c r="Q91" s="382"/>
    </row>
    <row r="92" spans="1:17" s="294" customFormat="1" ht="15.75" thickBot="1">
      <c r="A92" s="376"/>
      <c r="B92" s="366"/>
      <c r="C92" s="405">
        <v>100</v>
      </c>
      <c r="D92" s="367">
        <f t="shared" ref="D92:M92" si="21">C92-$K28</f>
        <v>100</v>
      </c>
      <c r="E92" s="367">
        <f t="shared" si="21"/>
        <v>100</v>
      </c>
      <c r="F92" s="367">
        <f t="shared" si="21"/>
        <v>100</v>
      </c>
      <c r="G92" s="367">
        <f t="shared" si="21"/>
        <v>100</v>
      </c>
      <c r="H92" s="367">
        <f t="shared" si="21"/>
        <v>100</v>
      </c>
      <c r="I92" s="367">
        <f t="shared" si="21"/>
        <v>100</v>
      </c>
      <c r="J92" s="367">
        <f t="shared" si="21"/>
        <v>100</v>
      </c>
      <c r="K92" s="367">
        <f t="shared" si="21"/>
        <v>100</v>
      </c>
      <c r="L92" s="367">
        <f t="shared" si="21"/>
        <v>100</v>
      </c>
      <c r="M92" s="367">
        <f t="shared" si="21"/>
        <v>100</v>
      </c>
      <c r="N92" s="899"/>
      <c r="O92" s="899"/>
      <c r="P92" s="1881"/>
      <c r="Q92" s="382"/>
    </row>
    <row r="93" spans="1:17" ht="15.75" thickTop="1">
      <c r="A93" s="357"/>
      <c r="B93" s="361">
        <f>B29</f>
        <v>111</v>
      </c>
      <c r="C93" s="377"/>
      <c r="D93" s="377"/>
      <c r="E93" s="377"/>
      <c r="F93" s="377"/>
      <c r="G93" s="377"/>
      <c r="H93" s="377"/>
      <c r="I93" s="377"/>
      <c r="J93" s="377"/>
      <c r="K93" s="377"/>
      <c r="L93" s="403"/>
      <c r="M93" s="404"/>
      <c r="N93" s="897"/>
      <c r="O93" s="897"/>
      <c r="P93" s="1880"/>
      <c r="Q93" s="327"/>
    </row>
    <row r="94" spans="1:17" ht="15.75" thickBot="1">
      <c r="A94" s="357"/>
      <c r="B94" s="366"/>
      <c r="C94" s="383"/>
      <c r="D94" s="359"/>
      <c r="E94" s="359"/>
      <c r="F94" s="359"/>
      <c r="G94" s="359"/>
      <c r="H94" s="359"/>
      <c r="I94" s="359"/>
      <c r="J94" s="359"/>
      <c r="K94" s="359"/>
      <c r="L94" s="359"/>
      <c r="M94" s="360"/>
      <c r="N94" s="898"/>
      <c r="O94" s="898"/>
      <c r="P94" s="1880"/>
      <c r="Q94" s="327"/>
    </row>
    <row r="95" spans="1:17" ht="15.75" thickTop="1">
      <c r="A95" s="357"/>
      <c r="B95" s="361">
        <f>B30</f>
        <v>111</v>
      </c>
      <c r="C95" s="377"/>
      <c r="D95" s="377"/>
      <c r="E95" s="377"/>
      <c r="F95" s="377"/>
      <c r="G95" s="406"/>
      <c r="H95" s="406"/>
      <c r="I95" s="406"/>
      <c r="J95" s="406"/>
      <c r="K95" s="407"/>
      <c r="L95" s="408"/>
      <c r="M95" s="409"/>
      <c r="N95" s="897"/>
      <c r="O95" s="897"/>
      <c r="P95" s="1880"/>
      <c r="Q95" s="327"/>
    </row>
    <row r="96" spans="1:17" ht="15.75" thickBot="1">
      <c r="A96" s="357"/>
      <c r="B96" s="366"/>
      <c r="C96" s="383"/>
      <c r="D96" s="383"/>
      <c r="E96" s="383"/>
      <c r="F96" s="383"/>
      <c r="G96" s="359"/>
      <c r="H96" s="359"/>
      <c r="I96" s="359"/>
      <c r="J96" s="359"/>
      <c r="K96" s="359"/>
      <c r="L96" s="359"/>
      <c r="M96" s="360"/>
      <c r="N96" s="898"/>
      <c r="O96" s="898"/>
      <c r="P96" s="1880"/>
      <c r="Q96" s="327"/>
    </row>
    <row r="97" spans="1:17" ht="15.75" thickTop="1">
      <c r="A97" s="357"/>
      <c r="B97" s="361">
        <f>B31</f>
        <v>111</v>
      </c>
      <c r="C97" s="377"/>
      <c r="D97" s="377"/>
      <c r="E97" s="377"/>
      <c r="F97" s="377"/>
      <c r="G97" s="406"/>
      <c r="H97" s="406"/>
      <c r="I97" s="406"/>
      <c r="J97" s="406"/>
      <c r="K97" s="407"/>
      <c r="L97" s="408"/>
      <c r="M97" s="409"/>
      <c r="N97" s="897"/>
      <c r="O97" s="897"/>
      <c r="P97" s="1880"/>
      <c r="Q97" s="327"/>
    </row>
    <row r="98" spans="1:17" ht="15.75" thickBot="1">
      <c r="A98" s="357"/>
      <c r="B98" s="366"/>
      <c r="C98" s="383"/>
      <c r="D98" s="359"/>
      <c r="E98" s="359"/>
      <c r="F98" s="359"/>
      <c r="G98" s="359"/>
      <c r="H98" s="359"/>
      <c r="I98" s="359"/>
      <c r="J98" s="359"/>
      <c r="K98" s="359"/>
      <c r="L98" s="359"/>
      <c r="M98" s="360"/>
      <c r="N98" s="898"/>
      <c r="O98" s="898"/>
      <c r="P98" s="1880"/>
      <c r="Q98" s="327"/>
    </row>
    <row r="99" spans="1:17" ht="15.75" thickTop="1">
      <c r="A99" s="357"/>
      <c r="B99" s="369">
        <f>B32</f>
        <v>111</v>
      </c>
      <c r="C99" s="346"/>
      <c r="D99" s="346"/>
      <c r="E99" s="346"/>
      <c r="F99" s="346"/>
      <c r="G99" s="410"/>
      <c r="H99" s="410"/>
      <c r="I99" s="410"/>
      <c r="J99" s="410"/>
      <c r="K99" s="411"/>
      <c r="L99" s="412"/>
      <c r="M99" s="413"/>
      <c r="N99" s="897"/>
      <c r="O99" s="897"/>
      <c r="P99" s="1880"/>
      <c r="Q99" s="327"/>
    </row>
    <row r="100" spans="1:17" ht="15.75" thickBot="1">
      <c r="A100" s="1841"/>
      <c r="B100" s="392"/>
      <c r="C100" s="393"/>
      <c r="D100" s="393"/>
      <c r="E100" s="393"/>
      <c r="F100" s="393"/>
      <c r="G100" s="414"/>
      <c r="H100" s="414"/>
      <c r="I100" s="414"/>
      <c r="J100" s="414"/>
      <c r="K100" s="414"/>
      <c r="L100" s="414"/>
      <c r="M100" s="415"/>
      <c r="N100" s="898"/>
      <c r="O100" s="898"/>
      <c r="P100" s="1880"/>
      <c r="Q100" s="327"/>
    </row>
    <row r="101" spans="1:17">
      <c r="A101" s="350" t="s">
        <v>2569</v>
      </c>
      <c r="B101" s="351" t="s">
        <v>2618</v>
      </c>
      <c r="C101" s="353"/>
      <c r="D101" s="353"/>
      <c r="E101" s="353"/>
      <c r="F101" s="353"/>
      <c r="G101" s="353"/>
      <c r="H101" s="353"/>
      <c r="I101" s="353"/>
      <c r="J101" s="353"/>
      <c r="K101" s="354"/>
      <c r="L101" s="355"/>
      <c r="M101" s="356"/>
      <c r="N101" s="897"/>
      <c r="O101" s="897"/>
      <c r="P101" s="1880"/>
      <c r="Q101" s="327"/>
    </row>
    <row r="102" spans="1:17" ht="15.75" thickBot="1">
      <c r="A102" s="357"/>
      <c r="B102" s="366"/>
      <c r="C102" s="367">
        <v>100</v>
      </c>
      <c r="D102" s="367">
        <f t="shared" ref="D102:M102" si="22">C102-$K33</f>
        <v>100</v>
      </c>
      <c r="E102" s="367">
        <f t="shared" si="22"/>
        <v>100</v>
      </c>
      <c r="F102" s="367">
        <f t="shared" si="22"/>
        <v>100</v>
      </c>
      <c r="G102" s="367">
        <f t="shared" si="22"/>
        <v>100</v>
      </c>
      <c r="H102" s="367">
        <f t="shared" si="22"/>
        <v>100</v>
      </c>
      <c r="I102" s="367">
        <f t="shared" si="22"/>
        <v>100</v>
      </c>
      <c r="J102" s="367">
        <f t="shared" si="22"/>
        <v>100</v>
      </c>
      <c r="K102" s="367">
        <f t="shared" si="22"/>
        <v>100</v>
      </c>
      <c r="L102" s="367">
        <f t="shared" si="22"/>
        <v>100</v>
      </c>
      <c r="M102" s="368">
        <f t="shared" si="22"/>
        <v>100</v>
      </c>
      <c r="N102" s="898"/>
      <c r="O102" s="898"/>
      <c r="P102" s="1880"/>
      <c r="Q102" s="327"/>
    </row>
    <row r="103" spans="1:17" ht="15.75" thickTop="1">
      <c r="A103" s="357"/>
      <c r="B103" s="361" t="s">
        <v>2619</v>
      </c>
      <c r="C103" s="401" t="str">
        <f>C104&amp;"(含)"&amp;"-"&amp;D104</f>
        <v>(含)-</v>
      </c>
      <c r="D103" s="401" t="str">
        <f t="shared" ref="D103:L103" si="23">D104&amp;"(含)"&amp;"-"&amp;E104</f>
        <v>(含)-</v>
      </c>
      <c r="E103" s="401" t="str">
        <f t="shared" si="23"/>
        <v>(含)-</v>
      </c>
      <c r="F103" s="401" t="str">
        <f t="shared" si="23"/>
        <v>(含)-</v>
      </c>
      <c r="G103" s="401" t="str">
        <f t="shared" si="23"/>
        <v>(含)-</v>
      </c>
      <c r="H103" s="401" t="str">
        <f t="shared" si="23"/>
        <v>(含)-</v>
      </c>
      <c r="I103" s="401" t="str">
        <f t="shared" si="23"/>
        <v>(含)-</v>
      </c>
      <c r="J103" s="401" t="str">
        <f t="shared" si="23"/>
        <v>(含)-</v>
      </c>
      <c r="K103" s="401" t="str">
        <f t="shared" si="23"/>
        <v>(含)-</v>
      </c>
      <c r="L103" s="401" t="str">
        <f t="shared" si="23"/>
        <v>(含)-</v>
      </c>
      <c r="M103" s="443" t="str">
        <f>M104&amp;"(含)"&amp;"-"&amp;P104</f>
        <v>(含)-</v>
      </c>
      <c r="N103" s="896"/>
      <c r="O103" s="896"/>
      <c r="P103" s="1880"/>
      <c r="Q103" s="327"/>
    </row>
    <row r="104" spans="1:17" s="294" customFormat="1">
      <c r="A104" s="416"/>
      <c r="B104" s="417"/>
      <c r="C104" s="418"/>
      <c r="D104" s="418"/>
      <c r="E104" s="418"/>
      <c r="F104" s="418"/>
      <c r="G104" s="418"/>
      <c r="H104" s="418"/>
      <c r="I104" s="418"/>
      <c r="J104" s="419"/>
      <c r="K104" s="419"/>
      <c r="L104" s="420"/>
      <c r="M104" s="421"/>
      <c r="N104" s="899"/>
      <c r="O104" s="899"/>
      <c r="P104" s="1881"/>
      <c r="Q104" s="382"/>
    </row>
    <row r="105" spans="1:17" s="294" customFormat="1" ht="15.75" thickBot="1">
      <c r="A105" s="376"/>
      <c r="B105" s="366"/>
      <c r="C105" s="383"/>
      <c r="D105" s="359"/>
      <c r="E105" s="359"/>
      <c r="F105" s="359"/>
      <c r="G105" s="359"/>
      <c r="H105" s="359"/>
      <c r="I105" s="359"/>
      <c r="J105" s="359"/>
      <c r="K105" s="359"/>
      <c r="L105" s="359"/>
      <c r="M105" s="360"/>
      <c r="N105" s="898"/>
      <c r="O105" s="898"/>
      <c r="P105" s="1881"/>
      <c r="Q105" s="382"/>
    </row>
    <row r="106" spans="1:17" ht="15" thickTop="1">
      <c r="A106" s="422"/>
      <c r="B106" s="361" t="s">
        <v>2620</v>
      </c>
      <c r="C106" s="377"/>
      <c r="D106" s="377"/>
      <c r="E106" s="406"/>
      <c r="F106" s="406"/>
      <c r="G106" s="406"/>
      <c r="H106" s="406"/>
      <c r="I106" s="406"/>
      <c r="J106" s="406"/>
      <c r="K106" s="407"/>
      <c r="L106" s="408"/>
      <c r="M106" s="409"/>
      <c r="N106" s="897"/>
      <c r="O106" s="897"/>
      <c r="P106" s="1880"/>
      <c r="Q106" s="327"/>
    </row>
    <row r="107" spans="1:17" ht="15.75" thickBot="1">
      <c r="A107" s="357"/>
      <c r="B107" s="366"/>
      <c r="C107" s="367">
        <v>100</v>
      </c>
      <c r="D107" s="367">
        <f t="shared" ref="D107:M107" si="24">C107-$K35</f>
        <v>100</v>
      </c>
      <c r="E107" s="367">
        <f t="shared" si="24"/>
        <v>100</v>
      </c>
      <c r="F107" s="367">
        <f t="shared" si="24"/>
        <v>100</v>
      </c>
      <c r="G107" s="367">
        <f t="shared" si="24"/>
        <v>100</v>
      </c>
      <c r="H107" s="367">
        <f t="shared" si="24"/>
        <v>100</v>
      </c>
      <c r="I107" s="367">
        <f t="shared" si="24"/>
        <v>100</v>
      </c>
      <c r="J107" s="367">
        <f t="shared" si="24"/>
        <v>100</v>
      </c>
      <c r="K107" s="367">
        <f t="shared" si="24"/>
        <v>100</v>
      </c>
      <c r="L107" s="367">
        <f t="shared" si="24"/>
        <v>100</v>
      </c>
      <c r="M107" s="368">
        <f t="shared" si="24"/>
        <v>100</v>
      </c>
      <c r="N107" s="898"/>
      <c r="O107" s="898"/>
      <c r="P107" s="1880"/>
      <c r="Q107" s="327"/>
    </row>
    <row r="108" spans="1:17" ht="15" thickTop="1">
      <c r="A108" s="422"/>
      <c r="B108" s="361" t="s">
        <v>2622</v>
      </c>
      <c r="C108" s="377"/>
      <c r="D108" s="377"/>
      <c r="E108" s="377"/>
      <c r="F108" s="406"/>
      <c r="G108" s="406"/>
      <c r="H108" s="406"/>
      <c r="I108" s="406"/>
      <c r="J108" s="406"/>
      <c r="K108" s="407"/>
      <c r="L108" s="408"/>
      <c r="M108" s="409"/>
      <c r="N108" s="897"/>
      <c r="O108" s="897"/>
      <c r="P108" s="1880"/>
      <c r="Q108" s="327"/>
    </row>
    <row r="109" spans="1:17" ht="15.75" thickBot="1">
      <c r="A109" s="357"/>
      <c r="B109" s="366"/>
      <c r="C109" s="367">
        <v>100</v>
      </c>
      <c r="D109" s="367">
        <f t="shared" ref="D109:M109" si="25">C109-$K36</f>
        <v>100</v>
      </c>
      <c r="E109" s="367">
        <f t="shared" si="25"/>
        <v>100</v>
      </c>
      <c r="F109" s="367">
        <f t="shared" si="25"/>
        <v>100</v>
      </c>
      <c r="G109" s="367">
        <f t="shared" si="25"/>
        <v>100</v>
      </c>
      <c r="H109" s="367">
        <f t="shared" si="25"/>
        <v>100</v>
      </c>
      <c r="I109" s="367">
        <f t="shared" si="25"/>
        <v>100</v>
      </c>
      <c r="J109" s="367">
        <f t="shared" si="25"/>
        <v>100</v>
      </c>
      <c r="K109" s="367">
        <f t="shared" si="25"/>
        <v>100</v>
      </c>
      <c r="L109" s="367">
        <f t="shared" si="25"/>
        <v>100</v>
      </c>
      <c r="M109" s="368">
        <f t="shared" si="25"/>
        <v>100</v>
      </c>
      <c r="N109" s="898"/>
      <c r="O109" s="898"/>
      <c r="P109" s="1880"/>
      <c r="Q109" s="327"/>
    </row>
    <row r="110" spans="1:17" ht="15" thickTop="1">
      <c r="A110" s="422"/>
      <c r="B110" s="361" t="s">
        <v>2000</v>
      </c>
      <c r="C110" s="401" t="str">
        <f>C111&amp;"(含)"&amp;"-"&amp;D111</f>
        <v>0.5(含)-0.6</v>
      </c>
      <c r="D110" s="401" t="str">
        <f>D111&amp;"(含)"&amp;"-"&amp;E111</f>
        <v>0.6(含)-0.7</v>
      </c>
      <c r="E110" s="401" t="str">
        <f>E111&amp;"(含)"&amp;"-"&amp;F111</f>
        <v>0.7(含)-0.8</v>
      </c>
      <c r="F110" s="401" t="str">
        <f>F111&amp;"(含)"&amp;"-"&amp;G111</f>
        <v>0.8(含)-0.9</v>
      </c>
      <c r="G110" s="401" t="str">
        <f>G111&amp;"(含)"&amp;"-"&amp;ROUND(H111,0)&amp;"(含)"</f>
        <v>0.9(含)-1(含)</v>
      </c>
      <c r="H110" s="401"/>
      <c r="I110" s="406"/>
      <c r="J110" s="406"/>
      <c r="K110" s="407"/>
      <c r="L110" s="408"/>
      <c r="M110" s="409"/>
      <c r="N110" s="897"/>
      <c r="O110" s="897"/>
      <c r="P110" s="1880"/>
      <c r="Q110" s="327"/>
    </row>
    <row r="111" spans="1:17">
      <c r="A111" s="422"/>
      <c r="B111" s="369"/>
      <c r="C111" s="426">
        <v>0.5</v>
      </c>
      <c r="D111" s="426">
        <v>0.6</v>
      </c>
      <c r="E111" s="426">
        <v>0.7</v>
      </c>
      <c r="F111" s="426">
        <v>0.8</v>
      </c>
      <c r="G111" s="426">
        <v>0.9</v>
      </c>
      <c r="H111" s="426">
        <v>1.0001</v>
      </c>
      <c r="I111" s="444"/>
      <c r="J111" s="444"/>
      <c r="K111" s="445"/>
      <c r="L111" s="446"/>
      <c r="M111" s="447"/>
      <c r="N111" s="897"/>
      <c r="O111" s="897"/>
      <c r="P111" s="1880"/>
      <c r="Q111" s="327"/>
    </row>
    <row r="112" spans="1:17" ht="15.75" thickBot="1">
      <c r="A112" s="357"/>
      <c r="B112" s="366"/>
      <c r="C112" s="405">
        <v>100</v>
      </c>
      <c r="D112" s="367">
        <f>C112+$K37</f>
        <v>100</v>
      </c>
      <c r="E112" s="367">
        <f t="shared" ref="E112:M112" si="26">D112+$K37</f>
        <v>100</v>
      </c>
      <c r="F112" s="367">
        <f t="shared" si="26"/>
        <v>100</v>
      </c>
      <c r="G112" s="367">
        <f t="shared" si="26"/>
        <v>100</v>
      </c>
      <c r="H112" s="367">
        <f t="shared" si="26"/>
        <v>100</v>
      </c>
      <c r="I112" s="367">
        <f t="shared" si="26"/>
        <v>100</v>
      </c>
      <c r="J112" s="367">
        <f t="shared" si="26"/>
        <v>100</v>
      </c>
      <c r="K112" s="367">
        <f t="shared" si="26"/>
        <v>100</v>
      </c>
      <c r="L112" s="367">
        <f t="shared" si="26"/>
        <v>100</v>
      </c>
      <c r="M112" s="367">
        <f t="shared" si="26"/>
        <v>100</v>
      </c>
      <c r="N112" s="898"/>
      <c r="O112" s="898"/>
      <c r="P112" s="1880"/>
      <c r="Q112" s="327"/>
    </row>
    <row r="113" spans="1:17" s="294" customFormat="1" ht="15" thickTop="1">
      <c r="A113" s="416"/>
      <c r="B113" s="361" t="s">
        <v>2706</v>
      </c>
      <c r="C113" s="377"/>
      <c r="D113" s="377"/>
      <c r="E113" s="377"/>
      <c r="F113" s="377"/>
      <c r="G113" s="377"/>
      <c r="H113" s="406"/>
      <c r="I113" s="406"/>
      <c r="J113" s="406"/>
      <c r="K113" s="407"/>
      <c r="L113" s="408"/>
      <c r="M113" s="409"/>
      <c r="N113" s="899"/>
      <c r="O113" s="899"/>
      <c r="P113" s="1881"/>
      <c r="Q113" s="382"/>
    </row>
    <row r="114" spans="1:17" s="294" customFormat="1" ht="15.75" thickBot="1">
      <c r="A114" s="376"/>
      <c r="B114" s="366"/>
      <c r="C114" s="367">
        <v>100</v>
      </c>
      <c r="D114" s="367">
        <f>C114-$K38</f>
        <v>100</v>
      </c>
      <c r="E114" s="367">
        <f t="shared" ref="E114:M114" si="27">D114-$K38</f>
        <v>100</v>
      </c>
      <c r="F114" s="367">
        <f t="shared" si="27"/>
        <v>100</v>
      </c>
      <c r="G114" s="367">
        <f t="shared" si="27"/>
        <v>100</v>
      </c>
      <c r="H114" s="367">
        <f t="shared" si="27"/>
        <v>100</v>
      </c>
      <c r="I114" s="367">
        <f t="shared" si="27"/>
        <v>100</v>
      </c>
      <c r="J114" s="367">
        <f t="shared" si="27"/>
        <v>100</v>
      </c>
      <c r="K114" s="367">
        <f t="shared" si="27"/>
        <v>100</v>
      </c>
      <c r="L114" s="367">
        <f t="shared" si="27"/>
        <v>100</v>
      </c>
      <c r="M114" s="367">
        <f t="shared" si="27"/>
        <v>100</v>
      </c>
      <c r="N114" s="899"/>
      <c r="O114" s="899"/>
      <c r="P114" s="1881"/>
      <c r="Q114" s="382"/>
    </row>
    <row r="115" spans="1:17" ht="15" thickTop="1">
      <c r="A115" s="422"/>
      <c r="B115" s="361" t="s">
        <v>2623</v>
      </c>
      <c r="C115" s="377"/>
      <c r="D115" s="377"/>
      <c r="E115" s="406"/>
      <c r="F115" s="406"/>
      <c r="G115" s="406"/>
      <c r="H115" s="406"/>
      <c r="I115" s="406"/>
      <c r="J115" s="406"/>
      <c r="K115" s="407"/>
      <c r="L115" s="408"/>
      <c r="M115" s="409"/>
      <c r="N115" s="897"/>
      <c r="O115" s="897"/>
      <c r="P115" s="1880"/>
      <c r="Q115" s="327"/>
    </row>
    <row r="116" spans="1:17" ht="15.75" thickBot="1">
      <c r="A116" s="357"/>
      <c r="B116" s="366"/>
      <c r="C116" s="367">
        <v>100</v>
      </c>
      <c r="D116" s="367">
        <f t="shared" ref="D116:M116" si="28">C116-$K39</f>
        <v>100</v>
      </c>
      <c r="E116" s="367">
        <f t="shared" si="28"/>
        <v>100</v>
      </c>
      <c r="F116" s="367">
        <f t="shared" si="28"/>
        <v>100</v>
      </c>
      <c r="G116" s="367">
        <f t="shared" si="28"/>
        <v>100</v>
      </c>
      <c r="H116" s="367">
        <f t="shared" si="28"/>
        <v>100</v>
      </c>
      <c r="I116" s="367">
        <f t="shared" si="28"/>
        <v>100</v>
      </c>
      <c r="J116" s="367">
        <f t="shared" si="28"/>
        <v>100</v>
      </c>
      <c r="K116" s="367">
        <f t="shared" si="28"/>
        <v>100</v>
      </c>
      <c r="L116" s="367">
        <f t="shared" si="28"/>
        <v>100</v>
      </c>
      <c r="M116" s="368">
        <f t="shared" si="28"/>
        <v>100</v>
      </c>
      <c r="N116" s="898"/>
      <c r="O116" s="898"/>
      <c r="P116" s="1880"/>
      <c r="Q116" s="327"/>
    </row>
    <row r="117" spans="1:17" ht="15" thickTop="1">
      <c r="A117" s="422"/>
      <c r="B117" s="361" t="s">
        <v>2624</v>
      </c>
      <c r="C117" s="377"/>
      <c r="D117" s="377"/>
      <c r="E117" s="377"/>
      <c r="F117" s="377"/>
      <c r="G117" s="377"/>
      <c r="H117" s="406"/>
      <c r="I117" s="406"/>
      <c r="J117" s="406"/>
      <c r="K117" s="407"/>
      <c r="L117" s="408"/>
      <c r="M117" s="409"/>
      <c r="N117" s="897"/>
      <c r="O117" s="897"/>
      <c r="P117" s="1880"/>
      <c r="Q117" s="327"/>
    </row>
    <row r="118" spans="1:17" ht="15.75" thickBot="1">
      <c r="A118" s="357"/>
      <c r="B118" s="366"/>
      <c r="C118" s="367">
        <v>100</v>
      </c>
      <c r="D118" s="367">
        <f>C118-$K40</f>
        <v>100</v>
      </c>
      <c r="E118" s="367">
        <f>D118-$K40</f>
        <v>100</v>
      </c>
      <c r="F118" s="367">
        <f>E118-$K40</f>
        <v>100</v>
      </c>
      <c r="G118" s="367">
        <f>F118-$K40</f>
        <v>100</v>
      </c>
      <c r="H118" s="367"/>
      <c r="I118" s="367"/>
      <c r="J118" s="367"/>
      <c r="K118" s="367"/>
      <c r="L118" s="367"/>
      <c r="M118" s="368"/>
      <c r="N118" s="898"/>
      <c r="O118" s="898"/>
      <c r="P118" s="1880"/>
      <c r="Q118" s="327"/>
    </row>
    <row r="119" spans="1:17" ht="15" thickTop="1">
      <c r="A119" s="422"/>
      <c r="B119" s="456" t="s">
        <v>2707</v>
      </c>
      <c r="C119" s="406"/>
      <c r="D119" s="406"/>
      <c r="E119" s="406"/>
      <c r="F119" s="406"/>
      <c r="G119" s="406"/>
      <c r="H119" s="406"/>
      <c r="I119" s="406"/>
      <c r="J119" s="406"/>
      <c r="K119" s="406"/>
      <c r="L119" s="1885"/>
      <c r="M119" s="1886"/>
      <c r="N119" s="898"/>
      <c r="O119" s="898"/>
      <c r="P119" s="1887"/>
      <c r="Q119" s="458"/>
    </row>
    <row r="120" spans="1:17" ht="15.75" thickBot="1">
      <c r="A120" s="357"/>
      <c r="B120" s="366"/>
      <c r="C120" s="405">
        <v>100</v>
      </c>
      <c r="D120" s="367">
        <f>C120-$K41</f>
        <v>100</v>
      </c>
      <c r="E120" s="367">
        <f t="shared" ref="E120:M120" si="29">D120-$K41</f>
        <v>100</v>
      </c>
      <c r="F120" s="367">
        <f t="shared" si="29"/>
        <v>100</v>
      </c>
      <c r="G120" s="367">
        <f t="shared" si="29"/>
        <v>100</v>
      </c>
      <c r="H120" s="367">
        <f t="shared" si="29"/>
        <v>100</v>
      </c>
      <c r="I120" s="367">
        <f t="shared" si="29"/>
        <v>100</v>
      </c>
      <c r="J120" s="367">
        <f t="shared" si="29"/>
        <v>100</v>
      </c>
      <c r="K120" s="367">
        <f t="shared" si="29"/>
        <v>100</v>
      </c>
      <c r="L120" s="367">
        <f t="shared" si="29"/>
        <v>100</v>
      </c>
      <c r="M120" s="367">
        <f t="shared" si="29"/>
        <v>100</v>
      </c>
      <c r="N120" s="898"/>
      <c r="O120" s="898"/>
      <c r="P120" s="1880"/>
      <c r="Q120" s="327"/>
    </row>
    <row r="121" spans="1:17" s="294" customFormat="1" ht="15" thickTop="1">
      <c r="A121" s="416"/>
      <c r="B121" s="361" t="s">
        <v>2690</v>
      </c>
      <c r="C121" s="377"/>
      <c r="D121" s="377"/>
      <c r="E121" s="377"/>
      <c r="F121" s="406"/>
      <c r="G121" s="378"/>
      <c r="H121" s="378"/>
      <c r="I121" s="378"/>
      <c r="J121" s="378"/>
      <c r="K121" s="378"/>
      <c r="L121" s="379"/>
      <c r="M121" s="380"/>
      <c r="N121" s="899"/>
      <c r="O121" s="899"/>
      <c r="P121" s="1881"/>
      <c r="Q121" s="382"/>
    </row>
    <row r="122" spans="1:17" s="294" customFormat="1" ht="15.75" thickBot="1">
      <c r="A122" s="376"/>
      <c r="B122" s="358"/>
      <c r="C122" s="383"/>
      <c r="D122" s="383"/>
      <c r="E122" s="383"/>
      <c r="F122" s="383"/>
      <c r="G122" s="383"/>
      <c r="H122" s="383"/>
      <c r="I122" s="383"/>
      <c r="J122" s="383"/>
      <c r="K122" s="383"/>
      <c r="L122" s="383"/>
      <c r="M122" s="383"/>
      <c r="N122" s="899"/>
      <c r="O122" s="899"/>
      <c r="P122" s="1881"/>
      <c r="Q122" s="382"/>
    </row>
    <row r="123" spans="1:17" ht="15" thickTop="1">
      <c r="A123" s="422"/>
      <c r="B123" s="361" t="s">
        <v>2626</v>
      </c>
      <c r="C123" s="377"/>
      <c r="D123" s="377"/>
      <c r="E123" s="377"/>
      <c r="F123" s="406"/>
      <c r="G123" s="406"/>
      <c r="H123" s="406"/>
      <c r="I123" s="406"/>
      <c r="J123" s="406"/>
      <c r="K123" s="407"/>
      <c r="L123" s="408"/>
      <c r="M123" s="409"/>
      <c r="N123" s="897"/>
      <c r="O123" s="897"/>
      <c r="P123" s="1880"/>
      <c r="Q123" s="327"/>
    </row>
    <row r="124" spans="1:17" ht="15.75" thickBot="1">
      <c r="A124" s="357"/>
      <c r="B124" s="366"/>
      <c r="C124" s="367">
        <v>100</v>
      </c>
      <c r="D124" s="367">
        <f t="shared" ref="D124:M124" si="30">C124-$K43</f>
        <v>100</v>
      </c>
      <c r="E124" s="367">
        <f t="shared" si="30"/>
        <v>100</v>
      </c>
      <c r="F124" s="367">
        <f t="shared" si="30"/>
        <v>100</v>
      </c>
      <c r="G124" s="367">
        <f t="shared" si="30"/>
        <v>100</v>
      </c>
      <c r="H124" s="367">
        <f t="shared" si="30"/>
        <v>100</v>
      </c>
      <c r="I124" s="367">
        <f t="shared" si="30"/>
        <v>100</v>
      </c>
      <c r="J124" s="367">
        <f t="shared" si="30"/>
        <v>100</v>
      </c>
      <c r="K124" s="367">
        <f t="shared" si="30"/>
        <v>100</v>
      </c>
      <c r="L124" s="367">
        <f t="shared" si="30"/>
        <v>100</v>
      </c>
      <c r="M124" s="368">
        <f t="shared" si="30"/>
        <v>100</v>
      </c>
      <c r="N124" s="898"/>
      <c r="O124" s="898"/>
      <c r="P124" s="1880"/>
      <c r="Q124" s="327"/>
    </row>
    <row r="125" spans="1:17" ht="15" thickTop="1">
      <c r="A125" s="422"/>
      <c r="B125" s="361" t="s">
        <v>2627</v>
      </c>
      <c r="C125" s="401" t="s">
        <v>2603</v>
      </c>
      <c r="D125" s="401" t="s">
        <v>2604</v>
      </c>
      <c r="E125" s="401" t="s">
        <v>2605</v>
      </c>
      <c r="F125" s="401" t="s">
        <v>2606</v>
      </c>
      <c r="G125" s="401" t="s">
        <v>2607</v>
      </c>
      <c r="H125" s="362"/>
      <c r="I125" s="362"/>
      <c r="J125" s="362"/>
      <c r="K125" s="363"/>
      <c r="L125" s="364"/>
      <c r="M125" s="365"/>
      <c r="N125" s="897"/>
      <c r="O125" s="897"/>
      <c r="P125" s="1881"/>
      <c r="Q125" s="327"/>
    </row>
    <row r="126" spans="1:17" ht="15.75" thickBot="1">
      <c r="A126" s="357"/>
      <c r="B126" s="366"/>
      <c r="C126" s="367">
        <v>100</v>
      </c>
      <c r="D126" s="367">
        <f>C126-$K44</f>
        <v>100</v>
      </c>
      <c r="E126" s="367">
        <f>D126-$K44</f>
        <v>100</v>
      </c>
      <c r="F126" s="367">
        <f>E126-$K44</f>
        <v>100</v>
      </c>
      <c r="G126" s="367">
        <f>F126-$K44</f>
        <v>100</v>
      </c>
      <c r="H126" s="367"/>
      <c r="I126" s="367"/>
      <c r="J126" s="367"/>
      <c r="K126" s="367"/>
      <c r="L126" s="367"/>
      <c r="M126" s="368"/>
      <c r="N126" s="898"/>
      <c r="O126" s="898"/>
      <c r="P126" s="1880"/>
      <c r="Q126" s="327"/>
    </row>
    <row r="127" spans="1:17" s="294" customFormat="1" ht="15" thickTop="1">
      <c r="A127" s="416"/>
      <c r="B127" s="361">
        <f>B45</f>
        <v>111</v>
      </c>
      <c r="C127" s="377"/>
      <c r="D127" s="377"/>
      <c r="E127" s="377"/>
      <c r="F127" s="377"/>
      <c r="G127" s="377"/>
      <c r="H127" s="378"/>
      <c r="I127" s="378"/>
      <c r="J127" s="378"/>
      <c r="K127" s="378"/>
      <c r="L127" s="379"/>
      <c r="M127" s="380"/>
      <c r="N127" s="899"/>
      <c r="O127" s="899"/>
      <c r="P127" s="1881"/>
      <c r="Q127" s="382"/>
    </row>
    <row r="128" spans="1:17" s="294" customFormat="1" ht="15.75" thickBot="1">
      <c r="A128" s="376"/>
      <c r="B128" s="366"/>
      <c r="C128" s="383"/>
      <c r="D128" s="359"/>
      <c r="E128" s="359"/>
      <c r="F128" s="359"/>
      <c r="G128" s="383"/>
      <c r="H128" s="385"/>
      <c r="I128" s="385"/>
      <c r="J128" s="385"/>
      <c r="K128" s="385"/>
      <c r="L128" s="385"/>
      <c r="M128" s="386"/>
      <c r="N128" s="899"/>
      <c r="O128" s="899"/>
      <c r="P128" s="1881"/>
      <c r="Q128" s="382"/>
    </row>
    <row r="129" spans="1:17" ht="15" thickTop="1">
      <c r="A129" s="422"/>
      <c r="B129" s="361">
        <f>B46</f>
        <v>111</v>
      </c>
      <c r="C129" s="377"/>
      <c r="D129" s="377"/>
      <c r="E129" s="377"/>
      <c r="F129" s="377"/>
      <c r="G129" s="406"/>
      <c r="H129" s="406"/>
      <c r="I129" s="406"/>
      <c r="J129" s="406"/>
      <c r="K129" s="407"/>
      <c r="L129" s="408"/>
      <c r="M129" s="409"/>
      <c r="N129" s="897"/>
      <c r="O129" s="897"/>
      <c r="P129" s="1880"/>
      <c r="Q129" s="327"/>
    </row>
    <row r="130" spans="1:17" ht="15.75" thickBot="1">
      <c r="A130" s="357"/>
      <c r="B130" s="366"/>
      <c r="C130" s="383"/>
      <c r="D130" s="383"/>
      <c r="E130" s="383"/>
      <c r="F130" s="383"/>
      <c r="G130" s="359"/>
      <c r="H130" s="359"/>
      <c r="I130" s="359"/>
      <c r="J130" s="359"/>
      <c r="K130" s="359"/>
      <c r="L130" s="359"/>
      <c r="M130" s="360"/>
      <c r="N130" s="898"/>
      <c r="O130" s="898"/>
      <c r="P130" s="1880"/>
      <c r="Q130" s="327"/>
    </row>
    <row r="131" spans="1:17" ht="15" thickTop="1">
      <c r="A131" s="422"/>
      <c r="B131" s="369">
        <f>B47</f>
        <v>111</v>
      </c>
      <c r="C131" s="346"/>
      <c r="D131" s="346"/>
      <c r="E131" s="346"/>
      <c r="F131" s="346"/>
      <c r="G131" s="410"/>
      <c r="H131" s="410"/>
      <c r="I131" s="410"/>
      <c r="J131" s="410"/>
      <c r="K131" s="346"/>
      <c r="L131" s="347"/>
      <c r="M131" s="413"/>
      <c r="N131" s="897"/>
      <c r="O131" s="897"/>
      <c r="P131" s="1880"/>
      <c r="Q131" s="327"/>
    </row>
    <row r="132" spans="1:17" ht="15.75" thickBot="1">
      <c r="A132" s="1841"/>
      <c r="B132" s="392"/>
      <c r="C132" s="393"/>
      <c r="D132" s="393"/>
      <c r="E132" s="393"/>
      <c r="F132" s="393"/>
      <c r="G132" s="414"/>
      <c r="H132" s="414"/>
      <c r="I132" s="414"/>
      <c r="J132" s="414"/>
      <c r="K132" s="414"/>
      <c r="L132" s="414"/>
      <c r="M132" s="415"/>
      <c r="N132" s="898"/>
      <c r="O132" s="898"/>
      <c r="P132" s="1880"/>
      <c r="Q132" s="327"/>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C38" sqref="C38"/>
    </sheetView>
  </sheetViews>
  <sheetFormatPr defaultRowHeight="14.25"/>
  <cols>
    <col min="1" max="1" width="10.5" style="227" customWidth="1"/>
    <col min="2" max="2" width="15.75" style="227" customWidth="1"/>
    <col min="3" max="3" width="14.375" style="227" customWidth="1"/>
    <col min="4" max="4" width="12.25" style="227" customWidth="1"/>
    <col min="5" max="5" width="14.375" style="227" customWidth="1"/>
    <col min="6" max="6" width="12.25" style="227" customWidth="1"/>
    <col min="7" max="7" width="14.5" style="227" customWidth="1"/>
    <col min="8" max="8" width="12.25" style="227" customWidth="1"/>
    <col min="9" max="9" width="14.5" style="227" customWidth="1"/>
    <col min="10" max="10" width="12.25" style="227" customWidth="1"/>
    <col min="11" max="11" width="12.25" style="318" customWidth="1"/>
    <col min="12" max="12" width="12.25" style="319" customWidth="1"/>
    <col min="13" max="15" width="12.25" style="227" customWidth="1"/>
    <col min="16" max="16" width="4.75" style="227" customWidth="1"/>
    <col min="17" max="17" width="19.5" style="227" customWidth="1"/>
    <col min="18" max="22" width="6.125" style="227" customWidth="1"/>
    <col min="23" max="23" width="5.75" style="227" customWidth="1"/>
    <col min="24" max="24" width="4.25" style="227" customWidth="1"/>
    <col min="25" max="25" width="3.5" style="227" customWidth="1"/>
    <col min="26" max="26" width="19.75" style="227" customWidth="1"/>
    <col min="27" max="28" width="9.375" style="227" customWidth="1"/>
    <col min="29" max="16384" width="9" style="227"/>
  </cols>
  <sheetData>
    <row r="1" spans="1:29" s="1292" customFormat="1" ht="28.5" customHeight="1" thickBot="1">
      <c r="A1" s="1281" t="s">
        <v>2534</v>
      </c>
      <c r="B1" s="1865" t="s">
        <v>2708</v>
      </c>
      <c r="C1" s="1283" t="s">
        <v>2536</v>
      </c>
      <c r="D1" s="1284"/>
      <c r="E1" s="1293"/>
      <c r="F1" s="1789"/>
      <c r="G1" s="1294" t="s">
        <v>2649</v>
      </c>
      <c r="H1" s="1293"/>
      <c r="I1" s="1293"/>
      <c r="J1" s="1293"/>
      <c r="K1" s="1295"/>
      <c r="L1" s="1296"/>
      <c r="M1" s="1297"/>
      <c r="N1" s="1297"/>
      <c r="O1" s="1297"/>
      <c r="P1" s="1283"/>
      <c r="Q1" s="1283"/>
      <c r="R1" s="1283"/>
      <c r="S1" s="1283"/>
      <c r="T1" s="1283"/>
      <c r="U1" s="1283"/>
      <c r="V1" s="1283"/>
      <c r="W1" s="1283"/>
      <c r="X1" s="1283"/>
      <c r="Y1" s="1283"/>
      <c r="Z1" s="1283"/>
      <c r="AA1" s="1283"/>
      <c r="AB1" s="1283"/>
      <c r="AC1" s="1291"/>
    </row>
    <row r="2" spans="1:29" s="222" customFormat="1" ht="28.5" customHeight="1" thickTop="1">
      <c r="A2" s="1280" t="s">
        <v>2333</v>
      </c>
      <c r="B2" s="1084" t="e">
        <f ca="1">IF(C2="——",ROUND(C43*D3/10000,0),ROUND(C43*D3/10000,0)-D2)</f>
        <v>#DIV/0!</v>
      </c>
      <c r="C2" s="1791"/>
      <c r="D2" s="869" t="e">
        <f ca="1">SUMIF(INDIRECT("'"&amp;F2&amp;"'"&amp;"!A:A"),"承租人权益价值",INDIRECT("'"&amp;F2&amp;"'"&amp;"!c:c"))</f>
        <v>#REF!</v>
      </c>
      <c r="E2" s="1792" t="s">
        <v>2334</v>
      </c>
      <c r="F2" s="1793"/>
      <c r="G2" s="870"/>
      <c r="H2" s="870"/>
      <c r="I2" s="870"/>
      <c r="J2" s="870"/>
      <c r="K2" s="870"/>
      <c r="L2" s="873"/>
      <c r="M2" s="874"/>
      <c r="N2" s="874"/>
      <c r="O2" s="874"/>
      <c r="P2" s="550"/>
      <c r="Q2" s="550"/>
      <c r="R2" s="550"/>
      <c r="S2" s="550"/>
      <c r="T2" s="550"/>
      <c r="U2" s="550"/>
      <c r="V2" s="550"/>
      <c r="W2" s="550"/>
      <c r="X2" s="550"/>
      <c r="Y2" s="550"/>
      <c r="Z2" s="550"/>
      <c r="AA2" s="550"/>
      <c r="AB2" s="550"/>
      <c r="AC2" s="564"/>
    </row>
    <row r="3" spans="1:29" s="222" customFormat="1" ht="28.5" customHeight="1" thickBot="1">
      <c r="A3" s="73" t="s">
        <v>2335</v>
      </c>
      <c r="B3" s="432" t="e">
        <f ca="1">IF(C2="——",C43,ROUND(B2*10000/D3,0))</f>
        <v>#DIV/0!</v>
      </c>
      <c r="C3" s="224" t="s">
        <v>2650</v>
      </c>
      <c r="D3" s="223">
        <f>IF(D1="",'数据-汇总表'!E3,SUMIF('数据-汇总表'!$C19:$C33,D1,'数据-汇总表'!$E19:$E33))</f>
        <v>44516.22</v>
      </c>
      <c r="E3" s="870"/>
      <c r="F3" s="871"/>
      <c r="G3" s="870"/>
      <c r="H3" s="870"/>
      <c r="I3" s="870"/>
      <c r="J3" s="870"/>
      <c r="K3" s="872"/>
      <c r="L3" s="873"/>
      <c r="M3" s="874"/>
      <c r="N3" s="874"/>
      <c r="O3" s="874"/>
      <c r="P3" s="550"/>
      <c r="Q3" s="550"/>
      <c r="R3" s="550"/>
      <c r="S3" s="550"/>
      <c r="T3" s="550"/>
      <c r="U3" s="550"/>
      <c r="V3" s="550"/>
      <c r="W3" s="550"/>
      <c r="X3" s="550"/>
      <c r="Y3" s="550"/>
      <c r="Z3" s="550"/>
      <c r="AA3" s="550"/>
      <c r="AB3" s="568"/>
      <c r="AC3" s="564"/>
    </row>
    <row r="4" spans="1:29" ht="15">
      <c r="A4" s="225" t="s">
        <v>2651</v>
      </c>
      <c r="B4" s="226"/>
      <c r="C4" s="3922" t="s">
        <v>2652</v>
      </c>
      <c r="D4" s="3923"/>
      <c r="E4" s="3924" t="s">
        <v>2653</v>
      </c>
      <c r="F4" s="3925"/>
      <c r="G4" s="3922" t="s">
        <v>2654</v>
      </c>
      <c r="H4" s="3923"/>
      <c r="I4" s="3922" t="s">
        <v>2655</v>
      </c>
      <c r="J4" s="3923"/>
      <c r="K4" s="433" t="s">
        <v>2656</v>
      </c>
      <c r="L4" s="875"/>
      <c r="M4" s="876"/>
      <c r="N4" s="876"/>
      <c r="O4" s="876"/>
      <c r="P4" s="3926" t="s">
        <v>2657</v>
      </c>
      <c r="Q4" s="3927"/>
      <c r="R4" s="3908" t="s">
        <v>2653</v>
      </c>
      <c r="S4" s="3909"/>
      <c r="T4" s="3908" t="s">
        <v>2654</v>
      </c>
      <c r="U4" s="3909"/>
      <c r="V4" s="3934" t="s">
        <v>2655</v>
      </c>
      <c r="W4" s="3934"/>
      <c r="X4" s="1415"/>
      <c r="Y4" s="3908" t="s">
        <v>2657</v>
      </c>
      <c r="Z4" s="3909"/>
      <c r="AA4" s="3903" t="s">
        <v>2653</v>
      </c>
      <c r="AB4" s="3904" t="s">
        <v>2654</v>
      </c>
      <c r="AC4" s="3903" t="s">
        <v>2655</v>
      </c>
    </row>
    <row r="5" spans="1:29" ht="15">
      <c r="A5" s="228"/>
      <c r="B5" s="229"/>
      <c r="C5" s="3914" t="s">
        <v>2548</v>
      </c>
      <c r="D5" s="3915"/>
      <c r="E5" s="3912" t="s">
        <v>2549</v>
      </c>
      <c r="F5" s="3913"/>
      <c r="G5" s="3914" t="s">
        <v>2550</v>
      </c>
      <c r="H5" s="3915"/>
      <c r="I5" s="3914" t="s">
        <v>2551</v>
      </c>
      <c r="J5" s="3915"/>
      <c r="K5" s="433"/>
      <c r="L5" s="875"/>
      <c r="M5" s="876"/>
      <c r="N5" s="876"/>
      <c r="O5" s="876"/>
      <c r="P5" s="3928"/>
      <c r="Q5" s="3929"/>
      <c r="R5" s="3910"/>
      <c r="S5" s="3911"/>
      <c r="T5" s="3910"/>
      <c r="U5" s="3911"/>
      <c r="V5" s="3934"/>
      <c r="W5" s="3934"/>
      <c r="X5" s="1415"/>
      <c r="Y5" s="3910"/>
      <c r="Z5" s="3911"/>
      <c r="AA5" s="3904"/>
      <c r="AB5" s="3904"/>
      <c r="AC5" s="3904"/>
    </row>
    <row r="6" spans="1:29" ht="15.75" thickBot="1">
      <c r="A6" s="230"/>
      <c r="B6" s="231"/>
      <c r="C6" s="3916" t="s">
        <v>2552</v>
      </c>
      <c r="D6" s="3917"/>
      <c r="E6" s="3918" t="s">
        <v>2552</v>
      </c>
      <c r="F6" s="3919"/>
      <c r="G6" s="3916" t="s">
        <v>2552</v>
      </c>
      <c r="H6" s="3917"/>
      <c r="I6" s="3916" t="s">
        <v>2552</v>
      </c>
      <c r="J6" s="3917"/>
      <c r="K6" s="433" t="s">
        <v>2553</v>
      </c>
      <c r="L6" s="875"/>
      <c r="M6" s="876"/>
      <c r="N6" s="876"/>
      <c r="O6" s="876"/>
      <c r="P6" s="3930"/>
      <c r="Q6" s="3931"/>
      <c r="R6" s="3910"/>
      <c r="S6" s="3911"/>
      <c r="T6" s="3932"/>
      <c r="U6" s="3933"/>
      <c r="V6" s="3934"/>
      <c r="W6" s="3934"/>
      <c r="X6" s="1415"/>
      <c r="Y6" s="3932"/>
      <c r="Z6" s="3933"/>
      <c r="AA6" s="3905"/>
      <c r="AB6" s="3905"/>
      <c r="AC6" s="3905"/>
    </row>
    <row r="7" spans="1:29" s="51" customFormat="1" ht="15.75" thickBot="1">
      <c r="A7" s="232" t="s">
        <v>2554</v>
      </c>
      <c r="B7" s="233"/>
      <c r="C7" s="234">
        <f>'数据-取费表'!B2</f>
        <v>43071</v>
      </c>
      <c r="D7" s="235">
        <v>100</v>
      </c>
      <c r="E7" s="236"/>
      <c r="F7" s="237">
        <f>SUMIF(52:52,YEAR(E7)&amp;"-"&amp;MONTH(E7),53:53)</f>
        <v>0</v>
      </c>
      <c r="G7" s="236"/>
      <c r="H7" s="235">
        <f>SUMIF(52:52,YEAR(G7)&amp;"-"&amp;MONTH(G7),53:53)</f>
        <v>0</v>
      </c>
      <c r="I7" s="236"/>
      <c r="J7" s="235">
        <f>SUMIF(52:52,YEAR(I7)&amp;"-"&amp;MONTH(I7),53:53)</f>
        <v>0</v>
      </c>
      <c r="K7" s="434"/>
      <c r="L7" s="877"/>
      <c r="M7" s="878"/>
      <c r="N7" s="878"/>
      <c r="O7" s="878"/>
      <c r="P7" s="3906" t="s">
        <v>2555</v>
      </c>
      <c r="Q7" s="3935"/>
      <c r="R7" s="552" t="s">
        <v>17</v>
      </c>
      <c r="S7" s="553">
        <f t="shared" ref="S7:S15" si="0">F7</f>
        <v>0</v>
      </c>
      <c r="T7" s="552" t="s">
        <v>17</v>
      </c>
      <c r="U7" s="553">
        <f t="shared" ref="U7:U15" si="1">H7</f>
        <v>0</v>
      </c>
      <c r="V7" s="552" t="s">
        <v>17</v>
      </c>
      <c r="W7" s="553">
        <f t="shared" ref="W7:W15" si="2">J7</f>
        <v>0</v>
      </c>
      <c r="X7" s="554"/>
      <c r="Y7" s="3906" t="s">
        <v>2555</v>
      </c>
      <c r="Z7" s="3907"/>
      <c r="AA7" s="555" t="e">
        <f>D7/F7</f>
        <v>#DIV/0!</v>
      </c>
      <c r="AB7" s="555" t="e">
        <f>D7/H7</f>
        <v>#DIV/0!</v>
      </c>
      <c r="AC7" s="555" t="e">
        <f>D7/J7</f>
        <v>#DIV/0!</v>
      </c>
    </row>
    <row r="8" spans="1:29" s="51" customFormat="1" ht="15.75" thickBot="1">
      <c r="A8" s="232" t="s">
        <v>2556</v>
      </c>
      <c r="B8" s="233"/>
      <c r="C8" s="238" t="s">
        <v>2557</v>
      </c>
      <c r="D8" s="235">
        <v>100</v>
      </c>
      <c r="E8" s="238"/>
      <c r="F8" s="237">
        <f>SUMIF(55:55,E8,56:56)-SUMIF(55:55,C8,56:56)+100</f>
        <v>0</v>
      </c>
      <c r="G8" s="238"/>
      <c r="H8" s="235">
        <f>SUMIF(55:55,G8,56:56)-SUMIF(55:55,C8,56:56)+100</f>
        <v>0</v>
      </c>
      <c r="I8" s="238"/>
      <c r="J8" s="235">
        <f>SUMIF(55:55,I8,56:56)-SUMIF(55:55,C8,56:56)+100</f>
        <v>0</v>
      </c>
      <c r="K8" s="434"/>
      <c r="L8" s="877"/>
      <c r="M8" s="878"/>
      <c r="N8" s="878"/>
      <c r="O8" s="878"/>
      <c r="P8" s="3906" t="s">
        <v>2558</v>
      </c>
      <c r="Q8" s="3907"/>
      <c r="R8" s="552" t="s">
        <v>17</v>
      </c>
      <c r="S8" s="553">
        <f t="shared" si="0"/>
        <v>0</v>
      </c>
      <c r="T8" s="552" t="s">
        <v>17</v>
      </c>
      <c r="U8" s="553">
        <f t="shared" si="1"/>
        <v>0</v>
      </c>
      <c r="V8" s="552" t="s">
        <v>17</v>
      </c>
      <c r="W8" s="553">
        <f t="shared" si="2"/>
        <v>0</v>
      </c>
      <c r="X8" s="554"/>
      <c r="Y8" s="3906" t="s">
        <v>2558</v>
      </c>
      <c r="Z8" s="3907"/>
      <c r="AA8" s="555" t="e">
        <f t="shared" ref="AA8:AA40" si="3">D8/F8</f>
        <v>#DIV/0!</v>
      </c>
      <c r="AB8" s="555" t="e">
        <f t="shared" ref="AB8:AB40" si="4">D8/H8</f>
        <v>#DIV/0!</v>
      </c>
      <c r="AC8" s="555" t="e">
        <f t="shared" ref="AC8:AC40" si="5">D8/J8</f>
        <v>#DIV/0!</v>
      </c>
    </row>
    <row r="9" spans="1:29" s="51" customFormat="1">
      <c r="A9" s="239" t="s">
        <v>2559</v>
      </c>
      <c r="B9" s="45" t="s">
        <v>2560</v>
      </c>
      <c r="C9" s="240"/>
      <c r="D9" s="52">
        <v>100</v>
      </c>
      <c r="E9" s="243"/>
      <c r="F9" s="52">
        <f>SUMIF(57:57,E9,58:58)-SUMIF(57:57,C9,58:58)+100</f>
        <v>100</v>
      </c>
      <c r="G9" s="241"/>
      <c r="H9" s="52">
        <f>SUMIF(57:57,G9,58:58)-SUMIF(57:57,C9,58:58)+100</f>
        <v>100</v>
      </c>
      <c r="I9" s="241"/>
      <c r="J9" s="52">
        <f>SUMIF(57:57,I9,58:58)-SUMIF(57:57,C9,58:58)+100</f>
        <v>100</v>
      </c>
      <c r="K9" s="434"/>
      <c r="L9" s="877"/>
      <c r="M9" s="878"/>
      <c r="N9" s="878"/>
      <c r="O9" s="879"/>
      <c r="P9" s="3939" t="s">
        <v>2561</v>
      </c>
      <c r="Q9" s="1403" t="str">
        <f t="shared" ref="Q9:Q15" si="6">B9</f>
        <v>用途</v>
      </c>
      <c r="R9" s="552" t="s">
        <v>17</v>
      </c>
      <c r="S9" s="553">
        <f t="shared" si="0"/>
        <v>100</v>
      </c>
      <c r="T9" s="552" t="s">
        <v>17</v>
      </c>
      <c r="U9" s="553">
        <f t="shared" si="1"/>
        <v>100</v>
      </c>
      <c r="V9" s="552" t="s">
        <v>17</v>
      </c>
      <c r="W9" s="553">
        <f t="shared" si="2"/>
        <v>100</v>
      </c>
      <c r="X9" s="554"/>
      <c r="Y9" s="3921" t="s">
        <v>2562</v>
      </c>
      <c r="Z9" s="40" t="str">
        <f t="shared" ref="Z9:Z15" si="7">Q9</f>
        <v>用途</v>
      </c>
      <c r="AA9" s="555">
        <f t="shared" si="3"/>
        <v>1</v>
      </c>
      <c r="AB9" s="555">
        <f t="shared" si="4"/>
        <v>1</v>
      </c>
      <c r="AC9" s="555">
        <f t="shared" si="5"/>
        <v>1</v>
      </c>
    </row>
    <row r="10" spans="1:29" s="250" customFormat="1" ht="27">
      <c r="A10" s="244"/>
      <c r="B10" s="245" t="s">
        <v>2563</v>
      </c>
      <c r="C10" s="246"/>
      <c r="D10" s="53">
        <v>100</v>
      </c>
      <c r="E10" s="246"/>
      <c r="F10" s="53">
        <f>SUMIF(59:59,E10,60:60)-SUMIF(59:59,C10,60:60)+100</f>
        <v>100</v>
      </c>
      <c r="G10" s="247"/>
      <c r="H10" s="53">
        <f>SUMIF(59:59,G10,60:60)-SUMIF(59:59,C10,60:60)+100</f>
        <v>100</v>
      </c>
      <c r="I10" s="246"/>
      <c r="J10" s="53">
        <f>SUMIF(59:59,I10,60:60)-SUMIF(59:59,C10,60:60)+100</f>
        <v>100</v>
      </c>
      <c r="K10" s="435"/>
      <c r="L10" s="880"/>
      <c r="M10" s="881"/>
      <c r="N10" s="881"/>
      <c r="O10" s="882"/>
      <c r="P10" s="3939"/>
      <c r="Q10" s="1403" t="str">
        <f t="shared" si="6"/>
        <v>土地使用年限（年）</v>
      </c>
      <c r="R10" s="552" t="s">
        <v>17</v>
      </c>
      <c r="S10" s="553">
        <f t="shared" si="0"/>
        <v>100</v>
      </c>
      <c r="T10" s="552" t="s">
        <v>17</v>
      </c>
      <c r="U10" s="553">
        <f t="shared" si="1"/>
        <v>100</v>
      </c>
      <c r="V10" s="552" t="s">
        <v>17</v>
      </c>
      <c r="W10" s="553">
        <f t="shared" si="2"/>
        <v>100</v>
      </c>
      <c r="X10" s="554"/>
      <c r="Y10" s="3921"/>
      <c r="Z10" s="40" t="str">
        <f t="shared" si="7"/>
        <v>土地使用年限（年）</v>
      </c>
      <c r="AA10" s="555">
        <f t="shared" si="3"/>
        <v>1</v>
      </c>
      <c r="AB10" s="555">
        <f t="shared" si="4"/>
        <v>1</v>
      </c>
      <c r="AC10" s="555">
        <f t="shared" si="5"/>
        <v>1</v>
      </c>
    </row>
    <row r="11" spans="1:29" ht="15">
      <c r="A11" s="251"/>
      <c r="B11" s="245" t="s">
        <v>2564</v>
      </c>
      <c r="C11" s="252"/>
      <c r="D11" s="53">
        <v>100</v>
      </c>
      <c r="E11" s="252"/>
      <c r="F11" s="53" t="e">
        <f>LOOKUP(E11,62:62,63:63)-LOOKUP(C11,62:62,63:63)+100</f>
        <v>#N/A</v>
      </c>
      <c r="G11" s="253"/>
      <c r="H11" s="53" t="e">
        <f>LOOKUP(G11,62:62,63:63)-LOOKUP(C11,62:62,63:63)+100</f>
        <v>#N/A</v>
      </c>
      <c r="I11" s="252"/>
      <c r="J11" s="53" t="e">
        <f>LOOKUP(I11,62:62,63:63)-LOOKUP(C11,62:62,63:63)+100</f>
        <v>#N/A</v>
      </c>
      <c r="K11" s="435"/>
      <c r="L11" s="883"/>
      <c r="M11" s="876"/>
      <c r="N11" s="876"/>
      <c r="O11" s="884"/>
      <c r="P11" s="3939"/>
      <c r="Q11" s="1403" t="str">
        <f t="shared" si="6"/>
        <v>容积率</v>
      </c>
      <c r="R11" s="552" t="s">
        <v>17</v>
      </c>
      <c r="S11" s="553" t="e">
        <f t="shared" si="0"/>
        <v>#N/A</v>
      </c>
      <c r="T11" s="552" t="s">
        <v>17</v>
      </c>
      <c r="U11" s="553" t="e">
        <f t="shared" si="1"/>
        <v>#N/A</v>
      </c>
      <c r="V11" s="552" t="s">
        <v>17</v>
      </c>
      <c r="W11" s="553" t="e">
        <f t="shared" si="2"/>
        <v>#N/A</v>
      </c>
      <c r="X11" s="554"/>
      <c r="Y11" s="3921"/>
      <c r="Z11" s="40" t="str">
        <f t="shared" si="7"/>
        <v>容积率</v>
      </c>
      <c r="AA11" s="555" t="e">
        <f t="shared" si="3"/>
        <v>#N/A</v>
      </c>
      <c r="AB11" s="555" t="e">
        <f t="shared" si="4"/>
        <v>#N/A</v>
      </c>
      <c r="AC11" s="555" t="e">
        <f t="shared" si="5"/>
        <v>#N/A</v>
      </c>
    </row>
    <row r="12" spans="1:29" s="51" customFormat="1" ht="15">
      <c r="A12" s="254"/>
      <c r="B12" s="1805">
        <v>111</v>
      </c>
      <c r="C12" s="255"/>
      <c r="D12" s="256">
        <v>100</v>
      </c>
      <c r="E12" s="257"/>
      <c r="F12" s="53">
        <f>SUMIF(64:64,E12,65:65)-SUMIF(64:64,C12,65:65)+100</f>
        <v>100</v>
      </c>
      <c r="G12" s="1888"/>
      <c r="H12" s="53">
        <f>SUMIF(64:64,G12,65:65)-SUMIF(64:64,C12,65:65)+100</f>
        <v>100</v>
      </c>
      <c r="I12" s="292"/>
      <c r="J12" s="53">
        <f>SUMIF(64:64,I12,65:65)-SUMIF(64:64,C12,65:65)+100</f>
        <v>100</v>
      </c>
      <c r="K12" s="436"/>
      <c r="L12" s="877"/>
      <c r="M12" s="878"/>
      <c r="N12" s="878"/>
      <c r="O12" s="879"/>
      <c r="P12" s="3939"/>
      <c r="Q12" s="1403">
        <f t="shared" si="6"/>
        <v>111</v>
      </c>
      <c r="R12" s="552" t="s">
        <v>17</v>
      </c>
      <c r="S12" s="553">
        <f t="shared" si="0"/>
        <v>100</v>
      </c>
      <c r="T12" s="552" t="s">
        <v>17</v>
      </c>
      <c r="U12" s="553">
        <f t="shared" si="1"/>
        <v>100</v>
      </c>
      <c r="V12" s="552" t="s">
        <v>17</v>
      </c>
      <c r="W12" s="553">
        <f t="shared" si="2"/>
        <v>100</v>
      </c>
      <c r="X12" s="554"/>
      <c r="Y12" s="3921"/>
      <c r="Z12" s="40">
        <f t="shared" si="7"/>
        <v>111</v>
      </c>
      <c r="AA12" s="555">
        <f>D12/F12</f>
        <v>1</v>
      </c>
      <c r="AB12" s="555">
        <f>D12/H12</f>
        <v>1</v>
      </c>
      <c r="AC12" s="555">
        <f>D12/J12</f>
        <v>1</v>
      </c>
    </row>
    <row r="13" spans="1:29" ht="15">
      <c r="A13" s="251"/>
      <c r="B13" s="1805">
        <v>111</v>
      </c>
      <c r="C13" s="257"/>
      <c r="D13" s="258">
        <v>100</v>
      </c>
      <c r="E13" s="257"/>
      <c r="F13" s="53">
        <f>SUMIF(66:66,E13,67:67)-SUMIF(66:66,C13,67:67)+100</f>
        <v>100</v>
      </c>
      <c r="G13" s="1888"/>
      <c r="H13" s="258">
        <f>SUMIF(66:66,G13,67:67)-SUMIF(66:66,C13,67:67)+100</f>
        <v>100</v>
      </c>
      <c r="I13" s="292"/>
      <c r="J13" s="258">
        <f>SUMIF(66:66,I13,67:67)-SUMIF(66:66,C13,67:67)+100</f>
        <v>100</v>
      </c>
      <c r="K13" s="436"/>
      <c r="L13" s="885"/>
      <c r="M13" s="876"/>
      <c r="N13" s="876"/>
      <c r="O13" s="884"/>
      <c r="P13" s="3939"/>
      <c r="Q13" s="1403">
        <f t="shared" si="6"/>
        <v>111</v>
      </c>
      <c r="R13" s="552" t="s">
        <v>17</v>
      </c>
      <c r="S13" s="553">
        <f t="shared" si="0"/>
        <v>100</v>
      </c>
      <c r="T13" s="552" t="s">
        <v>17</v>
      </c>
      <c r="U13" s="553">
        <f t="shared" si="1"/>
        <v>100</v>
      </c>
      <c r="V13" s="552" t="s">
        <v>17</v>
      </c>
      <c r="W13" s="553">
        <f t="shared" si="2"/>
        <v>100</v>
      </c>
      <c r="X13" s="554"/>
      <c r="Y13" s="3921"/>
      <c r="Z13" s="40">
        <f t="shared" si="7"/>
        <v>111</v>
      </c>
      <c r="AA13" s="555">
        <f t="shared" si="3"/>
        <v>1</v>
      </c>
      <c r="AB13" s="555">
        <f t="shared" si="4"/>
        <v>1</v>
      </c>
      <c r="AC13" s="555">
        <f t="shared" si="5"/>
        <v>1</v>
      </c>
    </row>
    <row r="14" spans="1:29" ht="15.75" thickBot="1">
      <c r="A14" s="259"/>
      <c r="B14" s="1807">
        <v>111</v>
      </c>
      <c r="C14" s="260"/>
      <c r="D14" s="261">
        <v>100</v>
      </c>
      <c r="E14" s="260"/>
      <c r="F14" s="261">
        <f>SUMIF(68:68,E14,69:69)-SUMIF(68:68,C14,69:69)+100</f>
        <v>100</v>
      </c>
      <c r="G14" s="1888"/>
      <c r="H14" s="261">
        <f>SUMIF(68:68,G14,69:69)-SUMIF(68:68,C14,69:69)+100</f>
        <v>100</v>
      </c>
      <c r="I14" s="292"/>
      <c r="J14" s="261">
        <f>SUMIF(68:68,I14,69:69)-SUMIF(68:68,C14,69:69)+100</f>
        <v>100</v>
      </c>
      <c r="K14" s="436"/>
      <c r="L14" s="885"/>
      <c r="M14" s="876"/>
      <c r="N14" s="876"/>
      <c r="O14" s="884"/>
      <c r="P14" s="3939"/>
      <c r="Q14" s="1403">
        <f t="shared" si="6"/>
        <v>111</v>
      </c>
      <c r="R14" s="552" t="s">
        <v>17</v>
      </c>
      <c r="S14" s="553">
        <f t="shared" si="0"/>
        <v>100</v>
      </c>
      <c r="T14" s="552" t="s">
        <v>17</v>
      </c>
      <c r="U14" s="553">
        <f t="shared" si="1"/>
        <v>100</v>
      </c>
      <c r="V14" s="552" t="s">
        <v>17</v>
      </c>
      <c r="W14" s="553">
        <f t="shared" si="2"/>
        <v>100</v>
      </c>
      <c r="X14" s="554"/>
      <c r="Y14" s="3921"/>
      <c r="Z14" s="40">
        <f t="shared" si="7"/>
        <v>111</v>
      </c>
      <c r="AA14" s="555">
        <f t="shared" si="3"/>
        <v>1</v>
      </c>
      <c r="AB14" s="555">
        <f t="shared" si="4"/>
        <v>1</v>
      </c>
      <c r="AC14" s="555">
        <f t="shared" si="5"/>
        <v>1</v>
      </c>
    </row>
    <row r="15" spans="1:29" ht="57">
      <c r="A15" s="263" t="s">
        <v>2565</v>
      </c>
      <c r="B15" s="43" t="s">
        <v>2709</v>
      </c>
      <c r="C15" s="1889" t="str">
        <f>估价对象房地状况!G3</f>
        <v>估价对象位于XX开发区，园区建设成熟度XX，产业集聚程度XX</v>
      </c>
      <c r="D15" s="264">
        <v>100</v>
      </c>
      <c r="E15" s="265"/>
      <c r="F15" s="266">
        <f>SUMIF(70:70,E16,71:71)-SUMIF(70:70,C16,71:71)+100</f>
        <v>100</v>
      </c>
      <c r="G15" s="267"/>
      <c r="H15" s="264">
        <f>SUMIF(70:70,G16,71:71)-SUMIF(70:70,C16,71:71)+100</f>
        <v>100</v>
      </c>
      <c r="I15" s="265"/>
      <c r="J15" s="264">
        <f>SUMIF(70:70,I16,71:71)-SUMIF(70:70,C16,71:71)+100</f>
        <v>100</v>
      </c>
      <c r="K15" s="437"/>
      <c r="L15" s="885"/>
      <c r="M15" s="876"/>
      <c r="N15" s="876"/>
      <c r="O15" s="884"/>
      <c r="P15" s="3941" t="s">
        <v>2566</v>
      </c>
      <c r="Q15" s="1412" t="str">
        <f t="shared" si="6"/>
        <v>产业集聚程度</v>
      </c>
      <c r="R15" s="556" t="s">
        <v>17</v>
      </c>
      <c r="S15" s="557">
        <f t="shared" si="0"/>
        <v>100</v>
      </c>
      <c r="T15" s="556" t="s">
        <v>17</v>
      </c>
      <c r="U15" s="557">
        <f t="shared" si="1"/>
        <v>100</v>
      </c>
      <c r="V15" s="556" t="s">
        <v>17</v>
      </c>
      <c r="W15" s="557">
        <f t="shared" si="2"/>
        <v>100</v>
      </c>
      <c r="X15" s="1415"/>
      <c r="Y15" s="3941" t="s">
        <v>2566</v>
      </c>
      <c r="Z15" s="1416" t="str">
        <f t="shared" si="7"/>
        <v>产业集聚程度</v>
      </c>
      <c r="AA15" s="1413">
        <f t="shared" si="3"/>
        <v>1</v>
      </c>
      <c r="AB15" s="1413">
        <f t="shared" si="4"/>
        <v>1</v>
      </c>
      <c r="AC15" s="1413">
        <f t="shared" si="5"/>
        <v>1</v>
      </c>
    </row>
    <row r="16" spans="1:29" ht="15">
      <c r="A16" s="251"/>
      <c r="B16" s="269"/>
      <c r="C16" s="270"/>
      <c r="D16" s="271"/>
      <c r="E16" s="270"/>
      <c r="F16" s="272"/>
      <c r="G16" s="270"/>
      <c r="H16" s="273"/>
      <c r="I16" s="270"/>
      <c r="J16" s="271"/>
      <c r="K16" s="438"/>
      <c r="L16" s="885"/>
      <c r="M16" s="876"/>
      <c r="N16" s="876"/>
      <c r="O16" s="884"/>
      <c r="P16" s="3942"/>
      <c r="Q16" s="1412"/>
      <c r="R16" s="556"/>
      <c r="S16" s="557"/>
      <c r="T16" s="556"/>
      <c r="U16" s="557"/>
      <c r="V16" s="556"/>
      <c r="W16" s="557"/>
      <c r="X16" s="1415"/>
      <c r="Y16" s="3942"/>
      <c r="Z16" s="1416"/>
      <c r="AA16" s="1413">
        <v>1</v>
      </c>
      <c r="AB16" s="1413">
        <v>1</v>
      </c>
      <c r="AC16" s="1413">
        <v>1</v>
      </c>
    </row>
    <row r="17" spans="1:29" ht="85.5">
      <c r="A17" s="251"/>
      <c r="B17" s="274" t="s">
        <v>2102</v>
      </c>
      <c r="C17" s="1812" t="str">
        <f>估价对象房地状况!G4</f>
        <v>估价对象周边道路状况、公共交通通达情况、停车便捷程度，综合评价交通便捷度较好</v>
      </c>
      <c r="D17" s="273">
        <v>100</v>
      </c>
      <c r="E17" s="275"/>
      <c r="F17" s="276">
        <f>SUMIF(72:72,E18,73:73)-SUMIF(72:72,C18,73:73)+100</f>
        <v>100</v>
      </c>
      <c r="G17" s="277"/>
      <c r="H17" s="278">
        <f>SUMIF(72:72,G18,73:73)-SUMIF(72:72,C18,73:73)+100</f>
        <v>100</v>
      </c>
      <c r="I17" s="275"/>
      <c r="J17" s="278">
        <f>SUMIF(72:72,I18,73:73)-SUMIF(72:72,C18,73:73)+100</f>
        <v>100</v>
      </c>
      <c r="K17" s="437"/>
      <c r="L17" s="885"/>
      <c r="M17" s="876"/>
      <c r="N17" s="876"/>
      <c r="O17" s="884"/>
      <c r="P17" s="3942"/>
      <c r="Q17" s="1412" t="str">
        <f>B17</f>
        <v>交通便捷度</v>
      </c>
      <c r="R17" s="556" t="s">
        <v>17</v>
      </c>
      <c r="S17" s="557">
        <f>F17</f>
        <v>100</v>
      </c>
      <c r="T17" s="556" t="s">
        <v>17</v>
      </c>
      <c r="U17" s="557">
        <f>H17</f>
        <v>100</v>
      </c>
      <c r="V17" s="556" t="s">
        <v>17</v>
      </c>
      <c r="W17" s="557">
        <f>J17</f>
        <v>100</v>
      </c>
      <c r="X17" s="1415"/>
      <c r="Y17" s="3942"/>
      <c r="Z17" s="1416" t="str">
        <f>Q17</f>
        <v>交通便捷度</v>
      </c>
      <c r="AA17" s="1413">
        <f t="shared" si="3"/>
        <v>1</v>
      </c>
      <c r="AB17" s="1413">
        <f t="shared" si="4"/>
        <v>1</v>
      </c>
      <c r="AC17" s="1413">
        <f t="shared" si="5"/>
        <v>1</v>
      </c>
    </row>
    <row r="18" spans="1:29" ht="15">
      <c r="A18" s="251"/>
      <c r="B18" s="279"/>
      <c r="C18" s="1813"/>
      <c r="D18" s="273"/>
      <c r="E18" s="1815"/>
      <c r="F18" s="276"/>
      <c r="G18" s="1814"/>
      <c r="H18" s="271"/>
      <c r="I18" s="1815"/>
      <c r="J18" s="271"/>
      <c r="K18" s="438"/>
      <c r="L18" s="885"/>
      <c r="M18" s="876"/>
      <c r="N18" s="876"/>
      <c r="O18" s="884"/>
      <c r="P18" s="3942"/>
      <c r="Q18" s="1412"/>
      <c r="R18" s="556"/>
      <c r="S18" s="557"/>
      <c r="T18" s="556"/>
      <c r="U18" s="557"/>
      <c r="V18" s="556"/>
      <c r="W18" s="557"/>
      <c r="X18" s="1415"/>
      <c r="Y18" s="3942"/>
      <c r="Z18" s="1416"/>
      <c r="AA18" s="1413">
        <v>1</v>
      </c>
      <c r="AB18" s="1413">
        <v>1</v>
      </c>
      <c r="AC18" s="1413">
        <v>1</v>
      </c>
    </row>
    <row r="19" spans="1:29" ht="42.75">
      <c r="A19" s="251"/>
      <c r="B19" s="274" t="s">
        <v>2694</v>
      </c>
      <c r="C19" s="1812" t="str">
        <f>估价对象房地状况!G5</f>
        <v>估价对象所在区域公共配套设施齐备情况</v>
      </c>
      <c r="D19" s="278">
        <v>100</v>
      </c>
      <c r="E19" s="280"/>
      <c r="F19" s="281">
        <f>SUMIF(74:74,E20,75:75)-SUMIF(74:74,C20,75:75)+100</f>
        <v>100</v>
      </c>
      <c r="G19" s="282"/>
      <c r="H19" s="273">
        <f>SUMIF(74:74,G20,75:75)-SUMIF(74:74,C20,75:75)+100</f>
        <v>100</v>
      </c>
      <c r="I19" s="280"/>
      <c r="J19" s="273">
        <f>SUMIF(74:74,I20,75:75)-SUMIF(74:74,C20,75:75)+100</f>
        <v>100</v>
      </c>
      <c r="K19" s="437"/>
      <c r="L19" s="885"/>
      <c r="M19" s="876"/>
      <c r="N19" s="876"/>
      <c r="O19" s="884"/>
      <c r="P19" s="3942"/>
      <c r="Q19" s="1412" t="str">
        <f>B19</f>
        <v>公共配套设施</v>
      </c>
      <c r="R19" s="556" t="s">
        <v>17</v>
      </c>
      <c r="S19" s="557">
        <f>F19</f>
        <v>100</v>
      </c>
      <c r="T19" s="556" t="s">
        <v>17</v>
      </c>
      <c r="U19" s="557">
        <f>H19</f>
        <v>100</v>
      </c>
      <c r="V19" s="556" t="s">
        <v>17</v>
      </c>
      <c r="W19" s="557">
        <f>J19</f>
        <v>100</v>
      </c>
      <c r="X19" s="1415"/>
      <c r="Y19" s="3942"/>
      <c r="Z19" s="1416" t="str">
        <f>Q19</f>
        <v>公共配套设施</v>
      </c>
      <c r="AA19" s="1413">
        <f t="shared" si="3"/>
        <v>1</v>
      </c>
      <c r="AB19" s="1413">
        <f t="shared" si="4"/>
        <v>1</v>
      </c>
      <c r="AC19" s="1413">
        <f t="shared" si="5"/>
        <v>1</v>
      </c>
    </row>
    <row r="20" spans="1:29" ht="15">
      <c r="A20" s="251"/>
      <c r="B20" s="279"/>
      <c r="C20" s="270"/>
      <c r="D20" s="271"/>
      <c r="E20" s="1810"/>
      <c r="F20" s="272"/>
      <c r="G20" s="1809"/>
      <c r="H20" s="271"/>
      <c r="I20" s="1810"/>
      <c r="J20" s="271"/>
      <c r="K20" s="438"/>
      <c r="L20" s="885"/>
      <c r="M20" s="876"/>
      <c r="N20" s="876"/>
      <c r="O20" s="884"/>
      <c r="P20" s="3942"/>
      <c r="Q20" s="1412"/>
      <c r="R20" s="556"/>
      <c r="S20" s="557"/>
      <c r="T20" s="556"/>
      <c r="U20" s="557"/>
      <c r="V20" s="556"/>
      <c r="W20" s="557"/>
      <c r="X20" s="1415"/>
      <c r="Y20" s="3942"/>
      <c r="Z20" s="1416"/>
      <c r="AA20" s="1413">
        <v>1</v>
      </c>
      <c r="AB20" s="1413">
        <v>1</v>
      </c>
      <c r="AC20" s="1413">
        <v>1</v>
      </c>
    </row>
    <row r="21" spans="1:29" ht="28.5">
      <c r="A21" s="251"/>
      <c r="B21" s="1061" t="s">
        <v>2695</v>
      </c>
      <c r="C21" s="1812" t="str">
        <f>估价对象房地状况!G6</f>
        <v>估价对象所在区域基础设施水平</v>
      </c>
      <c r="D21" s="273">
        <v>100</v>
      </c>
      <c r="E21" s="280"/>
      <c r="F21" s="281">
        <f>SUMIF(76:76,E22,77:77)-SUMIF(76:76,C22,77:77)+100</f>
        <v>100</v>
      </c>
      <c r="G21" s="282"/>
      <c r="H21" s="273">
        <f>SUMIF(76:76,G22,77:77)-SUMIF(76:76,C22,77:77)+100</f>
        <v>100</v>
      </c>
      <c r="I21" s="280"/>
      <c r="J21" s="273">
        <f>SUMIF(76:76,I22,77:77)-SUMIF(76:76,C22,77:77)+100</f>
        <v>100</v>
      </c>
      <c r="K21" s="437"/>
      <c r="L21" s="885"/>
      <c r="M21" s="876"/>
      <c r="N21" s="876"/>
      <c r="O21" s="884"/>
      <c r="P21" s="3942"/>
      <c r="Q21" s="1412" t="str">
        <f>B21</f>
        <v>基础设施水平</v>
      </c>
      <c r="R21" s="556" t="s">
        <v>17</v>
      </c>
      <c r="S21" s="557">
        <f>F21</f>
        <v>100</v>
      </c>
      <c r="T21" s="556" t="s">
        <v>17</v>
      </c>
      <c r="U21" s="557">
        <f>H21</f>
        <v>100</v>
      </c>
      <c r="V21" s="556" t="s">
        <v>17</v>
      </c>
      <c r="W21" s="557">
        <f>J21</f>
        <v>100</v>
      </c>
      <c r="X21" s="1415"/>
      <c r="Y21" s="3942"/>
      <c r="Z21" s="1416" t="str">
        <f>Q21</f>
        <v>基础设施水平</v>
      </c>
      <c r="AA21" s="1413">
        <f t="shared" ref="AA21" si="8">D21/F21</f>
        <v>1</v>
      </c>
      <c r="AB21" s="1413">
        <f t="shared" ref="AB21" si="9">D21/H21</f>
        <v>1</v>
      </c>
      <c r="AC21" s="1413">
        <f t="shared" ref="AC21" si="10">D21/J21</f>
        <v>1</v>
      </c>
    </row>
    <row r="22" spans="1:29" ht="15">
      <c r="A22" s="251"/>
      <c r="B22" s="1061"/>
      <c r="C22" s="1813"/>
      <c r="D22" s="271"/>
      <c r="E22" s="270"/>
      <c r="F22" s="272"/>
      <c r="G22" s="270"/>
      <c r="H22" s="271"/>
      <c r="I22" s="270"/>
      <c r="J22" s="271"/>
      <c r="K22" s="1060"/>
      <c r="L22" s="885"/>
      <c r="M22" s="876"/>
      <c r="N22" s="876"/>
      <c r="O22" s="884"/>
      <c r="P22" s="3942"/>
      <c r="Q22" s="1412"/>
      <c r="R22" s="556"/>
      <c r="S22" s="557"/>
      <c r="T22" s="556"/>
      <c r="U22" s="557"/>
      <c r="V22" s="556"/>
      <c r="W22" s="557"/>
      <c r="X22" s="1415"/>
      <c r="Y22" s="3942"/>
      <c r="Z22" s="1416"/>
      <c r="AA22" s="1413">
        <v>1</v>
      </c>
      <c r="AB22" s="1413">
        <v>1</v>
      </c>
      <c r="AC22" s="1413">
        <v>1</v>
      </c>
    </row>
    <row r="23" spans="1:29" ht="71.25">
      <c r="A23" s="251"/>
      <c r="B23" s="274" t="s">
        <v>2696</v>
      </c>
      <c r="C23" s="1812" t="str">
        <f>估价对象房地状况!G7</f>
        <v>该园区内是否有污染型企业，绿化情况，卫生条件，整体环境状况判断</v>
      </c>
      <c r="D23" s="273">
        <v>100</v>
      </c>
      <c r="E23" s="275"/>
      <c r="F23" s="276">
        <f>SUMIF(78:78,E24,79:79)-SUMIF(78:78,C24,79:79)+100</f>
        <v>100</v>
      </c>
      <c r="G23" s="277"/>
      <c r="H23" s="273">
        <f>SUMIF(78:78,G24,79:79)-SUMIF(78:78,C24,79:79)+100</f>
        <v>100</v>
      </c>
      <c r="I23" s="275"/>
      <c r="J23" s="273">
        <f>SUMIF(78:78,I24,79:79)-SUMIF(78:78,C24,79:79)+100</f>
        <v>100</v>
      </c>
      <c r="K23" s="437"/>
      <c r="L23" s="885"/>
      <c r="M23" s="876"/>
      <c r="N23" s="876"/>
      <c r="O23" s="884"/>
      <c r="P23" s="3942"/>
      <c r="Q23" s="1412" t="str">
        <f>B23</f>
        <v>环境质量</v>
      </c>
      <c r="R23" s="556" t="s">
        <v>17</v>
      </c>
      <c r="S23" s="557">
        <f>F23</f>
        <v>100</v>
      </c>
      <c r="T23" s="556" t="s">
        <v>17</v>
      </c>
      <c r="U23" s="557">
        <f>H23</f>
        <v>100</v>
      </c>
      <c r="V23" s="556" t="s">
        <v>17</v>
      </c>
      <c r="W23" s="557">
        <f>J23</f>
        <v>100</v>
      </c>
      <c r="X23" s="1415"/>
      <c r="Y23" s="3942"/>
      <c r="Z23" s="1416" t="str">
        <f>Q23</f>
        <v>环境质量</v>
      </c>
      <c r="AA23" s="1413">
        <f t="shared" si="3"/>
        <v>1</v>
      </c>
      <c r="AB23" s="1413">
        <f t="shared" si="4"/>
        <v>1</v>
      </c>
      <c r="AC23" s="1413">
        <f t="shared" si="5"/>
        <v>1</v>
      </c>
    </row>
    <row r="24" spans="1:29" ht="15">
      <c r="A24" s="251"/>
      <c r="B24" s="1061"/>
      <c r="C24" s="270"/>
      <c r="D24" s="271"/>
      <c r="E24" s="1810"/>
      <c r="F24" s="272"/>
      <c r="G24" s="1809"/>
      <c r="H24" s="271"/>
      <c r="I24" s="1810"/>
      <c r="J24" s="271"/>
      <c r="K24" s="438"/>
      <c r="L24" s="885"/>
      <c r="M24" s="876"/>
      <c r="N24" s="876"/>
      <c r="O24" s="884"/>
      <c r="P24" s="3942"/>
      <c r="Q24" s="1412"/>
      <c r="R24" s="556"/>
      <c r="S24" s="557"/>
      <c r="T24" s="556"/>
      <c r="U24" s="557"/>
      <c r="V24" s="556"/>
      <c r="W24" s="557"/>
      <c r="X24" s="1415"/>
      <c r="Y24" s="3942"/>
      <c r="Z24" s="1416"/>
      <c r="AA24" s="1413">
        <v>1</v>
      </c>
      <c r="AB24" s="1413">
        <v>1</v>
      </c>
      <c r="AC24" s="1413">
        <v>1</v>
      </c>
    </row>
    <row r="25" spans="1:29" ht="15">
      <c r="A25" s="228"/>
      <c r="B25" s="1063">
        <v>111</v>
      </c>
      <c r="C25" s="257">
        <v>111</v>
      </c>
      <c r="D25" s="258">
        <v>100</v>
      </c>
      <c r="E25" s="257"/>
      <c r="F25" s="284">
        <f>SUMIF(80:80,E25,81:81)-SUMIF(80:80,C25,81:81)+100</f>
        <v>100</v>
      </c>
      <c r="G25" s="257"/>
      <c r="H25" s="258">
        <f>SUMIF(80:80,G25,81:81)-SUMIF(80:80,C25,81:81)+100</f>
        <v>100</v>
      </c>
      <c r="I25" s="257"/>
      <c r="J25" s="258">
        <f>SUMIF(80:80,I25,81:81)-SUMIF(80:80,C25,81:81)+100</f>
        <v>100</v>
      </c>
      <c r="K25" s="436"/>
      <c r="L25" s="885"/>
      <c r="M25" s="876"/>
      <c r="N25" s="876"/>
      <c r="O25" s="884"/>
      <c r="P25" s="3942"/>
      <c r="Q25" s="1412">
        <f>B25</f>
        <v>111</v>
      </c>
      <c r="R25" s="556" t="s">
        <v>17</v>
      </c>
      <c r="S25" s="557">
        <f>F25</f>
        <v>100</v>
      </c>
      <c r="T25" s="556" t="s">
        <v>17</v>
      </c>
      <c r="U25" s="557">
        <f>H25</f>
        <v>100</v>
      </c>
      <c r="V25" s="556" t="s">
        <v>17</v>
      </c>
      <c r="W25" s="557">
        <f>J25</f>
        <v>100</v>
      </c>
      <c r="X25" s="1415"/>
      <c r="Y25" s="3942"/>
      <c r="Z25" s="1416">
        <f>Q25</f>
        <v>111</v>
      </c>
      <c r="AA25" s="1413">
        <f t="shared" si="3"/>
        <v>1</v>
      </c>
      <c r="AB25" s="1413">
        <f t="shared" si="4"/>
        <v>1</v>
      </c>
      <c r="AC25" s="1413">
        <f t="shared" si="5"/>
        <v>1</v>
      </c>
    </row>
    <row r="26" spans="1:29" ht="15">
      <c r="A26" s="251"/>
      <c r="B26" s="1063">
        <v>111</v>
      </c>
      <c r="C26" s="257">
        <v>111</v>
      </c>
      <c r="D26" s="258">
        <v>100</v>
      </c>
      <c r="E26" s="257"/>
      <c r="F26" s="284">
        <f>SUMIF(82:82,E26,83:83)-SUMIF(82:82,C26,83:83)+100</f>
        <v>100</v>
      </c>
      <c r="G26" s="257"/>
      <c r="H26" s="258">
        <f>SUMIF(82:82,G26,83:83)-SUMIF(82:82,C26,83:83)+100</f>
        <v>100</v>
      </c>
      <c r="I26" s="257"/>
      <c r="J26" s="258">
        <f>SUMIF(82:82,I26,83:83)-SUMIF(82:82,C26,83:83)+100</f>
        <v>100</v>
      </c>
      <c r="K26" s="436"/>
      <c r="L26" s="885"/>
      <c r="M26" s="876"/>
      <c r="N26" s="876"/>
      <c r="O26" s="884"/>
      <c r="P26" s="3942"/>
      <c r="Q26" s="1412">
        <f t="shared" ref="Q26:Q40" si="11">B26</f>
        <v>111</v>
      </c>
      <c r="R26" s="556" t="s">
        <v>17</v>
      </c>
      <c r="S26" s="557">
        <f>F26</f>
        <v>100</v>
      </c>
      <c r="T26" s="556" t="s">
        <v>17</v>
      </c>
      <c r="U26" s="557">
        <f>H26</f>
        <v>100</v>
      </c>
      <c r="V26" s="556" t="s">
        <v>17</v>
      </c>
      <c r="W26" s="557">
        <f>J26</f>
        <v>100</v>
      </c>
      <c r="X26" s="1415"/>
      <c r="Y26" s="3942"/>
      <c r="Z26" s="1416">
        <f>Q26</f>
        <v>111</v>
      </c>
      <c r="AA26" s="1413">
        <f t="shared" si="3"/>
        <v>1</v>
      </c>
      <c r="AB26" s="1413">
        <f t="shared" si="4"/>
        <v>1</v>
      </c>
      <c r="AC26" s="1413">
        <f t="shared" si="5"/>
        <v>1</v>
      </c>
    </row>
    <row r="27" spans="1:29" s="51" customFormat="1" ht="15">
      <c r="A27" s="254"/>
      <c r="B27" s="1063">
        <v>111</v>
      </c>
      <c r="C27" s="257">
        <v>111</v>
      </c>
      <c r="D27" s="285">
        <v>100</v>
      </c>
      <c r="E27" s="257"/>
      <c r="F27" s="287">
        <f>SUMIF(84:84,E27,85:85)-SUMIF(84:84,C27,85:85)+100</f>
        <v>100</v>
      </c>
      <c r="G27" s="257"/>
      <c r="H27" s="285">
        <f>SUMIF(84:84,G27,85:85)-SUMIF(84:84,C27,85:85)+100</f>
        <v>100</v>
      </c>
      <c r="I27" s="257"/>
      <c r="J27" s="285">
        <f>SUMIF(84:84,I27,85:85)-SUMIF(84:84,C27,85:85)+100</f>
        <v>100</v>
      </c>
      <c r="K27" s="436"/>
      <c r="L27" s="877"/>
      <c r="M27" s="878"/>
      <c r="N27" s="878"/>
      <c r="O27" s="879"/>
      <c r="P27" s="3942"/>
      <c r="Q27" s="1403">
        <f t="shared" si="11"/>
        <v>111</v>
      </c>
      <c r="R27" s="552" t="s">
        <v>17</v>
      </c>
      <c r="S27" s="553">
        <f>F27</f>
        <v>100</v>
      </c>
      <c r="T27" s="552" t="s">
        <v>17</v>
      </c>
      <c r="U27" s="553">
        <f>H27</f>
        <v>100</v>
      </c>
      <c r="V27" s="552" t="s">
        <v>17</v>
      </c>
      <c r="W27" s="553">
        <f>J27</f>
        <v>100</v>
      </c>
      <c r="X27" s="554"/>
      <c r="Y27" s="3942"/>
      <c r="Z27" s="40">
        <f>Q27</f>
        <v>111</v>
      </c>
      <c r="AA27" s="1413">
        <f>D27/F27</f>
        <v>1</v>
      </c>
      <c r="AB27" s="1413">
        <f>D27/H27</f>
        <v>1</v>
      </c>
      <c r="AC27" s="1413">
        <f>D27/J27</f>
        <v>1</v>
      </c>
    </row>
    <row r="28" spans="1:29" ht="15.75" thickBot="1">
      <c r="A28" s="259"/>
      <c r="B28" s="1063">
        <v>111</v>
      </c>
      <c r="C28" s="260">
        <v>111</v>
      </c>
      <c r="D28" s="261">
        <v>100</v>
      </c>
      <c r="E28" s="257"/>
      <c r="F28" s="262">
        <f>SUMIF(86:86,E28,87:87)-SUMIF(86:86,C28,87:87)+100</f>
        <v>100</v>
      </c>
      <c r="G28" s="292"/>
      <c r="H28" s="261">
        <f>SUMIF(86:86,G28,87:87)-SUMIF(86:86,C28,87:87)+100</f>
        <v>100</v>
      </c>
      <c r="I28" s="292"/>
      <c r="J28" s="261">
        <f>SUMIF(86:86,I28,87:87)-SUMIF(86:86,C28,87:87)+100</f>
        <v>100</v>
      </c>
      <c r="K28" s="436"/>
      <c r="L28" s="885"/>
      <c r="M28" s="876"/>
      <c r="N28" s="876"/>
      <c r="O28" s="884"/>
      <c r="P28" s="3942"/>
      <c r="Q28" s="1412">
        <f t="shared" si="11"/>
        <v>111</v>
      </c>
      <c r="R28" s="556" t="s">
        <v>17</v>
      </c>
      <c r="S28" s="557">
        <f t="shared" ref="S28:S40" si="12">F28</f>
        <v>100</v>
      </c>
      <c r="T28" s="556" t="s">
        <v>17</v>
      </c>
      <c r="U28" s="557">
        <f t="shared" ref="U28:U40" si="13">H28</f>
        <v>100</v>
      </c>
      <c r="V28" s="556" t="s">
        <v>17</v>
      </c>
      <c r="W28" s="557">
        <f t="shared" ref="W28:W40" si="14">J28</f>
        <v>100</v>
      </c>
      <c r="X28" s="1415"/>
      <c r="Y28" s="3942"/>
      <c r="Z28" s="1416">
        <f t="shared" ref="Z28:Z40" si="15">Q28</f>
        <v>111</v>
      </c>
      <c r="AA28" s="1413">
        <f t="shared" si="3"/>
        <v>1</v>
      </c>
      <c r="AB28" s="1413">
        <f t="shared" si="4"/>
        <v>1</v>
      </c>
      <c r="AC28" s="1413">
        <f t="shared" si="5"/>
        <v>1</v>
      </c>
    </row>
    <row r="29" spans="1:29" ht="15">
      <c r="A29" s="289" t="s">
        <v>2569</v>
      </c>
      <c r="B29" s="45" t="s">
        <v>2699</v>
      </c>
      <c r="C29" s="1875"/>
      <c r="D29" s="290">
        <v>100</v>
      </c>
      <c r="E29" s="1875"/>
      <c r="F29" s="284">
        <f>SUMIF(88:88,E29,89:89)-SUMIF(88:88,C29,89:89)+100</f>
        <v>100</v>
      </c>
      <c r="G29" s="1875"/>
      <c r="H29" s="258">
        <f>SUMIF(88:88,G29,89:89)-SUMIF(88:88,C29,89:89)+100</f>
        <v>100</v>
      </c>
      <c r="I29" s="1875"/>
      <c r="J29" s="290">
        <f>SUMIF(88:88,I29,89:89)-SUMIF(88:88,C29,89:89)+100</f>
        <v>100</v>
      </c>
      <c r="K29" s="435"/>
      <c r="L29" s="885"/>
      <c r="M29" s="876"/>
      <c r="N29" s="876"/>
      <c r="O29" s="884"/>
      <c r="P29" s="3970" t="s">
        <v>2571</v>
      </c>
      <c r="Q29" s="1412" t="str">
        <f t="shared" si="11"/>
        <v>建筑类型</v>
      </c>
      <c r="R29" s="556" t="s">
        <v>17</v>
      </c>
      <c r="S29" s="557">
        <f t="shared" si="12"/>
        <v>100</v>
      </c>
      <c r="T29" s="556" t="s">
        <v>17</v>
      </c>
      <c r="U29" s="557">
        <f t="shared" si="13"/>
        <v>100</v>
      </c>
      <c r="V29" s="556" t="s">
        <v>17</v>
      </c>
      <c r="W29" s="557">
        <f t="shared" si="14"/>
        <v>100</v>
      </c>
      <c r="X29" s="1415"/>
      <c r="Y29" s="3946" t="s">
        <v>2571</v>
      </c>
      <c r="Z29" s="1416" t="str">
        <f t="shared" si="15"/>
        <v>建筑类型</v>
      </c>
      <c r="AA29" s="1413">
        <f t="shared" si="3"/>
        <v>1</v>
      </c>
      <c r="AB29" s="1413">
        <f t="shared" si="4"/>
        <v>1</v>
      </c>
      <c r="AC29" s="1413">
        <f t="shared" si="5"/>
        <v>1</v>
      </c>
    </row>
    <row r="30" spans="1:29" s="294" customFormat="1" ht="15">
      <c r="A30" s="291"/>
      <c r="B30" s="245" t="s">
        <v>2572</v>
      </c>
      <c r="C30" s="292"/>
      <c r="D30" s="53">
        <v>100</v>
      </c>
      <c r="E30" s="253"/>
      <c r="F30" s="248" t="e">
        <f>LOOKUP(E30,91:91,92:92)-LOOKUP(C30,91:91,92:92)+100</f>
        <v>#N/A</v>
      </c>
      <c r="G30" s="252"/>
      <c r="H30" s="53" t="e">
        <f>LOOKUP(G30,91:91,92:92)-LOOKUP(C30,91:91,92:92)+100</f>
        <v>#N/A</v>
      </c>
      <c r="I30" s="252"/>
      <c r="J30" s="53" t="e">
        <f>LOOKUP(I30,91:91,92:92)-LOOKUP(C30,91:91,92:92)+100</f>
        <v>#N/A</v>
      </c>
      <c r="K30" s="436"/>
      <c r="L30" s="883"/>
      <c r="M30" s="886"/>
      <c r="N30" s="886"/>
      <c r="O30" s="887"/>
      <c r="P30" s="3946"/>
      <c r="Q30" s="558" t="str">
        <f t="shared" si="11"/>
        <v>项目建筑规模</v>
      </c>
      <c r="R30" s="559" t="s">
        <v>17</v>
      </c>
      <c r="S30" s="560" t="e">
        <f t="shared" si="12"/>
        <v>#N/A</v>
      </c>
      <c r="T30" s="559" t="s">
        <v>17</v>
      </c>
      <c r="U30" s="560" t="e">
        <f t="shared" si="13"/>
        <v>#N/A</v>
      </c>
      <c r="V30" s="559" t="s">
        <v>17</v>
      </c>
      <c r="W30" s="560" t="e">
        <f t="shared" si="14"/>
        <v>#N/A</v>
      </c>
      <c r="X30" s="561"/>
      <c r="Y30" s="3946"/>
      <c r="Z30" s="562" t="str">
        <f t="shared" si="15"/>
        <v>项目建筑规模</v>
      </c>
      <c r="AA30" s="1413" t="e">
        <f t="shared" si="3"/>
        <v>#N/A</v>
      </c>
      <c r="AB30" s="1413" t="e">
        <f t="shared" si="4"/>
        <v>#N/A</v>
      </c>
      <c r="AC30" s="1413" t="e">
        <f t="shared" si="5"/>
        <v>#N/A</v>
      </c>
    </row>
    <row r="31" spans="1:29" ht="15">
      <c r="A31" s="295"/>
      <c r="B31" s="245" t="s">
        <v>2573</v>
      </c>
      <c r="C31" s="283"/>
      <c r="D31" s="258">
        <v>100</v>
      </c>
      <c r="E31" s="283"/>
      <c r="F31" s="284">
        <f>SUMIF(93:93,E31,94:94)-SUMIF(93:93,C31,94:94)+100</f>
        <v>100</v>
      </c>
      <c r="G31" s="283"/>
      <c r="H31" s="258">
        <f>SUMIF(93:93,G31,94:94)-SUMIF(93:93,C31,94:94)+100</f>
        <v>100</v>
      </c>
      <c r="I31" s="283"/>
      <c r="J31" s="258">
        <f>SUMIF(93:93,I31,94:94)-SUMIF(93:93,C31,94:94)+100</f>
        <v>100</v>
      </c>
      <c r="K31" s="435"/>
      <c r="L31" s="885"/>
      <c r="M31" s="876"/>
      <c r="N31" s="876"/>
      <c r="O31" s="884"/>
      <c r="P31" s="3946"/>
      <c r="Q31" s="1412" t="str">
        <f t="shared" si="11"/>
        <v>建筑结构</v>
      </c>
      <c r="R31" s="556" t="s">
        <v>17</v>
      </c>
      <c r="S31" s="557">
        <f t="shared" si="12"/>
        <v>100</v>
      </c>
      <c r="T31" s="556" t="s">
        <v>17</v>
      </c>
      <c r="U31" s="557">
        <f t="shared" si="13"/>
        <v>100</v>
      </c>
      <c r="V31" s="556" t="s">
        <v>17</v>
      </c>
      <c r="W31" s="557">
        <f t="shared" si="14"/>
        <v>100</v>
      </c>
      <c r="X31" s="1415"/>
      <c r="Y31" s="3946"/>
      <c r="Z31" s="1416" t="str">
        <f t="shared" si="15"/>
        <v>建筑结构</v>
      </c>
      <c r="AA31" s="1413">
        <f t="shared" si="3"/>
        <v>1</v>
      </c>
      <c r="AB31" s="1413">
        <f t="shared" si="4"/>
        <v>1</v>
      </c>
      <c r="AC31" s="1413">
        <f t="shared" si="5"/>
        <v>1</v>
      </c>
    </row>
    <row r="32" spans="1:29" ht="15">
      <c r="A32" s="295"/>
      <c r="B32" s="245" t="s">
        <v>2667</v>
      </c>
      <c r="C32" s="283"/>
      <c r="D32" s="258">
        <v>100</v>
      </c>
      <c r="E32" s="283"/>
      <c r="F32" s="284">
        <f>SUMIF(95:95,E32,96:96)-SUMIF(95:95,C32,96:96)+100</f>
        <v>100</v>
      </c>
      <c r="G32" s="283"/>
      <c r="H32" s="258">
        <f>SUMIF(95:95,G32,96:96)-SUMIF(95:95,C32,96:96)+100</f>
        <v>100</v>
      </c>
      <c r="I32" s="283"/>
      <c r="J32" s="258">
        <f>SUMIF(95:95,I32,96:96)-SUMIF(95:95,C32,96:96)+100</f>
        <v>100</v>
      </c>
      <c r="K32" s="435"/>
      <c r="L32" s="885"/>
      <c r="M32" s="876"/>
      <c r="N32" s="876"/>
      <c r="O32" s="884"/>
      <c r="P32" s="3946"/>
      <c r="Q32" s="1412" t="str">
        <f t="shared" si="11"/>
        <v>公共部分装修</v>
      </c>
      <c r="R32" s="556" t="s">
        <v>17</v>
      </c>
      <c r="S32" s="557">
        <f t="shared" si="12"/>
        <v>100</v>
      </c>
      <c r="T32" s="556" t="s">
        <v>17</v>
      </c>
      <c r="U32" s="557">
        <f t="shared" si="13"/>
        <v>100</v>
      </c>
      <c r="V32" s="556" t="s">
        <v>17</v>
      </c>
      <c r="W32" s="557">
        <f t="shared" si="14"/>
        <v>100</v>
      </c>
      <c r="X32" s="1415"/>
      <c r="Y32" s="3946"/>
      <c r="Z32" s="1416" t="str">
        <f t="shared" si="15"/>
        <v>公共部分装修</v>
      </c>
      <c r="AA32" s="1413">
        <f t="shared" si="3"/>
        <v>1</v>
      </c>
      <c r="AB32" s="1413">
        <f t="shared" si="4"/>
        <v>1</v>
      </c>
      <c r="AC32" s="1413">
        <f t="shared" si="5"/>
        <v>1</v>
      </c>
    </row>
    <row r="33" spans="1:29" ht="15">
      <c r="A33" s="295"/>
      <c r="B33" s="245" t="s">
        <v>2668</v>
      </c>
      <c r="C33" s="292"/>
      <c r="D33" s="258">
        <v>100</v>
      </c>
      <c r="E33" s="297"/>
      <c r="F33" s="284" t="e">
        <f>LOOKUP(E33,98:98,99:99)-LOOKUP(C33,98:98,99:99)+100</f>
        <v>#N/A</v>
      </c>
      <c r="G33" s="297"/>
      <c r="H33" s="284" t="e">
        <f>LOOKUP(G33,98:98,99:99)-LOOKUP(C33,98:98,99:99)+100</f>
        <v>#N/A</v>
      </c>
      <c r="I33" s="297"/>
      <c r="J33" s="258" t="e">
        <f>LOOKUP(I33,98:98,99:99)-LOOKUP(C33,98:98,99:99)+100</f>
        <v>#N/A</v>
      </c>
      <c r="K33" s="435"/>
      <c r="L33" s="885"/>
      <c r="M33" s="876"/>
      <c r="N33" s="876"/>
      <c r="O33" s="884"/>
      <c r="P33" s="3946"/>
      <c r="Q33" s="1412" t="str">
        <f t="shared" si="11"/>
        <v>成新度</v>
      </c>
      <c r="R33" s="556" t="s">
        <v>17</v>
      </c>
      <c r="S33" s="557" t="e">
        <f t="shared" si="12"/>
        <v>#N/A</v>
      </c>
      <c r="T33" s="556" t="s">
        <v>17</v>
      </c>
      <c r="U33" s="557" t="e">
        <f t="shared" si="13"/>
        <v>#N/A</v>
      </c>
      <c r="V33" s="556" t="s">
        <v>17</v>
      </c>
      <c r="W33" s="557" t="e">
        <f t="shared" si="14"/>
        <v>#N/A</v>
      </c>
      <c r="X33" s="1415"/>
      <c r="Y33" s="3946"/>
      <c r="Z33" s="1416" t="str">
        <f t="shared" si="15"/>
        <v>成新度</v>
      </c>
      <c r="AA33" s="1413" t="e">
        <f t="shared" si="3"/>
        <v>#N/A</v>
      </c>
      <c r="AB33" s="1413" t="e">
        <f t="shared" si="4"/>
        <v>#N/A</v>
      </c>
      <c r="AC33" s="1413" t="e">
        <f t="shared" si="5"/>
        <v>#N/A</v>
      </c>
    </row>
    <row r="34" spans="1:29" s="51" customFormat="1" ht="15">
      <c r="A34" s="296"/>
      <c r="B34" s="245" t="s">
        <v>2701</v>
      </c>
      <c r="C34" s="283"/>
      <c r="D34" s="53">
        <v>100</v>
      </c>
      <c r="E34" s="283"/>
      <c r="F34" s="284">
        <f>SUMIF(100:100,E34,101:101)-SUMIF(100:100,C34,101:101)+100</f>
        <v>100</v>
      </c>
      <c r="G34" s="283"/>
      <c r="H34" s="258">
        <f>SUMIF(100:100,G34,101:101)-SUMIF(100:100,C34,101:101)+100</f>
        <v>100</v>
      </c>
      <c r="I34" s="283"/>
      <c r="J34" s="258">
        <f>SUMIF(100:100,I34,101:101)-SUMIF(100:100,C34,101:101)+100</f>
        <v>100</v>
      </c>
      <c r="K34" s="435"/>
      <c r="L34" s="877"/>
      <c r="M34" s="878"/>
      <c r="N34" s="878"/>
      <c r="O34" s="879"/>
      <c r="P34" s="3946"/>
      <c r="Q34" s="1403" t="str">
        <f t="shared" si="11"/>
        <v>物业管理</v>
      </c>
      <c r="R34" s="552" t="s">
        <v>17</v>
      </c>
      <c r="S34" s="553">
        <f t="shared" si="12"/>
        <v>100</v>
      </c>
      <c r="T34" s="552" t="s">
        <v>17</v>
      </c>
      <c r="U34" s="553">
        <f t="shared" si="13"/>
        <v>100</v>
      </c>
      <c r="V34" s="552" t="s">
        <v>17</v>
      </c>
      <c r="W34" s="553">
        <f t="shared" si="14"/>
        <v>100</v>
      </c>
      <c r="X34" s="554"/>
      <c r="Y34" s="3946"/>
      <c r="Z34" s="40" t="str">
        <f t="shared" si="15"/>
        <v>物业管理</v>
      </c>
      <c r="AA34" s="555">
        <f t="shared" si="3"/>
        <v>1</v>
      </c>
      <c r="AB34" s="555">
        <f t="shared" si="4"/>
        <v>1</v>
      </c>
      <c r="AC34" s="555">
        <f t="shared" si="5"/>
        <v>1</v>
      </c>
    </row>
    <row r="35" spans="1:29" ht="15">
      <c r="A35" s="295"/>
      <c r="B35" s="245" t="s">
        <v>2669</v>
      </c>
      <c r="C35" s="283"/>
      <c r="D35" s="258">
        <v>100</v>
      </c>
      <c r="E35" s="283"/>
      <c r="F35" s="284">
        <f>SUMIF(102:102,E35,103:103)-SUMIF(102:102,C35,103:103)+100</f>
        <v>100</v>
      </c>
      <c r="G35" s="283"/>
      <c r="H35" s="258">
        <f>SUMIF(102:102,G35,103:103)-SUMIF(102:102,C35,103:103)+100</f>
        <v>100</v>
      </c>
      <c r="I35" s="283"/>
      <c r="J35" s="258">
        <f>SUMIF(102:102,I35,103:103)-SUMIF(102:102,C35,103:103)+100</f>
        <v>100</v>
      </c>
      <c r="K35" s="435"/>
      <c r="L35" s="885"/>
      <c r="M35" s="876"/>
      <c r="N35" s="876"/>
      <c r="O35" s="884"/>
      <c r="P35" s="3946" t="s">
        <v>2571</v>
      </c>
      <c r="Q35" s="1412" t="str">
        <f t="shared" si="11"/>
        <v>市政基础设施</v>
      </c>
      <c r="R35" s="556" t="s">
        <v>17</v>
      </c>
      <c r="S35" s="557">
        <f t="shared" si="12"/>
        <v>100</v>
      </c>
      <c r="T35" s="556" t="s">
        <v>17</v>
      </c>
      <c r="U35" s="557">
        <f t="shared" si="13"/>
        <v>100</v>
      </c>
      <c r="V35" s="556" t="s">
        <v>17</v>
      </c>
      <c r="W35" s="557">
        <f t="shared" si="14"/>
        <v>100</v>
      </c>
      <c r="X35" s="1415"/>
      <c r="Y35" s="3946" t="s">
        <v>2571</v>
      </c>
      <c r="Z35" s="1416" t="str">
        <f t="shared" si="15"/>
        <v>市政基础设施</v>
      </c>
      <c r="AA35" s="1413">
        <f t="shared" si="3"/>
        <v>1</v>
      </c>
      <c r="AB35" s="1413">
        <f t="shared" si="4"/>
        <v>1</v>
      </c>
      <c r="AC35" s="1413">
        <f t="shared" si="5"/>
        <v>1</v>
      </c>
    </row>
    <row r="36" spans="1:29" ht="15">
      <c r="A36" s="295"/>
      <c r="B36" s="245" t="s">
        <v>2674</v>
      </c>
      <c r="C36" s="283"/>
      <c r="D36" s="258">
        <v>100</v>
      </c>
      <c r="E36" s="283"/>
      <c r="F36" s="284">
        <f>SUMIF(104:104,E36,105:105)-SUMIF(104:104,C36,105:105)+100</f>
        <v>100</v>
      </c>
      <c r="G36" s="283"/>
      <c r="H36" s="258">
        <f>SUMIF(104:104,G36,105:105)-SUMIF(104:104,C36,105:105)+100</f>
        <v>100</v>
      </c>
      <c r="I36" s="283"/>
      <c r="J36" s="258">
        <f>SUMIF(104:104,I36,105:105)-SUMIF(104:104,C36,105:105)+100</f>
        <v>100</v>
      </c>
      <c r="K36" s="435"/>
      <c r="L36" s="885"/>
      <c r="M36" s="876"/>
      <c r="N36" s="876"/>
      <c r="O36" s="884"/>
      <c r="P36" s="3946"/>
      <c r="Q36" s="1412" t="str">
        <f t="shared" si="11"/>
        <v>内部装修</v>
      </c>
      <c r="R36" s="556" t="s">
        <v>17</v>
      </c>
      <c r="S36" s="557">
        <f t="shared" si="12"/>
        <v>100</v>
      </c>
      <c r="T36" s="556" t="s">
        <v>17</v>
      </c>
      <c r="U36" s="557">
        <f t="shared" si="13"/>
        <v>100</v>
      </c>
      <c r="V36" s="556" t="s">
        <v>17</v>
      </c>
      <c r="W36" s="557">
        <f t="shared" si="14"/>
        <v>100</v>
      </c>
      <c r="X36" s="1415"/>
      <c r="Y36" s="3946"/>
      <c r="Z36" s="1416" t="str">
        <f t="shared" si="15"/>
        <v>内部装修</v>
      </c>
      <c r="AA36" s="1413">
        <f t="shared" si="3"/>
        <v>1</v>
      </c>
      <c r="AB36" s="1413">
        <f t="shared" si="4"/>
        <v>1</v>
      </c>
      <c r="AC36" s="1413">
        <f t="shared" si="5"/>
        <v>1</v>
      </c>
    </row>
    <row r="37" spans="1:29" ht="15">
      <c r="A37" s="295"/>
      <c r="B37" s="245" t="s">
        <v>2710</v>
      </c>
      <c r="C37" s="439"/>
      <c r="D37" s="258">
        <v>100</v>
      </c>
      <c r="E37" s="439"/>
      <c r="F37" s="284">
        <f>SUMIF(106:106,E37,107:107)-SUMIF(106:106,C37,107:107)+100</f>
        <v>100</v>
      </c>
      <c r="G37" s="439"/>
      <c r="H37" s="258">
        <f>SUMIF(106:106,G37,107:107)-SUMIF(106:106,C37,107:107)+100</f>
        <v>100</v>
      </c>
      <c r="I37" s="439"/>
      <c r="J37" s="258">
        <f>SUMIF(106:106,I37,107:107)-SUMIF(106:106,C37,107:107)+100</f>
        <v>100</v>
      </c>
      <c r="K37" s="435"/>
      <c r="L37" s="885"/>
      <c r="M37" s="876"/>
      <c r="N37" s="876"/>
      <c r="O37" s="884"/>
      <c r="P37" s="3946"/>
      <c r="Q37" s="1412" t="str">
        <f t="shared" si="11"/>
        <v>内部装修状况</v>
      </c>
      <c r="R37" s="556" t="s">
        <v>17</v>
      </c>
      <c r="S37" s="557">
        <f t="shared" si="12"/>
        <v>100</v>
      </c>
      <c r="T37" s="556" t="s">
        <v>17</v>
      </c>
      <c r="U37" s="557">
        <f t="shared" si="13"/>
        <v>100</v>
      </c>
      <c r="V37" s="556" t="s">
        <v>17</v>
      </c>
      <c r="W37" s="557">
        <f t="shared" si="14"/>
        <v>100</v>
      </c>
      <c r="X37" s="1415"/>
      <c r="Y37" s="3946"/>
      <c r="Z37" s="1416" t="str">
        <f t="shared" si="15"/>
        <v>内部装修状况</v>
      </c>
      <c r="AA37" s="1413">
        <f t="shared" si="3"/>
        <v>1</v>
      </c>
      <c r="AB37" s="1413">
        <f t="shared" si="4"/>
        <v>1</v>
      </c>
      <c r="AC37" s="1413">
        <f t="shared" si="5"/>
        <v>1</v>
      </c>
    </row>
    <row r="38" spans="1:29" s="294" customFormat="1" ht="15">
      <c r="A38" s="291"/>
      <c r="B38" s="1063">
        <v>111</v>
      </c>
      <c r="C38" s="292"/>
      <c r="D38" s="258">
        <v>100</v>
      </c>
      <c r="E38" s="257"/>
      <c r="F38" s="284">
        <f>SUMIF(108:108,E38,109:109)-SUMIF(108:108,C38,109:109)+100</f>
        <v>100</v>
      </c>
      <c r="G38" s="292"/>
      <c r="H38" s="258">
        <f>SUMIF(108:108,G38,109:109)-SUMIF(108:108,C38,109:109)+100</f>
        <v>100</v>
      </c>
      <c r="I38" s="292"/>
      <c r="J38" s="258">
        <f>SUMIF(108:108,I38,109:1038)-SUMIF(108:108,C38,109:109)+100</f>
        <v>100</v>
      </c>
      <c r="K38" s="436"/>
      <c r="L38" s="883"/>
      <c r="M38" s="886"/>
      <c r="N38" s="886"/>
      <c r="O38" s="887"/>
      <c r="P38" s="3946"/>
      <c r="Q38" s="558">
        <f t="shared" si="11"/>
        <v>111</v>
      </c>
      <c r="R38" s="559" t="s">
        <v>17</v>
      </c>
      <c r="S38" s="560">
        <f t="shared" si="12"/>
        <v>100</v>
      </c>
      <c r="T38" s="559" t="s">
        <v>17</v>
      </c>
      <c r="U38" s="560">
        <f t="shared" si="13"/>
        <v>100</v>
      </c>
      <c r="V38" s="559" t="s">
        <v>17</v>
      </c>
      <c r="W38" s="560">
        <f t="shared" si="14"/>
        <v>100</v>
      </c>
      <c r="X38" s="561"/>
      <c r="Y38" s="3946"/>
      <c r="Z38" s="562">
        <f t="shared" si="15"/>
        <v>111</v>
      </c>
      <c r="AA38" s="1413">
        <f t="shared" si="3"/>
        <v>1</v>
      </c>
      <c r="AB38" s="1413">
        <f t="shared" si="4"/>
        <v>1</v>
      </c>
      <c r="AC38" s="1413">
        <f t="shared" si="5"/>
        <v>1</v>
      </c>
    </row>
    <row r="39" spans="1:29" ht="15">
      <c r="A39" s="295"/>
      <c r="B39" s="1063">
        <v>111</v>
      </c>
      <c r="C39" s="292"/>
      <c r="D39" s="258">
        <v>100</v>
      </c>
      <c r="E39" s="257"/>
      <c r="F39" s="284">
        <f>SUMIF(110:110,E39,111:111)-SUMIF(110:110,C39,111:111)+100</f>
        <v>100</v>
      </c>
      <c r="G39" s="292"/>
      <c r="H39" s="258">
        <f>SUMIF(110:110,G39,111:111)-SUMIF(110:110,C39,111:111)+100</f>
        <v>100</v>
      </c>
      <c r="I39" s="292"/>
      <c r="J39" s="258">
        <f>SUMIF(110:110,I39,111:111)-SUMIF(110:110,C39,111:111)+100</f>
        <v>100</v>
      </c>
      <c r="K39" s="436"/>
      <c r="L39" s="885"/>
      <c r="M39" s="876"/>
      <c r="N39" s="876"/>
      <c r="O39" s="884"/>
      <c r="P39" s="3946"/>
      <c r="Q39" s="1412">
        <f t="shared" si="11"/>
        <v>111</v>
      </c>
      <c r="R39" s="556" t="s">
        <v>17</v>
      </c>
      <c r="S39" s="557">
        <f t="shared" si="12"/>
        <v>100</v>
      </c>
      <c r="T39" s="556" t="s">
        <v>17</v>
      </c>
      <c r="U39" s="557">
        <f t="shared" si="13"/>
        <v>100</v>
      </c>
      <c r="V39" s="556" t="s">
        <v>17</v>
      </c>
      <c r="W39" s="557">
        <f t="shared" si="14"/>
        <v>100</v>
      </c>
      <c r="X39" s="1415"/>
      <c r="Y39" s="3946"/>
      <c r="Z39" s="1416">
        <f t="shared" si="15"/>
        <v>111</v>
      </c>
      <c r="AA39" s="1413">
        <f t="shared" si="3"/>
        <v>1</v>
      </c>
      <c r="AB39" s="1413">
        <f t="shared" si="4"/>
        <v>1</v>
      </c>
      <c r="AC39" s="1413">
        <f t="shared" si="5"/>
        <v>1</v>
      </c>
    </row>
    <row r="40" spans="1:29" ht="15.75" thickBot="1">
      <c r="A40" s="301"/>
      <c r="B40" s="1807">
        <v>111</v>
      </c>
      <c r="C40" s="260"/>
      <c r="D40" s="261">
        <v>100</v>
      </c>
      <c r="E40" s="257"/>
      <c r="F40" s="262">
        <f>SUMIF(112:112,E40,113:113)-SUMIF(112:112,C40,113:113)+100</f>
        <v>100</v>
      </c>
      <c r="G40" s="292"/>
      <c r="H40" s="261">
        <f>SUMIF(112:112,G40,113:113)-SUMIF(112:112,C40,113:113)+100</f>
        <v>100</v>
      </c>
      <c r="I40" s="292"/>
      <c r="J40" s="261">
        <f>SUMIF(112:112,I40,113:113)-SUMIF(112:112,C40,113:113)+100</f>
        <v>100</v>
      </c>
      <c r="K40" s="436"/>
      <c r="L40" s="885"/>
      <c r="M40" s="876"/>
      <c r="N40" s="876"/>
      <c r="O40" s="884"/>
      <c r="P40" s="3947"/>
      <c r="Q40" s="1412">
        <f t="shared" si="11"/>
        <v>111</v>
      </c>
      <c r="R40" s="556" t="s">
        <v>17</v>
      </c>
      <c r="S40" s="557">
        <f t="shared" si="12"/>
        <v>100</v>
      </c>
      <c r="T40" s="556" t="s">
        <v>17</v>
      </c>
      <c r="U40" s="557">
        <f t="shared" si="13"/>
        <v>100</v>
      </c>
      <c r="V40" s="556" t="s">
        <v>17</v>
      </c>
      <c r="W40" s="557">
        <f t="shared" si="14"/>
        <v>100</v>
      </c>
      <c r="X40" s="1415"/>
      <c r="Y40" s="3947"/>
      <c r="Z40" s="1416">
        <f t="shared" si="15"/>
        <v>111</v>
      </c>
      <c r="AA40" s="1413">
        <f t="shared" si="3"/>
        <v>1</v>
      </c>
      <c r="AB40" s="1413">
        <f t="shared" si="4"/>
        <v>1</v>
      </c>
      <c r="AC40" s="1413">
        <f t="shared" si="5"/>
        <v>1</v>
      </c>
    </row>
    <row r="41" spans="1:29" ht="15">
      <c r="A41" s="302" t="s">
        <v>2583</v>
      </c>
      <c r="B41" s="303"/>
      <c r="C41" s="1073" t="s">
        <v>1</v>
      </c>
      <c r="D41" s="1074"/>
      <c r="E41" s="1075"/>
      <c r="F41" s="1076"/>
      <c r="G41" s="1077"/>
      <c r="H41" s="1078"/>
      <c r="I41" s="1075"/>
      <c r="J41" s="1078"/>
      <c r="K41" s="565"/>
      <c r="L41" s="888"/>
      <c r="M41" s="889"/>
      <c r="N41" s="876"/>
      <c r="O41" s="889"/>
      <c r="P41" s="3939" t="str">
        <f>A41</f>
        <v>成交单价（元/平方米）</v>
      </c>
      <c r="Q41" s="3939"/>
      <c r="R41" s="3940">
        <f>E41</f>
        <v>0</v>
      </c>
      <c r="S41" s="3940"/>
      <c r="T41" s="3940">
        <f>G41</f>
        <v>0</v>
      </c>
      <c r="U41" s="3940"/>
      <c r="V41" s="3940">
        <f>I41</f>
        <v>0</v>
      </c>
      <c r="W41" s="3940"/>
      <c r="X41" s="541"/>
      <c r="Y41" s="563"/>
      <c r="Z41" s="541"/>
      <c r="AA41" s="541"/>
      <c r="AB41" s="541"/>
      <c r="AC41" s="541"/>
    </row>
    <row r="42" spans="1:29" ht="15.75" thickBot="1">
      <c r="A42" s="309" t="s">
        <v>2675</v>
      </c>
      <c r="B42" s="310"/>
      <c r="C42" s="1079" t="e">
        <f>R43</f>
        <v>#DIV/0!</v>
      </c>
      <c r="D42" s="1080"/>
      <c r="E42" s="1081" t="e">
        <f>R42</f>
        <v>#DIV/0!</v>
      </c>
      <c r="F42" s="1081"/>
      <c r="G42" s="1079" t="e">
        <f>T42</f>
        <v>#DIV/0!</v>
      </c>
      <c r="H42" s="1080"/>
      <c r="I42" s="1081" t="e">
        <f>V42</f>
        <v>#DIV/0!</v>
      </c>
      <c r="J42" s="1080"/>
      <c r="K42" s="566"/>
      <c r="L42" s="888"/>
      <c r="M42" s="889"/>
      <c r="N42" s="876"/>
      <c r="O42" s="889"/>
      <c r="P42" s="3939" t="str">
        <f>A42</f>
        <v>比较价值（元/平方米）</v>
      </c>
      <c r="Q42" s="3939"/>
      <c r="R42" s="3940" t="e">
        <f>IF(F1="售价",ROUND(PRODUCT(R41,AA7:AA40),0),ROUND(PRODUCT(R41,AA7:AA40),1))</f>
        <v>#DIV/0!</v>
      </c>
      <c r="S42" s="3940"/>
      <c r="T42" s="3940" t="e">
        <f>IF(F1="售价",ROUND(PRODUCT(T41,AB7:AB40),0),ROUND(PRODUCT(T41,AB7:AB40),1))</f>
        <v>#DIV/0!</v>
      </c>
      <c r="U42" s="3940"/>
      <c r="V42" s="3940" t="e">
        <f>IF(F1="售价",ROUND(PRODUCT(V41,AC7:AC40),0),ROUND(PRODUCT(V41,AC7:AC40),1))</f>
        <v>#DIV/0!</v>
      </c>
      <c r="W42" s="3940"/>
      <c r="X42" s="541"/>
      <c r="Y42" s="541"/>
      <c r="Z42" s="541"/>
      <c r="AA42" s="541"/>
      <c r="AB42" s="541"/>
      <c r="AC42" s="541"/>
    </row>
    <row r="43" spans="1:29" ht="15.75" thickBot="1">
      <c r="A43" s="315" t="s">
        <v>2676</v>
      </c>
      <c r="B43" s="316"/>
      <c r="C43" s="1083" t="e">
        <f>R43</f>
        <v>#DIV/0!</v>
      </c>
      <c r="D43" s="1083"/>
      <c r="E43" s="1083"/>
      <c r="F43" s="1083"/>
      <c r="G43" s="1083"/>
      <c r="H43" s="1083"/>
      <c r="I43" s="1083"/>
      <c r="J43" s="1083"/>
      <c r="K43" s="567"/>
      <c r="L43" s="888"/>
      <c r="M43" s="889"/>
      <c r="N43" s="889"/>
      <c r="O43" s="889"/>
      <c r="P43" s="3936" t="str">
        <f>A43</f>
        <v>估价对象XX用房的比较价值（楼面单价，元/平方米）</v>
      </c>
      <c r="Q43" s="3937"/>
      <c r="R43" s="3938" t="e">
        <f>IF(F1="售价",ROUND(AVERAGE(R42:V42),0),ROUND(AVERAGE(R42:V42),1))</f>
        <v>#DIV/0!</v>
      </c>
      <c r="S43" s="3938"/>
      <c r="T43" s="3938"/>
      <c r="U43" s="3938"/>
      <c r="V43" s="3938"/>
      <c r="W43" s="3938"/>
      <c r="X43" s="541"/>
      <c r="Y43" s="541"/>
      <c r="Z43" s="541"/>
      <c r="AA43" s="541"/>
      <c r="AB43" s="541"/>
      <c r="AC43" s="541"/>
    </row>
    <row r="44" spans="1:29">
      <c r="A44" s="889"/>
      <c r="B44" s="889"/>
      <c r="C44" s="889"/>
      <c r="D44" s="889"/>
      <c r="E44" s="889"/>
      <c r="F44" s="889"/>
      <c r="G44" s="892"/>
      <c r="H44" s="889"/>
      <c r="I44" s="889"/>
      <c r="J44" s="889"/>
      <c r="K44" s="858"/>
      <c r="L44" s="859"/>
      <c r="M44" s="889"/>
      <c r="N44" s="889"/>
      <c r="O44" s="889"/>
    </row>
    <row r="45" spans="1:29">
      <c r="A45" s="889"/>
      <c r="B45" s="889"/>
      <c r="C45" s="889"/>
      <c r="D45" s="889"/>
      <c r="E45" s="889"/>
      <c r="F45" s="889"/>
      <c r="G45" s="889"/>
      <c r="H45" s="889"/>
      <c r="I45" s="889"/>
      <c r="J45" s="889"/>
      <c r="K45" s="858"/>
      <c r="L45" s="859"/>
      <c r="M45" s="889"/>
      <c r="N45" s="889"/>
      <c r="O45" s="889"/>
    </row>
    <row r="46" spans="1:29" ht="13.5" customHeight="1">
      <c r="A46" s="889"/>
      <c r="B46" s="889"/>
      <c r="C46" s="320" t="s">
        <v>2677</v>
      </c>
      <c r="D46" s="321"/>
      <c r="E46" s="322" t="e">
        <f>IF(E41&lt;E42,E42/E41-1,E41/E42-1)</f>
        <v>#DIV/0!</v>
      </c>
      <c r="F46" s="323" t="e">
        <f>IF(OR(E46&gt;=0.3,E46&lt;=-0.3),"超过30%","")</f>
        <v>#DIV/0!</v>
      </c>
      <c r="G46" s="322" t="e">
        <f>IF(G41&lt;G42,G42/G41-1,G41/G42-1)</f>
        <v>#DIV/0!</v>
      </c>
      <c r="H46" s="323" t="e">
        <f>IF(OR(G46&gt;=0.3,G46&lt;=-0.3),"超过30%","")</f>
        <v>#DIV/0!</v>
      </c>
      <c r="I46" s="322" t="e">
        <f>IF(I41&lt;I42,I42/I41-1,I41/I42-1)</f>
        <v>#DIV/0!</v>
      </c>
      <c r="J46" s="323" t="e">
        <f>IF(OR(I46&gt;=0.3,I46&lt;=-0.3),"超过30%","")</f>
        <v>#DIV/0!</v>
      </c>
      <c r="K46" s="858"/>
      <c r="L46" s="859"/>
      <c r="M46" s="889"/>
      <c r="N46" s="889"/>
      <c r="O46" s="889"/>
    </row>
    <row r="47" spans="1:29" ht="13.5" customHeight="1">
      <c r="A47" s="889"/>
      <c r="B47" s="889"/>
      <c r="C47" s="320" t="s">
        <v>2678</v>
      </c>
      <c r="D47" s="324"/>
      <c r="E47" s="322" t="e">
        <f>IF(E42&lt;G42,G42/E42-1,E42/G42-1)</f>
        <v>#DIV/0!</v>
      </c>
      <c r="F47" s="323" t="e">
        <f>IF(OR(E47&gt;=0.2,E47&lt;=-0.2),"超过20%","")</f>
        <v>#DIV/0!</v>
      </c>
      <c r="G47" s="322" t="e">
        <f>IF(G42&lt;I42,I42/G42-1,G42/I42-1)</f>
        <v>#DIV/0!</v>
      </c>
      <c r="H47" s="323" t="e">
        <f>IF(OR(G47&gt;=0.2,G47&lt;=-0.2),"超过20%","")</f>
        <v>#DIV/0!</v>
      </c>
      <c r="I47" s="322" t="e">
        <f>IF(I42&lt;E42,E42/I42-1,I42/E42-1)</f>
        <v>#DIV/0!</v>
      </c>
      <c r="J47" s="323" t="e">
        <f>IF(OR(I47&gt;=0.2,I47&lt;=-0.2),"超过20%","")</f>
        <v>#DIV/0!</v>
      </c>
      <c r="K47" s="858"/>
      <c r="L47" s="859"/>
      <c r="M47" s="889"/>
      <c r="N47" s="889"/>
      <c r="O47" s="889"/>
    </row>
    <row r="48" spans="1:29" s="325" customFormat="1" ht="13.5" customHeight="1">
      <c r="A48" s="890"/>
      <c r="B48" s="890"/>
      <c r="C48" s="320" t="s">
        <v>2679</v>
      </c>
      <c r="D48" s="324"/>
      <c r="E48" s="322" t="e">
        <f>IF(E41&lt;G41,G41/E41-1,E41/G41-1)</f>
        <v>#DIV/0!</v>
      </c>
      <c r="F48" s="323" t="e">
        <f>IF(OR(E48&gt;=0.3,E48&lt;=-0.3),"超过30%","")</f>
        <v>#DIV/0!</v>
      </c>
      <c r="G48" s="322" t="e">
        <f>IF(G41&lt;I41,I41/G41-1,G41/I41-1)</f>
        <v>#DIV/0!</v>
      </c>
      <c r="H48" s="323" t="e">
        <f>IF(OR(G48&gt;=0.3,G48&lt;=-0.3),"超过30%","")</f>
        <v>#DIV/0!</v>
      </c>
      <c r="I48" s="322" t="e">
        <f>IF(I41&lt;E41,E41/I41-1,I41/E41-1)</f>
        <v>#DIV/0!</v>
      </c>
      <c r="J48" s="323" t="e">
        <f>IF(OR(I48&gt;=0.3,I48&lt;=-0.3),"超过30%","")</f>
        <v>#DIV/0!</v>
      </c>
      <c r="K48" s="893"/>
      <c r="L48" s="894"/>
      <c r="M48" s="890"/>
      <c r="N48" s="890"/>
      <c r="O48" s="890"/>
    </row>
    <row r="49" spans="1:17" s="325" customFormat="1">
      <c r="A49" s="890"/>
      <c r="B49" s="891"/>
      <c r="C49" s="895"/>
      <c r="D49" s="890"/>
      <c r="E49" s="890"/>
      <c r="F49" s="890"/>
      <c r="G49" s="890"/>
      <c r="H49" s="890"/>
      <c r="I49" s="890"/>
      <c r="J49" s="890"/>
      <c r="K49" s="893"/>
      <c r="L49" s="894"/>
      <c r="M49" s="890"/>
      <c r="N49" s="890"/>
      <c r="O49" s="890"/>
    </row>
    <row r="50" spans="1:17">
      <c r="A50" s="889"/>
      <c r="B50" s="891"/>
      <c r="C50" s="895"/>
      <c r="D50" s="889"/>
      <c r="E50" s="889"/>
      <c r="F50" s="889"/>
      <c r="G50" s="889"/>
      <c r="H50" s="889"/>
      <c r="I50" s="889"/>
      <c r="J50" s="889"/>
      <c r="K50" s="858"/>
      <c r="L50" s="859"/>
      <c r="M50" s="889"/>
      <c r="N50" s="889"/>
      <c r="O50" s="889"/>
    </row>
    <row r="51" spans="1:17" ht="21.75" thickBot="1">
      <c r="A51" s="545" t="s">
        <v>2680</v>
      </c>
      <c r="B51" s="541"/>
      <c r="C51" s="546"/>
      <c r="D51" s="546"/>
      <c r="E51" s="546"/>
      <c r="F51" s="547"/>
      <c r="G51" s="547"/>
      <c r="H51" s="546"/>
      <c r="I51" s="546"/>
      <c r="J51" s="546"/>
      <c r="K51" s="905"/>
      <c r="L51" s="906"/>
      <c r="M51" s="904"/>
      <c r="N51" s="904"/>
      <c r="O51" s="904"/>
      <c r="P51" s="326"/>
      <c r="Q51" s="327"/>
    </row>
    <row r="52" spans="1:17" s="331" customFormat="1" ht="15">
      <c r="A52" s="328" t="s">
        <v>2554</v>
      </c>
      <c r="B52" s="329"/>
      <c r="C52" s="1237" t="str">
        <f>YEAR(C7)&amp;"-"&amp;MONTH(C7)</f>
        <v>2017-12</v>
      </c>
      <c r="D52" s="1238">
        <f>EDATE(C52,-1)</f>
        <v>43040</v>
      </c>
      <c r="E52" s="1238">
        <f t="shared" ref="E52:O52" si="16">EDATE(D52,-1)</f>
        <v>43009</v>
      </c>
      <c r="F52" s="1238">
        <f t="shared" si="16"/>
        <v>42979</v>
      </c>
      <c r="G52" s="1238">
        <f t="shared" si="16"/>
        <v>42948</v>
      </c>
      <c r="H52" s="1238">
        <f t="shared" si="16"/>
        <v>42917</v>
      </c>
      <c r="I52" s="1238">
        <f t="shared" si="16"/>
        <v>42887</v>
      </c>
      <c r="J52" s="1238">
        <f t="shared" si="16"/>
        <v>42856</v>
      </c>
      <c r="K52" s="1238">
        <f t="shared" si="16"/>
        <v>42826</v>
      </c>
      <c r="L52" s="1238">
        <f t="shared" si="16"/>
        <v>42795</v>
      </c>
      <c r="M52" s="1238">
        <f t="shared" si="16"/>
        <v>42767</v>
      </c>
      <c r="N52" s="1238">
        <f t="shared" si="16"/>
        <v>42736</v>
      </c>
      <c r="O52" s="1238">
        <f t="shared" si="16"/>
        <v>42705</v>
      </c>
      <c r="P52" s="330"/>
    </row>
    <row r="53" spans="1:17" s="51" customFormat="1" ht="15">
      <c r="A53" s="332"/>
      <c r="B53" s="333"/>
      <c r="C53" s="1236">
        <v>100</v>
      </c>
      <c r="D53" s="335"/>
      <c r="E53" s="335"/>
      <c r="F53" s="335"/>
      <c r="G53" s="335"/>
      <c r="H53" s="335"/>
      <c r="I53" s="335"/>
      <c r="J53" s="335"/>
      <c r="K53" s="335"/>
      <c r="L53" s="335"/>
      <c r="M53" s="336"/>
      <c r="N53" s="335"/>
      <c r="O53" s="337"/>
      <c r="P53" s="327"/>
    </row>
    <row r="54" spans="1:17" s="51" customFormat="1" ht="15.75" thickBot="1">
      <c r="A54" s="338" t="s">
        <v>2591</v>
      </c>
      <c r="B54" s="339"/>
      <c r="C54" s="340"/>
      <c r="D54" s="341"/>
      <c r="E54" s="341"/>
      <c r="F54" s="341"/>
      <c r="G54" s="341"/>
      <c r="H54" s="341"/>
      <c r="I54" s="341"/>
      <c r="J54" s="341"/>
      <c r="K54" s="341"/>
      <c r="L54" s="341"/>
      <c r="M54" s="342"/>
      <c r="N54" s="341"/>
      <c r="O54" s="343"/>
      <c r="P54" s="327"/>
      <c r="Q54" s="327"/>
    </row>
    <row r="55" spans="1:17" s="51" customFormat="1" ht="15">
      <c r="A55" s="344" t="s">
        <v>2556</v>
      </c>
      <c r="B55" s="333"/>
      <c r="C55" s="345" t="s">
        <v>2658</v>
      </c>
      <c r="D55" s="346"/>
      <c r="E55" s="346"/>
      <c r="F55" s="346"/>
      <c r="G55" s="346"/>
      <c r="H55" s="346"/>
      <c r="I55" s="346"/>
      <c r="J55" s="346"/>
      <c r="K55" s="346"/>
      <c r="L55" s="347"/>
      <c r="M55" s="348"/>
      <c r="N55" s="896"/>
      <c r="O55" s="896"/>
      <c r="P55" s="349"/>
      <c r="Q55" s="327"/>
    </row>
    <row r="56" spans="1:17" s="51" customFormat="1" ht="15.75" thickBot="1">
      <c r="A56" s="344"/>
      <c r="B56" s="333"/>
      <c r="C56" s="459">
        <v>100</v>
      </c>
      <c r="D56" s="335"/>
      <c r="E56" s="335"/>
      <c r="F56" s="335"/>
      <c r="G56" s="335"/>
      <c r="H56" s="335"/>
      <c r="I56" s="335"/>
      <c r="J56" s="335"/>
      <c r="K56" s="335"/>
      <c r="L56" s="335"/>
      <c r="M56" s="337"/>
      <c r="N56" s="896"/>
      <c r="O56" s="896"/>
      <c r="P56" s="327"/>
      <c r="Q56" s="327"/>
    </row>
    <row r="57" spans="1:17">
      <c r="A57" s="350" t="s">
        <v>2594</v>
      </c>
      <c r="B57" s="351" t="s">
        <v>2560</v>
      </c>
      <c r="C57" s="352">
        <f>C9</f>
        <v>0</v>
      </c>
      <c r="D57" s="353"/>
      <c r="E57" s="353"/>
      <c r="F57" s="353"/>
      <c r="G57" s="353"/>
      <c r="H57" s="353"/>
      <c r="I57" s="353"/>
      <c r="J57" s="353"/>
      <c r="K57" s="354"/>
      <c r="L57" s="355"/>
      <c r="M57" s="356"/>
      <c r="N57" s="897"/>
      <c r="O57" s="897"/>
      <c r="P57" s="38"/>
      <c r="Q57" s="327"/>
    </row>
    <row r="58" spans="1:17" ht="15.75" thickBot="1">
      <c r="A58" s="357"/>
      <c r="B58" s="358"/>
      <c r="C58" s="359">
        <v>100</v>
      </c>
      <c r="D58" s="359"/>
      <c r="E58" s="359"/>
      <c r="F58" s="359"/>
      <c r="G58" s="359"/>
      <c r="H58" s="359"/>
      <c r="I58" s="359"/>
      <c r="J58" s="359"/>
      <c r="K58" s="359"/>
      <c r="L58" s="359"/>
      <c r="M58" s="360"/>
      <c r="N58" s="898"/>
      <c r="O58" s="898"/>
      <c r="P58" s="38"/>
      <c r="Q58" s="327"/>
    </row>
    <row r="59" spans="1:17" ht="27.75" thickTop="1">
      <c r="A59" s="357"/>
      <c r="B59" s="361" t="s">
        <v>2563</v>
      </c>
      <c r="C59" s="362" t="s">
        <v>2595</v>
      </c>
      <c r="D59" s="362" t="s">
        <v>2596</v>
      </c>
      <c r="E59" s="362" t="s">
        <v>2597</v>
      </c>
      <c r="F59" s="362" t="s">
        <v>2598</v>
      </c>
      <c r="G59" s="362" t="s">
        <v>2599</v>
      </c>
      <c r="H59" s="362" t="s">
        <v>2600</v>
      </c>
      <c r="I59" s="362" t="s">
        <v>2601</v>
      </c>
      <c r="J59" s="362"/>
      <c r="K59" s="363"/>
      <c r="L59" s="364"/>
      <c r="M59" s="365"/>
      <c r="N59" s="897"/>
      <c r="O59" s="897"/>
      <c r="P59" s="38"/>
      <c r="Q59" s="327"/>
    </row>
    <row r="60" spans="1:17" ht="15.75" thickBot="1">
      <c r="A60" s="357"/>
      <c r="B60" s="366"/>
      <c r="C60" s="367" t="s">
        <v>24</v>
      </c>
      <c r="D60" s="367" t="s">
        <v>25</v>
      </c>
      <c r="E60" s="367">
        <v>100</v>
      </c>
      <c r="F60" s="367">
        <f>E60-$K10</f>
        <v>100</v>
      </c>
      <c r="G60" s="367">
        <f>F60-$K10</f>
        <v>100</v>
      </c>
      <c r="H60" s="367">
        <f>G60-$K10</f>
        <v>100</v>
      </c>
      <c r="I60" s="367">
        <f>H60-$K10</f>
        <v>100</v>
      </c>
      <c r="J60" s="367"/>
      <c r="K60" s="367"/>
      <c r="L60" s="367"/>
      <c r="M60" s="368"/>
      <c r="N60" s="898"/>
      <c r="O60" s="898"/>
      <c r="P60" s="38"/>
      <c r="Q60" s="327"/>
    </row>
    <row r="61" spans="1:17" ht="15.75" thickTop="1">
      <c r="A61" s="357"/>
      <c r="B61" s="369" t="s">
        <v>2564</v>
      </c>
      <c r="C61" s="370" t="str">
        <f>C62&amp;"（含）"&amp;"-"&amp;D62</f>
        <v>（含）-</v>
      </c>
      <c r="D61" s="370" t="str">
        <f t="shared" ref="D61:L61" si="17">D62&amp;"（含）"&amp;"-"&amp;E62</f>
        <v>（含）-</v>
      </c>
      <c r="E61" s="370" t="str">
        <f t="shared" si="17"/>
        <v>（含）-</v>
      </c>
      <c r="F61" s="370" t="str">
        <f t="shared" si="17"/>
        <v>（含）-</v>
      </c>
      <c r="G61" s="370" t="str">
        <f t="shared" si="17"/>
        <v>（含）-</v>
      </c>
      <c r="H61" s="370" t="str">
        <f t="shared" si="17"/>
        <v>（含）-</v>
      </c>
      <c r="I61" s="370" t="str">
        <f t="shared" si="17"/>
        <v>（含）-</v>
      </c>
      <c r="J61" s="370" t="str">
        <f t="shared" si="17"/>
        <v>（含）-</v>
      </c>
      <c r="K61" s="370" t="str">
        <f t="shared" si="17"/>
        <v>（含）-</v>
      </c>
      <c r="L61" s="370" t="str">
        <f t="shared" si="17"/>
        <v>（含）-</v>
      </c>
      <c r="M61" s="271" t="str">
        <f>M62&amp;"（含）"&amp;"-"&amp;P62</f>
        <v>（含）-</v>
      </c>
      <c r="N61" s="898"/>
      <c r="O61" s="898"/>
      <c r="P61" s="38"/>
      <c r="Q61" s="327"/>
    </row>
    <row r="62" spans="1:17" ht="15">
      <c r="A62" s="357"/>
      <c r="B62" s="371"/>
      <c r="C62" s="372"/>
      <c r="D62" s="372"/>
      <c r="E62" s="372"/>
      <c r="F62" s="372"/>
      <c r="G62" s="372"/>
      <c r="H62" s="372"/>
      <c r="I62" s="372"/>
      <c r="J62" s="372"/>
      <c r="K62" s="373"/>
      <c r="L62" s="374"/>
      <c r="M62" s="375"/>
      <c r="N62" s="897"/>
      <c r="O62" s="897"/>
      <c r="P62" s="38"/>
      <c r="Q62" s="327"/>
    </row>
    <row r="63" spans="1:17" ht="15.75" thickBot="1">
      <c r="A63" s="357"/>
      <c r="B63" s="358"/>
      <c r="C63" s="367">
        <v>100</v>
      </c>
      <c r="D63" s="367">
        <f t="shared" ref="D63:M63" si="18">C63-$K11</f>
        <v>100</v>
      </c>
      <c r="E63" s="367">
        <f t="shared" si="18"/>
        <v>100</v>
      </c>
      <c r="F63" s="367">
        <f t="shared" si="18"/>
        <v>100</v>
      </c>
      <c r="G63" s="367">
        <f t="shared" si="18"/>
        <v>100</v>
      </c>
      <c r="H63" s="367">
        <f t="shared" si="18"/>
        <v>100</v>
      </c>
      <c r="I63" s="367">
        <f t="shared" si="18"/>
        <v>100</v>
      </c>
      <c r="J63" s="367">
        <f t="shared" si="18"/>
        <v>100</v>
      </c>
      <c r="K63" s="367">
        <f t="shared" si="18"/>
        <v>100</v>
      </c>
      <c r="L63" s="367">
        <f t="shared" si="18"/>
        <v>100</v>
      </c>
      <c r="M63" s="368">
        <f t="shared" si="18"/>
        <v>100</v>
      </c>
      <c r="N63" s="898"/>
      <c r="O63" s="898"/>
      <c r="P63" s="38"/>
      <c r="Q63" s="327"/>
    </row>
    <row r="64" spans="1:17" s="294" customFormat="1" ht="15.75" thickTop="1">
      <c r="A64" s="376"/>
      <c r="B64" s="361">
        <f>B12</f>
        <v>111</v>
      </c>
      <c r="C64" s="377"/>
      <c r="D64" s="377"/>
      <c r="E64" s="377"/>
      <c r="F64" s="377"/>
      <c r="G64" s="377"/>
      <c r="H64" s="378"/>
      <c r="I64" s="378"/>
      <c r="J64" s="378"/>
      <c r="K64" s="378"/>
      <c r="L64" s="379"/>
      <c r="M64" s="380"/>
      <c r="N64" s="899"/>
      <c r="O64" s="899"/>
      <c r="P64" s="381"/>
      <c r="Q64" s="382"/>
    </row>
    <row r="65" spans="1:17" s="294" customFormat="1" ht="15.75" thickBot="1">
      <c r="A65" s="376"/>
      <c r="B65" s="366"/>
      <c r="C65" s="383"/>
      <c r="D65" s="359"/>
      <c r="E65" s="359"/>
      <c r="F65" s="359"/>
      <c r="G65" s="359"/>
      <c r="H65" s="359"/>
      <c r="I65" s="359"/>
      <c r="J65" s="359"/>
      <c r="K65" s="359"/>
      <c r="L65" s="359"/>
      <c r="M65" s="360"/>
      <c r="N65" s="898"/>
      <c r="O65" s="898"/>
      <c r="P65" s="381"/>
      <c r="Q65" s="382"/>
    </row>
    <row r="66" spans="1:17" s="294" customFormat="1" ht="15.75" thickTop="1">
      <c r="A66" s="376"/>
      <c r="B66" s="361">
        <f>B13</f>
        <v>111</v>
      </c>
      <c r="C66" s="377"/>
      <c r="D66" s="377"/>
      <c r="E66" s="377"/>
      <c r="F66" s="377"/>
      <c r="G66" s="377"/>
      <c r="H66" s="378"/>
      <c r="I66" s="378"/>
      <c r="J66" s="378"/>
      <c r="K66" s="378"/>
      <c r="L66" s="379"/>
      <c r="M66" s="380"/>
      <c r="N66" s="899"/>
      <c r="O66" s="899"/>
      <c r="P66" s="293"/>
      <c r="Q66" s="384"/>
    </row>
    <row r="67" spans="1:17" s="294" customFormat="1" ht="15.75" thickBot="1">
      <c r="A67" s="376"/>
      <c r="B67" s="366"/>
      <c r="C67" s="383"/>
      <c r="D67" s="359"/>
      <c r="E67" s="359"/>
      <c r="F67" s="359"/>
      <c r="G67" s="383"/>
      <c r="H67" s="385"/>
      <c r="I67" s="385"/>
      <c r="J67" s="385"/>
      <c r="K67" s="385"/>
      <c r="L67" s="385"/>
      <c r="M67" s="386"/>
      <c r="N67" s="899"/>
      <c r="O67" s="899"/>
      <c r="P67" s="381"/>
      <c r="Q67" s="382"/>
    </row>
    <row r="68" spans="1:17" s="294" customFormat="1" ht="15.75" thickTop="1">
      <c r="A68" s="376"/>
      <c r="B68" s="369">
        <f>B14</f>
        <v>111</v>
      </c>
      <c r="C68" s="346"/>
      <c r="D68" s="346"/>
      <c r="E68" s="346"/>
      <c r="F68" s="346"/>
      <c r="G68" s="346"/>
      <c r="H68" s="387"/>
      <c r="I68" s="387"/>
      <c r="J68" s="387"/>
      <c r="K68" s="387"/>
      <c r="L68" s="388"/>
      <c r="M68" s="389"/>
      <c r="N68" s="899"/>
      <c r="O68" s="899"/>
      <c r="P68" s="390"/>
      <c r="Q68" s="382"/>
    </row>
    <row r="69" spans="1:17" s="294" customFormat="1" ht="15.75" thickBot="1">
      <c r="A69" s="391"/>
      <c r="B69" s="392"/>
      <c r="C69" s="393"/>
      <c r="D69" s="393"/>
      <c r="E69" s="393"/>
      <c r="F69" s="393"/>
      <c r="G69" s="393"/>
      <c r="H69" s="394"/>
      <c r="I69" s="394"/>
      <c r="J69" s="394"/>
      <c r="K69" s="394"/>
      <c r="L69" s="394"/>
      <c r="M69" s="395"/>
      <c r="N69" s="899"/>
      <c r="O69" s="899"/>
      <c r="P69" s="381"/>
      <c r="Q69" s="382"/>
    </row>
    <row r="70" spans="1:17">
      <c r="A70" s="350" t="s">
        <v>2565</v>
      </c>
      <c r="B70" s="351" t="s">
        <v>2711</v>
      </c>
      <c r="C70" s="396" t="s">
        <v>2603</v>
      </c>
      <c r="D70" s="396" t="s">
        <v>2604</v>
      </c>
      <c r="E70" s="396" t="s">
        <v>2605</v>
      </c>
      <c r="F70" s="396" t="s">
        <v>2606</v>
      </c>
      <c r="G70" s="396" t="s">
        <v>2607</v>
      </c>
      <c r="H70" s="352"/>
      <c r="I70" s="352"/>
      <c r="J70" s="352"/>
      <c r="K70" s="397"/>
      <c r="L70" s="398"/>
      <c r="M70" s="399"/>
      <c r="N70" s="897"/>
      <c r="O70" s="897"/>
      <c r="P70" s="400"/>
      <c r="Q70" s="327"/>
    </row>
    <row r="71" spans="1:17" ht="15.75" thickBot="1">
      <c r="A71" s="357"/>
      <c r="B71" s="366"/>
      <c r="C71" s="367">
        <v>100</v>
      </c>
      <c r="D71" s="367">
        <f>C71-$K15</f>
        <v>100</v>
      </c>
      <c r="E71" s="367">
        <f>D71-$K15</f>
        <v>100</v>
      </c>
      <c r="F71" s="367">
        <f>E71-$K15</f>
        <v>100</v>
      </c>
      <c r="G71" s="367">
        <f>F71-$K15</f>
        <v>100</v>
      </c>
      <c r="H71" s="367"/>
      <c r="I71" s="367"/>
      <c r="J71" s="367"/>
      <c r="K71" s="367"/>
      <c r="L71" s="367"/>
      <c r="M71" s="368"/>
      <c r="N71" s="898"/>
      <c r="O71" s="898"/>
      <c r="P71" s="38"/>
      <c r="Q71" s="327"/>
    </row>
    <row r="72" spans="1:17" ht="15.75" thickTop="1">
      <c r="A72" s="357"/>
      <c r="B72" s="361" t="s">
        <v>2608</v>
      </c>
      <c r="C72" s="401" t="s">
        <v>2603</v>
      </c>
      <c r="D72" s="401" t="s">
        <v>2604</v>
      </c>
      <c r="E72" s="401" t="s">
        <v>2605</v>
      </c>
      <c r="F72" s="401" t="s">
        <v>2606</v>
      </c>
      <c r="G72" s="401" t="s">
        <v>2607</v>
      </c>
      <c r="H72" s="362"/>
      <c r="I72" s="362"/>
      <c r="J72" s="362"/>
      <c r="K72" s="363"/>
      <c r="L72" s="364"/>
      <c r="M72" s="365"/>
      <c r="N72" s="897"/>
      <c r="O72" s="897"/>
      <c r="P72" s="38"/>
      <c r="Q72" s="327"/>
    </row>
    <row r="73" spans="1:17" ht="15.75" thickBot="1">
      <c r="A73" s="357"/>
      <c r="B73" s="366"/>
      <c r="C73" s="367">
        <v>100</v>
      </c>
      <c r="D73" s="367">
        <f>C73-$K17</f>
        <v>100</v>
      </c>
      <c r="E73" s="367">
        <f>D73-$K17</f>
        <v>100</v>
      </c>
      <c r="F73" s="367">
        <f>E73-$K17</f>
        <v>100</v>
      </c>
      <c r="G73" s="367">
        <f>F73-$K17</f>
        <v>100</v>
      </c>
      <c r="H73" s="367"/>
      <c r="I73" s="367"/>
      <c r="J73" s="367"/>
      <c r="K73" s="367"/>
      <c r="L73" s="367"/>
      <c r="M73" s="368"/>
      <c r="N73" s="898"/>
      <c r="O73" s="898"/>
      <c r="P73" s="38"/>
      <c r="Q73" s="327"/>
    </row>
    <row r="74" spans="1:17" ht="15.75" thickTop="1">
      <c r="A74" s="357"/>
      <c r="B74" s="361" t="s">
        <v>2609</v>
      </c>
      <c r="C74" s="401" t="s">
        <v>2603</v>
      </c>
      <c r="D74" s="401" t="s">
        <v>2604</v>
      </c>
      <c r="E74" s="401" t="s">
        <v>2605</v>
      </c>
      <c r="F74" s="401" t="s">
        <v>2606</v>
      </c>
      <c r="G74" s="401" t="s">
        <v>2607</v>
      </c>
      <c r="H74" s="362"/>
      <c r="I74" s="362"/>
      <c r="J74" s="362"/>
      <c r="K74" s="363"/>
      <c r="L74" s="364"/>
      <c r="M74" s="365"/>
      <c r="N74" s="897"/>
      <c r="O74" s="897"/>
      <c r="P74" s="38"/>
      <c r="Q74" s="327"/>
    </row>
    <row r="75" spans="1:17" ht="15.75" thickBot="1">
      <c r="A75" s="357"/>
      <c r="B75" s="366"/>
      <c r="C75" s="367">
        <v>100</v>
      </c>
      <c r="D75" s="367">
        <f>C75-$K19</f>
        <v>100</v>
      </c>
      <c r="E75" s="367">
        <f>D75-$K19</f>
        <v>100</v>
      </c>
      <c r="F75" s="367">
        <f>E75-$K19</f>
        <v>100</v>
      </c>
      <c r="G75" s="367">
        <f>F75-$K19</f>
        <v>100</v>
      </c>
      <c r="H75" s="367"/>
      <c r="I75" s="367"/>
      <c r="J75" s="367"/>
      <c r="K75" s="367"/>
      <c r="L75" s="367"/>
      <c r="M75" s="368"/>
      <c r="N75" s="898"/>
      <c r="O75" s="898"/>
      <c r="P75" s="38"/>
      <c r="Q75" s="327"/>
    </row>
    <row r="76" spans="1:17" ht="15.75" thickTop="1">
      <c r="A76" s="357"/>
      <c r="B76" s="369" t="s">
        <v>2695</v>
      </c>
      <c r="C76" s="480" t="s">
        <v>2681</v>
      </c>
      <c r="D76" s="480" t="s">
        <v>2682</v>
      </c>
      <c r="E76" s="480" t="s">
        <v>2683</v>
      </c>
      <c r="F76" s="480" t="s">
        <v>2684</v>
      </c>
      <c r="G76" s="480" t="s">
        <v>2685</v>
      </c>
      <c r="H76" s="362"/>
      <c r="I76" s="362"/>
      <c r="J76" s="362"/>
      <c r="K76" s="362"/>
      <c r="L76" s="362"/>
      <c r="M76" s="1059"/>
      <c r="N76" s="898"/>
      <c r="O76" s="898"/>
      <c r="P76" s="38"/>
      <c r="Q76" s="327"/>
    </row>
    <row r="77" spans="1:17" ht="15.75" thickBot="1">
      <c r="A77" s="357"/>
      <c r="B77" s="369"/>
      <c r="C77" s="367">
        <v>100</v>
      </c>
      <c r="D77" s="367">
        <f>C77-$K21</f>
        <v>100</v>
      </c>
      <c r="E77" s="367">
        <f>D77-$K21</f>
        <v>100</v>
      </c>
      <c r="F77" s="367">
        <f>E77-$K21</f>
        <v>100</v>
      </c>
      <c r="G77" s="367">
        <f>F77-$K21</f>
        <v>100</v>
      </c>
      <c r="H77" s="480"/>
      <c r="I77" s="480"/>
      <c r="J77" s="480"/>
      <c r="K77" s="480"/>
      <c r="L77" s="480"/>
      <c r="M77" s="273"/>
      <c r="N77" s="898"/>
      <c r="O77" s="898"/>
      <c r="P77" s="38"/>
      <c r="Q77" s="327"/>
    </row>
    <row r="78" spans="1:17" ht="15.75" thickTop="1">
      <c r="A78" s="357"/>
      <c r="B78" s="361" t="s">
        <v>2704</v>
      </c>
      <c r="C78" s="401" t="s">
        <v>2603</v>
      </c>
      <c r="D78" s="401" t="s">
        <v>2604</v>
      </c>
      <c r="E78" s="401" t="s">
        <v>2605</v>
      </c>
      <c r="F78" s="401" t="s">
        <v>2606</v>
      </c>
      <c r="G78" s="401" t="s">
        <v>2607</v>
      </c>
      <c r="H78" s="362"/>
      <c r="I78" s="362"/>
      <c r="J78" s="362"/>
      <c r="K78" s="363"/>
      <c r="L78" s="364"/>
      <c r="M78" s="365"/>
      <c r="N78" s="897"/>
      <c r="O78" s="897"/>
      <c r="P78" s="38"/>
      <c r="Q78" s="327"/>
    </row>
    <row r="79" spans="1:17" ht="15.75" thickBot="1">
      <c r="A79" s="357"/>
      <c r="B79" s="366"/>
      <c r="C79" s="367">
        <v>100</v>
      </c>
      <c r="D79" s="367">
        <f>C79-$K23</f>
        <v>100</v>
      </c>
      <c r="E79" s="367">
        <f>D79-$K23</f>
        <v>100</v>
      </c>
      <c r="F79" s="367">
        <f>E79-$K23</f>
        <v>100</v>
      </c>
      <c r="G79" s="367">
        <f>F79-$K23</f>
        <v>100</v>
      </c>
      <c r="H79" s="367"/>
      <c r="I79" s="367"/>
      <c r="J79" s="367"/>
      <c r="K79" s="367"/>
      <c r="L79" s="367"/>
      <c r="M79" s="368"/>
      <c r="N79" s="898"/>
      <c r="O79" s="898"/>
      <c r="P79" s="38"/>
      <c r="Q79" s="327"/>
    </row>
    <row r="80" spans="1:17" s="51" customFormat="1" ht="15.75" thickTop="1">
      <c r="A80" s="402"/>
      <c r="B80" s="361">
        <f>B25</f>
        <v>111</v>
      </c>
      <c r="C80" s="377"/>
      <c r="D80" s="377"/>
      <c r="E80" s="377"/>
      <c r="F80" s="377"/>
      <c r="G80" s="377"/>
      <c r="H80" s="377"/>
      <c r="I80" s="377"/>
      <c r="J80" s="377"/>
      <c r="K80" s="377"/>
      <c r="L80" s="403"/>
      <c r="M80" s="404"/>
      <c r="N80" s="896"/>
      <c r="O80" s="896"/>
      <c r="P80" s="38"/>
      <c r="Q80" s="327"/>
    </row>
    <row r="81" spans="1:17" s="51" customFormat="1" ht="15.75" thickBot="1">
      <c r="A81" s="402"/>
      <c r="B81" s="366"/>
      <c r="C81" s="383"/>
      <c r="D81" s="359"/>
      <c r="E81" s="359"/>
      <c r="F81" s="359"/>
      <c r="G81" s="359"/>
      <c r="H81" s="359"/>
      <c r="I81" s="359"/>
      <c r="J81" s="359"/>
      <c r="K81" s="359"/>
      <c r="L81" s="359"/>
      <c r="M81" s="360"/>
      <c r="N81" s="898"/>
      <c r="O81" s="898"/>
      <c r="P81" s="38"/>
      <c r="Q81" s="327"/>
    </row>
    <row r="82" spans="1:17" s="51" customFormat="1" ht="15.75" thickTop="1">
      <c r="A82" s="402"/>
      <c r="B82" s="361">
        <f>B26</f>
        <v>111</v>
      </c>
      <c r="C82" s="377"/>
      <c r="D82" s="377"/>
      <c r="E82" s="377"/>
      <c r="F82" s="377"/>
      <c r="G82" s="377"/>
      <c r="H82" s="377"/>
      <c r="I82" s="377"/>
      <c r="J82" s="377"/>
      <c r="K82" s="377"/>
      <c r="L82" s="403"/>
      <c r="M82" s="404"/>
      <c r="N82" s="896"/>
      <c r="O82" s="896"/>
      <c r="P82" s="38"/>
      <c r="Q82" s="327"/>
    </row>
    <row r="83" spans="1:17" s="51" customFormat="1" ht="15.75" thickBot="1">
      <c r="A83" s="402"/>
      <c r="B83" s="366"/>
      <c r="C83" s="383"/>
      <c r="D83" s="359"/>
      <c r="E83" s="359"/>
      <c r="F83" s="359"/>
      <c r="G83" s="359"/>
      <c r="H83" s="359"/>
      <c r="I83" s="359"/>
      <c r="J83" s="359"/>
      <c r="K83" s="359"/>
      <c r="L83" s="359"/>
      <c r="M83" s="360"/>
      <c r="N83" s="898"/>
      <c r="O83" s="898"/>
      <c r="P83" s="38"/>
      <c r="Q83" s="327"/>
    </row>
    <row r="84" spans="1:17" s="294" customFormat="1" ht="15.75" thickTop="1">
      <c r="A84" s="376"/>
      <c r="B84" s="361">
        <f>B27</f>
        <v>111</v>
      </c>
      <c r="C84" s="377"/>
      <c r="D84" s="377"/>
      <c r="E84" s="377"/>
      <c r="F84" s="377"/>
      <c r="G84" s="377"/>
      <c r="H84" s="377"/>
      <c r="I84" s="377"/>
      <c r="J84" s="377"/>
      <c r="K84" s="377"/>
      <c r="L84" s="403"/>
      <c r="M84" s="404"/>
      <c r="N84" s="899"/>
      <c r="O84" s="899"/>
      <c r="P84" s="381"/>
      <c r="Q84" s="382"/>
    </row>
    <row r="85" spans="1:17" s="294" customFormat="1" ht="15.75" thickBot="1">
      <c r="A85" s="376"/>
      <c r="B85" s="366"/>
      <c r="C85" s="383"/>
      <c r="D85" s="359"/>
      <c r="E85" s="359"/>
      <c r="F85" s="359"/>
      <c r="G85" s="359"/>
      <c r="H85" s="359"/>
      <c r="I85" s="359"/>
      <c r="J85" s="359"/>
      <c r="K85" s="359"/>
      <c r="L85" s="359"/>
      <c r="M85" s="360"/>
      <c r="N85" s="899"/>
      <c r="O85" s="899"/>
      <c r="P85" s="381"/>
      <c r="Q85" s="382"/>
    </row>
    <row r="86" spans="1:17" ht="15.75" thickTop="1">
      <c r="A86" s="357"/>
      <c r="B86" s="369">
        <f>B28</f>
        <v>111</v>
      </c>
      <c r="C86" s="346"/>
      <c r="D86" s="346"/>
      <c r="E86" s="346"/>
      <c r="F86" s="346"/>
      <c r="G86" s="410"/>
      <c r="H86" s="410"/>
      <c r="I86" s="410"/>
      <c r="J86" s="410"/>
      <c r="K86" s="411"/>
      <c r="L86" s="412"/>
      <c r="M86" s="413"/>
      <c r="N86" s="897"/>
      <c r="O86" s="897"/>
      <c r="P86" s="38"/>
      <c r="Q86" s="327"/>
    </row>
    <row r="87" spans="1:17" ht="15.75" thickBot="1">
      <c r="A87" s="1841"/>
      <c r="B87" s="392"/>
      <c r="C87" s="393"/>
      <c r="D87" s="393"/>
      <c r="E87" s="393"/>
      <c r="F87" s="393"/>
      <c r="G87" s="414"/>
      <c r="H87" s="414"/>
      <c r="I87" s="414"/>
      <c r="J87" s="414"/>
      <c r="K87" s="414"/>
      <c r="L87" s="414"/>
      <c r="M87" s="415"/>
      <c r="N87" s="898"/>
      <c r="O87" s="898"/>
      <c r="P87" s="38"/>
      <c r="Q87" s="327"/>
    </row>
    <row r="88" spans="1:17">
      <c r="A88" s="350" t="s">
        <v>2569</v>
      </c>
      <c r="B88" s="351" t="s">
        <v>2618</v>
      </c>
      <c r="C88" s="353"/>
      <c r="D88" s="353"/>
      <c r="E88" s="353"/>
      <c r="F88" s="353"/>
      <c r="G88" s="353"/>
      <c r="H88" s="353"/>
      <c r="I88" s="353"/>
      <c r="J88" s="353"/>
      <c r="K88" s="354"/>
      <c r="L88" s="355"/>
      <c r="M88" s="356"/>
      <c r="N88" s="897"/>
      <c r="O88" s="897"/>
      <c r="P88" s="38"/>
      <c r="Q88" s="327"/>
    </row>
    <row r="89" spans="1:17" ht="15.75" thickBot="1">
      <c r="A89" s="357"/>
      <c r="B89" s="366"/>
      <c r="C89" s="367">
        <v>100</v>
      </c>
      <c r="D89" s="367">
        <f t="shared" ref="D89:M89" si="19">C89-$K29</f>
        <v>100</v>
      </c>
      <c r="E89" s="367">
        <f t="shared" si="19"/>
        <v>100</v>
      </c>
      <c r="F89" s="367">
        <f t="shared" si="19"/>
        <v>100</v>
      </c>
      <c r="G89" s="367">
        <f t="shared" si="19"/>
        <v>100</v>
      </c>
      <c r="H89" s="367">
        <f t="shared" si="19"/>
        <v>100</v>
      </c>
      <c r="I89" s="367">
        <f t="shared" si="19"/>
        <v>100</v>
      </c>
      <c r="J89" s="367">
        <f t="shared" si="19"/>
        <v>100</v>
      </c>
      <c r="K89" s="367">
        <f t="shared" si="19"/>
        <v>100</v>
      </c>
      <c r="L89" s="367">
        <f t="shared" si="19"/>
        <v>100</v>
      </c>
      <c r="M89" s="368">
        <f t="shared" si="19"/>
        <v>100</v>
      </c>
      <c r="N89" s="898"/>
      <c r="O89" s="898"/>
      <c r="P89" s="38"/>
      <c r="Q89" s="327"/>
    </row>
    <row r="90" spans="1:17" ht="15.75" thickTop="1">
      <c r="A90" s="357"/>
      <c r="B90" s="361" t="s">
        <v>2619</v>
      </c>
      <c r="C90" s="401" t="str">
        <f>C91&amp;"(含)"&amp;"-"&amp;D91</f>
        <v>(含)-</v>
      </c>
      <c r="D90" s="401" t="str">
        <f t="shared" ref="D90:L90" si="20">D91&amp;"(含)"&amp;"-"&amp;E91</f>
        <v>(含)-</v>
      </c>
      <c r="E90" s="401" t="str">
        <f t="shared" si="20"/>
        <v>(含)-</v>
      </c>
      <c r="F90" s="401" t="str">
        <f t="shared" si="20"/>
        <v>(含)-</v>
      </c>
      <c r="G90" s="401" t="str">
        <f t="shared" si="20"/>
        <v>(含)-</v>
      </c>
      <c r="H90" s="401" t="str">
        <f t="shared" si="20"/>
        <v>(含)-</v>
      </c>
      <c r="I90" s="401" t="str">
        <f t="shared" si="20"/>
        <v>(含)-</v>
      </c>
      <c r="J90" s="401" t="str">
        <f t="shared" si="20"/>
        <v>(含)-</v>
      </c>
      <c r="K90" s="401" t="str">
        <f t="shared" si="20"/>
        <v>(含)-</v>
      </c>
      <c r="L90" s="401" t="str">
        <f t="shared" si="20"/>
        <v>(含)-</v>
      </c>
      <c r="M90" s="443" t="str">
        <f>M91&amp;"(含)"&amp;"-"&amp;P91</f>
        <v>(含)-</v>
      </c>
      <c r="N90" s="896"/>
      <c r="O90" s="896"/>
      <c r="P90" s="38"/>
      <c r="Q90" s="327"/>
    </row>
    <row r="91" spans="1:17" s="294" customFormat="1">
      <c r="A91" s="416"/>
      <c r="B91" s="417"/>
      <c r="C91" s="418"/>
      <c r="D91" s="418"/>
      <c r="E91" s="418"/>
      <c r="F91" s="418"/>
      <c r="G91" s="418"/>
      <c r="H91" s="418"/>
      <c r="I91" s="418"/>
      <c r="J91" s="419"/>
      <c r="K91" s="419"/>
      <c r="L91" s="420"/>
      <c r="M91" s="421"/>
      <c r="N91" s="899"/>
      <c r="O91" s="899"/>
      <c r="P91" s="381"/>
      <c r="Q91" s="382"/>
    </row>
    <row r="92" spans="1:17" s="294" customFormat="1" ht="15.75" thickBot="1">
      <c r="A92" s="376"/>
      <c r="B92" s="366"/>
      <c r="C92" s="383"/>
      <c r="D92" s="359"/>
      <c r="E92" s="359"/>
      <c r="F92" s="359"/>
      <c r="G92" s="359"/>
      <c r="H92" s="359"/>
      <c r="I92" s="359"/>
      <c r="J92" s="359"/>
      <c r="K92" s="359"/>
      <c r="L92" s="359"/>
      <c r="M92" s="360"/>
      <c r="N92" s="898"/>
      <c r="O92" s="898"/>
      <c r="P92" s="381"/>
      <c r="Q92" s="382"/>
    </row>
    <row r="93" spans="1:17" ht="15" thickTop="1">
      <c r="A93" s="422"/>
      <c r="B93" s="361" t="s">
        <v>2620</v>
      </c>
      <c r="C93" s="377"/>
      <c r="D93" s="377"/>
      <c r="E93" s="406"/>
      <c r="F93" s="406"/>
      <c r="G93" s="406"/>
      <c r="H93" s="406"/>
      <c r="I93" s="406"/>
      <c r="J93" s="406"/>
      <c r="K93" s="407"/>
      <c r="L93" s="408"/>
      <c r="M93" s="409"/>
      <c r="N93" s="897"/>
      <c r="O93" s="897"/>
      <c r="P93" s="38"/>
      <c r="Q93" s="327"/>
    </row>
    <row r="94" spans="1:17" ht="15.75" thickBot="1">
      <c r="A94" s="357"/>
      <c r="B94" s="366"/>
      <c r="C94" s="367">
        <v>100</v>
      </c>
      <c r="D94" s="367">
        <f t="shared" ref="D94:M94" si="21">C94-$K31</f>
        <v>100</v>
      </c>
      <c r="E94" s="367">
        <f t="shared" si="21"/>
        <v>100</v>
      </c>
      <c r="F94" s="367">
        <f t="shared" si="21"/>
        <v>100</v>
      </c>
      <c r="G94" s="367">
        <f t="shared" si="21"/>
        <v>100</v>
      </c>
      <c r="H94" s="367">
        <f t="shared" si="21"/>
        <v>100</v>
      </c>
      <c r="I94" s="367">
        <f t="shared" si="21"/>
        <v>100</v>
      </c>
      <c r="J94" s="367">
        <f t="shared" si="21"/>
        <v>100</v>
      </c>
      <c r="K94" s="367">
        <f t="shared" si="21"/>
        <v>100</v>
      </c>
      <c r="L94" s="367">
        <f t="shared" si="21"/>
        <v>100</v>
      </c>
      <c r="M94" s="368">
        <f t="shared" si="21"/>
        <v>100</v>
      </c>
      <c r="N94" s="898"/>
      <c r="O94" s="898"/>
      <c r="P94" s="38"/>
      <c r="Q94" s="327"/>
    </row>
    <row r="95" spans="1:17" ht="15" thickTop="1">
      <c r="A95" s="422"/>
      <c r="B95" s="361" t="s">
        <v>2622</v>
      </c>
      <c r="C95" s="377"/>
      <c r="D95" s="377"/>
      <c r="E95" s="377"/>
      <c r="F95" s="406"/>
      <c r="G95" s="406"/>
      <c r="H95" s="406"/>
      <c r="I95" s="406"/>
      <c r="J95" s="406"/>
      <c r="K95" s="407"/>
      <c r="L95" s="408"/>
      <c r="M95" s="409"/>
      <c r="N95" s="897"/>
      <c r="O95" s="897"/>
      <c r="P95" s="38"/>
      <c r="Q95" s="327"/>
    </row>
    <row r="96" spans="1:17" ht="15.75" thickBot="1">
      <c r="A96" s="357"/>
      <c r="B96" s="366"/>
      <c r="C96" s="367">
        <v>100</v>
      </c>
      <c r="D96" s="367">
        <f t="shared" ref="D96:M96" si="22">C96-$K32</f>
        <v>100</v>
      </c>
      <c r="E96" s="367">
        <f t="shared" si="22"/>
        <v>100</v>
      </c>
      <c r="F96" s="367">
        <f t="shared" si="22"/>
        <v>100</v>
      </c>
      <c r="G96" s="367">
        <f t="shared" si="22"/>
        <v>100</v>
      </c>
      <c r="H96" s="367">
        <f t="shared" si="22"/>
        <v>100</v>
      </c>
      <c r="I96" s="367">
        <f t="shared" si="22"/>
        <v>100</v>
      </c>
      <c r="J96" s="367">
        <f t="shared" si="22"/>
        <v>100</v>
      </c>
      <c r="K96" s="367">
        <f t="shared" si="22"/>
        <v>100</v>
      </c>
      <c r="L96" s="367">
        <f t="shared" si="22"/>
        <v>100</v>
      </c>
      <c r="M96" s="368">
        <f t="shared" si="22"/>
        <v>100</v>
      </c>
      <c r="N96" s="898"/>
      <c r="O96" s="898"/>
      <c r="P96" s="38"/>
      <c r="Q96" s="327"/>
    </row>
    <row r="97" spans="1:17" ht="15" thickTop="1">
      <c r="A97" s="422"/>
      <c r="B97" s="361" t="s">
        <v>2000</v>
      </c>
      <c r="C97" s="401" t="str">
        <f>C98&amp;"(含)"&amp;"-"&amp;D98</f>
        <v>0.5(含)-0.6</v>
      </c>
      <c r="D97" s="401" t="str">
        <f>D98&amp;"(含)"&amp;"-"&amp;E98</f>
        <v>0.6(含)-0.7</v>
      </c>
      <c r="E97" s="401" t="str">
        <f>E98&amp;"(含)"&amp;"-"&amp;F98</f>
        <v>0.7(含)-0.8</v>
      </c>
      <c r="F97" s="401" t="str">
        <f>F98&amp;"(含)"&amp;"-"&amp;G98</f>
        <v>0.8(含)-0.9</v>
      </c>
      <c r="G97" s="401" t="str">
        <f>G98&amp;"(含)"&amp;"-"&amp;ROUND(H98,0)&amp;"(含)"</f>
        <v>0.9(含)-1(含)</v>
      </c>
      <c r="H97" s="401"/>
      <c r="I97" s="406"/>
      <c r="J97" s="406"/>
      <c r="K97" s="407"/>
      <c r="L97" s="408"/>
      <c r="M97" s="409"/>
      <c r="N97" s="897"/>
      <c r="O97" s="897"/>
      <c r="P97" s="38"/>
      <c r="Q97" s="327"/>
    </row>
    <row r="98" spans="1:17">
      <c r="A98" s="422"/>
      <c r="B98" s="369"/>
      <c r="C98" s="426">
        <v>0.5</v>
      </c>
      <c r="D98" s="426">
        <v>0.6</v>
      </c>
      <c r="E98" s="426">
        <v>0.7</v>
      </c>
      <c r="F98" s="426">
        <v>0.8</v>
      </c>
      <c r="G98" s="426">
        <v>0.9</v>
      </c>
      <c r="H98" s="426">
        <v>1.0001</v>
      </c>
      <c r="I98" s="444"/>
      <c r="J98" s="444"/>
      <c r="K98" s="445"/>
      <c r="L98" s="446"/>
      <c r="M98" s="447"/>
      <c r="N98" s="897"/>
      <c r="O98" s="897"/>
      <c r="P98" s="38"/>
      <c r="Q98" s="327"/>
    </row>
    <row r="99" spans="1:17" ht="15.75" thickBot="1">
      <c r="A99" s="357"/>
      <c r="B99" s="366"/>
      <c r="C99" s="405">
        <v>100</v>
      </c>
      <c r="D99" s="367">
        <f>C99+$K33</f>
        <v>100</v>
      </c>
      <c r="E99" s="367">
        <f t="shared" ref="E99:M99" si="23">D99+$K33</f>
        <v>100</v>
      </c>
      <c r="F99" s="367">
        <f t="shared" si="23"/>
        <v>100</v>
      </c>
      <c r="G99" s="367">
        <f t="shared" si="23"/>
        <v>100</v>
      </c>
      <c r="H99" s="367">
        <f t="shared" si="23"/>
        <v>100</v>
      </c>
      <c r="I99" s="367">
        <f t="shared" si="23"/>
        <v>100</v>
      </c>
      <c r="J99" s="367">
        <f t="shared" si="23"/>
        <v>100</v>
      </c>
      <c r="K99" s="367">
        <f t="shared" si="23"/>
        <v>100</v>
      </c>
      <c r="L99" s="367">
        <f t="shared" si="23"/>
        <v>100</v>
      </c>
      <c r="M99" s="367">
        <f t="shared" si="23"/>
        <v>100</v>
      </c>
      <c r="N99" s="898"/>
      <c r="O99" s="898"/>
      <c r="P99" s="38"/>
      <c r="Q99" s="327"/>
    </row>
    <row r="100" spans="1:17" s="294" customFormat="1" ht="15" thickTop="1">
      <c r="A100" s="416"/>
      <c r="B100" s="361" t="s">
        <v>2623</v>
      </c>
      <c r="C100" s="377"/>
      <c r="D100" s="377"/>
      <c r="E100" s="377"/>
      <c r="F100" s="377"/>
      <c r="G100" s="377"/>
      <c r="H100" s="406"/>
      <c r="I100" s="406"/>
      <c r="J100" s="406"/>
      <c r="K100" s="407"/>
      <c r="L100" s="408"/>
      <c r="M100" s="409"/>
      <c r="N100" s="899"/>
      <c r="O100" s="899"/>
      <c r="P100" s="381"/>
      <c r="Q100" s="382"/>
    </row>
    <row r="101" spans="1:17" s="294" customFormat="1" ht="15.75" thickBot="1">
      <c r="A101" s="376"/>
      <c r="B101" s="366"/>
      <c r="C101" s="367">
        <v>100</v>
      </c>
      <c r="D101" s="367">
        <f>C101-$K34</f>
        <v>100</v>
      </c>
      <c r="E101" s="367">
        <f t="shared" ref="E101:M101" si="24">D101-$K34</f>
        <v>100</v>
      </c>
      <c r="F101" s="367">
        <f t="shared" si="24"/>
        <v>100</v>
      </c>
      <c r="G101" s="367">
        <f t="shared" si="24"/>
        <v>100</v>
      </c>
      <c r="H101" s="367">
        <f t="shared" si="24"/>
        <v>100</v>
      </c>
      <c r="I101" s="367">
        <f t="shared" si="24"/>
        <v>100</v>
      </c>
      <c r="J101" s="367">
        <f t="shared" si="24"/>
        <v>100</v>
      </c>
      <c r="K101" s="367">
        <f t="shared" si="24"/>
        <v>100</v>
      </c>
      <c r="L101" s="367">
        <f t="shared" si="24"/>
        <v>100</v>
      </c>
      <c r="M101" s="367">
        <f t="shared" si="24"/>
        <v>100</v>
      </c>
      <c r="N101" s="899"/>
      <c r="O101" s="899"/>
      <c r="P101" s="381"/>
      <c r="Q101" s="382"/>
    </row>
    <row r="102" spans="1:17" ht="15" thickTop="1">
      <c r="A102" s="422"/>
      <c r="B102" s="361" t="s">
        <v>2624</v>
      </c>
      <c r="C102" s="377"/>
      <c r="D102" s="377"/>
      <c r="E102" s="377"/>
      <c r="F102" s="377"/>
      <c r="G102" s="377"/>
      <c r="H102" s="406"/>
      <c r="I102" s="406"/>
      <c r="J102" s="406"/>
      <c r="K102" s="407"/>
      <c r="L102" s="408"/>
      <c r="M102" s="409"/>
      <c r="N102" s="897"/>
      <c r="O102" s="897"/>
      <c r="P102" s="38"/>
      <c r="Q102" s="327"/>
    </row>
    <row r="103" spans="1:17" ht="15.75" thickBot="1">
      <c r="A103" s="357"/>
      <c r="B103" s="366"/>
      <c r="C103" s="367">
        <v>100</v>
      </c>
      <c r="D103" s="367">
        <f t="shared" ref="D103:M103" si="25">C103-$K35</f>
        <v>100</v>
      </c>
      <c r="E103" s="367">
        <f t="shared" si="25"/>
        <v>100</v>
      </c>
      <c r="F103" s="367">
        <f t="shared" si="25"/>
        <v>100</v>
      </c>
      <c r="G103" s="367">
        <f t="shared" si="25"/>
        <v>100</v>
      </c>
      <c r="H103" s="367">
        <f t="shared" si="25"/>
        <v>100</v>
      </c>
      <c r="I103" s="367">
        <f t="shared" si="25"/>
        <v>100</v>
      </c>
      <c r="J103" s="367">
        <f t="shared" si="25"/>
        <v>100</v>
      </c>
      <c r="K103" s="367">
        <f t="shared" si="25"/>
        <v>100</v>
      </c>
      <c r="L103" s="367">
        <f t="shared" si="25"/>
        <v>100</v>
      </c>
      <c r="M103" s="368">
        <f t="shared" si="25"/>
        <v>100</v>
      </c>
      <c r="N103" s="898"/>
      <c r="O103" s="898"/>
      <c r="P103" s="38"/>
      <c r="Q103" s="327"/>
    </row>
    <row r="104" spans="1:17" ht="15" thickTop="1">
      <c r="A104" s="422"/>
      <c r="B104" s="361" t="s">
        <v>2626</v>
      </c>
      <c r="C104" s="377"/>
      <c r="D104" s="377"/>
      <c r="E104" s="377"/>
      <c r="F104" s="377"/>
      <c r="G104" s="377"/>
      <c r="H104" s="406"/>
      <c r="I104" s="406"/>
      <c r="J104" s="406"/>
      <c r="K104" s="407"/>
      <c r="L104" s="408"/>
      <c r="M104" s="409"/>
      <c r="N104" s="897"/>
      <c r="O104" s="897"/>
      <c r="P104" s="38"/>
      <c r="Q104" s="327"/>
    </row>
    <row r="105" spans="1:17" ht="15.75" thickBot="1">
      <c r="A105" s="357"/>
      <c r="B105" s="366"/>
      <c r="C105" s="367">
        <v>100</v>
      </c>
      <c r="D105" s="367">
        <f>C105-$K36</f>
        <v>100</v>
      </c>
      <c r="E105" s="367">
        <f>D105-$K36</f>
        <v>100</v>
      </c>
      <c r="F105" s="367">
        <f>E105-$K36</f>
        <v>100</v>
      </c>
      <c r="G105" s="367">
        <f>F105-$K36</f>
        <v>100</v>
      </c>
      <c r="H105" s="367"/>
      <c r="I105" s="367"/>
      <c r="J105" s="367"/>
      <c r="K105" s="367"/>
      <c r="L105" s="367"/>
      <c r="M105" s="368"/>
      <c r="N105" s="898"/>
      <c r="O105" s="898"/>
      <c r="P105" s="38"/>
      <c r="Q105" s="327"/>
    </row>
    <row r="106" spans="1:17" ht="15" thickTop="1">
      <c r="A106" s="422"/>
      <c r="B106" s="456" t="s">
        <v>2712</v>
      </c>
      <c r="C106" s="401" t="s">
        <v>2603</v>
      </c>
      <c r="D106" s="401" t="s">
        <v>2604</v>
      </c>
      <c r="E106" s="401" t="s">
        <v>2605</v>
      </c>
      <c r="F106" s="401" t="s">
        <v>2606</v>
      </c>
      <c r="G106" s="401" t="s">
        <v>2607</v>
      </c>
      <c r="H106" s="362"/>
      <c r="I106" s="362"/>
      <c r="J106" s="362"/>
      <c r="K106" s="363"/>
      <c r="L106" s="364"/>
      <c r="M106" s="365"/>
      <c r="N106" s="898"/>
      <c r="O106" s="898"/>
      <c r="P106" s="457"/>
      <c r="Q106" s="458"/>
    </row>
    <row r="107" spans="1:17" ht="15.75" thickBot="1">
      <c r="A107" s="357"/>
      <c r="B107" s="366"/>
      <c r="C107" s="405">
        <v>100</v>
      </c>
      <c r="D107" s="367">
        <f t="shared" ref="D107:M107" si="26">C107-$K37</f>
        <v>100</v>
      </c>
      <c r="E107" s="367">
        <f t="shared" si="26"/>
        <v>100</v>
      </c>
      <c r="F107" s="367">
        <f t="shared" si="26"/>
        <v>100</v>
      </c>
      <c r="G107" s="367">
        <f t="shared" si="26"/>
        <v>100</v>
      </c>
      <c r="H107" s="367">
        <f t="shared" si="26"/>
        <v>100</v>
      </c>
      <c r="I107" s="367">
        <f t="shared" si="26"/>
        <v>100</v>
      </c>
      <c r="J107" s="367">
        <f t="shared" si="26"/>
        <v>100</v>
      </c>
      <c r="K107" s="367">
        <f t="shared" si="26"/>
        <v>100</v>
      </c>
      <c r="L107" s="367">
        <f t="shared" si="26"/>
        <v>100</v>
      </c>
      <c r="M107" s="367">
        <f t="shared" si="26"/>
        <v>100</v>
      </c>
      <c r="N107" s="898"/>
      <c r="O107" s="898"/>
      <c r="P107" s="38"/>
      <c r="Q107" s="327"/>
    </row>
    <row r="108" spans="1:17" s="294" customFormat="1" ht="15" thickTop="1">
      <c r="A108" s="416"/>
      <c r="B108" s="361">
        <f>B38</f>
        <v>111</v>
      </c>
      <c r="C108" s="377"/>
      <c r="D108" s="377"/>
      <c r="E108" s="377"/>
      <c r="F108" s="377"/>
      <c r="G108" s="377"/>
      <c r="H108" s="378"/>
      <c r="I108" s="378"/>
      <c r="J108" s="378"/>
      <c r="K108" s="378"/>
      <c r="L108" s="379"/>
      <c r="M108" s="380"/>
      <c r="N108" s="899"/>
      <c r="O108" s="899"/>
      <c r="P108" s="381"/>
      <c r="Q108" s="382"/>
    </row>
    <row r="109" spans="1:17" s="294" customFormat="1" ht="15.75" thickBot="1">
      <c r="A109" s="376"/>
      <c r="B109" s="358"/>
      <c r="C109" s="383"/>
      <c r="D109" s="359"/>
      <c r="E109" s="359"/>
      <c r="F109" s="359"/>
      <c r="G109" s="383"/>
      <c r="H109" s="385"/>
      <c r="I109" s="385"/>
      <c r="J109" s="385"/>
      <c r="K109" s="385"/>
      <c r="L109" s="385"/>
      <c r="M109" s="386"/>
      <c r="N109" s="899"/>
      <c r="O109" s="899"/>
      <c r="P109" s="381"/>
      <c r="Q109" s="382"/>
    </row>
    <row r="110" spans="1:17" ht="15" thickTop="1">
      <c r="A110" s="422"/>
      <c r="B110" s="361">
        <f>B39</f>
        <v>111</v>
      </c>
      <c r="C110" s="377"/>
      <c r="D110" s="377"/>
      <c r="E110" s="377"/>
      <c r="F110" s="377"/>
      <c r="G110" s="377"/>
      <c r="H110" s="378"/>
      <c r="I110" s="378"/>
      <c r="J110" s="378"/>
      <c r="K110" s="378"/>
      <c r="L110" s="379"/>
      <c r="M110" s="380"/>
      <c r="N110" s="897"/>
      <c r="O110" s="897"/>
      <c r="P110" s="38"/>
      <c r="Q110" s="327"/>
    </row>
    <row r="111" spans="1:17" ht="15.75" thickBot="1">
      <c r="A111" s="357"/>
      <c r="B111" s="366"/>
      <c r="C111" s="383"/>
      <c r="D111" s="359"/>
      <c r="E111" s="359"/>
      <c r="F111" s="359"/>
      <c r="G111" s="383"/>
      <c r="H111" s="385"/>
      <c r="I111" s="385"/>
      <c r="J111" s="385"/>
      <c r="K111" s="385"/>
      <c r="L111" s="385"/>
      <c r="M111" s="386"/>
      <c r="N111" s="898"/>
      <c r="O111" s="898"/>
      <c r="P111" s="38"/>
      <c r="Q111" s="327"/>
    </row>
    <row r="112" spans="1:17" ht="15" thickTop="1">
      <c r="A112" s="422"/>
      <c r="B112" s="369">
        <f>B40</f>
        <v>111</v>
      </c>
      <c r="C112" s="346"/>
      <c r="D112" s="346"/>
      <c r="E112" s="346"/>
      <c r="F112" s="346"/>
      <c r="G112" s="410"/>
      <c r="H112" s="410"/>
      <c r="I112" s="410"/>
      <c r="J112" s="410"/>
      <c r="K112" s="346"/>
      <c r="L112" s="347"/>
      <c r="M112" s="413"/>
      <c r="N112" s="897"/>
      <c r="O112" s="897"/>
      <c r="P112" s="38"/>
      <c r="Q112" s="327"/>
    </row>
    <row r="113" spans="1:17" ht="15.75" thickBot="1">
      <c r="A113" s="1841"/>
      <c r="B113" s="392"/>
      <c r="C113" s="393"/>
      <c r="D113" s="393"/>
      <c r="E113" s="393"/>
      <c r="F113" s="393"/>
      <c r="G113" s="414"/>
      <c r="H113" s="414"/>
      <c r="I113" s="414"/>
      <c r="J113" s="414"/>
      <c r="K113" s="414"/>
      <c r="L113" s="414"/>
      <c r="M113" s="415"/>
      <c r="N113" s="898"/>
      <c r="O113" s="898"/>
      <c r="P113" s="38"/>
      <c r="Q113" s="327"/>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C38" sqref="C38"/>
    </sheetView>
  </sheetViews>
  <sheetFormatPr defaultRowHeight="14.25"/>
  <cols>
    <col min="1" max="1" width="10.5" style="227" customWidth="1"/>
    <col min="2" max="2" width="15.75" style="227" customWidth="1"/>
    <col min="3" max="3" width="14.375" style="227" customWidth="1"/>
    <col min="4" max="4" width="12.25" style="227" customWidth="1"/>
    <col min="5" max="5" width="14.375" style="227" customWidth="1"/>
    <col min="6" max="6" width="12.25" style="227" customWidth="1"/>
    <col min="7" max="7" width="14.5" style="227" customWidth="1"/>
    <col min="8" max="8" width="12.25" style="227" customWidth="1"/>
    <col min="9" max="9" width="15.5" style="227" customWidth="1"/>
    <col min="10" max="10" width="12.25" style="227" customWidth="1"/>
    <col min="11" max="11" width="12.25" style="318" customWidth="1"/>
    <col min="12" max="12" width="12.25" style="319" customWidth="1"/>
    <col min="13" max="15" width="12.25" style="227" customWidth="1"/>
    <col min="16" max="16" width="4.75" style="868" customWidth="1"/>
    <col min="17" max="17" width="19.5" style="227" customWidth="1"/>
    <col min="18" max="22" width="6.125" style="227" customWidth="1"/>
    <col min="23" max="23" width="5.75" style="227" customWidth="1"/>
    <col min="24" max="24" width="4.25" style="227" customWidth="1"/>
    <col min="25" max="25" width="3.5" style="227" customWidth="1"/>
    <col min="26" max="26" width="19.75" style="227" customWidth="1"/>
    <col min="27" max="28" width="9.375" style="227" customWidth="1"/>
    <col min="29" max="16384" width="9" style="227"/>
  </cols>
  <sheetData>
    <row r="1" spans="1:29" s="1292" customFormat="1" ht="28.5" customHeight="1" thickBot="1">
      <c r="A1" s="1281" t="s">
        <v>2713</v>
      </c>
      <c r="B1" s="1282"/>
      <c r="C1" s="1283" t="s">
        <v>2536</v>
      </c>
      <c r="D1" s="1284"/>
      <c r="E1" s="1285"/>
      <c r="F1" s="1789"/>
      <c r="G1" s="1286" t="s">
        <v>2649</v>
      </c>
      <c r="H1" s="1285"/>
      <c r="I1" s="1285"/>
      <c r="J1" s="1285"/>
      <c r="K1" s="1287"/>
      <c r="L1" s="1288"/>
      <c r="M1" s="1289"/>
      <c r="N1" s="1289"/>
      <c r="O1" s="1289"/>
      <c r="P1" s="1290"/>
      <c r="Q1" s="1283"/>
      <c r="R1" s="1283"/>
      <c r="S1" s="1283"/>
      <c r="T1" s="1283"/>
      <c r="U1" s="1283"/>
      <c r="V1" s="1283"/>
      <c r="W1" s="1283"/>
      <c r="X1" s="1283"/>
      <c r="Y1" s="1283"/>
      <c r="Z1" s="1283"/>
      <c r="AA1" s="1283"/>
      <c r="AB1" s="1283"/>
      <c r="AC1" s="1291"/>
    </row>
    <row r="2" spans="1:29" s="222" customFormat="1" ht="28.5" customHeight="1" thickTop="1">
      <c r="A2" s="1280" t="s">
        <v>2333</v>
      </c>
      <c r="B2" s="1084" t="e">
        <f ca="1">IF(C2="——",IF(B37="元/平方米",ROUND(C39*D3/10000,0),ROUND(F3*C39/10000,0)),IF(B37="元/平方米",ROUND(C39*D3/10000,0),ROUND(F3*C39/10000,0))-D2)</f>
        <v>#DIV/0!</v>
      </c>
      <c r="C2" s="1791"/>
      <c r="D2" s="869" t="e">
        <f ca="1">SUMIF(INDIRECT("'"&amp;F2&amp;"'"&amp;"!A:A"),"承租人权益价值",INDIRECT("'"&amp;F2&amp;"'"&amp;"!c:c"))</f>
        <v>#REF!</v>
      </c>
      <c r="E2" s="1792" t="s">
        <v>2334</v>
      </c>
      <c r="F2" s="1793"/>
      <c r="G2" s="870"/>
      <c r="H2" s="870"/>
      <c r="I2" s="870"/>
      <c r="J2" s="870"/>
      <c r="K2" s="872"/>
      <c r="L2" s="873"/>
      <c r="M2" s="874"/>
      <c r="N2" s="874"/>
      <c r="O2" s="874"/>
      <c r="P2" s="1085"/>
      <c r="Q2" s="550"/>
      <c r="R2" s="550"/>
      <c r="S2" s="550"/>
      <c r="T2" s="550"/>
      <c r="U2" s="550"/>
      <c r="V2" s="550"/>
      <c r="W2" s="550"/>
      <c r="X2" s="550"/>
      <c r="Y2" s="550"/>
      <c r="Z2" s="550"/>
      <c r="AA2" s="550"/>
      <c r="AB2" s="550"/>
      <c r="AC2" s="551"/>
    </row>
    <row r="3" spans="1:29" s="222" customFormat="1" ht="28.5" customHeight="1" thickBot="1">
      <c r="A3" s="73" t="s">
        <v>2335</v>
      </c>
      <c r="B3" s="432" t="e">
        <f ca="1">IF(AND(C2="——",B37="元/平方米"),C39,ROUND(B2*10000/D3,0))</f>
        <v>#DIV/0!</v>
      </c>
      <c r="C3" s="224" t="s">
        <v>2650</v>
      </c>
      <c r="D3" s="223">
        <f>SUMIF('数据-汇总表'!$C19:$C33,D1,'数据-汇总表'!$E19:$E33)</f>
        <v>0</v>
      </c>
      <c r="E3" s="224" t="s">
        <v>2714</v>
      </c>
      <c r="F3" s="223">
        <f>SUMIF('数据-取费表'!A5:A15,D1,'数据-取费表'!AH5:AH15)</f>
        <v>0</v>
      </c>
      <c r="G3" s="870"/>
      <c r="H3" s="870"/>
      <c r="I3" s="870"/>
      <c r="J3" s="870"/>
      <c r="K3" s="872"/>
      <c r="L3" s="873"/>
      <c r="M3" s="874"/>
      <c r="N3" s="874"/>
      <c r="O3" s="874"/>
      <c r="P3" s="1085"/>
      <c r="Q3" s="550"/>
      <c r="R3" s="550"/>
      <c r="S3" s="550"/>
      <c r="T3" s="550"/>
      <c r="U3" s="550"/>
      <c r="V3" s="550"/>
      <c r="W3" s="550"/>
      <c r="X3" s="550"/>
      <c r="Y3" s="550"/>
      <c r="Z3" s="550"/>
      <c r="AA3" s="550"/>
      <c r="AB3" s="568"/>
      <c r="AC3" s="564"/>
    </row>
    <row r="4" spans="1:29" ht="15">
      <c r="A4" s="225" t="s">
        <v>2651</v>
      </c>
      <c r="B4" s="226"/>
      <c r="C4" s="3922" t="s">
        <v>2652</v>
      </c>
      <c r="D4" s="3923"/>
      <c r="E4" s="3924" t="s">
        <v>2653</v>
      </c>
      <c r="F4" s="3925"/>
      <c r="G4" s="3922" t="s">
        <v>2654</v>
      </c>
      <c r="H4" s="3923"/>
      <c r="I4" s="3922" t="s">
        <v>2655</v>
      </c>
      <c r="J4" s="3923"/>
      <c r="K4" s="433" t="s">
        <v>2656</v>
      </c>
      <c r="L4" s="875"/>
      <c r="M4" s="876"/>
      <c r="N4" s="876"/>
      <c r="O4" s="876"/>
      <c r="P4" s="3926" t="s">
        <v>2657</v>
      </c>
      <c r="Q4" s="3927"/>
      <c r="R4" s="3908" t="s">
        <v>2653</v>
      </c>
      <c r="S4" s="3909"/>
      <c r="T4" s="3908" t="s">
        <v>2654</v>
      </c>
      <c r="U4" s="3909"/>
      <c r="V4" s="3934" t="s">
        <v>2655</v>
      </c>
      <c r="W4" s="3934"/>
      <c r="X4" s="1415"/>
      <c r="Y4" s="3908" t="s">
        <v>2657</v>
      </c>
      <c r="Z4" s="3909"/>
      <c r="AA4" s="3903" t="s">
        <v>2653</v>
      </c>
      <c r="AB4" s="3904" t="s">
        <v>2654</v>
      </c>
      <c r="AC4" s="3903" t="s">
        <v>2655</v>
      </c>
    </row>
    <row r="5" spans="1:29" ht="15">
      <c r="A5" s="228"/>
      <c r="B5" s="229"/>
      <c r="C5" s="3914" t="s">
        <v>2548</v>
      </c>
      <c r="D5" s="3915"/>
      <c r="E5" s="3912" t="s">
        <v>2549</v>
      </c>
      <c r="F5" s="3913"/>
      <c r="G5" s="3914" t="s">
        <v>2550</v>
      </c>
      <c r="H5" s="3915"/>
      <c r="I5" s="3914" t="s">
        <v>2551</v>
      </c>
      <c r="J5" s="3915"/>
      <c r="K5" s="433"/>
      <c r="L5" s="875"/>
      <c r="M5" s="876"/>
      <c r="N5" s="876"/>
      <c r="O5" s="876"/>
      <c r="P5" s="3928"/>
      <c r="Q5" s="3929"/>
      <c r="R5" s="3910"/>
      <c r="S5" s="3911"/>
      <c r="T5" s="3910"/>
      <c r="U5" s="3911"/>
      <c r="V5" s="3934"/>
      <c r="W5" s="3934"/>
      <c r="X5" s="1415"/>
      <c r="Y5" s="3910"/>
      <c r="Z5" s="3911"/>
      <c r="AA5" s="3904"/>
      <c r="AB5" s="3904"/>
      <c r="AC5" s="3904"/>
    </row>
    <row r="6" spans="1:29" ht="15.75" thickBot="1">
      <c r="A6" s="230"/>
      <c r="B6" s="231"/>
      <c r="C6" s="3916" t="s">
        <v>2552</v>
      </c>
      <c r="D6" s="3917"/>
      <c r="E6" s="3918" t="s">
        <v>2552</v>
      </c>
      <c r="F6" s="3919"/>
      <c r="G6" s="3916" t="s">
        <v>2552</v>
      </c>
      <c r="H6" s="3917"/>
      <c r="I6" s="3916" t="s">
        <v>2552</v>
      </c>
      <c r="J6" s="3917"/>
      <c r="K6" s="433" t="s">
        <v>2553</v>
      </c>
      <c r="L6" s="875"/>
      <c r="M6" s="876"/>
      <c r="N6" s="876"/>
      <c r="O6" s="876"/>
      <c r="P6" s="3930"/>
      <c r="Q6" s="3931"/>
      <c r="R6" s="3910"/>
      <c r="S6" s="3911"/>
      <c r="T6" s="3932"/>
      <c r="U6" s="3933"/>
      <c r="V6" s="3934"/>
      <c r="W6" s="3934"/>
      <c r="X6" s="1415"/>
      <c r="Y6" s="3932"/>
      <c r="Z6" s="3933"/>
      <c r="AA6" s="3905"/>
      <c r="AB6" s="3905"/>
      <c r="AC6" s="3905"/>
    </row>
    <row r="7" spans="1:29" s="51" customFormat="1" ht="15.75" thickBot="1">
      <c r="A7" s="232" t="s">
        <v>2554</v>
      </c>
      <c r="B7" s="233"/>
      <c r="C7" s="234">
        <f>'数据-取费表'!B2</f>
        <v>43071</v>
      </c>
      <c r="D7" s="235">
        <v>100</v>
      </c>
      <c r="E7" s="236"/>
      <c r="F7" s="237">
        <f>SUMIF(48:48,YEAR(E7)&amp;"-"&amp;MONTH(E7),49:49)</f>
        <v>0</v>
      </c>
      <c r="G7" s="236"/>
      <c r="H7" s="235">
        <f>SUMIF(48:48,YEAR(G7)&amp;"-"&amp;MONTH(G7),49:49)</f>
        <v>0</v>
      </c>
      <c r="I7" s="236"/>
      <c r="J7" s="235">
        <f>SUMIF(48:48,YEAR(I7)&amp;"-"&amp;MONTH(I7),49:49)</f>
        <v>0</v>
      </c>
      <c r="K7" s="434"/>
      <c r="L7" s="877"/>
      <c r="M7" s="878"/>
      <c r="N7" s="878"/>
      <c r="O7" s="878"/>
      <c r="P7" s="3906" t="s">
        <v>2555</v>
      </c>
      <c r="Q7" s="3935"/>
      <c r="R7" s="552" t="s">
        <v>17</v>
      </c>
      <c r="S7" s="553">
        <f t="shared" ref="S7:S14" si="0">F7</f>
        <v>0</v>
      </c>
      <c r="T7" s="552" t="s">
        <v>17</v>
      </c>
      <c r="U7" s="553">
        <f t="shared" ref="U7:U14" si="1">H7</f>
        <v>0</v>
      </c>
      <c r="V7" s="552" t="s">
        <v>17</v>
      </c>
      <c r="W7" s="553">
        <f t="shared" ref="W7:W14" si="2">J7</f>
        <v>0</v>
      </c>
      <c r="X7" s="554"/>
      <c r="Y7" s="3906" t="s">
        <v>2555</v>
      </c>
      <c r="Z7" s="3907"/>
      <c r="AA7" s="555" t="e">
        <f>D7/F7</f>
        <v>#DIV/0!</v>
      </c>
      <c r="AB7" s="555" t="e">
        <f>D7/H7</f>
        <v>#DIV/0!</v>
      </c>
      <c r="AC7" s="555" t="e">
        <f>D7/J7</f>
        <v>#DIV/0!</v>
      </c>
    </row>
    <row r="8" spans="1:29" s="51" customFormat="1" ht="15.75" thickBot="1">
      <c r="A8" s="232" t="s">
        <v>2556</v>
      </c>
      <c r="B8" s="233"/>
      <c r="C8" s="238" t="s">
        <v>2658</v>
      </c>
      <c r="D8" s="235">
        <v>100</v>
      </c>
      <c r="E8" s="238"/>
      <c r="F8" s="237">
        <f>SUMIF(51:51,E8,52:52)-SUMIF(51:51,C8,52:52)+100</f>
        <v>0</v>
      </c>
      <c r="G8" s="238"/>
      <c r="H8" s="235">
        <f>SUMIF(51:51,G8,52:52)-SUMIF(51:51,C8,52:52)+100</f>
        <v>0</v>
      </c>
      <c r="I8" s="238"/>
      <c r="J8" s="235">
        <f>SUMIF(51:51,I8,52:52)-SUMIF(51:51,C8,52:52)+100</f>
        <v>0</v>
      </c>
      <c r="K8" s="434"/>
      <c r="L8" s="877"/>
      <c r="M8" s="878"/>
      <c r="N8" s="878"/>
      <c r="O8" s="878"/>
      <c r="P8" s="3906" t="s">
        <v>2558</v>
      </c>
      <c r="Q8" s="3907"/>
      <c r="R8" s="552" t="s">
        <v>17</v>
      </c>
      <c r="S8" s="553">
        <f t="shared" si="0"/>
        <v>0</v>
      </c>
      <c r="T8" s="552" t="s">
        <v>17</v>
      </c>
      <c r="U8" s="553">
        <f t="shared" si="1"/>
        <v>0</v>
      </c>
      <c r="V8" s="552" t="s">
        <v>17</v>
      </c>
      <c r="W8" s="553">
        <f t="shared" si="2"/>
        <v>0</v>
      </c>
      <c r="X8" s="554"/>
      <c r="Y8" s="3906" t="s">
        <v>2558</v>
      </c>
      <c r="Z8" s="3907"/>
      <c r="AA8" s="555" t="e">
        <f t="shared" ref="AA8:AA36" si="3">D8/F8</f>
        <v>#DIV/0!</v>
      </c>
      <c r="AB8" s="555" t="e">
        <f t="shared" ref="AB8:AB36" si="4">D8/H8</f>
        <v>#DIV/0!</v>
      </c>
      <c r="AC8" s="555" t="e">
        <f t="shared" ref="AC8:AC36" si="5">D8/J8</f>
        <v>#DIV/0!</v>
      </c>
    </row>
    <row r="9" spans="1:29" s="51" customFormat="1">
      <c r="A9" s="42" t="s">
        <v>2559</v>
      </c>
      <c r="B9" s="460" t="s">
        <v>2560</v>
      </c>
      <c r="C9" s="240"/>
      <c r="D9" s="52">
        <v>100</v>
      </c>
      <c r="E9" s="243"/>
      <c r="F9" s="52">
        <f>SUMIF(53:53,E9,54:54)-SUMIF(53:53,C9,54:54)+100</f>
        <v>100</v>
      </c>
      <c r="G9" s="241"/>
      <c r="H9" s="52">
        <f>SUMIF(53:53,G9,54:54)-SUMIF(53:53,C9,54:54)+100</f>
        <v>100</v>
      </c>
      <c r="I9" s="241"/>
      <c r="J9" s="52">
        <f>SUMIF(53:53,I9,54:54)-SUMIF(53:53,C9,54:54)+100</f>
        <v>100</v>
      </c>
      <c r="K9" s="434"/>
      <c r="L9" s="877"/>
      <c r="M9" s="878"/>
      <c r="N9" s="878"/>
      <c r="O9" s="878"/>
      <c r="P9" s="3939" t="s">
        <v>2561</v>
      </c>
      <c r="Q9" s="1403" t="str">
        <f t="shared" ref="Q9:Q14" si="6">B9</f>
        <v>用途</v>
      </c>
      <c r="R9" s="552" t="s">
        <v>17</v>
      </c>
      <c r="S9" s="553">
        <f t="shared" si="0"/>
        <v>100</v>
      </c>
      <c r="T9" s="552" t="s">
        <v>17</v>
      </c>
      <c r="U9" s="553">
        <f t="shared" si="1"/>
        <v>100</v>
      </c>
      <c r="V9" s="552" t="s">
        <v>17</v>
      </c>
      <c r="W9" s="553">
        <f t="shared" si="2"/>
        <v>100</v>
      </c>
      <c r="X9" s="554"/>
      <c r="Y9" s="3921" t="s">
        <v>2562</v>
      </c>
      <c r="Z9" s="40" t="str">
        <f t="shared" ref="Z9:Z14" si="7">Q9</f>
        <v>用途</v>
      </c>
      <c r="AA9" s="555">
        <f t="shared" si="3"/>
        <v>1</v>
      </c>
      <c r="AB9" s="555">
        <f t="shared" si="4"/>
        <v>1</v>
      </c>
      <c r="AC9" s="555">
        <f t="shared" si="5"/>
        <v>1</v>
      </c>
    </row>
    <row r="10" spans="1:29" s="250" customFormat="1" ht="27">
      <c r="A10" s="461"/>
      <c r="B10" s="462" t="s">
        <v>2563</v>
      </c>
      <c r="C10" s="246"/>
      <c r="D10" s="53">
        <v>100</v>
      </c>
      <c r="E10" s="246"/>
      <c r="F10" s="53">
        <f>SUMIF(55:55,E10,56:56)-SUMIF(55:55,C10,56:56)+100</f>
        <v>100</v>
      </c>
      <c r="G10" s="247"/>
      <c r="H10" s="53">
        <f>SUMIF(55:55,G10,56:56)-SUMIF(55:55,C10,56:56)+100</f>
        <v>100</v>
      </c>
      <c r="I10" s="246"/>
      <c r="J10" s="53">
        <f>SUMIF(55:55,I10,56:56)-SUMIF(55:55,C10,56:56)+100</f>
        <v>100</v>
      </c>
      <c r="K10" s="435"/>
      <c r="L10" s="880"/>
      <c r="M10" s="881"/>
      <c r="N10" s="881"/>
      <c r="O10" s="881"/>
      <c r="P10" s="3939"/>
      <c r="Q10" s="1403" t="str">
        <f t="shared" si="6"/>
        <v>土地使用年限（年）</v>
      </c>
      <c r="R10" s="552" t="s">
        <v>17</v>
      </c>
      <c r="S10" s="553">
        <f t="shared" si="0"/>
        <v>100</v>
      </c>
      <c r="T10" s="552" t="s">
        <v>17</v>
      </c>
      <c r="U10" s="553">
        <f t="shared" si="1"/>
        <v>100</v>
      </c>
      <c r="V10" s="552" t="s">
        <v>17</v>
      </c>
      <c r="W10" s="553">
        <f t="shared" si="2"/>
        <v>100</v>
      </c>
      <c r="X10" s="554"/>
      <c r="Y10" s="3921"/>
      <c r="Z10" s="40" t="str">
        <f t="shared" si="7"/>
        <v>土地使用年限（年）</v>
      </c>
      <c r="AA10" s="555">
        <f t="shared" si="3"/>
        <v>1</v>
      </c>
      <c r="AB10" s="555">
        <f t="shared" si="4"/>
        <v>1</v>
      </c>
      <c r="AC10" s="555">
        <f t="shared" si="5"/>
        <v>1</v>
      </c>
    </row>
    <row r="11" spans="1:29" ht="15">
      <c r="A11" s="463"/>
      <c r="B11" s="464">
        <v>111</v>
      </c>
      <c r="C11" s="255"/>
      <c r="D11" s="53">
        <v>100</v>
      </c>
      <c r="E11" s="255"/>
      <c r="F11" s="53">
        <f>SUMIF(57:57,E11,58:58)-SUMIF(57:57,C11,58:58)+100</f>
        <v>100</v>
      </c>
      <c r="G11" s="255"/>
      <c r="H11" s="53">
        <f>SUMIF(57:57,G11,58:58)-SUMIF(57:57,C11,58:58)+100</f>
        <v>100</v>
      </c>
      <c r="I11" s="255"/>
      <c r="J11" s="53">
        <f>SUMIF(57:57,I11,58:58)-SUMIF(57:57,C11,58:58)+100</f>
        <v>100</v>
      </c>
      <c r="K11" s="436"/>
      <c r="L11" s="883"/>
      <c r="M11" s="876"/>
      <c r="N11" s="876"/>
      <c r="O11" s="876"/>
      <c r="P11" s="3939"/>
      <c r="Q11" s="1403">
        <f t="shared" si="6"/>
        <v>111</v>
      </c>
      <c r="R11" s="552" t="s">
        <v>17</v>
      </c>
      <c r="S11" s="553">
        <f t="shared" si="0"/>
        <v>100</v>
      </c>
      <c r="T11" s="552" t="s">
        <v>17</v>
      </c>
      <c r="U11" s="553">
        <f t="shared" si="1"/>
        <v>100</v>
      </c>
      <c r="V11" s="552" t="s">
        <v>17</v>
      </c>
      <c r="W11" s="553">
        <f t="shared" si="2"/>
        <v>100</v>
      </c>
      <c r="X11" s="554"/>
      <c r="Y11" s="3921"/>
      <c r="Z11" s="40">
        <f t="shared" si="7"/>
        <v>111</v>
      </c>
      <c r="AA11" s="555">
        <f t="shared" si="3"/>
        <v>1</v>
      </c>
      <c r="AB11" s="555">
        <f t="shared" si="4"/>
        <v>1</v>
      </c>
      <c r="AC11" s="555">
        <f t="shared" si="5"/>
        <v>1</v>
      </c>
    </row>
    <row r="12" spans="1:29" s="51" customFormat="1" ht="15">
      <c r="A12" s="465"/>
      <c r="B12" s="464">
        <v>111</v>
      </c>
      <c r="C12" s="255"/>
      <c r="D12" s="256">
        <v>100</v>
      </c>
      <c r="E12" s="255"/>
      <c r="F12" s="53">
        <f>SUMIF(59:59,E12,60:60)-SUMIF(59:59,C12,60:60)+100</f>
        <v>100</v>
      </c>
      <c r="G12" s="255"/>
      <c r="H12" s="53">
        <f>SUMIF(59:59,G12,60:60)-SUMIF(59:59,C12,60:60)+100</f>
        <v>100</v>
      </c>
      <c r="I12" s="255"/>
      <c r="J12" s="53">
        <f>SUMIF(59:59,I12,60:60)-SUMIF(59:59,C12,60:60)+100</f>
        <v>100</v>
      </c>
      <c r="K12" s="436"/>
      <c r="L12" s="877"/>
      <c r="M12" s="878"/>
      <c r="N12" s="878"/>
      <c r="O12" s="878"/>
      <c r="P12" s="3939"/>
      <c r="Q12" s="1403">
        <f t="shared" si="6"/>
        <v>111</v>
      </c>
      <c r="R12" s="552" t="s">
        <v>17</v>
      </c>
      <c r="S12" s="553">
        <f t="shared" si="0"/>
        <v>100</v>
      </c>
      <c r="T12" s="552" t="s">
        <v>17</v>
      </c>
      <c r="U12" s="553">
        <f t="shared" si="1"/>
        <v>100</v>
      </c>
      <c r="V12" s="552" t="s">
        <v>17</v>
      </c>
      <c r="W12" s="553">
        <f t="shared" si="2"/>
        <v>100</v>
      </c>
      <c r="X12" s="554"/>
      <c r="Y12" s="3921"/>
      <c r="Z12" s="40">
        <f t="shared" si="7"/>
        <v>111</v>
      </c>
      <c r="AA12" s="555">
        <f>D12/F12</f>
        <v>1</v>
      </c>
      <c r="AB12" s="555">
        <f>D12/H12</f>
        <v>1</v>
      </c>
      <c r="AC12" s="555">
        <f>D12/J12</f>
        <v>1</v>
      </c>
    </row>
    <row r="13" spans="1:29" ht="15.75" thickBot="1">
      <c r="A13" s="466"/>
      <c r="B13" s="464">
        <v>111</v>
      </c>
      <c r="C13" s="257"/>
      <c r="D13" s="258">
        <v>100</v>
      </c>
      <c r="E13" s="255"/>
      <c r="F13" s="53">
        <f>SUMIF(61:61,E13,62:62)-SUMIF(61:61,C13,62:62)+100</f>
        <v>100</v>
      </c>
      <c r="G13" s="255"/>
      <c r="H13" s="258">
        <f>SUMIF(61:61,G13,62:62)-SUMIF(61:61,C13,62:62)+100</f>
        <v>100</v>
      </c>
      <c r="I13" s="255"/>
      <c r="J13" s="258">
        <f>SUMIF(61:61,I13,62:62)-SUMIF(61:61,C13,62:62)+100</f>
        <v>100</v>
      </c>
      <c r="K13" s="436"/>
      <c r="L13" s="885"/>
      <c r="M13" s="876"/>
      <c r="N13" s="876"/>
      <c r="O13" s="876"/>
      <c r="P13" s="3939"/>
      <c r="Q13" s="1403">
        <f t="shared" si="6"/>
        <v>111</v>
      </c>
      <c r="R13" s="552" t="s">
        <v>17</v>
      </c>
      <c r="S13" s="553">
        <f t="shared" si="0"/>
        <v>100</v>
      </c>
      <c r="T13" s="552" t="s">
        <v>17</v>
      </c>
      <c r="U13" s="553">
        <f t="shared" si="1"/>
        <v>100</v>
      </c>
      <c r="V13" s="552" t="s">
        <v>17</v>
      </c>
      <c r="W13" s="553">
        <f t="shared" si="2"/>
        <v>100</v>
      </c>
      <c r="X13" s="554"/>
      <c r="Y13" s="3921"/>
      <c r="Z13" s="40">
        <f t="shared" si="7"/>
        <v>111</v>
      </c>
      <c r="AA13" s="555">
        <f t="shared" si="3"/>
        <v>1</v>
      </c>
      <c r="AB13" s="555">
        <f t="shared" si="4"/>
        <v>1</v>
      </c>
      <c r="AC13" s="555">
        <f t="shared" si="5"/>
        <v>1</v>
      </c>
    </row>
    <row r="14" spans="1:29" ht="85.5">
      <c r="A14" s="225" t="s">
        <v>2565</v>
      </c>
      <c r="B14" s="449" t="s">
        <v>2715</v>
      </c>
      <c r="C14" s="1889" t="str">
        <f>IF(B1="工业",估价对象房地状况!G4,估价对象房地状况!C6)</f>
        <v>估价对象周边道路状况、公共交通通达情况、停车便捷程度，综合评价交通便捷度较好</v>
      </c>
      <c r="D14" s="264">
        <v>100</v>
      </c>
      <c r="E14" s="265"/>
      <c r="F14" s="266">
        <f>SUMIF(63:63,E15,64:64)-SUMIF(63:63,C15,64:64)+100</f>
        <v>100</v>
      </c>
      <c r="G14" s="267"/>
      <c r="H14" s="264">
        <f>SUMIF(63:63,G15,64:64)-SUMIF(63:63,C15,64:64)+100</f>
        <v>100</v>
      </c>
      <c r="I14" s="265"/>
      <c r="J14" s="264">
        <f>SUMIF(63:63,I15,64:64)-SUMIF(63:63,C15,64:64)+100</f>
        <v>100</v>
      </c>
      <c r="K14" s="437"/>
      <c r="L14" s="885"/>
      <c r="M14" s="876"/>
      <c r="N14" s="876"/>
      <c r="O14" s="876"/>
      <c r="P14" s="3941" t="s">
        <v>2566</v>
      </c>
      <c r="Q14" s="1412" t="str">
        <f t="shared" si="6"/>
        <v>交通便捷度</v>
      </c>
      <c r="R14" s="556" t="s">
        <v>17</v>
      </c>
      <c r="S14" s="557">
        <f t="shared" si="0"/>
        <v>100</v>
      </c>
      <c r="T14" s="556" t="s">
        <v>17</v>
      </c>
      <c r="U14" s="557">
        <f t="shared" si="1"/>
        <v>100</v>
      </c>
      <c r="V14" s="556" t="s">
        <v>17</v>
      </c>
      <c r="W14" s="557">
        <f t="shared" si="2"/>
        <v>100</v>
      </c>
      <c r="X14" s="1415"/>
      <c r="Y14" s="3941" t="s">
        <v>2566</v>
      </c>
      <c r="Z14" s="1416" t="str">
        <f t="shared" si="7"/>
        <v>交通便捷度</v>
      </c>
      <c r="AA14" s="1413">
        <f t="shared" si="3"/>
        <v>1</v>
      </c>
      <c r="AB14" s="1413">
        <f t="shared" si="4"/>
        <v>1</v>
      </c>
      <c r="AC14" s="1413">
        <f t="shared" si="5"/>
        <v>1</v>
      </c>
    </row>
    <row r="15" spans="1:29" ht="15">
      <c r="A15" s="228"/>
      <c r="B15" s="467"/>
      <c r="C15" s="270"/>
      <c r="D15" s="271"/>
      <c r="E15" s="270"/>
      <c r="F15" s="272"/>
      <c r="G15" s="270"/>
      <c r="H15" s="273"/>
      <c r="I15" s="270"/>
      <c r="J15" s="271"/>
      <c r="K15" s="438"/>
      <c r="L15" s="885"/>
      <c r="M15" s="876"/>
      <c r="N15" s="876"/>
      <c r="O15" s="876"/>
      <c r="P15" s="3942"/>
      <c r="Q15" s="1412"/>
      <c r="R15" s="556"/>
      <c r="S15" s="557"/>
      <c r="T15" s="556"/>
      <c r="U15" s="557"/>
      <c r="V15" s="556"/>
      <c r="W15" s="557"/>
      <c r="X15" s="1415"/>
      <c r="Y15" s="3942"/>
      <c r="Z15" s="1416"/>
      <c r="AA15" s="1413">
        <v>1</v>
      </c>
      <c r="AB15" s="1413">
        <v>1</v>
      </c>
      <c r="AC15" s="1413">
        <v>1</v>
      </c>
    </row>
    <row r="16" spans="1:29" ht="42.75">
      <c r="A16" s="228"/>
      <c r="B16" s="451" t="s">
        <v>2694</v>
      </c>
      <c r="C16" s="1812" t="str">
        <f>IF(B1="工业",估价对象房地状况!G5,估价对象房地状况!C7)</f>
        <v>估价对象所在区域公共配套设施齐备情况</v>
      </c>
      <c r="D16" s="278">
        <v>100</v>
      </c>
      <c r="E16" s="280"/>
      <c r="F16" s="281">
        <f>SUMIF(65:65,E17,66:66)-SUMIF(65:65,C17,66:66)+100</f>
        <v>100</v>
      </c>
      <c r="G16" s="282"/>
      <c r="H16" s="278">
        <f>SUMIF(65:65,G17,66:66)-SUMIF(65:65,C17,66:66)+100</f>
        <v>100</v>
      </c>
      <c r="I16" s="280"/>
      <c r="J16" s="278">
        <f>SUMIF(65:65,I17,66:66)-SUMIF(65:65,C17,66:66)+100</f>
        <v>100</v>
      </c>
      <c r="K16" s="437"/>
      <c r="L16" s="885"/>
      <c r="M16" s="876"/>
      <c r="N16" s="876"/>
      <c r="O16" s="876"/>
      <c r="P16" s="3942"/>
      <c r="Q16" s="1412" t="str">
        <f>B16</f>
        <v>公共配套设施</v>
      </c>
      <c r="R16" s="556" t="s">
        <v>17</v>
      </c>
      <c r="S16" s="557">
        <f>F16</f>
        <v>100</v>
      </c>
      <c r="T16" s="556" t="s">
        <v>17</v>
      </c>
      <c r="U16" s="557">
        <f>H16</f>
        <v>100</v>
      </c>
      <c r="V16" s="556" t="s">
        <v>17</v>
      </c>
      <c r="W16" s="557">
        <f>J16</f>
        <v>100</v>
      </c>
      <c r="X16" s="1415"/>
      <c r="Y16" s="3942"/>
      <c r="Z16" s="1416" t="str">
        <f>Q16</f>
        <v>公共配套设施</v>
      </c>
      <c r="AA16" s="1413">
        <f t="shared" si="3"/>
        <v>1</v>
      </c>
      <c r="AB16" s="1413">
        <f t="shared" si="4"/>
        <v>1</v>
      </c>
      <c r="AC16" s="1413">
        <f t="shared" si="5"/>
        <v>1</v>
      </c>
    </row>
    <row r="17" spans="1:29" ht="15">
      <c r="A17" s="228"/>
      <c r="B17" s="452"/>
      <c r="C17" s="1813"/>
      <c r="D17" s="271"/>
      <c r="E17" s="270"/>
      <c r="F17" s="272"/>
      <c r="G17" s="270"/>
      <c r="H17" s="271"/>
      <c r="I17" s="270"/>
      <c r="J17" s="271"/>
      <c r="K17" s="438"/>
      <c r="L17" s="885"/>
      <c r="M17" s="876"/>
      <c r="N17" s="876"/>
      <c r="O17" s="876"/>
      <c r="P17" s="3942"/>
      <c r="Q17" s="1412"/>
      <c r="R17" s="556"/>
      <c r="S17" s="557"/>
      <c r="T17" s="556"/>
      <c r="U17" s="557"/>
      <c r="V17" s="556"/>
      <c r="W17" s="557"/>
      <c r="X17" s="1415"/>
      <c r="Y17" s="3942"/>
      <c r="Z17" s="1416"/>
      <c r="AA17" s="1413">
        <v>1</v>
      </c>
      <c r="AB17" s="1413">
        <v>1</v>
      </c>
      <c r="AC17" s="1413">
        <v>1</v>
      </c>
    </row>
    <row r="18" spans="1:29" ht="28.5">
      <c r="A18" s="228"/>
      <c r="B18" s="453" t="s">
        <v>2695</v>
      </c>
      <c r="C18" s="1812" t="str">
        <f>IF(B1="工业",估价对象房地状况!G6,估价对象房地状况!C8)</f>
        <v>估价对象所在区域基础设施水平</v>
      </c>
      <c r="D18" s="273">
        <v>100</v>
      </c>
      <c r="E18" s="275"/>
      <c r="F18" s="281">
        <f>SUMIF(67:67,E19,68:68)-SUMIF(67:67,C19,68:68)+100</f>
        <v>100</v>
      </c>
      <c r="G18" s="277"/>
      <c r="H18" s="278">
        <f>SUMIF(67:67,G19,68:68)-SUMIF(67:67,C19,68:68)+100</f>
        <v>100</v>
      </c>
      <c r="I18" s="275"/>
      <c r="J18" s="278">
        <f>SUMIF(67:67,I19,68:68)-SUMIF(67:67,C19,68:68)+100</f>
        <v>100</v>
      </c>
      <c r="K18" s="437"/>
      <c r="L18" s="885"/>
      <c r="M18" s="876"/>
      <c r="N18" s="876"/>
      <c r="O18" s="876"/>
      <c r="P18" s="3942"/>
      <c r="Q18" s="1412" t="str">
        <f>B18</f>
        <v>基础设施水平</v>
      </c>
      <c r="R18" s="556" t="s">
        <v>17</v>
      </c>
      <c r="S18" s="557">
        <f>F18</f>
        <v>100</v>
      </c>
      <c r="T18" s="556" t="s">
        <v>17</v>
      </c>
      <c r="U18" s="557">
        <f>H18</f>
        <v>100</v>
      </c>
      <c r="V18" s="556" t="s">
        <v>17</v>
      </c>
      <c r="W18" s="557">
        <f>J18</f>
        <v>100</v>
      </c>
      <c r="X18" s="1415"/>
      <c r="Y18" s="3942"/>
      <c r="Z18" s="1416" t="str">
        <f>Q18</f>
        <v>基础设施水平</v>
      </c>
      <c r="AA18" s="1413">
        <f t="shared" ref="AA18" si="8">D18/F18</f>
        <v>1</v>
      </c>
      <c r="AB18" s="1413">
        <f t="shared" ref="AB18" si="9">D18/H18</f>
        <v>1</v>
      </c>
      <c r="AC18" s="1413">
        <f t="shared" ref="AC18" si="10">D18/J18</f>
        <v>1</v>
      </c>
    </row>
    <row r="19" spans="1:29" ht="15">
      <c r="A19" s="228"/>
      <c r="B19" s="453"/>
      <c r="C19" s="1813"/>
      <c r="D19" s="273"/>
      <c r="E19" s="1813"/>
      <c r="F19" s="276"/>
      <c r="G19" s="1813"/>
      <c r="H19" s="271"/>
      <c r="I19" s="270"/>
      <c r="J19" s="271"/>
      <c r="K19" s="1060"/>
      <c r="L19" s="885"/>
      <c r="M19" s="876"/>
      <c r="N19" s="876"/>
      <c r="O19" s="876"/>
      <c r="P19" s="3942"/>
      <c r="Q19" s="1412"/>
      <c r="R19" s="556"/>
      <c r="S19" s="557"/>
      <c r="T19" s="556"/>
      <c r="U19" s="557"/>
      <c r="V19" s="556"/>
      <c r="W19" s="557"/>
      <c r="X19" s="1415"/>
      <c r="Y19" s="3942"/>
      <c r="Z19" s="1416"/>
      <c r="AA19" s="1413">
        <v>1</v>
      </c>
      <c r="AB19" s="1413">
        <v>1</v>
      </c>
      <c r="AC19" s="1413">
        <v>1</v>
      </c>
    </row>
    <row r="20" spans="1:29" ht="57">
      <c r="A20" s="228"/>
      <c r="B20" s="451" t="s">
        <v>2716</v>
      </c>
      <c r="C20" s="1812" t="str">
        <f>IF(B1="工业",估价对象房地状况!G7,估价对象房地状况!C9)</f>
        <v>区域自然环境：；人文环境；综合评价环境状况一般</v>
      </c>
      <c r="D20" s="278">
        <v>100</v>
      </c>
      <c r="E20" s="280"/>
      <c r="F20" s="281">
        <f>SUMIF(69:69,E21,70:70)-SUMIF(69:69,C21,70:70)+100</f>
        <v>100</v>
      </c>
      <c r="G20" s="282"/>
      <c r="H20" s="273">
        <f>SUMIF(69:69,G21,70:70)-SUMIF(69:69,C21,70:70)+100</f>
        <v>100</v>
      </c>
      <c r="I20" s="275"/>
      <c r="J20" s="273">
        <f>SUMIF(69:69,I21,70:70)-SUMIF(69:69,C21,70:70)+100</f>
        <v>100</v>
      </c>
      <c r="K20" s="437"/>
      <c r="L20" s="885"/>
      <c r="M20" s="876"/>
      <c r="N20" s="876"/>
      <c r="O20" s="876"/>
      <c r="P20" s="3942"/>
      <c r="Q20" s="1412" t="str">
        <f>B20</f>
        <v>自然及人文环境</v>
      </c>
      <c r="R20" s="556" t="s">
        <v>17</v>
      </c>
      <c r="S20" s="557">
        <f>F20</f>
        <v>100</v>
      </c>
      <c r="T20" s="556" t="s">
        <v>17</v>
      </c>
      <c r="U20" s="557">
        <f>H20</f>
        <v>100</v>
      </c>
      <c r="V20" s="556" t="s">
        <v>17</v>
      </c>
      <c r="W20" s="557">
        <f>J20</f>
        <v>100</v>
      </c>
      <c r="X20" s="1415"/>
      <c r="Y20" s="3942"/>
      <c r="Z20" s="1416" t="str">
        <f>Q20</f>
        <v>自然及人文环境</v>
      </c>
      <c r="AA20" s="1413">
        <f t="shared" si="3"/>
        <v>1</v>
      </c>
      <c r="AB20" s="1413">
        <f t="shared" si="4"/>
        <v>1</v>
      </c>
      <c r="AC20" s="1413">
        <f t="shared" si="5"/>
        <v>1</v>
      </c>
    </row>
    <row r="21" spans="1:29" ht="15">
      <c r="A21" s="228"/>
      <c r="B21" s="452"/>
      <c r="C21" s="270"/>
      <c r="D21" s="271"/>
      <c r="E21" s="270"/>
      <c r="F21" s="272"/>
      <c r="G21" s="270"/>
      <c r="H21" s="271"/>
      <c r="I21" s="270"/>
      <c r="J21" s="271"/>
      <c r="K21" s="438"/>
      <c r="L21" s="885"/>
      <c r="M21" s="876"/>
      <c r="N21" s="876"/>
      <c r="O21" s="876"/>
      <c r="P21" s="3942"/>
      <c r="Q21" s="1412"/>
      <c r="R21" s="556"/>
      <c r="S21" s="557"/>
      <c r="T21" s="556"/>
      <c r="U21" s="557"/>
      <c r="V21" s="556"/>
      <c r="W21" s="557"/>
      <c r="X21" s="1415"/>
      <c r="Y21" s="3942"/>
      <c r="Z21" s="1416"/>
      <c r="AA21" s="1413">
        <v>1</v>
      </c>
      <c r="AB21" s="1413">
        <v>1</v>
      </c>
      <c r="AC21" s="1413">
        <v>1</v>
      </c>
    </row>
    <row r="22" spans="1:29" ht="15">
      <c r="A22" s="228"/>
      <c r="B22" s="451" t="s">
        <v>2717</v>
      </c>
      <c r="C22" s="439"/>
      <c r="D22" s="273">
        <v>100</v>
      </c>
      <c r="E22" s="439"/>
      <c r="F22" s="284">
        <f>SUMIF(71:71,E22,72:72)-SUMIF(71:71,C22,72:72)+100</f>
        <v>100</v>
      </c>
      <c r="G22" s="439"/>
      <c r="H22" s="258">
        <f>SUMIF(71:71,G22,72:72)-SUMIF(71:71,C22,72:72)+100</f>
        <v>100</v>
      </c>
      <c r="I22" s="439"/>
      <c r="J22" s="258">
        <f>SUMIF(71:71,I22,72:72)-SUMIF(71:71,C22,72:72)+100</f>
        <v>100</v>
      </c>
      <c r="K22" s="435"/>
      <c r="L22" s="885"/>
      <c r="M22" s="876"/>
      <c r="N22" s="876"/>
      <c r="O22" s="876"/>
      <c r="P22" s="3942"/>
      <c r="Q22" s="1412" t="str">
        <f>B22</f>
        <v>楼层</v>
      </c>
      <c r="R22" s="556" t="s">
        <v>17</v>
      </c>
      <c r="S22" s="557">
        <f>F22</f>
        <v>100</v>
      </c>
      <c r="T22" s="556" t="s">
        <v>17</v>
      </c>
      <c r="U22" s="557">
        <f>H22</f>
        <v>100</v>
      </c>
      <c r="V22" s="556" t="s">
        <v>17</v>
      </c>
      <c r="W22" s="557">
        <f>J22</f>
        <v>100</v>
      </c>
      <c r="X22" s="1415"/>
      <c r="Y22" s="3942"/>
      <c r="Z22" s="1416" t="str">
        <f>Q22</f>
        <v>楼层</v>
      </c>
      <c r="AA22" s="1413">
        <f t="shared" si="3"/>
        <v>1</v>
      </c>
      <c r="AB22" s="1413">
        <f t="shared" si="4"/>
        <v>1</v>
      </c>
      <c r="AC22" s="1413">
        <f t="shared" si="5"/>
        <v>1</v>
      </c>
    </row>
    <row r="23" spans="1:29" ht="15">
      <c r="A23" s="228"/>
      <c r="B23" s="468">
        <v>111</v>
      </c>
      <c r="C23" s="255"/>
      <c r="D23" s="258">
        <v>100</v>
      </c>
      <c r="E23" s="255"/>
      <c r="F23" s="284">
        <f>SUMIF(73:73,E23,74:74)-SUMIF(73:73,C23,74:74)+100</f>
        <v>100</v>
      </c>
      <c r="G23" s="255"/>
      <c r="H23" s="258">
        <f>SUMIF(73:73,G23,74:74)-SUMIF(73:73,C23,74:74)+100</f>
        <v>100</v>
      </c>
      <c r="I23" s="255"/>
      <c r="J23" s="258">
        <f>SUMIF(73:73,I23,74:74)-SUMIF(73:73,C23,74:74)+100</f>
        <v>100</v>
      </c>
      <c r="K23" s="436"/>
      <c r="L23" s="885"/>
      <c r="M23" s="876"/>
      <c r="N23" s="876"/>
      <c r="O23" s="876"/>
      <c r="P23" s="3942"/>
      <c r="Q23" s="1412">
        <f>B23</f>
        <v>111</v>
      </c>
      <c r="R23" s="556" t="s">
        <v>17</v>
      </c>
      <c r="S23" s="557">
        <f>F23</f>
        <v>100</v>
      </c>
      <c r="T23" s="556" t="s">
        <v>17</v>
      </c>
      <c r="U23" s="557">
        <f>H23</f>
        <v>100</v>
      </c>
      <c r="V23" s="556" t="s">
        <v>17</v>
      </c>
      <c r="W23" s="557">
        <f>J23</f>
        <v>100</v>
      </c>
      <c r="X23" s="1415"/>
      <c r="Y23" s="3942"/>
      <c r="Z23" s="1416">
        <f>Q23</f>
        <v>111</v>
      </c>
      <c r="AA23" s="1413">
        <f t="shared" si="3"/>
        <v>1</v>
      </c>
      <c r="AB23" s="1413">
        <f t="shared" si="4"/>
        <v>1</v>
      </c>
      <c r="AC23" s="1413">
        <f t="shared" si="5"/>
        <v>1</v>
      </c>
    </row>
    <row r="24" spans="1:29" ht="15">
      <c r="A24" s="228"/>
      <c r="B24" s="468">
        <v>111</v>
      </c>
      <c r="C24" s="255"/>
      <c r="D24" s="258">
        <v>100</v>
      </c>
      <c r="E24" s="255"/>
      <c r="F24" s="284">
        <f>SUMIF(75:75,E24,76:76)-SUMIF(75:75,C24,76:76)+100</f>
        <v>100</v>
      </c>
      <c r="G24" s="255"/>
      <c r="H24" s="258">
        <f>SUMIF(75:75,G24,76:76)-SUMIF(75:75,C24,76:76)+100</f>
        <v>100</v>
      </c>
      <c r="I24" s="255"/>
      <c r="J24" s="258">
        <f>SUMIF(75:75,I24,76:76)-SUMIF(75:75,C24,76:76)+100</f>
        <v>100</v>
      </c>
      <c r="K24" s="436"/>
      <c r="L24" s="885"/>
      <c r="M24" s="876"/>
      <c r="N24" s="876"/>
      <c r="O24" s="876"/>
      <c r="P24" s="3942"/>
      <c r="Q24" s="1412">
        <f t="shared" ref="Q24:Q36" si="11">B24</f>
        <v>111</v>
      </c>
      <c r="R24" s="556" t="s">
        <v>17</v>
      </c>
      <c r="S24" s="557">
        <f>F24</f>
        <v>100</v>
      </c>
      <c r="T24" s="556" t="s">
        <v>17</v>
      </c>
      <c r="U24" s="557">
        <f>H24</f>
        <v>100</v>
      </c>
      <c r="V24" s="556" t="s">
        <v>17</v>
      </c>
      <c r="W24" s="557">
        <f>J24</f>
        <v>100</v>
      </c>
      <c r="X24" s="1415"/>
      <c r="Y24" s="3942"/>
      <c r="Z24" s="1416">
        <f>Q24</f>
        <v>111</v>
      </c>
      <c r="AA24" s="1413">
        <f t="shared" si="3"/>
        <v>1</v>
      </c>
      <c r="AB24" s="1413">
        <f t="shared" si="4"/>
        <v>1</v>
      </c>
      <c r="AC24" s="1413">
        <f t="shared" si="5"/>
        <v>1</v>
      </c>
    </row>
    <row r="25" spans="1:29" s="51" customFormat="1" ht="15.75" thickBot="1">
      <c r="A25" s="469"/>
      <c r="B25" s="455">
        <v>111</v>
      </c>
      <c r="C25" s="260"/>
      <c r="D25" s="470">
        <v>100</v>
      </c>
      <c r="E25" s="448"/>
      <c r="F25" s="471">
        <f>SUMIF(77:77,E25,78:78)-SUMIF(77:77,C25,78:78)+100</f>
        <v>100</v>
      </c>
      <c r="G25" s="448"/>
      <c r="H25" s="470">
        <f>SUMIF(77:77,G25,78:78)-SUMIF(77:77,C25,78:78)+100</f>
        <v>100</v>
      </c>
      <c r="I25" s="448"/>
      <c r="J25" s="470">
        <f>SUMIF(77:77,I25,78:78)-SUMIF(77:77,C25,78:78)+100</f>
        <v>100</v>
      </c>
      <c r="K25" s="436"/>
      <c r="L25" s="877"/>
      <c r="M25" s="878"/>
      <c r="N25" s="878"/>
      <c r="O25" s="878"/>
      <c r="P25" s="3942"/>
      <c r="Q25" s="1403">
        <f t="shared" si="11"/>
        <v>111</v>
      </c>
      <c r="R25" s="552" t="s">
        <v>17</v>
      </c>
      <c r="S25" s="553">
        <f>F25</f>
        <v>100</v>
      </c>
      <c r="T25" s="552" t="s">
        <v>17</v>
      </c>
      <c r="U25" s="553">
        <f>H25</f>
        <v>100</v>
      </c>
      <c r="V25" s="552" t="s">
        <v>17</v>
      </c>
      <c r="W25" s="553">
        <f>J25</f>
        <v>100</v>
      </c>
      <c r="X25" s="554"/>
      <c r="Y25" s="3942"/>
      <c r="Z25" s="40">
        <f>Q25</f>
        <v>111</v>
      </c>
      <c r="AA25" s="1413">
        <f>D25/F25</f>
        <v>1</v>
      </c>
      <c r="AB25" s="1413">
        <f>D25/H25</f>
        <v>1</v>
      </c>
      <c r="AC25" s="1413">
        <f>D25/J25</f>
        <v>1</v>
      </c>
    </row>
    <row r="26" spans="1:29" ht="15">
      <c r="A26" s="472" t="s">
        <v>2569</v>
      </c>
      <c r="B26" s="44" t="s">
        <v>2718</v>
      </c>
      <c r="C26" s="1890">
        <f>B1</f>
        <v>0</v>
      </c>
      <c r="D26" s="271">
        <v>100</v>
      </c>
      <c r="E26" s="270"/>
      <c r="F26" s="272">
        <f>SUMIF(79:79,E26,80:80)-SUMIF(79:79,C26,80:80)+100</f>
        <v>100</v>
      </c>
      <c r="G26" s="270"/>
      <c r="H26" s="271">
        <f>SUMIF(79:79,G26,80:80)-SUMIF(79:79,C26,80:80)+100</f>
        <v>100</v>
      </c>
      <c r="I26" s="270"/>
      <c r="J26" s="271">
        <f>SUMIF(79:79,I26,80:80)-SUMIF(79:79,C26,80:80)+100</f>
        <v>100</v>
      </c>
      <c r="K26" s="435"/>
      <c r="L26" s="885"/>
      <c r="M26" s="876"/>
      <c r="N26" s="876"/>
      <c r="O26" s="876"/>
      <c r="P26" s="3970" t="s">
        <v>2571</v>
      </c>
      <c r="Q26" s="1412" t="str">
        <f t="shared" si="11"/>
        <v>配套类型</v>
      </c>
      <c r="R26" s="556" t="s">
        <v>17</v>
      </c>
      <c r="S26" s="557">
        <f t="shared" ref="S26:S36" si="12">F26</f>
        <v>100</v>
      </c>
      <c r="T26" s="556" t="s">
        <v>17</v>
      </c>
      <c r="U26" s="557">
        <f t="shared" ref="U26:U36" si="13">H26</f>
        <v>100</v>
      </c>
      <c r="V26" s="556" t="s">
        <v>17</v>
      </c>
      <c r="W26" s="557">
        <f t="shared" ref="W26:W36" si="14">J26</f>
        <v>100</v>
      </c>
      <c r="X26" s="1415"/>
      <c r="Y26" s="3946" t="s">
        <v>2571</v>
      </c>
      <c r="Z26" s="1416" t="str">
        <f t="shared" ref="Z26:Z36" si="15">Q26</f>
        <v>配套类型</v>
      </c>
      <c r="AA26" s="1413">
        <f t="shared" si="3"/>
        <v>1</v>
      </c>
      <c r="AB26" s="1413">
        <f t="shared" si="4"/>
        <v>1</v>
      </c>
      <c r="AC26" s="1413">
        <f t="shared" si="5"/>
        <v>1</v>
      </c>
    </row>
    <row r="27" spans="1:29" s="294" customFormat="1" ht="15">
      <c r="A27" s="473"/>
      <c r="B27" s="474" t="s">
        <v>2719</v>
      </c>
      <c r="C27" s="475"/>
      <c r="D27" s="53">
        <v>100</v>
      </c>
      <c r="E27" s="475"/>
      <c r="F27" s="284">
        <f>SUMIF(81:81,E27,82:82)-SUMIF(81:81,C27,82:82)+100</f>
        <v>100</v>
      </c>
      <c r="G27" s="475"/>
      <c r="H27" s="258">
        <f>SUMIF(81:81,G27,82:82)-SUMIF(81:81,C27,82:82)+100</f>
        <v>100</v>
      </c>
      <c r="I27" s="475"/>
      <c r="J27" s="258">
        <f>SUMIF(81:81,I27,82:82)-SUMIF(81:81,C27,82:82)+100</f>
        <v>100</v>
      </c>
      <c r="K27" s="436"/>
      <c r="L27" s="883"/>
      <c r="M27" s="886"/>
      <c r="N27" s="886"/>
      <c r="O27" s="886"/>
      <c r="P27" s="3946"/>
      <c r="Q27" s="558" t="str">
        <f t="shared" si="11"/>
        <v>项目停车位配比</v>
      </c>
      <c r="R27" s="559" t="s">
        <v>17</v>
      </c>
      <c r="S27" s="560">
        <f t="shared" si="12"/>
        <v>100</v>
      </c>
      <c r="T27" s="559" t="s">
        <v>17</v>
      </c>
      <c r="U27" s="560">
        <f t="shared" si="13"/>
        <v>100</v>
      </c>
      <c r="V27" s="559" t="s">
        <v>17</v>
      </c>
      <c r="W27" s="560">
        <f t="shared" si="14"/>
        <v>100</v>
      </c>
      <c r="X27" s="561"/>
      <c r="Y27" s="3946"/>
      <c r="Z27" s="562" t="str">
        <f t="shared" si="15"/>
        <v>项目停车位配比</v>
      </c>
      <c r="AA27" s="1413">
        <f t="shared" si="3"/>
        <v>1</v>
      </c>
      <c r="AB27" s="1413">
        <f t="shared" si="4"/>
        <v>1</v>
      </c>
      <c r="AC27" s="1413">
        <f t="shared" si="5"/>
        <v>1</v>
      </c>
    </row>
    <row r="28" spans="1:29" ht="15">
      <c r="A28" s="476"/>
      <c r="B28" s="474" t="s">
        <v>2720</v>
      </c>
      <c r="C28" s="283"/>
      <c r="D28" s="258">
        <v>100</v>
      </c>
      <c r="E28" s="283"/>
      <c r="F28" s="284">
        <f>SUMIF(83:83,E28,84:84)-SUMIF(83:83,C28,84:84)+100</f>
        <v>100</v>
      </c>
      <c r="G28" s="283"/>
      <c r="H28" s="258">
        <f>SUMIF(83:83,G28,84:84)-SUMIF(83:83,C28,84:84)+100</f>
        <v>100</v>
      </c>
      <c r="I28" s="283"/>
      <c r="J28" s="258">
        <f>SUMIF(83:83,I28,84:84)-SUMIF(83:83,C28,84:84)+100</f>
        <v>100</v>
      </c>
      <c r="K28" s="435"/>
      <c r="L28" s="885"/>
      <c r="M28" s="876"/>
      <c r="N28" s="876"/>
      <c r="O28" s="876"/>
      <c r="P28" s="3946"/>
      <c r="Q28" s="1412" t="str">
        <f t="shared" si="11"/>
        <v>公共部分装修</v>
      </c>
      <c r="R28" s="556" t="s">
        <v>17</v>
      </c>
      <c r="S28" s="557">
        <f t="shared" si="12"/>
        <v>100</v>
      </c>
      <c r="T28" s="556" t="s">
        <v>17</v>
      </c>
      <c r="U28" s="557">
        <f t="shared" si="13"/>
        <v>100</v>
      </c>
      <c r="V28" s="556" t="s">
        <v>17</v>
      </c>
      <c r="W28" s="557">
        <f t="shared" si="14"/>
        <v>100</v>
      </c>
      <c r="X28" s="1415"/>
      <c r="Y28" s="3946"/>
      <c r="Z28" s="1416" t="str">
        <f t="shared" si="15"/>
        <v>公共部分装修</v>
      </c>
      <c r="AA28" s="1413">
        <f t="shared" si="3"/>
        <v>1</v>
      </c>
      <c r="AB28" s="1413">
        <f t="shared" si="4"/>
        <v>1</v>
      </c>
      <c r="AC28" s="1413">
        <f t="shared" si="5"/>
        <v>1</v>
      </c>
    </row>
    <row r="29" spans="1:29" ht="15">
      <c r="A29" s="476"/>
      <c r="B29" s="474" t="s">
        <v>2721</v>
      </c>
      <c r="C29" s="292"/>
      <c r="D29" s="258">
        <v>100</v>
      </c>
      <c r="E29" s="297"/>
      <c r="F29" s="284" t="e">
        <f>LOOKUP(E29,86:86,87:87)-LOOKUP(C29,86:86,87:87)+100</f>
        <v>#N/A</v>
      </c>
      <c r="G29" s="297"/>
      <c r="H29" s="284" t="e">
        <f>LOOKUP(G29,86:86,87:87)-LOOKUP(C29,86:86,87:87)+100</f>
        <v>#N/A</v>
      </c>
      <c r="I29" s="297"/>
      <c r="J29" s="258" t="e">
        <f>LOOKUP(I29,86:86,87:87)-LOOKUP(C29,86:86,87:87)+100</f>
        <v>#N/A</v>
      </c>
      <c r="K29" s="435"/>
      <c r="L29" s="885"/>
      <c r="M29" s="876"/>
      <c r="N29" s="876"/>
      <c r="O29" s="876"/>
      <c r="P29" s="3946"/>
      <c r="Q29" s="1412" t="str">
        <f t="shared" si="11"/>
        <v>成新率</v>
      </c>
      <c r="R29" s="556" t="s">
        <v>17</v>
      </c>
      <c r="S29" s="557" t="e">
        <f t="shared" si="12"/>
        <v>#N/A</v>
      </c>
      <c r="T29" s="556" t="s">
        <v>17</v>
      </c>
      <c r="U29" s="557" t="e">
        <f t="shared" si="13"/>
        <v>#N/A</v>
      </c>
      <c r="V29" s="556" t="s">
        <v>17</v>
      </c>
      <c r="W29" s="557" t="e">
        <f t="shared" si="14"/>
        <v>#N/A</v>
      </c>
      <c r="X29" s="1415"/>
      <c r="Y29" s="3946"/>
      <c r="Z29" s="1416" t="str">
        <f t="shared" si="15"/>
        <v>成新率</v>
      </c>
      <c r="AA29" s="1413" t="e">
        <f t="shared" si="3"/>
        <v>#N/A</v>
      </c>
      <c r="AB29" s="1413" t="e">
        <f t="shared" si="4"/>
        <v>#N/A</v>
      </c>
      <c r="AC29" s="1413" t="e">
        <f t="shared" si="5"/>
        <v>#N/A</v>
      </c>
    </row>
    <row r="30" spans="1:29" ht="15">
      <c r="A30" s="476"/>
      <c r="B30" s="474" t="s">
        <v>2722</v>
      </c>
      <c r="C30" s="477"/>
      <c r="D30" s="258">
        <v>100</v>
      </c>
      <c r="E30" s="477"/>
      <c r="F30" s="284">
        <f>SUMIF(88:88,E30,89:89)-SUMIF(88:88,C30,89:89)+100</f>
        <v>100</v>
      </c>
      <c r="G30" s="477"/>
      <c r="H30" s="258">
        <f>SUMIF(88:88,E30,89:89)-SUMIF(88:88,C30,89:89)+100</f>
        <v>100</v>
      </c>
      <c r="I30" s="477"/>
      <c r="J30" s="258">
        <f>SUMIF(88:88,E30,89:89)-SUMIF(88:88,C30,89:89)+100</f>
        <v>100</v>
      </c>
      <c r="K30" s="435"/>
      <c r="L30" s="885"/>
      <c r="M30" s="876"/>
      <c r="N30" s="876"/>
      <c r="O30" s="876"/>
      <c r="P30" s="3946"/>
      <c r="Q30" s="1412" t="str">
        <f t="shared" si="11"/>
        <v>物业等级</v>
      </c>
      <c r="R30" s="556" t="s">
        <v>17</v>
      </c>
      <c r="S30" s="557">
        <f t="shared" si="12"/>
        <v>100</v>
      </c>
      <c r="T30" s="556" t="s">
        <v>17</v>
      </c>
      <c r="U30" s="557">
        <f t="shared" si="13"/>
        <v>100</v>
      </c>
      <c r="V30" s="556" t="s">
        <v>17</v>
      </c>
      <c r="W30" s="557">
        <f t="shared" si="14"/>
        <v>100</v>
      </c>
      <c r="X30" s="1415"/>
      <c r="Y30" s="3946"/>
      <c r="Z30" s="1416" t="str">
        <f t="shared" si="15"/>
        <v>物业等级</v>
      </c>
      <c r="AA30" s="1413">
        <f t="shared" si="3"/>
        <v>1</v>
      </c>
      <c r="AB30" s="1413">
        <f t="shared" si="4"/>
        <v>1</v>
      </c>
      <c r="AC30" s="1413">
        <f t="shared" si="5"/>
        <v>1</v>
      </c>
    </row>
    <row r="31" spans="1:29" s="51" customFormat="1" ht="15">
      <c r="A31" s="478"/>
      <c r="B31" s="474" t="s">
        <v>2723</v>
      </c>
      <c r="C31" s="292"/>
      <c r="D31" s="53">
        <v>100</v>
      </c>
      <c r="E31" s="292"/>
      <c r="F31" s="284" t="e">
        <f>LOOKUP(E31,91:91,92:92)-LOOKUP(C31,91:91,92:92)+100</f>
        <v>#N/A</v>
      </c>
      <c r="G31" s="292"/>
      <c r="H31" s="258" t="e">
        <f>LOOKUP(G31,91:91,92:92)-LOOKUP(C31,91:91,92:92)+100</f>
        <v>#N/A</v>
      </c>
      <c r="I31" s="292"/>
      <c r="J31" s="258" t="e">
        <f>LOOKUP(I31,91:91,92:92)-LOOKUP(C31,91:91,92:92)+100</f>
        <v>#N/A</v>
      </c>
      <c r="K31" s="435"/>
      <c r="L31" s="877"/>
      <c r="M31" s="878"/>
      <c r="N31" s="878"/>
      <c r="O31" s="878"/>
      <c r="P31" s="3946"/>
      <c r="Q31" s="1403" t="str">
        <f t="shared" si="11"/>
        <v>停车位面积</v>
      </c>
      <c r="R31" s="552" t="s">
        <v>17</v>
      </c>
      <c r="S31" s="553" t="e">
        <f t="shared" si="12"/>
        <v>#N/A</v>
      </c>
      <c r="T31" s="552" t="s">
        <v>17</v>
      </c>
      <c r="U31" s="553" t="e">
        <f t="shared" si="13"/>
        <v>#N/A</v>
      </c>
      <c r="V31" s="552" t="s">
        <v>17</v>
      </c>
      <c r="W31" s="553" t="e">
        <f t="shared" si="14"/>
        <v>#N/A</v>
      </c>
      <c r="X31" s="554"/>
      <c r="Y31" s="3946"/>
      <c r="Z31" s="40" t="str">
        <f t="shared" si="15"/>
        <v>停车位面积</v>
      </c>
      <c r="AA31" s="555" t="e">
        <f t="shared" si="3"/>
        <v>#N/A</v>
      </c>
      <c r="AB31" s="555" t="e">
        <f t="shared" si="4"/>
        <v>#N/A</v>
      </c>
      <c r="AC31" s="555" t="e">
        <f t="shared" si="5"/>
        <v>#N/A</v>
      </c>
    </row>
    <row r="32" spans="1:29" ht="15">
      <c r="A32" s="476"/>
      <c r="B32" s="474" t="s">
        <v>2724</v>
      </c>
      <c r="C32" s="283"/>
      <c r="D32" s="258">
        <v>100</v>
      </c>
      <c r="E32" s="283"/>
      <c r="F32" s="284">
        <f>SUMIF(93:93,E32,94:94)-SUMIF(93:93,C32,94:94)+100</f>
        <v>100</v>
      </c>
      <c r="G32" s="283"/>
      <c r="H32" s="258">
        <f>SUMIF(93:93,G32,94:94)-SUMIF(93:93,C32,94:94)+100</f>
        <v>100</v>
      </c>
      <c r="I32" s="283"/>
      <c r="J32" s="258">
        <f>SUMIF(93:93,I32,94:94)-SUMIF(93:93,C32,94:94)+100</f>
        <v>100</v>
      </c>
      <c r="K32" s="435"/>
      <c r="L32" s="885"/>
      <c r="M32" s="876"/>
      <c r="N32" s="876"/>
      <c r="O32" s="876"/>
      <c r="P32" s="3946" t="s">
        <v>2571</v>
      </c>
      <c r="Q32" s="1412" t="str">
        <f t="shared" si="11"/>
        <v>车位类型</v>
      </c>
      <c r="R32" s="556" t="s">
        <v>17</v>
      </c>
      <c r="S32" s="557">
        <f t="shared" si="12"/>
        <v>100</v>
      </c>
      <c r="T32" s="556" t="s">
        <v>17</v>
      </c>
      <c r="U32" s="557">
        <f t="shared" si="13"/>
        <v>100</v>
      </c>
      <c r="V32" s="556" t="s">
        <v>17</v>
      </c>
      <c r="W32" s="557">
        <f t="shared" si="14"/>
        <v>100</v>
      </c>
      <c r="X32" s="1415"/>
      <c r="Y32" s="3946" t="s">
        <v>2571</v>
      </c>
      <c r="Z32" s="1416" t="str">
        <f t="shared" si="15"/>
        <v>车位类型</v>
      </c>
      <c r="AA32" s="1413">
        <f t="shared" si="3"/>
        <v>1</v>
      </c>
      <c r="AB32" s="1413">
        <f t="shared" si="4"/>
        <v>1</v>
      </c>
      <c r="AC32" s="1413">
        <f t="shared" si="5"/>
        <v>1</v>
      </c>
    </row>
    <row r="33" spans="1:29" ht="15">
      <c r="A33" s="476"/>
      <c r="B33" s="474" t="s">
        <v>2725</v>
      </c>
      <c r="C33" s="283"/>
      <c r="D33" s="258">
        <v>100</v>
      </c>
      <c r="E33" s="283"/>
      <c r="F33" s="284">
        <f>SUMIF(95:95,E33,96:96)-SUMIF(95:95,C33,96:96)+100</f>
        <v>100</v>
      </c>
      <c r="G33" s="283"/>
      <c r="H33" s="258">
        <f>SUMIF(95:95,G33,96:96)-SUMIF(95:95,C33,96:96)+100</f>
        <v>100</v>
      </c>
      <c r="I33" s="283"/>
      <c r="J33" s="258">
        <f>SUMIF(95:95,I33,96:96)-SUMIF(95:95,C33,96:96)+100</f>
        <v>100</v>
      </c>
      <c r="K33" s="435"/>
      <c r="L33" s="885"/>
      <c r="M33" s="876"/>
      <c r="N33" s="876"/>
      <c r="O33" s="876"/>
      <c r="P33" s="3946"/>
      <c r="Q33" s="1412" t="str">
        <f t="shared" si="11"/>
        <v>是否直接入户</v>
      </c>
      <c r="R33" s="556" t="s">
        <v>17</v>
      </c>
      <c r="S33" s="557">
        <f t="shared" si="12"/>
        <v>100</v>
      </c>
      <c r="T33" s="556" t="s">
        <v>17</v>
      </c>
      <c r="U33" s="557">
        <f t="shared" si="13"/>
        <v>100</v>
      </c>
      <c r="V33" s="556" t="s">
        <v>17</v>
      </c>
      <c r="W33" s="557">
        <f t="shared" si="14"/>
        <v>100</v>
      </c>
      <c r="X33" s="1415"/>
      <c r="Y33" s="3946"/>
      <c r="Z33" s="1416" t="str">
        <f t="shared" si="15"/>
        <v>是否直接入户</v>
      </c>
      <c r="AA33" s="1413">
        <f t="shared" si="3"/>
        <v>1</v>
      </c>
      <c r="AB33" s="1413">
        <f t="shared" si="4"/>
        <v>1</v>
      </c>
      <c r="AC33" s="1413">
        <f t="shared" si="5"/>
        <v>1</v>
      </c>
    </row>
    <row r="34" spans="1:29" ht="15">
      <c r="A34" s="476"/>
      <c r="B34" s="468">
        <v>111</v>
      </c>
      <c r="C34" s="255"/>
      <c r="D34" s="258">
        <v>100</v>
      </c>
      <c r="E34" s="255"/>
      <c r="F34" s="284">
        <f>SUMIF(97:97,E34,98:98)-SUMIF(97:97,C34,98:98)+100</f>
        <v>100</v>
      </c>
      <c r="G34" s="255"/>
      <c r="H34" s="258">
        <f>SUMIF(97:97,G34,98:98)-SUMIF(97:97,C34,98:98)+100</f>
        <v>100</v>
      </c>
      <c r="I34" s="255"/>
      <c r="J34" s="258">
        <f>SUMIF(97:97,I34,98:98)-SUMIF(97:97,C34,98:98)+100</f>
        <v>100</v>
      </c>
      <c r="K34" s="436"/>
      <c r="L34" s="885"/>
      <c r="M34" s="876"/>
      <c r="N34" s="876"/>
      <c r="O34" s="876"/>
      <c r="P34" s="3946"/>
      <c r="Q34" s="1412">
        <f t="shared" si="11"/>
        <v>111</v>
      </c>
      <c r="R34" s="556" t="s">
        <v>17</v>
      </c>
      <c r="S34" s="557">
        <f t="shared" si="12"/>
        <v>100</v>
      </c>
      <c r="T34" s="556" t="s">
        <v>17</v>
      </c>
      <c r="U34" s="557">
        <f t="shared" si="13"/>
        <v>100</v>
      </c>
      <c r="V34" s="556" t="s">
        <v>17</v>
      </c>
      <c r="W34" s="557">
        <f t="shared" si="14"/>
        <v>100</v>
      </c>
      <c r="X34" s="1415"/>
      <c r="Y34" s="3946"/>
      <c r="Z34" s="1416">
        <f t="shared" si="15"/>
        <v>111</v>
      </c>
      <c r="AA34" s="1413">
        <f t="shared" si="3"/>
        <v>1</v>
      </c>
      <c r="AB34" s="1413">
        <f t="shared" si="4"/>
        <v>1</v>
      </c>
      <c r="AC34" s="1413">
        <f t="shared" si="5"/>
        <v>1</v>
      </c>
    </row>
    <row r="35" spans="1:29" s="294" customFormat="1" ht="15">
      <c r="A35" s="473"/>
      <c r="B35" s="468">
        <v>111</v>
      </c>
      <c r="C35" s="255"/>
      <c r="D35" s="258">
        <v>100</v>
      </c>
      <c r="E35" s="255"/>
      <c r="F35" s="284">
        <f>SUMIF(99:99,E35,100:100)-SUMIF(99:99,C35,100:100)+100</f>
        <v>100</v>
      </c>
      <c r="G35" s="255"/>
      <c r="H35" s="258">
        <f>SUMIF(99:99,G35,100:100)-SUMIF(99:99,C35,100:100)+100</f>
        <v>100</v>
      </c>
      <c r="I35" s="255"/>
      <c r="J35" s="258">
        <f>SUMIF(99:99,I35,100:100)-SUMIF(99:99,C35,100:100)+100</f>
        <v>100</v>
      </c>
      <c r="K35" s="436"/>
      <c r="L35" s="883"/>
      <c r="M35" s="886"/>
      <c r="N35" s="886"/>
      <c r="O35" s="886"/>
      <c r="P35" s="3946"/>
      <c r="Q35" s="558">
        <f t="shared" si="11"/>
        <v>111</v>
      </c>
      <c r="R35" s="559" t="s">
        <v>17</v>
      </c>
      <c r="S35" s="560">
        <f t="shared" si="12"/>
        <v>100</v>
      </c>
      <c r="T35" s="559" t="s">
        <v>17</v>
      </c>
      <c r="U35" s="560">
        <f t="shared" si="13"/>
        <v>100</v>
      </c>
      <c r="V35" s="559" t="s">
        <v>17</v>
      </c>
      <c r="W35" s="560">
        <f t="shared" si="14"/>
        <v>100</v>
      </c>
      <c r="X35" s="561"/>
      <c r="Y35" s="3946"/>
      <c r="Z35" s="562">
        <f t="shared" si="15"/>
        <v>111</v>
      </c>
      <c r="AA35" s="1413">
        <f t="shared" si="3"/>
        <v>1</v>
      </c>
      <c r="AB35" s="1413">
        <f t="shared" si="4"/>
        <v>1</v>
      </c>
      <c r="AC35" s="1413">
        <f t="shared" si="5"/>
        <v>1</v>
      </c>
    </row>
    <row r="36" spans="1:29" ht="15.75" thickBot="1">
      <c r="A36" s="479"/>
      <c r="B36" s="455">
        <v>111</v>
      </c>
      <c r="C36" s="257"/>
      <c r="D36" s="258">
        <v>100</v>
      </c>
      <c r="E36" s="255"/>
      <c r="F36" s="284">
        <f>SUMIF(101:101,E36,102:102)-SUMIF(101:101,C36,102:102)+100</f>
        <v>100</v>
      </c>
      <c r="G36" s="255"/>
      <c r="H36" s="258">
        <f>SUMIF(101:101,G36,102:102)-SUMIF(101:101,C36,102:102)+100</f>
        <v>100</v>
      </c>
      <c r="I36" s="255"/>
      <c r="J36" s="258">
        <f>SUMIF(101:101,I36,102:102)-SUMIF(101:101,C36,102:102)+100</f>
        <v>100</v>
      </c>
      <c r="K36" s="436"/>
      <c r="L36" s="885"/>
      <c r="M36" s="876"/>
      <c r="N36" s="876"/>
      <c r="O36" s="876"/>
      <c r="P36" s="3946"/>
      <c r="Q36" s="1412">
        <f t="shared" si="11"/>
        <v>111</v>
      </c>
      <c r="R36" s="556" t="s">
        <v>17</v>
      </c>
      <c r="S36" s="557">
        <f t="shared" si="12"/>
        <v>100</v>
      </c>
      <c r="T36" s="556" t="s">
        <v>17</v>
      </c>
      <c r="U36" s="557">
        <f t="shared" si="13"/>
        <v>100</v>
      </c>
      <c r="V36" s="556" t="s">
        <v>17</v>
      </c>
      <c r="W36" s="557">
        <f t="shared" si="14"/>
        <v>100</v>
      </c>
      <c r="X36" s="1415"/>
      <c r="Y36" s="3946"/>
      <c r="Z36" s="1416">
        <f t="shared" si="15"/>
        <v>111</v>
      </c>
      <c r="AA36" s="1413">
        <f t="shared" si="3"/>
        <v>1</v>
      </c>
      <c r="AB36" s="1413">
        <f t="shared" si="4"/>
        <v>1</v>
      </c>
      <c r="AC36" s="1413">
        <f t="shared" si="5"/>
        <v>1</v>
      </c>
    </row>
    <row r="37" spans="1:29" ht="15">
      <c r="A37" s="302" t="s">
        <v>2726</v>
      </c>
      <c r="B37" s="1891" t="s">
        <v>2727</v>
      </c>
      <c r="C37" s="1073" t="s">
        <v>1</v>
      </c>
      <c r="D37" s="1074"/>
      <c r="E37" s="1075"/>
      <c r="F37" s="1076"/>
      <c r="G37" s="1077"/>
      <c r="H37" s="1078"/>
      <c r="I37" s="1075"/>
      <c r="J37" s="1078"/>
      <c r="K37" s="440"/>
      <c r="L37" s="888"/>
      <c r="M37" s="889"/>
      <c r="N37" s="876"/>
      <c r="O37" s="889"/>
      <c r="P37" s="3939" t="str">
        <f>A37</f>
        <v>成交单价</v>
      </c>
      <c r="Q37" s="3939"/>
      <c r="R37" s="3940">
        <f>E37</f>
        <v>0</v>
      </c>
      <c r="S37" s="3940"/>
      <c r="T37" s="3940">
        <f>G37</f>
        <v>0</v>
      </c>
      <c r="U37" s="3940"/>
      <c r="V37" s="3940">
        <f>I37</f>
        <v>0</v>
      </c>
      <c r="W37" s="3940"/>
      <c r="X37" s="541"/>
      <c r="Y37" s="563"/>
      <c r="Z37" s="541"/>
      <c r="AA37" s="541"/>
      <c r="AB37" s="541"/>
      <c r="AC37" s="541"/>
    </row>
    <row r="38" spans="1:29" ht="15.75" thickBot="1">
      <c r="A38" s="309" t="s">
        <v>2728</v>
      </c>
      <c r="B38" s="310" t="str">
        <f>B37</f>
        <v>元/车位</v>
      </c>
      <c r="C38" s="1079" t="e">
        <f>R39</f>
        <v>#DIV/0!</v>
      </c>
      <c r="D38" s="1080"/>
      <c r="E38" s="1081" t="e">
        <f>R38</f>
        <v>#DIV/0!</v>
      </c>
      <c r="F38" s="1081"/>
      <c r="G38" s="1079" t="e">
        <f>T38</f>
        <v>#DIV/0!</v>
      </c>
      <c r="H38" s="1080"/>
      <c r="I38" s="1081" t="e">
        <f>V38</f>
        <v>#DIV/0!</v>
      </c>
      <c r="J38" s="1080"/>
      <c r="K38" s="441"/>
      <c r="L38" s="888"/>
      <c r="M38" s="889"/>
      <c r="N38" s="889"/>
      <c r="O38" s="889"/>
      <c r="P38" s="3939" t="str">
        <f>A38</f>
        <v>比较价值（元/平方米）</v>
      </c>
      <c r="Q38" s="3939"/>
      <c r="R38" s="3940" t="e">
        <f>IF(F1="售价",ROUND(PRODUCT(R37,AA7:AA36),0),ROUND(PRODUCT(R37,AA7:AA36),1))</f>
        <v>#DIV/0!</v>
      </c>
      <c r="S38" s="3940"/>
      <c r="T38" s="3940" t="e">
        <f>IF(F1="售价",ROUND(PRODUCT(T37,AB7:AB36),0),ROUND(PRODUCT(T37,AB7:AB36),1))</f>
        <v>#DIV/0!</v>
      </c>
      <c r="U38" s="3940"/>
      <c r="V38" s="3940" t="e">
        <f>IF(F1="售价",ROUND(PRODUCT(V37,AC7:AC36),0),ROUND(PRODUCT(V37,AC7:AC36),1))</f>
        <v>#DIV/0!</v>
      </c>
      <c r="W38" s="3940"/>
      <c r="X38" s="541"/>
      <c r="Y38" s="541"/>
      <c r="Z38" s="541"/>
      <c r="AA38" s="541"/>
      <c r="AB38" s="541"/>
      <c r="AC38" s="541"/>
    </row>
    <row r="39" spans="1:29" ht="15.75" thickBot="1">
      <c r="A39" s="315" t="s">
        <v>2729</v>
      </c>
      <c r="B39" s="316"/>
      <c r="C39" s="1083" t="e">
        <f>R39</f>
        <v>#DIV/0!</v>
      </c>
      <c r="D39" s="1083"/>
      <c r="E39" s="1083"/>
      <c r="F39" s="1083"/>
      <c r="G39" s="1083"/>
      <c r="H39" s="1083"/>
      <c r="I39" s="1083"/>
      <c r="J39" s="1083"/>
      <c r="K39" s="442"/>
      <c r="L39" s="888"/>
      <c r="M39" s="889"/>
      <c r="N39" s="889"/>
      <c r="O39" s="889"/>
      <c r="P39" s="3936" t="str">
        <f>A39</f>
        <v>估价对象XX用房的比较价值（楼面单价，元/平方米）</v>
      </c>
      <c r="Q39" s="3937"/>
      <c r="R39" s="3938" t="e">
        <f>IF(F1="售价",ROUND(AVERAGE(R38:V38),0),ROUND(AVERAGE(R38:V38),1))</f>
        <v>#DIV/0!</v>
      </c>
      <c r="S39" s="3938"/>
      <c r="T39" s="3938"/>
      <c r="U39" s="3938"/>
      <c r="V39" s="3938"/>
      <c r="W39" s="3938"/>
      <c r="X39" s="541"/>
      <c r="Y39" s="541"/>
      <c r="Z39" s="541"/>
      <c r="AA39" s="541"/>
      <c r="AB39" s="541"/>
      <c r="AC39" s="541"/>
    </row>
    <row r="40" spans="1:29">
      <c r="A40" s="889"/>
      <c r="B40" s="889"/>
      <c r="C40" s="889"/>
      <c r="D40" s="889"/>
      <c r="E40" s="889"/>
      <c r="F40" s="889"/>
      <c r="G40" s="892"/>
      <c r="H40" s="889"/>
      <c r="I40" s="889"/>
      <c r="J40" s="889"/>
      <c r="K40" s="858"/>
      <c r="L40" s="859"/>
      <c r="M40" s="889"/>
      <c r="N40" s="889"/>
      <c r="O40" s="889"/>
      <c r="P40" s="1086"/>
      <c r="Q40" s="889"/>
      <c r="R40" s="889"/>
      <c r="S40" s="889"/>
      <c r="T40" s="889"/>
      <c r="U40" s="889"/>
      <c r="V40" s="889"/>
      <c r="W40" s="889"/>
      <c r="X40" s="889"/>
      <c r="Y40" s="889"/>
      <c r="Z40" s="889"/>
      <c r="AA40" s="889"/>
      <c r="AB40" s="889"/>
      <c r="AC40" s="889"/>
    </row>
    <row r="41" spans="1:29">
      <c r="A41" s="889"/>
      <c r="B41" s="889"/>
      <c r="C41" s="889"/>
      <c r="D41" s="889"/>
      <c r="E41" s="889"/>
      <c r="F41" s="889"/>
      <c r="G41" s="889"/>
      <c r="H41" s="889"/>
      <c r="I41" s="889"/>
      <c r="J41" s="889"/>
      <c r="K41" s="858"/>
      <c r="L41" s="859"/>
      <c r="M41" s="889"/>
      <c r="N41" s="889"/>
      <c r="O41" s="889"/>
      <c r="P41" s="1086"/>
      <c r="Q41" s="889"/>
      <c r="R41" s="889"/>
      <c r="S41" s="889"/>
      <c r="T41" s="889"/>
      <c r="U41" s="889"/>
      <c r="V41" s="889"/>
      <c r="W41" s="889"/>
      <c r="X41" s="889"/>
      <c r="Y41" s="889"/>
      <c r="Z41" s="889"/>
      <c r="AA41" s="889"/>
      <c r="AB41" s="889"/>
      <c r="AC41" s="889"/>
    </row>
    <row r="42" spans="1:29" ht="13.5" customHeight="1">
      <c r="A42" s="889"/>
      <c r="B42" s="889"/>
      <c r="C42" s="320" t="s">
        <v>2730</v>
      </c>
      <c r="D42" s="321"/>
      <c r="E42" s="322" t="e">
        <f>IF(E37&lt;E38,E38/E37-1,E37/E38-1)</f>
        <v>#DIV/0!</v>
      </c>
      <c r="F42" s="323" t="e">
        <f>IF(OR(E42&gt;=0.3,E42&lt;=-0.3),"超过30%","")</f>
        <v>#DIV/0!</v>
      </c>
      <c r="G42" s="322" t="e">
        <f>IF(G37&lt;G38,G38/G37-1,G37/G38-1)</f>
        <v>#DIV/0!</v>
      </c>
      <c r="H42" s="323" t="e">
        <f>IF(OR(G42&gt;=0.3,G42&lt;=-0.3),"超过30%","")</f>
        <v>#DIV/0!</v>
      </c>
      <c r="I42" s="322" t="e">
        <f>IF(I37&lt;I38,I38/I37-1,I37/I38-1)</f>
        <v>#DIV/0!</v>
      </c>
      <c r="J42" s="323" t="e">
        <f>IF(OR(I42&gt;=0.3,I42&lt;=-0.3),"超过30%","")</f>
        <v>#DIV/0!</v>
      </c>
      <c r="K42" s="858"/>
      <c r="L42" s="859"/>
      <c r="M42" s="889"/>
      <c r="N42" s="889"/>
      <c r="O42" s="889"/>
      <c r="P42" s="1086"/>
      <c r="Q42" s="889"/>
      <c r="R42" s="889"/>
      <c r="S42" s="889"/>
      <c r="T42" s="889"/>
      <c r="U42" s="889"/>
      <c r="V42" s="889"/>
      <c r="W42" s="889"/>
      <c r="X42" s="889"/>
      <c r="Y42" s="889"/>
      <c r="Z42" s="889"/>
      <c r="AA42" s="889"/>
      <c r="AB42" s="889"/>
      <c r="AC42" s="889"/>
    </row>
    <row r="43" spans="1:29" ht="13.5" customHeight="1">
      <c r="A43" s="889"/>
      <c r="B43" s="889"/>
      <c r="C43" s="320" t="s">
        <v>2731</v>
      </c>
      <c r="D43" s="324"/>
      <c r="E43" s="322" t="e">
        <f>IF(E38&lt;G38,G38/E38-1,E38/G38-1)</f>
        <v>#DIV/0!</v>
      </c>
      <c r="F43" s="323" t="e">
        <f>IF(OR(E43&gt;=0.2,E43&lt;=-0.2),"超过20%","")</f>
        <v>#DIV/0!</v>
      </c>
      <c r="G43" s="322" t="e">
        <f>IF(G38&lt;I38,I38/G38-1,G38/I38-1)</f>
        <v>#DIV/0!</v>
      </c>
      <c r="H43" s="323" t="e">
        <f>IF(OR(G43&gt;=0.2,G43&lt;=-0.2),"超过20%","")</f>
        <v>#DIV/0!</v>
      </c>
      <c r="I43" s="322" t="e">
        <f>IF(I38&lt;E38,E38/I38-1,I38/E38-1)</f>
        <v>#DIV/0!</v>
      </c>
      <c r="J43" s="323" t="e">
        <f>IF(OR(I43&gt;=0.2,I43&lt;=-0.2),"超过20%","")</f>
        <v>#DIV/0!</v>
      </c>
      <c r="K43" s="858"/>
      <c r="L43" s="859"/>
      <c r="M43" s="889"/>
      <c r="N43" s="889"/>
      <c r="O43" s="889"/>
      <c r="P43" s="1086"/>
      <c r="Q43" s="889"/>
      <c r="R43" s="889"/>
      <c r="S43" s="889"/>
      <c r="T43" s="889"/>
      <c r="U43" s="889"/>
      <c r="V43" s="889"/>
      <c r="W43" s="889"/>
      <c r="X43" s="889"/>
      <c r="Y43" s="889"/>
      <c r="Z43" s="889"/>
      <c r="AA43" s="889"/>
      <c r="AB43" s="889"/>
      <c r="AC43" s="889"/>
    </row>
    <row r="44" spans="1:29" s="325" customFormat="1" ht="13.5" customHeight="1">
      <c r="A44" s="890"/>
      <c r="B44" s="890"/>
      <c r="C44" s="320" t="s">
        <v>2732</v>
      </c>
      <c r="D44" s="324"/>
      <c r="E44" s="322" t="e">
        <f>IF(E37&lt;G37,G37/E37-1,E37/G37-1)</f>
        <v>#DIV/0!</v>
      </c>
      <c r="F44" s="323" t="e">
        <f>IF(OR(E44&gt;=0.3,E44&lt;=-0.3),"超过30%","")</f>
        <v>#DIV/0!</v>
      </c>
      <c r="G44" s="322" t="e">
        <f>IF(G37&lt;I37,I37/G37-1,G37/I37-1)</f>
        <v>#DIV/0!</v>
      </c>
      <c r="H44" s="323" t="e">
        <f>IF(OR(G44&gt;=0.3,G44&lt;=-0.3),"超过30%","")</f>
        <v>#DIV/0!</v>
      </c>
      <c r="I44" s="322" t="e">
        <f>IF(I37&lt;E37,E37/I37-1,I37/E37-1)</f>
        <v>#DIV/0!</v>
      </c>
      <c r="J44" s="323" t="e">
        <f>IF(OR(I44&gt;=0.3,I44&lt;=-0.3),"超过30%","")</f>
        <v>#DIV/0!</v>
      </c>
      <c r="K44" s="893"/>
      <c r="L44" s="894"/>
      <c r="M44" s="890"/>
      <c r="N44" s="890"/>
      <c r="O44" s="890"/>
      <c r="P44" s="1087"/>
      <c r="Q44" s="890"/>
      <c r="R44" s="890"/>
      <c r="S44" s="890"/>
      <c r="T44" s="890"/>
      <c r="U44" s="890"/>
      <c r="V44" s="890"/>
      <c r="W44" s="890"/>
      <c r="X44" s="890"/>
      <c r="Y44" s="890"/>
      <c r="Z44" s="890"/>
      <c r="AA44" s="890"/>
      <c r="AB44" s="890"/>
      <c r="AC44" s="890"/>
    </row>
    <row r="45" spans="1:29" s="325" customFormat="1">
      <c r="A45" s="890"/>
      <c r="B45" s="891"/>
      <c r="C45" s="895"/>
      <c r="D45" s="890"/>
      <c r="E45" s="890"/>
      <c r="F45" s="890"/>
      <c r="G45" s="890"/>
      <c r="H45" s="890"/>
      <c r="I45" s="890"/>
      <c r="J45" s="890"/>
      <c r="K45" s="893"/>
      <c r="L45" s="894"/>
      <c r="M45" s="890"/>
      <c r="N45" s="890"/>
      <c r="O45" s="890"/>
      <c r="P45" s="1087"/>
      <c r="Q45" s="890"/>
      <c r="R45" s="890"/>
      <c r="S45" s="890"/>
      <c r="T45" s="890"/>
      <c r="U45" s="890"/>
      <c r="V45" s="890"/>
      <c r="W45" s="890"/>
      <c r="X45" s="890"/>
      <c r="Y45" s="890"/>
      <c r="Z45" s="890"/>
      <c r="AA45" s="890"/>
      <c r="AB45" s="890"/>
      <c r="AC45" s="890"/>
    </row>
    <row r="46" spans="1:29">
      <c r="A46" s="889"/>
      <c r="B46" s="891"/>
      <c r="C46" s="895"/>
      <c r="D46" s="889"/>
      <c r="E46" s="889"/>
      <c r="F46" s="889"/>
      <c r="G46" s="889"/>
      <c r="H46" s="889"/>
      <c r="I46" s="889"/>
      <c r="J46" s="889"/>
      <c r="K46" s="858"/>
      <c r="L46" s="859"/>
      <c r="M46" s="889"/>
      <c r="N46" s="889"/>
      <c r="O46" s="889"/>
      <c r="P46" s="1086"/>
      <c r="Q46" s="889"/>
      <c r="R46" s="889"/>
      <c r="S46" s="889"/>
      <c r="T46" s="889"/>
      <c r="U46" s="889"/>
      <c r="V46" s="889"/>
      <c r="W46" s="889"/>
      <c r="X46" s="889"/>
      <c r="Y46" s="889"/>
      <c r="Z46" s="889"/>
      <c r="AA46" s="889"/>
      <c r="AB46" s="889"/>
      <c r="AC46" s="889"/>
    </row>
    <row r="47" spans="1:29" ht="21.75" thickBot="1">
      <c r="A47" s="1090" t="s">
        <v>2733</v>
      </c>
      <c r="B47" s="889"/>
      <c r="C47" s="904"/>
      <c r="D47" s="904"/>
      <c r="E47" s="904"/>
      <c r="F47" s="1091"/>
      <c r="G47" s="1091"/>
      <c r="H47" s="904"/>
      <c r="I47" s="904"/>
      <c r="J47" s="904"/>
      <c r="K47" s="905"/>
      <c r="L47" s="906"/>
      <c r="M47" s="904"/>
      <c r="N47" s="904"/>
      <c r="O47" s="904"/>
      <c r="P47" s="1088"/>
      <c r="Q47" s="1089"/>
      <c r="R47" s="889"/>
      <c r="S47" s="889"/>
      <c r="T47" s="889"/>
      <c r="U47" s="889"/>
      <c r="V47" s="889"/>
      <c r="W47" s="889"/>
      <c r="X47" s="889"/>
      <c r="Y47" s="889"/>
      <c r="Z47" s="889"/>
      <c r="AA47" s="889"/>
      <c r="AB47" s="889"/>
      <c r="AC47" s="889"/>
    </row>
    <row r="48" spans="1:29" s="331" customFormat="1" ht="15">
      <c r="A48" s="328" t="s">
        <v>2734</v>
      </c>
      <c r="B48" s="329"/>
      <c r="C48" s="1237" t="str">
        <f>YEAR(C7)&amp;"-"&amp;MONTH(C7)</f>
        <v>2017-12</v>
      </c>
      <c r="D48" s="1238">
        <f>EDATE(C48,-1)</f>
        <v>43040</v>
      </c>
      <c r="E48" s="1238">
        <f t="shared" ref="E48:O48" si="16">EDATE(D48,-1)</f>
        <v>43009</v>
      </c>
      <c r="F48" s="1238">
        <f t="shared" si="16"/>
        <v>42979</v>
      </c>
      <c r="G48" s="1238">
        <f t="shared" si="16"/>
        <v>42948</v>
      </c>
      <c r="H48" s="1238">
        <f t="shared" si="16"/>
        <v>42917</v>
      </c>
      <c r="I48" s="1238">
        <f t="shared" si="16"/>
        <v>42887</v>
      </c>
      <c r="J48" s="1238">
        <f t="shared" si="16"/>
        <v>42856</v>
      </c>
      <c r="K48" s="1238">
        <f t="shared" si="16"/>
        <v>42826</v>
      </c>
      <c r="L48" s="1238">
        <f t="shared" si="16"/>
        <v>42795</v>
      </c>
      <c r="M48" s="1238">
        <f t="shared" si="16"/>
        <v>42767</v>
      </c>
      <c r="N48" s="1238">
        <f t="shared" si="16"/>
        <v>42736</v>
      </c>
      <c r="O48" s="1238">
        <f t="shared" si="16"/>
        <v>42705</v>
      </c>
      <c r="P48" s="1104"/>
      <c r="Q48" s="1105"/>
      <c r="R48" s="1105"/>
      <c r="S48" s="1105"/>
      <c r="T48" s="1105"/>
      <c r="U48" s="1105"/>
      <c r="V48" s="1105"/>
      <c r="W48" s="1105"/>
      <c r="X48" s="1105"/>
      <c r="Y48" s="1105"/>
      <c r="Z48" s="1105"/>
      <c r="AA48" s="1105"/>
      <c r="AB48" s="1105"/>
      <c r="AC48" s="1105"/>
    </row>
    <row r="49" spans="1:29" s="51" customFormat="1" ht="15">
      <c r="A49" s="332"/>
      <c r="B49" s="333"/>
      <c r="C49" s="1229">
        <v>100</v>
      </c>
      <c r="D49" s="335"/>
      <c r="E49" s="335"/>
      <c r="F49" s="335"/>
      <c r="G49" s="335"/>
      <c r="H49" s="335"/>
      <c r="I49" s="335"/>
      <c r="J49" s="335"/>
      <c r="K49" s="335"/>
      <c r="L49" s="335"/>
      <c r="M49" s="336"/>
      <c r="N49" s="335"/>
      <c r="O49" s="336"/>
      <c r="P49" s="1094"/>
      <c r="Q49" s="1093"/>
      <c r="R49" s="1093"/>
      <c r="S49" s="1093"/>
      <c r="T49" s="1093"/>
      <c r="U49" s="1093"/>
      <c r="V49" s="1093"/>
      <c r="W49" s="1093"/>
      <c r="X49" s="1093"/>
      <c r="Y49" s="1093"/>
      <c r="Z49" s="1093"/>
      <c r="AA49" s="1093"/>
      <c r="AB49" s="1093"/>
      <c r="AC49" s="1093"/>
    </row>
    <row r="50" spans="1:29" s="51" customFormat="1" ht="15.75" thickBot="1">
      <c r="A50" s="338" t="s">
        <v>2591</v>
      </c>
      <c r="B50" s="339"/>
      <c r="C50" s="340"/>
      <c r="D50" s="341"/>
      <c r="E50" s="341"/>
      <c r="F50" s="341"/>
      <c r="G50" s="341"/>
      <c r="H50" s="341"/>
      <c r="I50" s="341"/>
      <c r="J50" s="341"/>
      <c r="K50" s="341"/>
      <c r="L50" s="341"/>
      <c r="M50" s="342"/>
      <c r="N50" s="341"/>
      <c r="O50" s="342"/>
      <c r="P50" s="1094"/>
      <c r="Q50" s="1089"/>
      <c r="R50" s="1093"/>
      <c r="S50" s="1093"/>
      <c r="T50" s="1093"/>
      <c r="U50" s="1093"/>
      <c r="V50" s="1093"/>
      <c r="W50" s="1093"/>
      <c r="X50" s="1093"/>
      <c r="Y50" s="1093"/>
      <c r="Z50" s="1093"/>
      <c r="AA50" s="1093"/>
      <c r="AB50" s="1093"/>
      <c r="AC50" s="1093"/>
    </row>
    <row r="51" spans="1:29" s="51" customFormat="1" ht="15">
      <c r="A51" s="344" t="s">
        <v>2556</v>
      </c>
      <c r="B51" s="333"/>
      <c r="C51" s="345" t="s">
        <v>2658</v>
      </c>
      <c r="D51" s="346"/>
      <c r="E51" s="346"/>
      <c r="F51" s="346"/>
      <c r="G51" s="346"/>
      <c r="H51" s="346"/>
      <c r="I51" s="346"/>
      <c r="J51" s="346"/>
      <c r="K51" s="346"/>
      <c r="L51" s="347"/>
      <c r="M51" s="348"/>
      <c r="N51" s="896"/>
      <c r="O51" s="896"/>
      <c r="P51" s="1092"/>
      <c r="Q51" s="1089"/>
      <c r="R51" s="1093"/>
      <c r="S51" s="1093"/>
      <c r="T51" s="1093"/>
      <c r="U51" s="1093"/>
      <c r="V51" s="1093"/>
      <c r="W51" s="1093"/>
      <c r="X51" s="1093"/>
      <c r="Y51" s="1093"/>
      <c r="Z51" s="1093"/>
      <c r="AA51" s="1093"/>
      <c r="AB51" s="1093"/>
      <c r="AC51" s="1093"/>
    </row>
    <row r="52" spans="1:29" s="51" customFormat="1" ht="15.75" thickBot="1">
      <c r="A52" s="344"/>
      <c r="B52" s="333"/>
      <c r="C52" s="459">
        <v>100</v>
      </c>
      <c r="D52" s="335"/>
      <c r="E52" s="335"/>
      <c r="F52" s="335"/>
      <c r="G52" s="335"/>
      <c r="H52" s="335"/>
      <c r="I52" s="335"/>
      <c r="J52" s="335"/>
      <c r="K52" s="335"/>
      <c r="L52" s="335"/>
      <c r="M52" s="337"/>
      <c r="N52" s="896"/>
      <c r="O52" s="896"/>
      <c r="P52" s="1094"/>
      <c r="Q52" s="1089"/>
      <c r="R52" s="1093"/>
      <c r="S52" s="1093"/>
      <c r="T52" s="1093"/>
      <c r="U52" s="1093"/>
      <c r="V52" s="1093"/>
      <c r="W52" s="1093"/>
      <c r="X52" s="1093"/>
      <c r="Y52" s="1093"/>
      <c r="Z52" s="1093"/>
      <c r="AA52" s="1093"/>
      <c r="AB52" s="1093"/>
      <c r="AC52" s="1093"/>
    </row>
    <row r="53" spans="1:29">
      <c r="A53" s="350" t="s">
        <v>2594</v>
      </c>
      <c r="B53" s="351" t="s">
        <v>2560</v>
      </c>
      <c r="C53" s="352">
        <f>C9</f>
        <v>0</v>
      </c>
      <c r="D53" s="353"/>
      <c r="E53" s="353"/>
      <c r="F53" s="353"/>
      <c r="G53" s="353"/>
      <c r="H53" s="353"/>
      <c r="I53" s="353"/>
      <c r="J53" s="353"/>
      <c r="K53" s="354"/>
      <c r="L53" s="355"/>
      <c r="M53" s="356"/>
      <c r="N53" s="897"/>
      <c r="O53" s="897"/>
      <c r="P53" s="1095"/>
      <c r="Q53" s="1089"/>
      <c r="R53" s="889"/>
      <c r="S53" s="889"/>
      <c r="T53" s="889"/>
      <c r="U53" s="889"/>
      <c r="V53" s="889"/>
      <c r="W53" s="889"/>
      <c r="X53" s="889"/>
      <c r="Y53" s="889"/>
      <c r="Z53" s="889"/>
      <c r="AA53" s="889"/>
      <c r="AB53" s="889"/>
      <c r="AC53" s="889"/>
    </row>
    <row r="54" spans="1:29" ht="15.75" thickBot="1">
      <c r="A54" s="357"/>
      <c r="B54" s="358"/>
      <c r="C54" s="359">
        <v>100</v>
      </c>
      <c r="D54" s="359"/>
      <c r="E54" s="359"/>
      <c r="F54" s="359"/>
      <c r="G54" s="359"/>
      <c r="H54" s="359"/>
      <c r="I54" s="359"/>
      <c r="J54" s="359"/>
      <c r="K54" s="359"/>
      <c r="L54" s="359"/>
      <c r="M54" s="360"/>
      <c r="N54" s="898"/>
      <c r="O54" s="898"/>
      <c r="P54" s="1095"/>
      <c r="Q54" s="1089"/>
      <c r="R54" s="889"/>
      <c r="S54" s="889"/>
      <c r="T54" s="889"/>
      <c r="U54" s="889"/>
      <c r="V54" s="889"/>
      <c r="W54" s="889"/>
      <c r="X54" s="889"/>
      <c r="Y54" s="889"/>
      <c r="Z54" s="889"/>
      <c r="AA54" s="889"/>
      <c r="AB54" s="889"/>
      <c r="AC54" s="889"/>
    </row>
    <row r="55" spans="1:29" ht="27.75" thickTop="1">
      <c r="A55" s="357"/>
      <c r="B55" s="361" t="s">
        <v>2563</v>
      </c>
      <c r="C55" s="362" t="s">
        <v>2595</v>
      </c>
      <c r="D55" s="362" t="s">
        <v>2596</v>
      </c>
      <c r="E55" s="362" t="s">
        <v>2597</v>
      </c>
      <c r="F55" s="362" t="s">
        <v>2598</v>
      </c>
      <c r="G55" s="362" t="s">
        <v>2599</v>
      </c>
      <c r="H55" s="362" t="s">
        <v>2600</v>
      </c>
      <c r="I55" s="362" t="s">
        <v>2601</v>
      </c>
      <c r="J55" s="362"/>
      <c r="K55" s="363"/>
      <c r="L55" s="364"/>
      <c r="M55" s="365"/>
      <c r="N55" s="897"/>
      <c r="O55" s="897"/>
      <c r="P55" s="1095"/>
      <c r="Q55" s="1089"/>
      <c r="R55" s="889"/>
      <c r="S55" s="889"/>
      <c r="T55" s="889"/>
      <c r="U55" s="889"/>
      <c r="V55" s="889"/>
      <c r="W55" s="889"/>
      <c r="X55" s="889"/>
      <c r="Y55" s="889"/>
      <c r="Z55" s="889"/>
      <c r="AA55" s="889"/>
      <c r="AB55" s="889"/>
      <c r="AC55" s="889"/>
    </row>
    <row r="56" spans="1:29" ht="15.75" thickBot="1">
      <c r="A56" s="357"/>
      <c r="B56" s="366"/>
      <c r="C56" s="367" t="s">
        <v>24</v>
      </c>
      <c r="D56" s="367" t="s">
        <v>25</v>
      </c>
      <c r="E56" s="367">
        <v>100</v>
      </c>
      <c r="F56" s="367">
        <f>E56-$K10</f>
        <v>100</v>
      </c>
      <c r="G56" s="367">
        <f>F56-$K10</f>
        <v>100</v>
      </c>
      <c r="H56" s="367">
        <f>G56-$K10</f>
        <v>100</v>
      </c>
      <c r="I56" s="367">
        <f>H56-$K10</f>
        <v>100</v>
      </c>
      <c r="J56" s="367"/>
      <c r="K56" s="367"/>
      <c r="L56" s="367"/>
      <c r="M56" s="368"/>
      <c r="N56" s="898"/>
      <c r="O56" s="898"/>
      <c r="P56" s="1095"/>
      <c r="Q56" s="1089"/>
      <c r="R56" s="889"/>
      <c r="S56" s="889"/>
      <c r="T56" s="889"/>
      <c r="U56" s="889"/>
      <c r="V56" s="889"/>
      <c r="W56" s="889"/>
      <c r="X56" s="889"/>
      <c r="Y56" s="889"/>
      <c r="Z56" s="889"/>
      <c r="AA56" s="889"/>
      <c r="AB56" s="889"/>
      <c r="AC56" s="889"/>
    </row>
    <row r="57" spans="1:29" ht="15.75" thickTop="1">
      <c r="A57" s="357"/>
      <c r="B57" s="480">
        <f>B11</f>
        <v>111</v>
      </c>
      <c r="C57" s="372"/>
      <c r="D57" s="372"/>
      <c r="E57" s="372"/>
      <c r="F57" s="372"/>
      <c r="G57" s="372"/>
      <c r="H57" s="372"/>
      <c r="I57" s="372"/>
      <c r="J57" s="372"/>
      <c r="K57" s="373"/>
      <c r="L57" s="374"/>
      <c r="M57" s="375"/>
      <c r="N57" s="897"/>
      <c r="O57" s="897"/>
      <c r="P57" s="1095"/>
      <c r="Q57" s="1089"/>
      <c r="R57" s="889"/>
      <c r="S57" s="889"/>
      <c r="T57" s="889"/>
      <c r="U57" s="889"/>
      <c r="V57" s="889"/>
      <c r="W57" s="889"/>
      <c r="X57" s="889"/>
      <c r="Y57" s="889"/>
      <c r="Z57" s="889"/>
      <c r="AA57" s="889"/>
      <c r="AB57" s="889"/>
      <c r="AC57" s="889"/>
    </row>
    <row r="58" spans="1:29" ht="15.75" thickBot="1">
      <c r="A58" s="357"/>
      <c r="B58" s="358"/>
      <c r="C58" s="383"/>
      <c r="D58" s="359"/>
      <c r="E58" s="359"/>
      <c r="F58" s="359"/>
      <c r="G58" s="359"/>
      <c r="H58" s="359"/>
      <c r="I58" s="359"/>
      <c r="J58" s="359"/>
      <c r="K58" s="359"/>
      <c r="L58" s="359"/>
      <c r="M58" s="360"/>
      <c r="N58" s="898"/>
      <c r="O58" s="898"/>
      <c r="P58" s="1095"/>
      <c r="Q58" s="1089"/>
      <c r="R58" s="889"/>
      <c r="S58" s="889"/>
      <c r="T58" s="889"/>
      <c r="U58" s="889"/>
      <c r="V58" s="889"/>
      <c r="W58" s="889"/>
      <c r="X58" s="889"/>
      <c r="Y58" s="889"/>
      <c r="Z58" s="889"/>
      <c r="AA58" s="889"/>
      <c r="AB58" s="889"/>
      <c r="AC58" s="889"/>
    </row>
    <row r="59" spans="1:29" s="294" customFormat="1" ht="15.75" thickTop="1">
      <c r="A59" s="376"/>
      <c r="B59" s="361">
        <f>B12</f>
        <v>111</v>
      </c>
      <c r="C59" s="372"/>
      <c r="D59" s="372"/>
      <c r="E59" s="372"/>
      <c r="F59" s="372"/>
      <c r="G59" s="377"/>
      <c r="H59" s="378"/>
      <c r="I59" s="378"/>
      <c r="J59" s="378"/>
      <c r="K59" s="378"/>
      <c r="L59" s="379"/>
      <c r="M59" s="380"/>
      <c r="N59" s="899"/>
      <c r="O59" s="899"/>
      <c r="P59" s="1096"/>
      <c r="Q59" s="1097"/>
      <c r="R59" s="1098"/>
      <c r="S59" s="1098"/>
      <c r="T59" s="1098"/>
      <c r="U59" s="1098"/>
      <c r="V59" s="1098"/>
      <c r="W59" s="1098"/>
      <c r="X59" s="1098"/>
      <c r="Y59" s="1098"/>
      <c r="Z59" s="1098"/>
      <c r="AA59" s="1098"/>
      <c r="AB59" s="1098"/>
      <c r="AC59" s="1098"/>
    </row>
    <row r="60" spans="1:29" s="294" customFormat="1" ht="15.75" thickBot="1">
      <c r="A60" s="376"/>
      <c r="B60" s="366"/>
      <c r="C60" s="383"/>
      <c r="D60" s="359"/>
      <c r="E60" s="359"/>
      <c r="F60" s="359"/>
      <c r="G60" s="359"/>
      <c r="H60" s="359"/>
      <c r="I60" s="359"/>
      <c r="J60" s="359"/>
      <c r="K60" s="359"/>
      <c r="L60" s="359"/>
      <c r="M60" s="360"/>
      <c r="N60" s="898"/>
      <c r="O60" s="898"/>
      <c r="P60" s="1096"/>
      <c r="Q60" s="1097"/>
      <c r="R60" s="1098"/>
      <c r="S60" s="1098"/>
      <c r="T60" s="1098"/>
      <c r="U60" s="1098"/>
      <c r="V60" s="1098"/>
      <c r="W60" s="1098"/>
      <c r="X60" s="1098"/>
      <c r="Y60" s="1098"/>
      <c r="Z60" s="1098"/>
      <c r="AA60" s="1098"/>
      <c r="AB60" s="1098"/>
      <c r="AC60" s="1098"/>
    </row>
    <row r="61" spans="1:29" s="294" customFormat="1" ht="15.75" thickTop="1">
      <c r="A61" s="376"/>
      <c r="B61" s="361">
        <f>B13</f>
        <v>111</v>
      </c>
      <c r="C61" s="377"/>
      <c r="D61" s="377"/>
      <c r="E61" s="377"/>
      <c r="F61" s="377"/>
      <c r="G61" s="377"/>
      <c r="H61" s="378"/>
      <c r="I61" s="378"/>
      <c r="J61" s="378"/>
      <c r="K61" s="378"/>
      <c r="L61" s="379"/>
      <c r="M61" s="380"/>
      <c r="N61" s="899"/>
      <c r="O61" s="899"/>
      <c r="P61" s="1099"/>
      <c r="Q61" s="1100"/>
      <c r="R61" s="1098"/>
      <c r="S61" s="1098"/>
      <c r="T61" s="1098"/>
      <c r="U61" s="1098"/>
      <c r="V61" s="1098"/>
      <c r="W61" s="1098"/>
      <c r="X61" s="1098"/>
      <c r="Y61" s="1098"/>
      <c r="Z61" s="1098"/>
      <c r="AA61" s="1098"/>
      <c r="AB61" s="1098"/>
      <c r="AC61" s="1098"/>
    </row>
    <row r="62" spans="1:29" s="294" customFormat="1" ht="15.75" thickBot="1">
      <c r="A62" s="376"/>
      <c r="B62" s="366"/>
      <c r="C62" s="383"/>
      <c r="D62" s="383"/>
      <c r="E62" s="383"/>
      <c r="F62" s="383"/>
      <c r="G62" s="383"/>
      <c r="H62" s="385"/>
      <c r="I62" s="385"/>
      <c r="J62" s="385"/>
      <c r="K62" s="385"/>
      <c r="L62" s="385"/>
      <c r="M62" s="386"/>
      <c r="N62" s="899"/>
      <c r="O62" s="899"/>
      <c r="P62" s="1096"/>
      <c r="Q62" s="1097"/>
      <c r="R62" s="1098"/>
      <c r="S62" s="1098"/>
      <c r="T62" s="1098"/>
      <c r="U62" s="1098"/>
      <c r="V62" s="1098"/>
      <c r="W62" s="1098"/>
      <c r="X62" s="1098"/>
      <c r="Y62" s="1098"/>
      <c r="Z62" s="1098"/>
      <c r="AA62" s="1098"/>
      <c r="AB62" s="1098"/>
      <c r="AC62" s="1098"/>
    </row>
    <row r="63" spans="1:29" ht="15" thickTop="1">
      <c r="A63" s="350" t="s">
        <v>2565</v>
      </c>
      <c r="B63" s="351" t="s">
        <v>2608</v>
      </c>
      <c r="C63" s="396" t="s">
        <v>2603</v>
      </c>
      <c r="D63" s="396" t="s">
        <v>2604</v>
      </c>
      <c r="E63" s="396" t="s">
        <v>2605</v>
      </c>
      <c r="F63" s="396" t="s">
        <v>2606</v>
      </c>
      <c r="G63" s="396" t="s">
        <v>2607</v>
      </c>
      <c r="H63" s="352"/>
      <c r="I63" s="352"/>
      <c r="J63" s="352"/>
      <c r="K63" s="397"/>
      <c r="L63" s="398"/>
      <c r="M63" s="399"/>
      <c r="N63" s="897"/>
      <c r="O63" s="897"/>
      <c r="P63" s="1101"/>
      <c r="Q63" s="1089"/>
      <c r="R63" s="889"/>
      <c r="S63" s="889"/>
      <c r="T63" s="889"/>
      <c r="U63" s="889"/>
      <c r="V63" s="889"/>
      <c r="W63" s="889"/>
      <c r="X63" s="889"/>
      <c r="Y63" s="889"/>
      <c r="Z63" s="889"/>
      <c r="AA63" s="889"/>
      <c r="AB63" s="889"/>
      <c r="AC63" s="889"/>
    </row>
    <row r="64" spans="1:29" ht="15.75" thickBot="1">
      <c r="A64" s="357"/>
      <c r="B64" s="366"/>
      <c r="C64" s="367">
        <v>100</v>
      </c>
      <c r="D64" s="367">
        <f>C64-$K14</f>
        <v>100</v>
      </c>
      <c r="E64" s="367">
        <f>D64-$K14</f>
        <v>100</v>
      </c>
      <c r="F64" s="367">
        <f>E64-$K14</f>
        <v>100</v>
      </c>
      <c r="G64" s="367">
        <f>F64-$K14</f>
        <v>100</v>
      </c>
      <c r="H64" s="367"/>
      <c r="I64" s="367"/>
      <c r="J64" s="367"/>
      <c r="K64" s="367"/>
      <c r="L64" s="367"/>
      <c r="M64" s="368"/>
      <c r="N64" s="898"/>
      <c r="O64" s="898"/>
      <c r="P64" s="1095"/>
      <c r="Q64" s="1089"/>
      <c r="R64" s="889"/>
      <c r="S64" s="889"/>
      <c r="T64" s="889"/>
      <c r="U64" s="889"/>
      <c r="V64" s="889"/>
      <c r="W64" s="889"/>
      <c r="X64" s="889"/>
      <c r="Y64" s="889"/>
      <c r="Z64" s="889"/>
      <c r="AA64" s="889"/>
      <c r="AB64" s="889"/>
      <c r="AC64" s="889"/>
    </row>
    <row r="65" spans="1:29" ht="15.75" thickTop="1">
      <c r="A65" s="357"/>
      <c r="B65" s="361" t="s">
        <v>2609</v>
      </c>
      <c r="C65" s="401" t="s">
        <v>2603</v>
      </c>
      <c r="D65" s="401" t="s">
        <v>2604</v>
      </c>
      <c r="E65" s="401" t="s">
        <v>2605</v>
      </c>
      <c r="F65" s="401" t="s">
        <v>2606</v>
      </c>
      <c r="G65" s="401" t="s">
        <v>2607</v>
      </c>
      <c r="H65" s="362"/>
      <c r="I65" s="362"/>
      <c r="J65" s="362"/>
      <c r="K65" s="363"/>
      <c r="L65" s="364"/>
      <c r="M65" s="365"/>
      <c r="N65" s="897"/>
      <c r="O65" s="897"/>
      <c r="P65" s="1095"/>
      <c r="Q65" s="1089"/>
      <c r="R65" s="889"/>
      <c r="S65" s="889"/>
      <c r="T65" s="889"/>
      <c r="U65" s="889"/>
      <c r="V65" s="889"/>
      <c r="W65" s="889"/>
      <c r="X65" s="889"/>
      <c r="Y65" s="889"/>
      <c r="Z65" s="889"/>
      <c r="AA65" s="889"/>
      <c r="AB65" s="889"/>
      <c r="AC65" s="889"/>
    </row>
    <row r="66" spans="1:29" ht="15.75" thickBot="1">
      <c r="A66" s="357"/>
      <c r="B66" s="366"/>
      <c r="C66" s="367">
        <v>100</v>
      </c>
      <c r="D66" s="367">
        <f>C66-$K16</f>
        <v>100</v>
      </c>
      <c r="E66" s="367">
        <f>D66-$K16</f>
        <v>100</v>
      </c>
      <c r="F66" s="367">
        <f>E66-$K16</f>
        <v>100</v>
      </c>
      <c r="G66" s="367">
        <f>F66-$K16</f>
        <v>100</v>
      </c>
      <c r="H66" s="367"/>
      <c r="I66" s="367"/>
      <c r="J66" s="367"/>
      <c r="K66" s="367"/>
      <c r="L66" s="367"/>
      <c r="M66" s="368"/>
      <c r="N66" s="898"/>
      <c r="O66" s="898"/>
      <c r="P66" s="1095"/>
      <c r="Q66" s="1089"/>
      <c r="R66" s="889"/>
      <c r="S66" s="889"/>
      <c r="T66" s="889"/>
      <c r="U66" s="889"/>
      <c r="V66" s="889"/>
      <c r="W66" s="889"/>
      <c r="X66" s="889"/>
      <c r="Y66" s="889"/>
      <c r="Z66" s="889"/>
      <c r="AA66" s="889"/>
      <c r="AB66" s="889"/>
      <c r="AC66" s="889"/>
    </row>
    <row r="67" spans="1:29" ht="15.75" thickTop="1">
      <c r="A67" s="357"/>
      <c r="B67" s="369" t="s">
        <v>2695</v>
      </c>
      <c r="C67" s="480" t="s">
        <v>2681</v>
      </c>
      <c r="D67" s="480" t="s">
        <v>2682</v>
      </c>
      <c r="E67" s="480" t="s">
        <v>2683</v>
      </c>
      <c r="F67" s="480" t="s">
        <v>2684</v>
      </c>
      <c r="G67" s="480" t="s">
        <v>2685</v>
      </c>
      <c r="H67" s="362"/>
      <c r="I67" s="362"/>
      <c r="J67" s="362"/>
      <c r="K67" s="362"/>
      <c r="L67" s="362"/>
      <c r="M67" s="1059"/>
      <c r="N67" s="898"/>
      <c r="O67" s="898"/>
      <c r="P67" s="1095"/>
      <c r="Q67" s="1089"/>
      <c r="R67" s="889"/>
      <c r="S67" s="889"/>
      <c r="T67" s="889"/>
      <c r="U67" s="889"/>
      <c r="V67" s="889"/>
      <c r="W67" s="889"/>
      <c r="X67" s="889"/>
      <c r="Y67" s="889"/>
      <c r="Z67" s="889"/>
      <c r="AA67" s="889"/>
      <c r="AB67" s="889"/>
      <c r="AC67" s="889"/>
    </row>
    <row r="68" spans="1:29" ht="15.75" thickBot="1">
      <c r="A68" s="357"/>
      <c r="B68" s="369"/>
      <c r="C68" s="367">
        <v>100</v>
      </c>
      <c r="D68" s="367">
        <f>C68-$K18</f>
        <v>100</v>
      </c>
      <c r="E68" s="367">
        <f>D68-$K18</f>
        <v>100</v>
      </c>
      <c r="F68" s="367">
        <f>E68-$K18</f>
        <v>100</v>
      </c>
      <c r="G68" s="367">
        <f>F68-$K18</f>
        <v>100</v>
      </c>
      <c r="H68" s="480"/>
      <c r="I68" s="480"/>
      <c r="J68" s="480"/>
      <c r="K68" s="480"/>
      <c r="L68" s="480"/>
      <c r="M68" s="273"/>
      <c r="N68" s="898"/>
      <c r="O68" s="898"/>
      <c r="P68" s="1095"/>
      <c r="Q68" s="1089"/>
      <c r="R68" s="889"/>
      <c r="S68" s="889"/>
      <c r="T68" s="889"/>
      <c r="U68" s="889"/>
      <c r="V68" s="889"/>
      <c r="W68" s="889"/>
      <c r="X68" s="889"/>
      <c r="Y68" s="889"/>
      <c r="Z68" s="889"/>
      <c r="AA68" s="889"/>
      <c r="AB68" s="889"/>
      <c r="AC68" s="889"/>
    </row>
    <row r="69" spans="1:29" ht="15.75" thickTop="1">
      <c r="A69" s="357"/>
      <c r="B69" s="361" t="s">
        <v>2615</v>
      </c>
      <c r="C69" s="401" t="s">
        <v>2603</v>
      </c>
      <c r="D69" s="401" t="s">
        <v>2604</v>
      </c>
      <c r="E69" s="401" t="s">
        <v>2605</v>
      </c>
      <c r="F69" s="401" t="s">
        <v>2606</v>
      </c>
      <c r="G69" s="401" t="s">
        <v>2607</v>
      </c>
      <c r="H69" s="362"/>
      <c r="I69" s="362"/>
      <c r="J69" s="362"/>
      <c r="K69" s="363"/>
      <c r="L69" s="364"/>
      <c r="M69" s="365"/>
      <c r="N69" s="897"/>
      <c r="O69" s="897"/>
      <c r="P69" s="1095"/>
      <c r="Q69" s="1089"/>
      <c r="R69" s="889"/>
      <c r="S69" s="889"/>
      <c r="T69" s="889"/>
      <c r="U69" s="889"/>
      <c r="V69" s="889"/>
      <c r="W69" s="889"/>
      <c r="X69" s="889"/>
      <c r="Y69" s="889"/>
      <c r="Z69" s="889"/>
      <c r="AA69" s="889"/>
      <c r="AB69" s="889"/>
      <c r="AC69" s="889"/>
    </row>
    <row r="70" spans="1:29" ht="15.75" thickBot="1">
      <c r="A70" s="357"/>
      <c r="B70" s="366"/>
      <c r="C70" s="367">
        <v>100</v>
      </c>
      <c r="D70" s="367">
        <f>C70-$K20</f>
        <v>100</v>
      </c>
      <c r="E70" s="367">
        <f>D70-$K20</f>
        <v>100</v>
      </c>
      <c r="F70" s="367">
        <f>E70-$K20</f>
        <v>100</v>
      </c>
      <c r="G70" s="367">
        <f>F70-$K20</f>
        <v>100</v>
      </c>
      <c r="H70" s="367"/>
      <c r="I70" s="367"/>
      <c r="J70" s="367"/>
      <c r="K70" s="367"/>
      <c r="L70" s="367"/>
      <c r="M70" s="368"/>
      <c r="N70" s="898"/>
      <c r="O70" s="898"/>
      <c r="P70" s="1095"/>
      <c r="Q70" s="1089"/>
      <c r="R70" s="889"/>
      <c r="S70" s="889"/>
      <c r="T70" s="889"/>
      <c r="U70" s="889"/>
      <c r="V70" s="889"/>
      <c r="W70" s="889"/>
      <c r="X70" s="889"/>
      <c r="Y70" s="889"/>
      <c r="Z70" s="889"/>
      <c r="AA70" s="889"/>
      <c r="AB70" s="889"/>
      <c r="AC70" s="889"/>
    </row>
    <row r="71" spans="1:29" ht="15.75" thickTop="1">
      <c r="A71" s="357"/>
      <c r="B71" s="361" t="s">
        <v>2735</v>
      </c>
      <c r="C71" s="377"/>
      <c r="D71" s="377"/>
      <c r="E71" s="377"/>
      <c r="F71" s="377"/>
      <c r="G71" s="377"/>
      <c r="H71" s="406"/>
      <c r="I71" s="406"/>
      <c r="J71" s="406"/>
      <c r="K71" s="407"/>
      <c r="L71" s="408"/>
      <c r="M71" s="409"/>
      <c r="N71" s="897"/>
      <c r="O71" s="897"/>
      <c r="P71" s="1095"/>
      <c r="Q71" s="1089"/>
      <c r="R71" s="889"/>
      <c r="S71" s="889"/>
      <c r="T71" s="889"/>
      <c r="U71" s="889"/>
      <c r="V71" s="889"/>
      <c r="W71" s="889"/>
      <c r="X71" s="889"/>
      <c r="Y71" s="889"/>
      <c r="Z71" s="889"/>
      <c r="AA71" s="889"/>
      <c r="AB71" s="889"/>
      <c r="AC71" s="889"/>
    </row>
    <row r="72" spans="1:29" ht="15.75" thickBot="1">
      <c r="A72" s="357"/>
      <c r="B72" s="366"/>
      <c r="C72" s="367">
        <v>100</v>
      </c>
      <c r="D72" s="367">
        <f>C72-$K22</f>
        <v>100</v>
      </c>
      <c r="E72" s="367">
        <f>D72-$K22</f>
        <v>100</v>
      </c>
      <c r="F72" s="367">
        <f>E72-$K22</f>
        <v>100</v>
      </c>
      <c r="G72" s="367">
        <f>F72-$K22</f>
        <v>100</v>
      </c>
      <c r="H72" s="367"/>
      <c r="I72" s="367"/>
      <c r="J72" s="367"/>
      <c r="K72" s="367"/>
      <c r="L72" s="367"/>
      <c r="M72" s="368"/>
      <c r="N72" s="898"/>
      <c r="O72" s="898"/>
      <c r="P72" s="1095"/>
      <c r="Q72" s="1089"/>
      <c r="R72" s="889"/>
      <c r="S72" s="889"/>
      <c r="T72" s="889"/>
      <c r="U72" s="889"/>
      <c r="V72" s="889"/>
      <c r="W72" s="889"/>
      <c r="X72" s="889"/>
      <c r="Y72" s="889"/>
      <c r="Z72" s="889"/>
      <c r="AA72" s="889"/>
      <c r="AB72" s="889"/>
      <c r="AC72" s="889"/>
    </row>
    <row r="73" spans="1:29" s="51" customFormat="1" ht="15.75" thickTop="1">
      <c r="A73" s="402"/>
      <c r="B73" s="361">
        <f>B23</f>
        <v>111</v>
      </c>
      <c r="C73" s="372"/>
      <c r="D73" s="372"/>
      <c r="E73" s="372"/>
      <c r="F73" s="372"/>
      <c r="G73" s="377"/>
      <c r="H73" s="377"/>
      <c r="I73" s="377"/>
      <c r="J73" s="377"/>
      <c r="K73" s="377"/>
      <c r="L73" s="403"/>
      <c r="M73" s="404"/>
      <c r="N73" s="896"/>
      <c r="O73" s="896"/>
      <c r="P73" s="1095"/>
      <c r="Q73" s="1089"/>
      <c r="R73" s="1093"/>
      <c r="S73" s="1093"/>
      <c r="T73" s="1093"/>
      <c r="U73" s="1093"/>
      <c r="V73" s="1093"/>
      <c r="W73" s="1093"/>
      <c r="X73" s="1093"/>
      <c r="Y73" s="1093"/>
      <c r="Z73" s="1093"/>
      <c r="AA73" s="1093"/>
      <c r="AB73" s="1093"/>
      <c r="AC73" s="1093"/>
    </row>
    <row r="74" spans="1:29" s="51" customFormat="1" ht="15.75" thickBot="1">
      <c r="A74" s="402"/>
      <c r="B74" s="366"/>
      <c r="C74" s="383"/>
      <c r="D74" s="359"/>
      <c r="E74" s="359"/>
      <c r="F74" s="359"/>
      <c r="G74" s="359"/>
      <c r="H74" s="359"/>
      <c r="I74" s="359"/>
      <c r="J74" s="359"/>
      <c r="K74" s="359"/>
      <c r="L74" s="359"/>
      <c r="M74" s="360"/>
      <c r="N74" s="898"/>
      <c r="O74" s="898"/>
      <c r="P74" s="1095"/>
      <c r="Q74" s="1089"/>
      <c r="R74" s="1093"/>
      <c r="S74" s="1093"/>
      <c r="T74" s="1093"/>
      <c r="U74" s="1093"/>
      <c r="V74" s="1093"/>
      <c r="W74" s="1093"/>
      <c r="X74" s="1093"/>
      <c r="Y74" s="1093"/>
      <c r="Z74" s="1093"/>
      <c r="AA74" s="1093"/>
      <c r="AB74" s="1093"/>
      <c r="AC74" s="1093"/>
    </row>
    <row r="75" spans="1:29" s="51" customFormat="1" ht="15.75" thickTop="1">
      <c r="A75" s="402"/>
      <c r="B75" s="361">
        <f>B24</f>
        <v>111</v>
      </c>
      <c r="C75" s="372"/>
      <c r="D75" s="372"/>
      <c r="E75" s="372"/>
      <c r="F75" s="372"/>
      <c r="G75" s="377"/>
      <c r="H75" s="377"/>
      <c r="I75" s="377"/>
      <c r="J75" s="377"/>
      <c r="K75" s="377"/>
      <c r="L75" s="377"/>
      <c r="M75" s="404"/>
      <c r="N75" s="896"/>
      <c r="O75" s="896"/>
      <c r="P75" s="1095"/>
      <c r="Q75" s="1089"/>
      <c r="R75" s="1093"/>
      <c r="S75" s="1093"/>
      <c r="T75" s="1093"/>
      <c r="U75" s="1093"/>
      <c r="V75" s="1093"/>
      <c r="W75" s="1093"/>
      <c r="X75" s="1093"/>
      <c r="Y75" s="1093"/>
      <c r="Z75" s="1093"/>
      <c r="AA75" s="1093"/>
      <c r="AB75" s="1093"/>
      <c r="AC75" s="1093"/>
    </row>
    <row r="76" spans="1:29" s="51" customFormat="1" ht="15.75" thickBot="1">
      <c r="A76" s="402"/>
      <c r="B76" s="366"/>
      <c r="C76" s="383"/>
      <c r="D76" s="359"/>
      <c r="E76" s="359"/>
      <c r="F76" s="359"/>
      <c r="G76" s="359"/>
      <c r="H76" s="359"/>
      <c r="I76" s="359"/>
      <c r="J76" s="359"/>
      <c r="K76" s="359"/>
      <c r="L76" s="359"/>
      <c r="M76" s="360"/>
      <c r="N76" s="898"/>
      <c r="O76" s="898"/>
      <c r="P76" s="1095"/>
      <c r="Q76" s="1089"/>
      <c r="R76" s="1093"/>
      <c r="S76" s="1093"/>
      <c r="T76" s="1093"/>
      <c r="U76" s="1093"/>
      <c r="V76" s="1093"/>
      <c r="W76" s="1093"/>
      <c r="X76" s="1093"/>
      <c r="Y76" s="1093"/>
      <c r="Z76" s="1093"/>
      <c r="AA76" s="1093"/>
      <c r="AB76" s="1093"/>
      <c r="AC76" s="1093"/>
    </row>
    <row r="77" spans="1:29" s="294" customFormat="1" ht="15.75" thickTop="1">
      <c r="A77" s="376"/>
      <c r="B77" s="361">
        <f>B25</f>
        <v>111</v>
      </c>
      <c r="C77" s="377"/>
      <c r="D77" s="377"/>
      <c r="E77" s="377"/>
      <c r="F77" s="377"/>
      <c r="G77" s="377"/>
      <c r="H77" s="378"/>
      <c r="I77" s="378"/>
      <c r="J77" s="378"/>
      <c r="K77" s="378"/>
      <c r="L77" s="379"/>
      <c r="M77" s="380"/>
      <c r="N77" s="899"/>
      <c r="O77" s="899"/>
      <c r="P77" s="1096"/>
      <c r="Q77" s="1097"/>
      <c r="R77" s="1098"/>
      <c r="S77" s="1098"/>
      <c r="T77" s="1098"/>
      <c r="U77" s="1098"/>
      <c r="V77" s="1098"/>
      <c r="W77" s="1098"/>
      <c r="X77" s="1098"/>
      <c r="Y77" s="1098"/>
      <c r="Z77" s="1098"/>
      <c r="AA77" s="1098"/>
      <c r="AB77" s="1098"/>
      <c r="AC77" s="1098"/>
    </row>
    <row r="78" spans="1:29" s="294" customFormat="1" ht="15.75" thickBot="1">
      <c r="A78" s="376"/>
      <c r="B78" s="366"/>
      <c r="C78" s="383"/>
      <c r="D78" s="383"/>
      <c r="E78" s="383"/>
      <c r="F78" s="383"/>
      <c r="G78" s="359"/>
      <c r="H78" s="359"/>
      <c r="I78" s="359"/>
      <c r="J78" s="359"/>
      <c r="K78" s="359"/>
      <c r="L78" s="359"/>
      <c r="M78" s="360"/>
      <c r="N78" s="899"/>
      <c r="O78" s="899"/>
      <c r="P78" s="1096"/>
      <c r="Q78" s="1097"/>
      <c r="R78" s="1098"/>
      <c r="S78" s="1098"/>
      <c r="T78" s="1098"/>
      <c r="U78" s="1098"/>
      <c r="V78" s="1098"/>
      <c r="W78" s="1098"/>
      <c r="X78" s="1098"/>
      <c r="Y78" s="1098"/>
      <c r="Z78" s="1098"/>
      <c r="AA78" s="1098"/>
      <c r="AB78" s="1098"/>
      <c r="AC78" s="1098"/>
    </row>
    <row r="79" spans="1:29" ht="27.75" thickTop="1">
      <c r="A79" s="350" t="s">
        <v>2569</v>
      </c>
      <c r="B79" s="351" t="s">
        <v>2736</v>
      </c>
      <c r="C79" s="352">
        <f>C26</f>
        <v>0</v>
      </c>
      <c r="D79" s="353"/>
      <c r="E79" s="353"/>
      <c r="F79" s="353"/>
      <c r="G79" s="353"/>
      <c r="H79" s="353"/>
      <c r="I79" s="353"/>
      <c r="J79" s="353"/>
      <c r="K79" s="354"/>
      <c r="L79" s="355"/>
      <c r="M79" s="356"/>
      <c r="N79" s="897"/>
      <c r="O79" s="897"/>
      <c r="P79" s="1095"/>
      <c r="Q79" s="1089"/>
      <c r="R79" s="889"/>
      <c r="S79" s="889"/>
      <c r="T79" s="889"/>
      <c r="U79" s="889"/>
      <c r="V79" s="889"/>
      <c r="W79" s="889"/>
      <c r="X79" s="889"/>
      <c r="Y79" s="889"/>
      <c r="Z79" s="889"/>
      <c r="AA79" s="889"/>
      <c r="AB79" s="889"/>
      <c r="AC79" s="889"/>
    </row>
    <row r="80" spans="1:29" ht="15.75" thickBot="1">
      <c r="A80" s="357"/>
      <c r="B80" s="366"/>
      <c r="C80" s="367">
        <v>100</v>
      </c>
      <c r="D80" s="367">
        <f t="shared" ref="D80:M80" si="17">C80-$K26</f>
        <v>100</v>
      </c>
      <c r="E80" s="367">
        <f t="shared" si="17"/>
        <v>100</v>
      </c>
      <c r="F80" s="367">
        <f t="shared" si="17"/>
        <v>100</v>
      </c>
      <c r="G80" s="367">
        <f t="shared" si="17"/>
        <v>100</v>
      </c>
      <c r="H80" s="367">
        <f t="shared" si="17"/>
        <v>100</v>
      </c>
      <c r="I80" s="367">
        <f t="shared" si="17"/>
        <v>100</v>
      </c>
      <c r="J80" s="367">
        <f t="shared" si="17"/>
        <v>100</v>
      </c>
      <c r="K80" s="367">
        <f t="shared" si="17"/>
        <v>100</v>
      </c>
      <c r="L80" s="367">
        <f t="shared" si="17"/>
        <v>100</v>
      </c>
      <c r="M80" s="368">
        <f t="shared" si="17"/>
        <v>100</v>
      </c>
      <c r="N80" s="898"/>
      <c r="O80" s="898"/>
      <c r="P80" s="1095"/>
      <c r="Q80" s="1089"/>
      <c r="R80" s="889"/>
      <c r="S80" s="889"/>
      <c r="T80" s="889"/>
      <c r="U80" s="889"/>
      <c r="V80" s="889"/>
      <c r="W80" s="889"/>
      <c r="X80" s="889"/>
      <c r="Y80" s="889"/>
      <c r="Z80" s="889"/>
      <c r="AA80" s="889"/>
      <c r="AB80" s="889"/>
      <c r="AC80" s="889"/>
    </row>
    <row r="81" spans="1:29" ht="15.75" thickTop="1">
      <c r="A81" s="357"/>
      <c r="B81" s="361" t="s">
        <v>2737</v>
      </c>
      <c r="C81" s="481"/>
      <c r="D81" s="481"/>
      <c r="E81" s="481"/>
      <c r="F81" s="481"/>
      <c r="G81" s="481"/>
      <c r="H81" s="481"/>
      <c r="I81" s="481"/>
      <c r="J81" s="481"/>
      <c r="K81" s="482"/>
      <c r="L81" s="483"/>
      <c r="M81" s="484"/>
      <c r="N81" s="896"/>
      <c r="O81" s="896"/>
      <c r="P81" s="1095"/>
      <c r="Q81" s="1089"/>
      <c r="R81" s="889"/>
      <c r="S81" s="889"/>
      <c r="T81" s="889"/>
      <c r="U81" s="889"/>
      <c r="V81" s="889"/>
      <c r="W81" s="889"/>
      <c r="X81" s="889"/>
      <c r="Y81" s="889"/>
      <c r="Z81" s="889"/>
      <c r="AA81" s="889"/>
      <c r="AB81" s="889"/>
      <c r="AC81" s="889"/>
    </row>
    <row r="82" spans="1:29" s="294" customFormat="1" ht="15.75" thickBot="1">
      <c r="A82" s="376"/>
      <c r="B82" s="366"/>
      <c r="C82" s="383"/>
      <c r="D82" s="359"/>
      <c r="E82" s="359"/>
      <c r="F82" s="359"/>
      <c r="G82" s="359"/>
      <c r="H82" s="359"/>
      <c r="I82" s="359"/>
      <c r="J82" s="359"/>
      <c r="K82" s="359"/>
      <c r="L82" s="359"/>
      <c r="M82" s="360"/>
      <c r="N82" s="898"/>
      <c r="O82" s="898"/>
      <c r="P82" s="1096"/>
      <c r="Q82" s="1097"/>
      <c r="R82" s="1098"/>
      <c r="S82" s="1098"/>
      <c r="T82" s="1098"/>
      <c r="U82" s="1098"/>
      <c r="V82" s="1098"/>
      <c r="W82" s="1098"/>
      <c r="X82" s="1098"/>
      <c r="Y82" s="1098"/>
      <c r="Z82" s="1098"/>
      <c r="AA82" s="1098"/>
      <c r="AB82" s="1098"/>
      <c r="AC82" s="1098"/>
    </row>
    <row r="83" spans="1:29" ht="15" thickTop="1">
      <c r="A83" s="422"/>
      <c r="B83" s="361" t="s">
        <v>2622</v>
      </c>
      <c r="C83" s="377"/>
      <c r="D83" s="377"/>
      <c r="E83" s="406"/>
      <c r="F83" s="406"/>
      <c r="G83" s="406"/>
      <c r="H83" s="406"/>
      <c r="I83" s="406"/>
      <c r="J83" s="406"/>
      <c r="K83" s="407"/>
      <c r="L83" s="408"/>
      <c r="M83" s="409"/>
      <c r="N83" s="897"/>
      <c r="O83" s="897"/>
      <c r="P83" s="1095"/>
      <c r="Q83" s="1089"/>
      <c r="R83" s="889"/>
      <c r="S83" s="889"/>
      <c r="T83" s="889"/>
      <c r="U83" s="889"/>
      <c r="V83" s="889"/>
      <c r="W83" s="889"/>
      <c r="X83" s="889"/>
      <c r="Y83" s="889"/>
      <c r="Z83" s="889"/>
      <c r="AA83" s="889"/>
      <c r="AB83" s="889"/>
      <c r="AC83" s="889"/>
    </row>
    <row r="84" spans="1:29" ht="15.75" thickBot="1">
      <c r="A84" s="357"/>
      <c r="B84" s="366"/>
      <c r="C84" s="367">
        <v>100</v>
      </c>
      <c r="D84" s="367">
        <f t="shared" ref="D84:M84" si="18">C84-$K28</f>
        <v>100</v>
      </c>
      <c r="E84" s="367">
        <f t="shared" si="18"/>
        <v>100</v>
      </c>
      <c r="F84" s="367">
        <f t="shared" si="18"/>
        <v>100</v>
      </c>
      <c r="G84" s="367">
        <f t="shared" si="18"/>
        <v>100</v>
      </c>
      <c r="H84" s="367">
        <f t="shared" si="18"/>
        <v>100</v>
      </c>
      <c r="I84" s="367">
        <f t="shared" si="18"/>
        <v>100</v>
      </c>
      <c r="J84" s="367">
        <f t="shared" si="18"/>
        <v>100</v>
      </c>
      <c r="K84" s="367">
        <f t="shared" si="18"/>
        <v>100</v>
      </c>
      <c r="L84" s="367">
        <f t="shared" si="18"/>
        <v>100</v>
      </c>
      <c r="M84" s="368">
        <f t="shared" si="18"/>
        <v>100</v>
      </c>
      <c r="N84" s="898"/>
      <c r="O84" s="898"/>
      <c r="P84" s="1095"/>
      <c r="Q84" s="1089"/>
      <c r="R84" s="889"/>
      <c r="S84" s="889"/>
      <c r="T84" s="889"/>
      <c r="U84" s="889"/>
      <c r="V84" s="889"/>
      <c r="W84" s="889"/>
      <c r="X84" s="889"/>
      <c r="Y84" s="889"/>
      <c r="Z84" s="889"/>
      <c r="AA84" s="889"/>
      <c r="AB84" s="889"/>
      <c r="AC84" s="889"/>
    </row>
    <row r="85" spans="1:29" ht="15" thickTop="1">
      <c r="A85" s="422"/>
      <c r="B85" s="361" t="s">
        <v>2738</v>
      </c>
      <c r="C85" s="401" t="str">
        <f>C86&amp;"(含)"&amp;"-"&amp;D86</f>
        <v>0.5(含)-0.6</v>
      </c>
      <c r="D85" s="401" t="str">
        <f>D86&amp;"(含)"&amp;"-"&amp;E86</f>
        <v>0.6(含)-0.7</v>
      </c>
      <c r="E85" s="401" t="str">
        <f>E86&amp;"(含)"&amp;"-"&amp;F86</f>
        <v>0.7(含)-0.8</v>
      </c>
      <c r="F85" s="401" t="str">
        <f>F86&amp;"(含)"&amp;"-"&amp;G86</f>
        <v>0.8(含)-0.9</v>
      </c>
      <c r="G85" s="401" t="str">
        <f>G86&amp;"(含)"&amp;"-"&amp;ROUND(H86,0)&amp;"(含)"</f>
        <v>0.9(含)-1(含)</v>
      </c>
      <c r="H85" s="401"/>
      <c r="I85" s="406"/>
      <c r="J85" s="406"/>
      <c r="K85" s="407"/>
      <c r="L85" s="408"/>
      <c r="M85" s="409"/>
      <c r="N85" s="897"/>
      <c r="O85" s="897"/>
      <c r="P85" s="1095"/>
      <c r="Q85" s="1089"/>
      <c r="R85" s="889"/>
      <c r="S85" s="889"/>
      <c r="T85" s="889"/>
      <c r="U85" s="889"/>
      <c r="V85" s="889"/>
      <c r="W85" s="889"/>
      <c r="X85" s="889"/>
      <c r="Y85" s="889"/>
      <c r="Z85" s="889"/>
      <c r="AA85" s="889"/>
      <c r="AB85" s="889"/>
      <c r="AC85" s="889"/>
    </row>
    <row r="86" spans="1:29">
      <c r="A86" s="422"/>
      <c r="B86" s="369"/>
      <c r="C86" s="426">
        <v>0.5</v>
      </c>
      <c r="D86" s="426">
        <v>0.6</v>
      </c>
      <c r="E86" s="426">
        <v>0.7</v>
      </c>
      <c r="F86" s="426">
        <v>0.8</v>
      </c>
      <c r="G86" s="426">
        <v>0.9</v>
      </c>
      <c r="H86" s="426">
        <v>1.0001</v>
      </c>
      <c r="I86" s="444"/>
      <c r="J86" s="444"/>
      <c r="K86" s="445"/>
      <c r="L86" s="446"/>
      <c r="M86" s="447"/>
      <c r="N86" s="897"/>
      <c r="O86" s="897"/>
      <c r="P86" s="1095"/>
      <c r="Q86" s="1089"/>
      <c r="R86" s="889"/>
      <c r="S86" s="889"/>
      <c r="T86" s="889"/>
      <c r="U86" s="889"/>
      <c r="V86" s="889"/>
      <c r="W86" s="889"/>
      <c r="X86" s="889"/>
      <c r="Y86" s="889"/>
      <c r="Z86" s="889"/>
      <c r="AA86" s="889"/>
      <c r="AB86" s="889"/>
      <c r="AC86" s="889"/>
    </row>
    <row r="87" spans="1:29" ht="15.75" thickBot="1">
      <c r="A87" s="357"/>
      <c r="B87" s="366"/>
      <c r="C87" s="405">
        <v>100</v>
      </c>
      <c r="D87" s="367">
        <f>C87+$K$29</f>
        <v>100</v>
      </c>
      <c r="E87" s="367">
        <f t="shared" ref="E87:M87" si="19">D87+$K$29</f>
        <v>100</v>
      </c>
      <c r="F87" s="367">
        <f t="shared" si="19"/>
        <v>100</v>
      </c>
      <c r="G87" s="367">
        <f t="shared" si="19"/>
        <v>100</v>
      </c>
      <c r="H87" s="367">
        <f t="shared" si="19"/>
        <v>100</v>
      </c>
      <c r="I87" s="367">
        <f t="shared" si="19"/>
        <v>100</v>
      </c>
      <c r="J87" s="367">
        <f t="shared" si="19"/>
        <v>100</v>
      </c>
      <c r="K87" s="367">
        <f t="shared" si="19"/>
        <v>100</v>
      </c>
      <c r="L87" s="367">
        <f t="shared" si="19"/>
        <v>100</v>
      </c>
      <c r="M87" s="367">
        <f t="shared" si="19"/>
        <v>100</v>
      </c>
      <c r="N87" s="898"/>
      <c r="O87" s="898"/>
      <c r="P87" s="1095"/>
      <c r="Q87" s="1089"/>
      <c r="R87" s="889"/>
      <c r="S87" s="889"/>
      <c r="T87" s="889"/>
      <c r="U87" s="889"/>
      <c r="V87" s="889"/>
      <c r="W87" s="889"/>
      <c r="X87" s="889"/>
      <c r="Y87" s="889"/>
      <c r="Z87" s="889"/>
      <c r="AA87" s="889"/>
      <c r="AB87" s="889"/>
      <c r="AC87" s="889"/>
    </row>
    <row r="88" spans="1:29" ht="15" thickTop="1">
      <c r="A88" s="422"/>
      <c r="B88" s="369" t="s">
        <v>2739</v>
      </c>
      <c r="C88" s="353"/>
      <c r="D88" s="353"/>
      <c r="E88" s="353"/>
      <c r="F88" s="353"/>
      <c r="G88" s="353"/>
      <c r="H88" s="353"/>
      <c r="I88" s="353"/>
      <c r="J88" s="353"/>
      <c r="K88" s="354"/>
      <c r="L88" s="355"/>
      <c r="M88" s="356"/>
      <c r="N88" s="897"/>
      <c r="O88" s="897"/>
      <c r="P88" s="1095"/>
      <c r="Q88" s="1089"/>
      <c r="R88" s="889"/>
      <c r="S88" s="889"/>
      <c r="T88" s="889"/>
      <c r="U88" s="889"/>
      <c r="V88" s="889"/>
      <c r="W88" s="889"/>
      <c r="X88" s="889"/>
      <c r="Y88" s="889"/>
      <c r="Z88" s="889"/>
      <c r="AA88" s="889"/>
      <c r="AB88" s="889"/>
      <c r="AC88" s="889"/>
    </row>
    <row r="89" spans="1:29" ht="15.75" thickBot="1">
      <c r="A89" s="357"/>
      <c r="B89" s="366"/>
      <c r="C89" s="405">
        <v>100</v>
      </c>
      <c r="D89" s="367">
        <f t="shared" ref="D89:M89" si="20">C89+$K30</f>
        <v>100</v>
      </c>
      <c r="E89" s="367">
        <f t="shared" si="20"/>
        <v>100</v>
      </c>
      <c r="F89" s="367">
        <f t="shared" si="20"/>
        <v>100</v>
      </c>
      <c r="G89" s="367">
        <f t="shared" si="20"/>
        <v>100</v>
      </c>
      <c r="H89" s="367">
        <f t="shared" si="20"/>
        <v>100</v>
      </c>
      <c r="I89" s="367">
        <f t="shared" si="20"/>
        <v>100</v>
      </c>
      <c r="J89" s="367">
        <f t="shared" si="20"/>
        <v>100</v>
      </c>
      <c r="K89" s="367">
        <f t="shared" si="20"/>
        <v>100</v>
      </c>
      <c r="L89" s="367">
        <f t="shared" si="20"/>
        <v>100</v>
      </c>
      <c r="M89" s="367">
        <f t="shared" si="20"/>
        <v>100</v>
      </c>
      <c r="N89" s="898"/>
      <c r="O89" s="898"/>
      <c r="P89" s="1095"/>
      <c r="Q89" s="1089"/>
      <c r="R89" s="889"/>
      <c r="S89" s="889"/>
      <c r="T89" s="889"/>
      <c r="U89" s="889"/>
      <c r="V89" s="889"/>
      <c r="W89" s="889"/>
      <c r="X89" s="889"/>
      <c r="Y89" s="889"/>
      <c r="Z89" s="889"/>
      <c r="AA89" s="889"/>
      <c r="AB89" s="889"/>
      <c r="AC89" s="889"/>
    </row>
    <row r="90" spans="1:29" s="294" customFormat="1" ht="15" thickTop="1">
      <c r="A90" s="416"/>
      <c r="B90" s="361" t="s">
        <v>2740</v>
      </c>
      <c r="C90" s="401" t="str">
        <f>C91&amp;"(含)"&amp;"-"&amp;D91</f>
        <v>(含)-</v>
      </c>
      <c r="D90" s="401" t="str">
        <f t="shared" ref="D90:L90" si="21">D91&amp;"(含)"&amp;"-"&amp;E91</f>
        <v>(含)-</v>
      </c>
      <c r="E90" s="401" t="str">
        <f t="shared" si="21"/>
        <v>(含)-</v>
      </c>
      <c r="F90" s="401" t="str">
        <f t="shared" si="21"/>
        <v>(含)-</v>
      </c>
      <c r="G90" s="401" t="str">
        <f t="shared" si="21"/>
        <v>(含)-</v>
      </c>
      <c r="H90" s="401" t="str">
        <f t="shared" si="21"/>
        <v>(含)-</v>
      </c>
      <c r="I90" s="401" t="str">
        <f t="shared" si="21"/>
        <v>(含)-</v>
      </c>
      <c r="J90" s="401" t="str">
        <f t="shared" si="21"/>
        <v>(含)-</v>
      </c>
      <c r="K90" s="401" t="str">
        <f t="shared" si="21"/>
        <v>(含)-</v>
      </c>
      <c r="L90" s="401" t="str">
        <f t="shared" si="21"/>
        <v>(含)-</v>
      </c>
      <c r="M90" s="443" t="str">
        <f>M91&amp;"(含)"&amp;"-"&amp;P91</f>
        <v>(含)-</v>
      </c>
      <c r="N90" s="899"/>
      <c r="O90" s="899"/>
      <c r="P90" s="1096"/>
      <c r="Q90" s="1097"/>
      <c r="R90" s="1098"/>
      <c r="S90" s="1098"/>
      <c r="T90" s="1098"/>
      <c r="U90" s="1098"/>
      <c r="V90" s="1098"/>
      <c r="W90" s="1098"/>
      <c r="X90" s="1098"/>
      <c r="Y90" s="1098"/>
      <c r="Z90" s="1098"/>
      <c r="AA90" s="1098"/>
      <c r="AB90" s="1098"/>
      <c r="AC90" s="1098"/>
    </row>
    <row r="91" spans="1:29" s="294" customFormat="1">
      <c r="A91" s="416"/>
      <c r="B91" s="369"/>
      <c r="C91" s="418"/>
      <c r="D91" s="418"/>
      <c r="E91" s="418"/>
      <c r="F91" s="418"/>
      <c r="G91" s="418"/>
      <c r="H91" s="418"/>
      <c r="I91" s="418"/>
      <c r="J91" s="419"/>
      <c r="K91" s="419"/>
      <c r="L91" s="420"/>
      <c r="M91" s="421"/>
      <c r="N91" s="899"/>
      <c r="O91" s="899"/>
      <c r="P91" s="1096"/>
      <c r="Q91" s="1097"/>
      <c r="R91" s="1098"/>
      <c r="S91" s="1098"/>
      <c r="T91" s="1098"/>
      <c r="U91" s="1098"/>
      <c r="V91" s="1098"/>
      <c r="W91" s="1098"/>
      <c r="X91" s="1098"/>
      <c r="Y91" s="1098"/>
      <c r="Z91" s="1098"/>
      <c r="AA91" s="1098"/>
      <c r="AB91" s="1098"/>
      <c r="AC91" s="1098"/>
    </row>
    <row r="92" spans="1:29" s="294" customFormat="1" ht="15.75" thickBot="1">
      <c r="A92" s="376"/>
      <c r="B92" s="366"/>
      <c r="C92" s="383"/>
      <c r="D92" s="359"/>
      <c r="E92" s="359"/>
      <c r="F92" s="359"/>
      <c r="G92" s="359"/>
      <c r="H92" s="359"/>
      <c r="I92" s="359"/>
      <c r="J92" s="359"/>
      <c r="K92" s="359"/>
      <c r="L92" s="359"/>
      <c r="M92" s="360"/>
      <c r="N92" s="899"/>
      <c r="O92" s="899"/>
      <c r="P92" s="1096"/>
      <c r="Q92" s="1097"/>
      <c r="R92" s="1098"/>
      <c r="S92" s="1098"/>
      <c r="T92" s="1098"/>
      <c r="U92" s="1098"/>
      <c r="V92" s="1098"/>
      <c r="W92" s="1098"/>
      <c r="X92" s="1098"/>
      <c r="Y92" s="1098"/>
      <c r="Z92" s="1098"/>
      <c r="AA92" s="1098"/>
      <c r="AB92" s="1098"/>
      <c r="AC92" s="1098"/>
    </row>
    <row r="93" spans="1:29" ht="15" thickTop="1">
      <c r="A93" s="422"/>
      <c r="B93" s="361" t="s">
        <v>2741</v>
      </c>
      <c r="C93" s="377"/>
      <c r="D93" s="377"/>
      <c r="E93" s="406"/>
      <c r="F93" s="406"/>
      <c r="G93" s="406"/>
      <c r="H93" s="406"/>
      <c r="I93" s="406"/>
      <c r="J93" s="406"/>
      <c r="K93" s="407"/>
      <c r="L93" s="408"/>
      <c r="M93" s="409"/>
      <c r="N93" s="897"/>
      <c r="O93" s="897"/>
      <c r="P93" s="1095"/>
      <c r="Q93" s="1089"/>
      <c r="R93" s="889"/>
      <c r="S93" s="889"/>
      <c r="T93" s="889"/>
      <c r="U93" s="889"/>
      <c r="V93" s="889"/>
      <c r="W93" s="889"/>
      <c r="X93" s="889"/>
      <c r="Y93" s="889"/>
      <c r="Z93" s="889"/>
      <c r="AA93" s="889"/>
      <c r="AB93" s="889"/>
      <c r="AC93" s="889"/>
    </row>
    <row r="94" spans="1:29" ht="15.75" thickBot="1">
      <c r="A94" s="357"/>
      <c r="B94" s="366"/>
      <c r="C94" s="367">
        <v>100</v>
      </c>
      <c r="D94" s="367">
        <f t="shared" ref="D94:M94" si="22">C94-$K32</f>
        <v>100</v>
      </c>
      <c r="E94" s="367">
        <f t="shared" si="22"/>
        <v>100</v>
      </c>
      <c r="F94" s="367">
        <f t="shared" si="22"/>
        <v>100</v>
      </c>
      <c r="G94" s="367">
        <f t="shared" si="22"/>
        <v>100</v>
      </c>
      <c r="H94" s="367">
        <f t="shared" si="22"/>
        <v>100</v>
      </c>
      <c r="I94" s="367">
        <f t="shared" si="22"/>
        <v>100</v>
      </c>
      <c r="J94" s="367">
        <f t="shared" si="22"/>
        <v>100</v>
      </c>
      <c r="K94" s="367">
        <f t="shared" si="22"/>
        <v>100</v>
      </c>
      <c r="L94" s="367">
        <f t="shared" si="22"/>
        <v>100</v>
      </c>
      <c r="M94" s="368">
        <f t="shared" si="22"/>
        <v>100</v>
      </c>
      <c r="N94" s="898"/>
      <c r="O94" s="898"/>
      <c r="P94" s="1095"/>
      <c r="Q94" s="1089"/>
      <c r="R94" s="889"/>
      <c r="S94" s="889"/>
      <c r="T94" s="889"/>
      <c r="U94" s="889"/>
      <c r="V94" s="889"/>
      <c r="W94" s="889"/>
      <c r="X94" s="889"/>
      <c r="Y94" s="889"/>
      <c r="Z94" s="889"/>
      <c r="AA94" s="889"/>
      <c r="AB94" s="889"/>
      <c r="AC94" s="889"/>
    </row>
    <row r="95" spans="1:29" ht="15" thickTop="1">
      <c r="A95" s="422"/>
      <c r="B95" s="361" t="s">
        <v>2742</v>
      </c>
      <c r="C95" s="353"/>
      <c r="D95" s="353"/>
      <c r="E95" s="353"/>
      <c r="F95" s="353"/>
      <c r="G95" s="353"/>
      <c r="H95" s="353"/>
      <c r="I95" s="353"/>
      <c r="J95" s="353"/>
      <c r="K95" s="354"/>
      <c r="L95" s="355"/>
      <c r="M95" s="356"/>
      <c r="N95" s="897"/>
      <c r="O95" s="897"/>
      <c r="P95" s="1095"/>
      <c r="Q95" s="1089"/>
      <c r="R95" s="889"/>
      <c r="S95" s="889"/>
      <c r="T95" s="889"/>
      <c r="U95" s="889"/>
      <c r="V95" s="889"/>
      <c r="W95" s="889"/>
      <c r="X95" s="889"/>
      <c r="Y95" s="889"/>
      <c r="Z95" s="889"/>
      <c r="AA95" s="889"/>
      <c r="AB95" s="889"/>
      <c r="AC95" s="889"/>
    </row>
    <row r="96" spans="1:29" ht="15.75" thickBot="1">
      <c r="A96" s="357"/>
      <c r="B96" s="366"/>
      <c r="C96" s="367">
        <v>100</v>
      </c>
      <c r="D96" s="367">
        <f>C96-$K33</f>
        <v>100</v>
      </c>
      <c r="E96" s="367">
        <f>D96-$K33</f>
        <v>100</v>
      </c>
      <c r="F96" s="367">
        <f>E96-$K33</f>
        <v>100</v>
      </c>
      <c r="G96" s="367">
        <f>F96-$K33</f>
        <v>100</v>
      </c>
      <c r="H96" s="367"/>
      <c r="I96" s="367"/>
      <c r="J96" s="367"/>
      <c r="K96" s="367"/>
      <c r="L96" s="367"/>
      <c r="M96" s="368"/>
      <c r="N96" s="898"/>
      <c r="O96" s="898"/>
      <c r="P96" s="1095"/>
      <c r="Q96" s="1089"/>
      <c r="R96" s="889"/>
      <c r="S96" s="889"/>
      <c r="T96" s="889"/>
      <c r="U96" s="889"/>
      <c r="V96" s="889"/>
      <c r="W96" s="889"/>
      <c r="X96" s="889"/>
      <c r="Y96" s="889"/>
      <c r="Z96" s="889"/>
      <c r="AA96" s="889"/>
      <c r="AB96" s="889"/>
      <c r="AC96" s="889"/>
    </row>
    <row r="97" spans="1:29" ht="15" thickTop="1">
      <c r="A97" s="422"/>
      <c r="B97" s="456">
        <f>B34</f>
        <v>111</v>
      </c>
      <c r="C97" s="372"/>
      <c r="D97" s="372"/>
      <c r="E97" s="372"/>
      <c r="F97" s="372"/>
      <c r="G97" s="377"/>
      <c r="H97" s="378"/>
      <c r="I97" s="378"/>
      <c r="J97" s="378"/>
      <c r="K97" s="378"/>
      <c r="L97" s="379"/>
      <c r="M97" s="380"/>
      <c r="N97" s="898"/>
      <c r="O97" s="898"/>
      <c r="P97" s="1102"/>
      <c r="Q97" s="1103"/>
      <c r="R97" s="889"/>
      <c r="S97" s="889"/>
      <c r="T97" s="889"/>
      <c r="U97" s="889"/>
      <c r="V97" s="889"/>
      <c r="W97" s="889"/>
      <c r="X97" s="889"/>
      <c r="Y97" s="889"/>
      <c r="Z97" s="889"/>
      <c r="AA97" s="889"/>
      <c r="AB97" s="889"/>
      <c r="AC97" s="889"/>
    </row>
    <row r="98" spans="1:29" ht="15.75" thickBot="1">
      <c r="A98" s="357"/>
      <c r="B98" s="366"/>
      <c r="C98" s="383"/>
      <c r="D98" s="359"/>
      <c r="E98" s="359"/>
      <c r="F98" s="359"/>
      <c r="G98" s="383"/>
      <c r="H98" s="385"/>
      <c r="I98" s="385"/>
      <c r="J98" s="385"/>
      <c r="K98" s="385"/>
      <c r="L98" s="385"/>
      <c r="M98" s="386"/>
      <c r="N98" s="898"/>
      <c r="O98" s="898"/>
      <c r="P98" s="1095"/>
      <c r="Q98" s="1089"/>
      <c r="R98" s="889"/>
      <c r="S98" s="889"/>
      <c r="T98" s="889"/>
      <c r="U98" s="889"/>
      <c r="V98" s="889"/>
      <c r="W98" s="889"/>
      <c r="X98" s="889"/>
      <c r="Y98" s="889"/>
      <c r="Z98" s="889"/>
      <c r="AA98" s="889"/>
      <c r="AB98" s="889"/>
      <c r="AC98" s="889"/>
    </row>
    <row r="99" spans="1:29" s="294" customFormat="1" ht="15" thickTop="1">
      <c r="A99" s="416"/>
      <c r="B99" s="361">
        <f>B35</f>
        <v>111</v>
      </c>
      <c r="C99" s="372"/>
      <c r="D99" s="372"/>
      <c r="E99" s="372"/>
      <c r="F99" s="372"/>
      <c r="G99" s="377"/>
      <c r="H99" s="378"/>
      <c r="I99" s="378"/>
      <c r="J99" s="378"/>
      <c r="K99" s="378"/>
      <c r="L99" s="379"/>
      <c r="M99" s="380"/>
      <c r="N99" s="899"/>
      <c r="O99" s="899"/>
      <c r="P99" s="1096"/>
      <c r="Q99" s="1097"/>
      <c r="R99" s="1098"/>
      <c r="S99" s="1098"/>
      <c r="T99" s="1098"/>
      <c r="U99" s="1098"/>
      <c r="V99" s="1098"/>
      <c r="W99" s="1098"/>
      <c r="X99" s="1098"/>
      <c r="Y99" s="1098"/>
      <c r="Z99" s="1098"/>
      <c r="AA99" s="1098"/>
      <c r="AB99" s="1098"/>
      <c r="AC99" s="1098"/>
    </row>
    <row r="100" spans="1:29" s="294" customFormat="1" ht="15.75" thickBot="1">
      <c r="A100" s="376"/>
      <c r="B100" s="358"/>
      <c r="C100" s="383"/>
      <c r="D100" s="359"/>
      <c r="E100" s="359"/>
      <c r="F100" s="359"/>
      <c r="G100" s="383"/>
      <c r="H100" s="385"/>
      <c r="I100" s="385"/>
      <c r="J100" s="385"/>
      <c r="K100" s="385"/>
      <c r="L100" s="385"/>
      <c r="M100" s="386"/>
      <c r="N100" s="899"/>
      <c r="O100" s="899"/>
      <c r="P100" s="1096"/>
      <c r="Q100" s="1097"/>
      <c r="R100" s="1098"/>
      <c r="S100" s="1098"/>
      <c r="T100" s="1098"/>
      <c r="U100" s="1098"/>
      <c r="V100" s="1098"/>
      <c r="W100" s="1098"/>
      <c r="X100" s="1098"/>
      <c r="Y100" s="1098"/>
      <c r="Z100" s="1098"/>
      <c r="AA100" s="1098"/>
      <c r="AB100" s="1098"/>
      <c r="AC100" s="1098"/>
    </row>
    <row r="101" spans="1:29" ht="15" thickTop="1">
      <c r="A101" s="422"/>
      <c r="B101" s="361">
        <f>B36</f>
        <v>111</v>
      </c>
      <c r="C101" s="377"/>
      <c r="D101" s="377"/>
      <c r="E101" s="377"/>
      <c r="F101" s="377"/>
      <c r="G101" s="377"/>
      <c r="H101" s="378"/>
      <c r="I101" s="378"/>
      <c r="J101" s="378"/>
      <c r="K101" s="378"/>
      <c r="L101" s="379"/>
      <c r="M101" s="380"/>
      <c r="N101" s="897"/>
      <c r="O101" s="897"/>
      <c r="P101" s="1095"/>
      <c r="Q101" s="1089"/>
      <c r="R101" s="889"/>
      <c r="S101" s="889"/>
      <c r="T101" s="889"/>
      <c r="U101" s="889"/>
      <c r="V101" s="889"/>
      <c r="W101" s="889"/>
      <c r="X101" s="889"/>
      <c r="Y101" s="889"/>
      <c r="Z101" s="889"/>
      <c r="AA101" s="889"/>
      <c r="AB101" s="889"/>
      <c r="AC101" s="889"/>
    </row>
    <row r="102" spans="1:29" ht="15.75" thickBot="1">
      <c r="A102" s="357"/>
      <c r="B102" s="366"/>
      <c r="C102" s="383"/>
      <c r="D102" s="383"/>
      <c r="E102" s="383"/>
      <c r="F102" s="383"/>
      <c r="G102" s="383"/>
      <c r="H102" s="385"/>
      <c r="I102" s="385"/>
      <c r="J102" s="385"/>
      <c r="K102" s="385"/>
      <c r="L102" s="385"/>
      <c r="M102" s="386"/>
      <c r="N102" s="898"/>
      <c r="O102" s="898"/>
      <c r="P102" s="1095"/>
      <c r="Q102" s="1089"/>
      <c r="R102" s="889"/>
      <c r="S102" s="889"/>
      <c r="T102" s="889"/>
      <c r="U102" s="889"/>
      <c r="V102" s="889"/>
      <c r="W102" s="889"/>
      <c r="X102" s="889"/>
      <c r="Y102" s="889"/>
      <c r="Z102" s="889"/>
      <c r="AA102" s="889"/>
      <c r="AB102" s="889"/>
      <c r="AC102" s="889"/>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C38" sqref="C38"/>
    </sheetView>
  </sheetViews>
  <sheetFormatPr defaultRowHeight="14.25"/>
  <cols>
    <col min="1" max="1" width="10.5" style="227" customWidth="1"/>
    <col min="2" max="2" width="15.75" style="227" customWidth="1"/>
    <col min="3" max="3" width="14.375" style="227" customWidth="1"/>
    <col min="4" max="4" width="12.25" style="227" customWidth="1"/>
    <col min="5" max="5" width="14.375" style="227" customWidth="1"/>
    <col min="6" max="6" width="12.25" style="227" customWidth="1"/>
    <col min="7" max="7" width="14.5" style="227" customWidth="1"/>
    <col min="8" max="8" width="12.25" style="227" customWidth="1"/>
    <col min="9" max="9" width="14.5" style="227" customWidth="1"/>
    <col min="10" max="10" width="12.25" style="227" customWidth="1"/>
    <col min="11" max="11" width="12.25" style="318" customWidth="1"/>
    <col min="12" max="12" width="12.25" style="319" customWidth="1"/>
    <col min="13" max="15" width="12.25" style="227" customWidth="1"/>
    <col min="16" max="16" width="4.75" style="227" customWidth="1"/>
    <col min="17" max="17" width="19.5" style="227" customWidth="1"/>
    <col min="18" max="22" width="6.125" style="227" customWidth="1"/>
    <col min="23" max="23" width="5.75" style="227" customWidth="1"/>
    <col min="24" max="24" width="4.25" style="227" customWidth="1"/>
    <col min="25" max="25" width="3.5" style="227" customWidth="1"/>
    <col min="26" max="26" width="19.75" style="227" customWidth="1"/>
    <col min="27" max="28" width="9.375" style="227" customWidth="1"/>
    <col min="29" max="16384" width="9" style="227"/>
  </cols>
  <sheetData>
    <row r="1" spans="1:29" s="1292" customFormat="1" ht="28.5" customHeight="1" thickBot="1">
      <c r="A1" s="1281" t="s">
        <v>2713</v>
      </c>
      <c r="B1" s="1282"/>
      <c r="C1" s="1283" t="s">
        <v>2536</v>
      </c>
      <c r="D1" s="1284"/>
      <c r="E1" s="1293"/>
      <c r="F1" s="1789"/>
      <c r="G1" s="1294" t="s">
        <v>2649</v>
      </c>
      <c r="H1" s="1293"/>
      <c r="I1" s="1293"/>
      <c r="J1" s="1293"/>
      <c r="K1" s="1295"/>
      <c r="L1" s="1296"/>
      <c r="M1" s="1297"/>
      <c r="N1" s="1297"/>
      <c r="O1" s="1297"/>
      <c r="P1" s="1283"/>
      <c r="Q1" s="1283"/>
      <c r="R1" s="1283"/>
      <c r="S1" s="1283"/>
      <c r="T1" s="1283"/>
      <c r="U1" s="1283"/>
      <c r="V1" s="1283"/>
      <c r="W1" s="1283"/>
      <c r="X1" s="1283"/>
      <c r="Y1" s="1283"/>
      <c r="Z1" s="1283"/>
      <c r="AA1" s="1283"/>
      <c r="AB1" s="1283"/>
      <c r="AC1" s="1291"/>
    </row>
    <row r="2" spans="1:29" s="222" customFormat="1" ht="28.5" customHeight="1" thickTop="1">
      <c r="A2" s="1280" t="s">
        <v>2333</v>
      </c>
      <c r="B2" s="1084" t="e">
        <f ca="1">IF(C2="——",ROUND(C37*D3/10000,0),ROUND(C37*D3/10000,0)-D2)</f>
        <v>#DIV/0!</v>
      </c>
      <c r="C2" s="1791"/>
      <c r="D2" s="869" t="e">
        <f ca="1">SUMIF(INDIRECT("'"&amp;F2&amp;"'"&amp;"!A:A"),"承租人权益价值",INDIRECT("'"&amp;F2&amp;"'"&amp;"!c:c"))</f>
        <v>#REF!</v>
      </c>
      <c r="E2" s="1792" t="s">
        <v>2334</v>
      </c>
      <c r="F2" s="1793"/>
      <c r="G2" s="870"/>
      <c r="H2" s="870"/>
      <c r="I2" s="870"/>
      <c r="J2" s="870"/>
      <c r="K2" s="872"/>
      <c r="L2" s="873"/>
      <c r="M2" s="874"/>
      <c r="N2" s="874"/>
      <c r="O2" s="874"/>
      <c r="P2" s="550"/>
      <c r="Q2" s="550"/>
      <c r="R2" s="550"/>
      <c r="S2" s="550"/>
      <c r="T2" s="550"/>
      <c r="U2" s="550"/>
      <c r="V2" s="550"/>
      <c r="W2" s="550"/>
      <c r="X2" s="550"/>
      <c r="Y2" s="550"/>
      <c r="Z2" s="550"/>
      <c r="AA2" s="550"/>
      <c r="AB2" s="550"/>
      <c r="AC2" s="551"/>
    </row>
    <row r="3" spans="1:29" s="222" customFormat="1" ht="28.5" customHeight="1" thickBot="1">
      <c r="A3" s="73" t="s">
        <v>2335</v>
      </c>
      <c r="B3" s="432" t="e">
        <f ca="1">IF(C2="——",C37,ROUND(B2*10000/D3,0))</f>
        <v>#DIV/0!</v>
      </c>
      <c r="C3" s="224" t="s">
        <v>2650</v>
      </c>
      <c r="D3" s="223">
        <f>SUMIF('数据-汇总表'!$C19:$C33,D1,'数据-汇总表'!$E19:$E33)</f>
        <v>0</v>
      </c>
      <c r="E3" s="870"/>
      <c r="F3" s="871"/>
      <c r="G3" s="870"/>
      <c r="H3" s="870"/>
      <c r="I3" s="870"/>
      <c r="J3" s="870"/>
      <c r="K3" s="872"/>
      <c r="L3" s="873"/>
      <c r="M3" s="874"/>
      <c r="N3" s="874"/>
      <c r="O3" s="874"/>
      <c r="P3" s="550"/>
      <c r="Q3" s="550"/>
      <c r="R3" s="550"/>
      <c r="S3" s="550"/>
      <c r="T3" s="550"/>
      <c r="U3" s="550"/>
      <c r="V3" s="550"/>
      <c r="W3" s="550"/>
      <c r="X3" s="550"/>
      <c r="Y3" s="550"/>
      <c r="Z3" s="550"/>
      <c r="AA3" s="550"/>
      <c r="AB3" s="568"/>
      <c r="AC3" s="564"/>
    </row>
    <row r="4" spans="1:29" ht="15">
      <c r="A4" s="225" t="s">
        <v>2651</v>
      </c>
      <c r="B4" s="226"/>
      <c r="C4" s="3922" t="s">
        <v>2652</v>
      </c>
      <c r="D4" s="3923"/>
      <c r="E4" s="3924" t="s">
        <v>2653</v>
      </c>
      <c r="F4" s="3925"/>
      <c r="G4" s="3922" t="s">
        <v>2654</v>
      </c>
      <c r="H4" s="3923"/>
      <c r="I4" s="3922" t="s">
        <v>2655</v>
      </c>
      <c r="J4" s="3923"/>
      <c r="K4" s="433" t="s">
        <v>2656</v>
      </c>
      <c r="L4" s="875"/>
      <c r="M4" s="876"/>
      <c r="N4" s="876"/>
      <c r="O4" s="876"/>
      <c r="P4" s="3926" t="s">
        <v>2657</v>
      </c>
      <c r="Q4" s="3927"/>
      <c r="R4" s="3908" t="s">
        <v>2653</v>
      </c>
      <c r="S4" s="3909"/>
      <c r="T4" s="3908" t="s">
        <v>2654</v>
      </c>
      <c r="U4" s="3909"/>
      <c r="V4" s="3934" t="s">
        <v>2655</v>
      </c>
      <c r="W4" s="3934"/>
      <c r="X4" s="1415"/>
      <c r="Y4" s="3908" t="s">
        <v>2657</v>
      </c>
      <c r="Z4" s="3909"/>
      <c r="AA4" s="3903" t="s">
        <v>2653</v>
      </c>
      <c r="AB4" s="3904" t="s">
        <v>2654</v>
      </c>
      <c r="AC4" s="3903" t="s">
        <v>2655</v>
      </c>
    </row>
    <row r="5" spans="1:29" ht="15">
      <c r="A5" s="228"/>
      <c r="B5" s="229"/>
      <c r="C5" s="3914" t="s">
        <v>2548</v>
      </c>
      <c r="D5" s="3915"/>
      <c r="E5" s="3912" t="s">
        <v>2549</v>
      </c>
      <c r="F5" s="3913"/>
      <c r="G5" s="3914" t="s">
        <v>2550</v>
      </c>
      <c r="H5" s="3915"/>
      <c r="I5" s="3914" t="s">
        <v>2551</v>
      </c>
      <c r="J5" s="3915"/>
      <c r="K5" s="433"/>
      <c r="L5" s="875"/>
      <c r="M5" s="876"/>
      <c r="N5" s="876"/>
      <c r="O5" s="876"/>
      <c r="P5" s="3928"/>
      <c r="Q5" s="3929"/>
      <c r="R5" s="3910"/>
      <c r="S5" s="3911"/>
      <c r="T5" s="3910"/>
      <c r="U5" s="3911"/>
      <c r="V5" s="3934"/>
      <c r="W5" s="3934"/>
      <c r="X5" s="1415"/>
      <c r="Y5" s="3910"/>
      <c r="Z5" s="3911"/>
      <c r="AA5" s="3904"/>
      <c r="AB5" s="3904"/>
      <c r="AC5" s="3904"/>
    </row>
    <row r="6" spans="1:29" ht="15.75" thickBot="1">
      <c r="A6" s="230"/>
      <c r="B6" s="231"/>
      <c r="C6" s="3916" t="s">
        <v>2552</v>
      </c>
      <c r="D6" s="3917"/>
      <c r="E6" s="3918" t="s">
        <v>2552</v>
      </c>
      <c r="F6" s="3919"/>
      <c r="G6" s="3916" t="s">
        <v>2552</v>
      </c>
      <c r="H6" s="3917"/>
      <c r="I6" s="3916" t="s">
        <v>2552</v>
      </c>
      <c r="J6" s="3917"/>
      <c r="K6" s="433" t="s">
        <v>2553</v>
      </c>
      <c r="L6" s="875"/>
      <c r="M6" s="876"/>
      <c r="N6" s="876"/>
      <c r="O6" s="876"/>
      <c r="P6" s="3930"/>
      <c r="Q6" s="3931"/>
      <c r="R6" s="3910"/>
      <c r="S6" s="3911"/>
      <c r="T6" s="3932"/>
      <c r="U6" s="3933"/>
      <c r="V6" s="3934"/>
      <c r="W6" s="3934"/>
      <c r="X6" s="1415"/>
      <c r="Y6" s="3932"/>
      <c r="Z6" s="3933"/>
      <c r="AA6" s="3905"/>
      <c r="AB6" s="3905"/>
      <c r="AC6" s="3905"/>
    </row>
    <row r="7" spans="1:29" s="51" customFormat="1" ht="15.75" thickBot="1">
      <c r="A7" s="232" t="s">
        <v>2554</v>
      </c>
      <c r="B7" s="233"/>
      <c r="C7" s="234">
        <f>'数据-取费表'!B2</f>
        <v>43071</v>
      </c>
      <c r="D7" s="235">
        <v>100</v>
      </c>
      <c r="E7" s="236"/>
      <c r="F7" s="237">
        <f>SUMIF(46:46,YEAR(E7)&amp;"-"&amp;MONTH(E7),47:47)</f>
        <v>0</v>
      </c>
      <c r="G7" s="1892"/>
      <c r="H7" s="235">
        <f>SUMIF(46:46,YEAR(G7)&amp;"-"&amp;MONTH(G7),47:47)</f>
        <v>0</v>
      </c>
      <c r="I7" s="236"/>
      <c r="J7" s="235">
        <f>SUMIF(46:46,YEAR(I7)&amp;"-"&amp;MONTH(I7),47:47)</f>
        <v>0</v>
      </c>
      <c r="K7" s="434"/>
      <c r="L7" s="877"/>
      <c r="M7" s="878"/>
      <c r="N7" s="878"/>
      <c r="O7" s="878"/>
      <c r="P7" s="3906" t="s">
        <v>2555</v>
      </c>
      <c r="Q7" s="3935"/>
      <c r="R7" s="552" t="s">
        <v>17</v>
      </c>
      <c r="S7" s="553">
        <f t="shared" ref="S7:S14" si="0">F7</f>
        <v>0</v>
      </c>
      <c r="T7" s="552" t="s">
        <v>17</v>
      </c>
      <c r="U7" s="553">
        <f t="shared" ref="U7:U14" si="1">H7</f>
        <v>0</v>
      </c>
      <c r="V7" s="552" t="s">
        <v>17</v>
      </c>
      <c r="W7" s="553">
        <f t="shared" ref="W7:W14" si="2">J7</f>
        <v>0</v>
      </c>
      <c r="X7" s="554"/>
      <c r="Y7" s="3906" t="s">
        <v>2555</v>
      </c>
      <c r="Z7" s="3907"/>
      <c r="AA7" s="555" t="e">
        <f>D7/F7</f>
        <v>#DIV/0!</v>
      </c>
      <c r="AB7" s="555" t="e">
        <f>D7/H7</f>
        <v>#DIV/0!</v>
      </c>
      <c r="AC7" s="555" t="e">
        <f>D7/J7</f>
        <v>#DIV/0!</v>
      </c>
    </row>
    <row r="8" spans="1:29" s="51" customFormat="1" ht="15.75" thickBot="1">
      <c r="A8" s="232" t="s">
        <v>2556</v>
      </c>
      <c r="B8" s="233"/>
      <c r="C8" s="238" t="s">
        <v>2658</v>
      </c>
      <c r="D8" s="235">
        <v>100</v>
      </c>
      <c r="E8" s="238"/>
      <c r="F8" s="237">
        <f>SUMIF(49:49,E8,50:50)-SUMIF(49:49,C8,50:50)+100</f>
        <v>0</v>
      </c>
      <c r="G8" s="238"/>
      <c r="H8" s="235">
        <f>SUMIF(49:49,G8,50:50)-SUMIF(49:49,C8,50:50)+100</f>
        <v>0</v>
      </c>
      <c r="I8" s="238"/>
      <c r="J8" s="235">
        <f>SUMIF(49:49,I8,50:50)-SUMIF(49:49,C8,50:50)+100</f>
        <v>0</v>
      </c>
      <c r="K8" s="434"/>
      <c r="L8" s="877"/>
      <c r="M8" s="878"/>
      <c r="N8" s="878"/>
      <c r="O8" s="878"/>
      <c r="P8" s="3906" t="s">
        <v>2558</v>
      </c>
      <c r="Q8" s="3907"/>
      <c r="R8" s="552" t="s">
        <v>17</v>
      </c>
      <c r="S8" s="553">
        <f t="shared" si="0"/>
        <v>0</v>
      </c>
      <c r="T8" s="552" t="s">
        <v>17</v>
      </c>
      <c r="U8" s="553">
        <f t="shared" si="1"/>
        <v>0</v>
      </c>
      <c r="V8" s="552" t="s">
        <v>17</v>
      </c>
      <c r="W8" s="553">
        <f t="shared" si="2"/>
        <v>0</v>
      </c>
      <c r="X8" s="554"/>
      <c r="Y8" s="3906" t="s">
        <v>2558</v>
      </c>
      <c r="Z8" s="3907"/>
      <c r="AA8" s="555" t="e">
        <f t="shared" ref="AA8:AA34" si="3">D8/F8</f>
        <v>#DIV/0!</v>
      </c>
      <c r="AB8" s="555" t="e">
        <f t="shared" ref="AB8:AB34" si="4">D8/H8</f>
        <v>#DIV/0!</v>
      </c>
      <c r="AC8" s="555" t="e">
        <f t="shared" ref="AC8:AC34" si="5">D8/J8</f>
        <v>#DIV/0!</v>
      </c>
    </row>
    <row r="9" spans="1:29" s="51" customFormat="1">
      <c r="A9" s="239" t="s">
        <v>2559</v>
      </c>
      <c r="B9" s="45" t="s">
        <v>2560</v>
      </c>
      <c r="C9" s="240"/>
      <c r="D9" s="52">
        <v>100</v>
      </c>
      <c r="E9" s="243"/>
      <c r="F9" s="242">
        <f>SUMIF(51:51,E9,52:52)-SUMIF(51:51,C9,52:52)+100</f>
        <v>100</v>
      </c>
      <c r="G9" s="243"/>
      <c r="H9" s="52">
        <f>SUMIF(51:51,G9,52:52)-SUMIF(51:51,C9,52:52)+100</f>
        <v>100</v>
      </c>
      <c r="I9" s="243"/>
      <c r="J9" s="52">
        <f>SUMIF(51:51,I9,52:52)-SUMIF(51:51,C9,52:52)+100</f>
        <v>100</v>
      </c>
      <c r="K9" s="434"/>
      <c r="L9" s="877"/>
      <c r="M9" s="878"/>
      <c r="N9" s="878"/>
      <c r="O9" s="879"/>
      <c r="P9" s="3939" t="s">
        <v>2561</v>
      </c>
      <c r="Q9" s="1403" t="str">
        <f t="shared" ref="Q9:Q14" si="6">B9</f>
        <v>用途</v>
      </c>
      <c r="R9" s="552" t="s">
        <v>17</v>
      </c>
      <c r="S9" s="553">
        <f t="shared" si="0"/>
        <v>100</v>
      </c>
      <c r="T9" s="552" t="s">
        <v>17</v>
      </c>
      <c r="U9" s="553">
        <f t="shared" si="1"/>
        <v>100</v>
      </c>
      <c r="V9" s="552" t="s">
        <v>17</v>
      </c>
      <c r="W9" s="553">
        <f t="shared" si="2"/>
        <v>100</v>
      </c>
      <c r="X9" s="554"/>
      <c r="Y9" s="3921" t="s">
        <v>2562</v>
      </c>
      <c r="Z9" s="40" t="str">
        <f t="shared" ref="Z9:Z14" si="7">Q9</f>
        <v>用途</v>
      </c>
      <c r="AA9" s="555">
        <f t="shared" si="3"/>
        <v>1</v>
      </c>
      <c r="AB9" s="555">
        <f t="shared" si="4"/>
        <v>1</v>
      </c>
      <c r="AC9" s="555">
        <f t="shared" si="5"/>
        <v>1</v>
      </c>
    </row>
    <row r="10" spans="1:29" s="250" customFormat="1" ht="27">
      <c r="A10" s="244"/>
      <c r="B10" s="245" t="s">
        <v>2563</v>
      </c>
      <c r="C10" s="246"/>
      <c r="D10" s="53">
        <v>100</v>
      </c>
      <c r="E10" s="246"/>
      <c r="F10" s="248">
        <f>SUMIF(53:53,E10,54:54)-SUMIF(53:53,C10,54:54)+100</f>
        <v>100</v>
      </c>
      <c r="G10" s="246"/>
      <c r="H10" s="53">
        <f>SUMIF(53:53,G10,54:54)-SUMIF(53:53,C10,54:54)+100</f>
        <v>100</v>
      </c>
      <c r="I10" s="246"/>
      <c r="J10" s="53">
        <f>SUMIF(53:53,I10,54:54)-SUMIF(53:53,C10,54:54)+100</f>
        <v>100</v>
      </c>
      <c r="K10" s="435"/>
      <c r="L10" s="880"/>
      <c r="M10" s="881"/>
      <c r="N10" s="881"/>
      <c r="O10" s="882"/>
      <c r="P10" s="3939"/>
      <c r="Q10" s="1403" t="str">
        <f t="shared" si="6"/>
        <v>土地使用年限（年）</v>
      </c>
      <c r="R10" s="552" t="s">
        <v>17</v>
      </c>
      <c r="S10" s="553">
        <f t="shared" si="0"/>
        <v>100</v>
      </c>
      <c r="T10" s="552" t="s">
        <v>17</v>
      </c>
      <c r="U10" s="553">
        <f t="shared" si="1"/>
        <v>100</v>
      </c>
      <c r="V10" s="552" t="s">
        <v>17</v>
      </c>
      <c r="W10" s="553">
        <f t="shared" si="2"/>
        <v>100</v>
      </c>
      <c r="X10" s="554"/>
      <c r="Y10" s="3921"/>
      <c r="Z10" s="40" t="str">
        <f t="shared" si="7"/>
        <v>土地使用年限（年）</v>
      </c>
      <c r="AA10" s="555">
        <f t="shared" si="3"/>
        <v>1</v>
      </c>
      <c r="AB10" s="555">
        <f t="shared" si="4"/>
        <v>1</v>
      </c>
      <c r="AC10" s="555">
        <f t="shared" si="5"/>
        <v>1</v>
      </c>
    </row>
    <row r="11" spans="1:29" ht="15">
      <c r="A11" s="251"/>
      <c r="B11" s="1805">
        <v>111</v>
      </c>
      <c r="C11" s="255"/>
      <c r="D11" s="53">
        <v>100</v>
      </c>
      <c r="E11" s="292"/>
      <c r="F11" s="248">
        <f>SUMIF(55:55,E11,56:56)-SUMIF(55:55,C11,56:56)+100</f>
        <v>100</v>
      </c>
      <c r="G11" s="292"/>
      <c r="H11" s="53">
        <f>SUMIF(55:55,G11,56:56)-SUMIF(55:55,C11,56:56)+100</f>
        <v>100</v>
      </c>
      <c r="I11" s="292"/>
      <c r="J11" s="53">
        <f>SUMIF(55:55,I11,56:56)-SUMIF(55:55,C11,56:56)+100</f>
        <v>100</v>
      </c>
      <c r="K11" s="436"/>
      <c r="L11" s="883"/>
      <c r="M11" s="876"/>
      <c r="N11" s="876"/>
      <c r="O11" s="884"/>
      <c r="P11" s="3939"/>
      <c r="Q11" s="1403">
        <f t="shared" si="6"/>
        <v>111</v>
      </c>
      <c r="R11" s="552" t="s">
        <v>17</v>
      </c>
      <c r="S11" s="553">
        <f t="shared" si="0"/>
        <v>100</v>
      </c>
      <c r="T11" s="552" t="s">
        <v>17</v>
      </c>
      <c r="U11" s="553">
        <f t="shared" si="1"/>
        <v>100</v>
      </c>
      <c r="V11" s="552" t="s">
        <v>17</v>
      </c>
      <c r="W11" s="553">
        <f t="shared" si="2"/>
        <v>100</v>
      </c>
      <c r="X11" s="554"/>
      <c r="Y11" s="3921"/>
      <c r="Z11" s="40">
        <f t="shared" si="7"/>
        <v>111</v>
      </c>
      <c r="AA11" s="555">
        <f t="shared" si="3"/>
        <v>1</v>
      </c>
      <c r="AB11" s="555">
        <f t="shared" si="4"/>
        <v>1</v>
      </c>
      <c r="AC11" s="555">
        <f t="shared" si="5"/>
        <v>1</v>
      </c>
    </row>
    <row r="12" spans="1:29" s="51" customFormat="1" ht="15">
      <c r="A12" s="254"/>
      <c r="B12" s="1805">
        <v>111</v>
      </c>
      <c r="C12" s="255"/>
      <c r="D12" s="256">
        <v>100</v>
      </c>
      <c r="E12" s="292"/>
      <c r="F12" s="248">
        <f>SUMIF(57:57,E12,58:58)-SUMIF(57:57,C12,58:58)+100</f>
        <v>100</v>
      </c>
      <c r="G12" s="292"/>
      <c r="H12" s="53">
        <f>SUMIF(57:57,G12,58:58)-SUMIF(57:57,C12,58:58)+100</f>
        <v>100</v>
      </c>
      <c r="I12" s="292"/>
      <c r="J12" s="53">
        <f>SUMIF(57:57,I12,58:58)-SUMIF(57:57,C12,58:58)+100</f>
        <v>100</v>
      </c>
      <c r="K12" s="436"/>
      <c r="L12" s="877"/>
      <c r="M12" s="878"/>
      <c r="N12" s="878"/>
      <c r="O12" s="879"/>
      <c r="P12" s="3939"/>
      <c r="Q12" s="1403">
        <f t="shared" si="6"/>
        <v>111</v>
      </c>
      <c r="R12" s="552" t="s">
        <v>17</v>
      </c>
      <c r="S12" s="553">
        <f t="shared" si="0"/>
        <v>100</v>
      </c>
      <c r="T12" s="552" t="s">
        <v>17</v>
      </c>
      <c r="U12" s="553">
        <f t="shared" si="1"/>
        <v>100</v>
      </c>
      <c r="V12" s="552" t="s">
        <v>17</v>
      </c>
      <c r="W12" s="553">
        <f t="shared" si="2"/>
        <v>100</v>
      </c>
      <c r="X12" s="554"/>
      <c r="Y12" s="3921"/>
      <c r="Z12" s="40">
        <f t="shared" si="7"/>
        <v>111</v>
      </c>
      <c r="AA12" s="555">
        <f>D12/F12</f>
        <v>1</v>
      </c>
      <c r="AB12" s="555">
        <f>D12/H12</f>
        <v>1</v>
      </c>
      <c r="AC12" s="555">
        <f>D12/J12</f>
        <v>1</v>
      </c>
    </row>
    <row r="13" spans="1:29" ht="15.75" thickBot="1">
      <c r="A13" s="251"/>
      <c r="B13" s="1805">
        <v>111</v>
      </c>
      <c r="C13" s="257"/>
      <c r="D13" s="258">
        <v>100</v>
      </c>
      <c r="E13" s="292"/>
      <c r="F13" s="248">
        <f>SUMIF(59:59,E13,60:60)-SUMIF(59:59,C13,60:60)+100</f>
        <v>100</v>
      </c>
      <c r="G13" s="1893"/>
      <c r="H13" s="261">
        <f>SUMIF(59:59,G13,60:60)-SUMIF(59:59,C13,60:60)+100</f>
        <v>100</v>
      </c>
      <c r="I13" s="292"/>
      <c r="J13" s="258">
        <f>SUMIF(59:59,I13,60:60)-SUMIF(59:59,C13,60:60)+100</f>
        <v>100</v>
      </c>
      <c r="K13" s="436"/>
      <c r="L13" s="885"/>
      <c r="M13" s="876"/>
      <c r="N13" s="876"/>
      <c r="O13" s="884"/>
      <c r="P13" s="3939"/>
      <c r="Q13" s="1403">
        <f t="shared" si="6"/>
        <v>111</v>
      </c>
      <c r="R13" s="552" t="s">
        <v>17</v>
      </c>
      <c r="S13" s="553">
        <f t="shared" si="0"/>
        <v>100</v>
      </c>
      <c r="T13" s="552" t="s">
        <v>17</v>
      </c>
      <c r="U13" s="553">
        <f t="shared" si="1"/>
        <v>100</v>
      </c>
      <c r="V13" s="552" t="s">
        <v>17</v>
      </c>
      <c r="W13" s="553">
        <f t="shared" si="2"/>
        <v>100</v>
      </c>
      <c r="X13" s="554"/>
      <c r="Y13" s="3921"/>
      <c r="Z13" s="40">
        <f t="shared" si="7"/>
        <v>111</v>
      </c>
      <c r="AA13" s="555">
        <f t="shared" si="3"/>
        <v>1</v>
      </c>
      <c r="AB13" s="555">
        <f t="shared" si="4"/>
        <v>1</v>
      </c>
      <c r="AC13" s="555">
        <f t="shared" si="5"/>
        <v>1</v>
      </c>
    </row>
    <row r="14" spans="1:29" ht="85.5">
      <c r="A14" s="263" t="s">
        <v>2565</v>
      </c>
      <c r="B14" s="43" t="s">
        <v>2715</v>
      </c>
      <c r="C14" s="1889" t="str">
        <f>IF(B1="工业",估价对象房地状况!G4,估价对象房地状况!C6)</f>
        <v>估价对象周边道路状况、公共交通通达情况、停车便捷程度，综合评价交通便捷度较好</v>
      </c>
      <c r="D14" s="264">
        <v>100</v>
      </c>
      <c r="E14" s="265"/>
      <c r="F14" s="266">
        <f>SUMIF(61:61,E15,62:62)-SUMIF(61:61,C15,62:62)+100</f>
        <v>100</v>
      </c>
      <c r="G14" s="267"/>
      <c r="H14" s="264">
        <f>SUMIF(61:61,G15,62:62)-SUMIF(61:61,C15,62:62)+100</f>
        <v>100</v>
      </c>
      <c r="I14" s="265"/>
      <c r="J14" s="264">
        <f>SUMIF(61:61,I15,62:62)-SUMIF(61:61,C15,62:62)+100</f>
        <v>100</v>
      </c>
      <c r="K14" s="437"/>
      <c r="L14" s="885"/>
      <c r="M14" s="876"/>
      <c r="N14" s="876"/>
      <c r="O14" s="884"/>
      <c r="P14" s="3941" t="s">
        <v>2566</v>
      </c>
      <c r="Q14" s="1412" t="str">
        <f t="shared" si="6"/>
        <v>交通便捷度</v>
      </c>
      <c r="R14" s="556" t="s">
        <v>17</v>
      </c>
      <c r="S14" s="557">
        <f t="shared" si="0"/>
        <v>100</v>
      </c>
      <c r="T14" s="556" t="s">
        <v>17</v>
      </c>
      <c r="U14" s="557">
        <f t="shared" si="1"/>
        <v>100</v>
      </c>
      <c r="V14" s="556" t="s">
        <v>17</v>
      </c>
      <c r="W14" s="557">
        <f t="shared" si="2"/>
        <v>100</v>
      </c>
      <c r="X14" s="1415"/>
      <c r="Y14" s="3941" t="s">
        <v>2566</v>
      </c>
      <c r="Z14" s="1416" t="str">
        <f t="shared" si="7"/>
        <v>交通便捷度</v>
      </c>
      <c r="AA14" s="1413">
        <f t="shared" si="3"/>
        <v>1</v>
      </c>
      <c r="AB14" s="1413">
        <f t="shared" si="4"/>
        <v>1</v>
      </c>
      <c r="AC14" s="1413">
        <f t="shared" si="5"/>
        <v>1</v>
      </c>
    </row>
    <row r="15" spans="1:29" ht="15">
      <c r="A15" s="251"/>
      <c r="B15" s="269"/>
      <c r="C15" s="270"/>
      <c r="D15" s="271"/>
      <c r="E15" s="270"/>
      <c r="F15" s="272"/>
      <c r="G15" s="270"/>
      <c r="H15" s="273"/>
      <c r="I15" s="270"/>
      <c r="J15" s="271"/>
      <c r="K15" s="438"/>
      <c r="L15" s="885"/>
      <c r="M15" s="876"/>
      <c r="N15" s="876"/>
      <c r="O15" s="884"/>
      <c r="P15" s="3942"/>
      <c r="Q15" s="1412"/>
      <c r="R15" s="556"/>
      <c r="S15" s="557"/>
      <c r="T15" s="556"/>
      <c r="U15" s="557"/>
      <c r="V15" s="556"/>
      <c r="W15" s="557"/>
      <c r="X15" s="1415"/>
      <c r="Y15" s="3942"/>
      <c r="Z15" s="1416"/>
      <c r="AA15" s="1413">
        <v>1</v>
      </c>
      <c r="AB15" s="1413">
        <v>1</v>
      </c>
      <c r="AC15" s="1413">
        <v>1</v>
      </c>
    </row>
    <row r="16" spans="1:29" ht="42.75">
      <c r="A16" s="251"/>
      <c r="B16" s="274" t="s">
        <v>2694</v>
      </c>
      <c r="C16" s="1812" t="str">
        <f>IF(B1="工业",估价对象房地状况!G5,估价对象房地状况!C7)</f>
        <v>估价对象所在区域公共配套设施齐备情况</v>
      </c>
      <c r="D16" s="278">
        <v>100</v>
      </c>
      <c r="E16" s="280"/>
      <c r="F16" s="281">
        <f>SUMIF(63:63,E17,64:64)-SUMIF(63:63,C17,64:64)+100</f>
        <v>100</v>
      </c>
      <c r="G16" s="282"/>
      <c r="H16" s="278">
        <f>SUMIF(63:63,G17,64:64)-SUMIF(63:63,C17,64:64)+100</f>
        <v>100</v>
      </c>
      <c r="I16" s="280"/>
      <c r="J16" s="278">
        <f>SUMIF(63:63,I17,64:64)-SUMIF(63:63,C17,64:64)+100</f>
        <v>100</v>
      </c>
      <c r="K16" s="437"/>
      <c r="L16" s="885"/>
      <c r="M16" s="876"/>
      <c r="N16" s="876"/>
      <c r="O16" s="884"/>
      <c r="P16" s="3942"/>
      <c r="Q16" s="1412" t="str">
        <f>B16</f>
        <v>公共配套设施</v>
      </c>
      <c r="R16" s="556" t="s">
        <v>17</v>
      </c>
      <c r="S16" s="557">
        <f>F16</f>
        <v>100</v>
      </c>
      <c r="T16" s="556" t="s">
        <v>17</v>
      </c>
      <c r="U16" s="557">
        <f>H16</f>
        <v>100</v>
      </c>
      <c r="V16" s="556" t="s">
        <v>17</v>
      </c>
      <c r="W16" s="557">
        <f>J16</f>
        <v>100</v>
      </c>
      <c r="X16" s="1415"/>
      <c r="Y16" s="3942"/>
      <c r="Z16" s="1416" t="str">
        <f>Q16</f>
        <v>公共配套设施</v>
      </c>
      <c r="AA16" s="1413">
        <f t="shared" si="3"/>
        <v>1</v>
      </c>
      <c r="AB16" s="1413">
        <f t="shared" si="4"/>
        <v>1</v>
      </c>
      <c r="AC16" s="1413">
        <f t="shared" si="5"/>
        <v>1</v>
      </c>
    </row>
    <row r="17" spans="1:29" ht="15">
      <c r="A17" s="251"/>
      <c r="B17" s="279"/>
      <c r="C17" s="1813"/>
      <c r="D17" s="271"/>
      <c r="E17" s="270"/>
      <c r="F17" s="272"/>
      <c r="G17" s="270"/>
      <c r="H17" s="271"/>
      <c r="I17" s="270"/>
      <c r="J17" s="271"/>
      <c r="K17" s="438"/>
      <c r="L17" s="885"/>
      <c r="M17" s="876"/>
      <c r="N17" s="876"/>
      <c r="O17" s="884"/>
      <c r="P17" s="3942"/>
      <c r="Q17" s="1412"/>
      <c r="R17" s="556"/>
      <c r="S17" s="557"/>
      <c r="T17" s="556"/>
      <c r="U17" s="557"/>
      <c r="V17" s="556"/>
      <c r="W17" s="557"/>
      <c r="X17" s="1415"/>
      <c r="Y17" s="3942"/>
      <c r="Z17" s="1416"/>
      <c r="AA17" s="1413">
        <v>1</v>
      </c>
      <c r="AB17" s="1413">
        <v>1</v>
      </c>
      <c r="AC17" s="1413">
        <v>1</v>
      </c>
    </row>
    <row r="18" spans="1:29" ht="28.5">
      <c r="A18" s="251"/>
      <c r="B18" s="1061" t="s">
        <v>2695</v>
      </c>
      <c r="C18" s="1812" t="str">
        <f>IF(B1="工业",估价对象房地状况!G6,估价对象房地状况!C8)</f>
        <v>估价对象所在区域基础设施水平</v>
      </c>
      <c r="D18" s="278">
        <v>100</v>
      </c>
      <c r="E18" s="275"/>
      <c r="F18" s="281">
        <f>SUMIF(65:65,E19,66:66)-SUMIF(65:65,C19,66:66)+100</f>
        <v>100</v>
      </c>
      <c r="G18" s="277"/>
      <c r="H18" s="278">
        <f>SUMIF(65:65,G19,66:66)-SUMIF(65:65,C19,66:66)+100</f>
        <v>100</v>
      </c>
      <c r="I18" s="280"/>
      <c r="J18" s="278">
        <f>SUMIF(65:65,I19,66:66)-SUMIF(65:65,C19,66:66)+100</f>
        <v>100</v>
      </c>
      <c r="K18" s="437"/>
      <c r="L18" s="885"/>
      <c r="M18" s="876"/>
      <c r="N18" s="876"/>
      <c r="O18" s="884"/>
      <c r="P18" s="3942"/>
      <c r="Q18" s="1412" t="str">
        <f>B18</f>
        <v>基础设施水平</v>
      </c>
      <c r="R18" s="556" t="s">
        <v>17</v>
      </c>
      <c r="S18" s="557">
        <f>F18</f>
        <v>100</v>
      </c>
      <c r="T18" s="556" t="s">
        <v>17</v>
      </c>
      <c r="U18" s="557">
        <f>H18</f>
        <v>100</v>
      </c>
      <c r="V18" s="556" t="s">
        <v>17</v>
      </c>
      <c r="W18" s="557">
        <f>J18</f>
        <v>100</v>
      </c>
      <c r="X18" s="1415"/>
      <c r="Y18" s="3942"/>
      <c r="Z18" s="1416" t="str">
        <f>Q18</f>
        <v>基础设施水平</v>
      </c>
      <c r="AA18" s="1413">
        <f t="shared" ref="AA18" si="8">D18/F18</f>
        <v>1</v>
      </c>
      <c r="AB18" s="1413">
        <f t="shared" ref="AB18" si="9">D18/H18</f>
        <v>1</v>
      </c>
      <c r="AC18" s="1413">
        <f t="shared" ref="AC18" si="10">D18/J18</f>
        <v>1</v>
      </c>
    </row>
    <row r="19" spans="1:29" ht="15">
      <c r="A19" s="251"/>
      <c r="B19" s="1061"/>
      <c r="C19" s="1813"/>
      <c r="D19" s="273"/>
      <c r="E19" s="1813"/>
      <c r="F19" s="276"/>
      <c r="G19" s="1813"/>
      <c r="H19" s="271"/>
      <c r="I19" s="270"/>
      <c r="J19" s="271"/>
      <c r="K19" s="1060"/>
      <c r="L19" s="885"/>
      <c r="M19" s="876"/>
      <c r="N19" s="876"/>
      <c r="O19" s="884"/>
      <c r="P19" s="3942"/>
      <c r="Q19" s="1412"/>
      <c r="R19" s="556"/>
      <c r="S19" s="557"/>
      <c r="T19" s="556"/>
      <c r="U19" s="557"/>
      <c r="V19" s="556"/>
      <c r="W19" s="557"/>
      <c r="X19" s="1415"/>
      <c r="Y19" s="3942"/>
      <c r="Z19" s="1416"/>
      <c r="AA19" s="1413">
        <v>1</v>
      </c>
      <c r="AB19" s="1413">
        <v>1</v>
      </c>
      <c r="AC19" s="1413">
        <v>1</v>
      </c>
    </row>
    <row r="20" spans="1:29" ht="57">
      <c r="A20" s="251"/>
      <c r="B20" s="274" t="s">
        <v>2716</v>
      </c>
      <c r="C20" s="1812" t="str">
        <f>IF(B1="工业",估价对象房地状况!G7,估价对象房地状况!C9)</f>
        <v>区域自然环境：；人文环境；综合评价环境状况一般</v>
      </c>
      <c r="D20" s="278">
        <v>100</v>
      </c>
      <c r="E20" s="280"/>
      <c r="F20" s="281">
        <f>SUMIF(67:67,E21,68:68)-SUMIF(67:67,C21,68:68)+100</f>
        <v>100</v>
      </c>
      <c r="G20" s="282"/>
      <c r="H20" s="273">
        <f>SUMIF(67:67,G21,68:68)-SUMIF(67:67,C21,68:68)+100</f>
        <v>100</v>
      </c>
      <c r="I20" s="275"/>
      <c r="J20" s="273">
        <f>SUMIF(67:67,I21,68:68)-SUMIF(67:67,C21,68:68)+100</f>
        <v>100</v>
      </c>
      <c r="K20" s="437"/>
      <c r="L20" s="885"/>
      <c r="M20" s="876"/>
      <c r="N20" s="876"/>
      <c r="O20" s="884"/>
      <c r="P20" s="3942"/>
      <c r="Q20" s="1412" t="str">
        <f>B20</f>
        <v>自然及人文环境</v>
      </c>
      <c r="R20" s="556" t="s">
        <v>17</v>
      </c>
      <c r="S20" s="557">
        <f>F20</f>
        <v>100</v>
      </c>
      <c r="T20" s="556" t="s">
        <v>17</v>
      </c>
      <c r="U20" s="557">
        <f>H20</f>
        <v>100</v>
      </c>
      <c r="V20" s="556" t="s">
        <v>17</v>
      </c>
      <c r="W20" s="557">
        <f>J20</f>
        <v>100</v>
      </c>
      <c r="X20" s="1415"/>
      <c r="Y20" s="3942"/>
      <c r="Z20" s="1416" t="str">
        <f>Q20</f>
        <v>自然及人文环境</v>
      </c>
      <c r="AA20" s="1413">
        <f t="shared" si="3"/>
        <v>1</v>
      </c>
      <c r="AB20" s="1413">
        <f t="shared" si="4"/>
        <v>1</v>
      </c>
      <c r="AC20" s="1413">
        <f t="shared" si="5"/>
        <v>1</v>
      </c>
    </row>
    <row r="21" spans="1:29" ht="15">
      <c r="A21" s="251"/>
      <c r="B21" s="279"/>
      <c r="C21" s="270"/>
      <c r="D21" s="271"/>
      <c r="E21" s="270"/>
      <c r="F21" s="272"/>
      <c r="G21" s="270"/>
      <c r="H21" s="271"/>
      <c r="I21" s="270"/>
      <c r="J21" s="271"/>
      <c r="K21" s="438"/>
      <c r="L21" s="885"/>
      <c r="M21" s="876"/>
      <c r="N21" s="876"/>
      <c r="O21" s="884"/>
      <c r="P21" s="3942"/>
      <c r="Q21" s="1412"/>
      <c r="R21" s="556"/>
      <c r="S21" s="557"/>
      <c r="T21" s="556"/>
      <c r="U21" s="557"/>
      <c r="V21" s="556"/>
      <c r="W21" s="557"/>
      <c r="X21" s="1415"/>
      <c r="Y21" s="3942"/>
      <c r="Z21" s="1416"/>
      <c r="AA21" s="1413">
        <v>1</v>
      </c>
      <c r="AB21" s="1413">
        <v>1</v>
      </c>
      <c r="AC21" s="1413">
        <v>1</v>
      </c>
    </row>
    <row r="22" spans="1:29" ht="15">
      <c r="A22" s="251"/>
      <c r="B22" s="274" t="s">
        <v>2717</v>
      </c>
      <c r="C22" s="439"/>
      <c r="D22" s="273">
        <v>100</v>
      </c>
      <c r="E22" s="439"/>
      <c r="F22" s="284">
        <f>SUMIF(69:69,E22,70:70)-SUMIF(69:69,C22,70:70)+100</f>
        <v>100</v>
      </c>
      <c r="G22" s="439"/>
      <c r="H22" s="258">
        <f>SUMIF(69:69,G22,70:70)-SUMIF(69:69,C22,70:70)+100</f>
        <v>100</v>
      </c>
      <c r="I22" s="439"/>
      <c r="J22" s="258">
        <f>SUMIF(69:69,I22,70:70)-SUMIF(69:69,C22,70:70)+100</f>
        <v>100</v>
      </c>
      <c r="K22" s="435"/>
      <c r="L22" s="885"/>
      <c r="M22" s="876"/>
      <c r="N22" s="876"/>
      <c r="O22" s="884"/>
      <c r="P22" s="3942"/>
      <c r="Q22" s="1412" t="str">
        <f>B22</f>
        <v>楼层</v>
      </c>
      <c r="R22" s="556" t="s">
        <v>17</v>
      </c>
      <c r="S22" s="557">
        <f>F22</f>
        <v>100</v>
      </c>
      <c r="T22" s="556" t="s">
        <v>17</v>
      </c>
      <c r="U22" s="557">
        <f>H22</f>
        <v>100</v>
      </c>
      <c r="V22" s="556" t="s">
        <v>17</v>
      </c>
      <c r="W22" s="557">
        <f>J22</f>
        <v>100</v>
      </c>
      <c r="X22" s="1415"/>
      <c r="Y22" s="3942"/>
      <c r="Z22" s="1416" t="str">
        <f>Q22</f>
        <v>楼层</v>
      </c>
      <c r="AA22" s="1413">
        <f t="shared" si="3"/>
        <v>1</v>
      </c>
      <c r="AB22" s="1413">
        <f t="shared" si="4"/>
        <v>1</v>
      </c>
      <c r="AC22" s="1413">
        <f t="shared" si="5"/>
        <v>1</v>
      </c>
    </row>
    <row r="23" spans="1:29" ht="15">
      <c r="A23" s="228"/>
      <c r="B23" s="1805">
        <v>111</v>
      </c>
      <c r="C23" s="255"/>
      <c r="D23" s="258">
        <v>100</v>
      </c>
      <c r="E23" s="257"/>
      <c r="F23" s="284">
        <f>SUMIF(71:71,E23,72:72)-SUMIF(71:71,C23,72:72)+100</f>
        <v>100</v>
      </c>
      <c r="G23" s="257"/>
      <c r="H23" s="258">
        <f>SUMIF(71:71,G23,72:72)-SUMIF(71:71,C23,72:72)+100</f>
        <v>100</v>
      </c>
      <c r="I23" s="257"/>
      <c r="J23" s="258">
        <f>SUMIF(71:71,I23,72:72)-SUMIF(71:71,C23,72:72)+100</f>
        <v>100</v>
      </c>
      <c r="K23" s="436"/>
      <c r="L23" s="885"/>
      <c r="M23" s="876"/>
      <c r="N23" s="876"/>
      <c r="O23" s="884"/>
      <c r="P23" s="3942"/>
      <c r="Q23" s="1412">
        <f>B23</f>
        <v>111</v>
      </c>
      <c r="R23" s="556" t="s">
        <v>17</v>
      </c>
      <c r="S23" s="557">
        <f>F23</f>
        <v>100</v>
      </c>
      <c r="T23" s="556" t="s">
        <v>17</v>
      </c>
      <c r="U23" s="557">
        <f>H23</f>
        <v>100</v>
      </c>
      <c r="V23" s="556" t="s">
        <v>17</v>
      </c>
      <c r="W23" s="557">
        <f>J23</f>
        <v>100</v>
      </c>
      <c r="X23" s="1415"/>
      <c r="Y23" s="3942"/>
      <c r="Z23" s="1416">
        <f>Q23</f>
        <v>111</v>
      </c>
      <c r="AA23" s="1413">
        <f t="shared" si="3"/>
        <v>1</v>
      </c>
      <c r="AB23" s="1413">
        <f t="shared" si="4"/>
        <v>1</v>
      </c>
      <c r="AC23" s="1413">
        <f t="shared" si="5"/>
        <v>1</v>
      </c>
    </row>
    <row r="24" spans="1:29" ht="15">
      <c r="A24" s="251"/>
      <c r="B24" s="1805">
        <v>111</v>
      </c>
      <c r="C24" s="255"/>
      <c r="D24" s="258">
        <v>100</v>
      </c>
      <c r="E24" s="257"/>
      <c r="F24" s="284">
        <f>SUMIF(73:73,E24,74:74)-SUMIF(73:73,C24,74:74)+100</f>
        <v>100</v>
      </c>
      <c r="G24" s="257"/>
      <c r="H24" s="258">
        <f>SUMIF(73:73,G24,74:74)-SUMIF(73:73,C24,74:74)+100</f>
        <v>100</v>
      </c>
      <c r="I24" s="257"/>
      <c r="J24" s="258">
        <f>SUMIF(73:73,I24,74:74)-SUMIF(73:73,C24,74:74)+100</f>
        <v>100</v>
      </c>
      <c r="K24" s="436"/>
      <c r="L24" s="885"/>
      <c r="M24" s="876"/>
      <c r="N24" s="876"/>
      <c r="O24" s="884"/>
      <c r="P24" s="3942"/>
      <c r="Q24" s="1412">
        <f t="shared" ref="Q24:Q34" si="11">B24</f>
        <v>111</v>
      </c>
      <c r="R24" s="556" t="s">
        <v>17</v>
      </c>
      <c r="S24" s="557">
        <f>F24</f>
        <v>100</v>
      </c>
      <c r="T24" s="556" t="s">
        <v>17</v>
      </c>
      <c r="U24" s="557">
        <f>H24</f>
        <v>100</v>
      </c>
      <c r="V24" s="556" t="s">
        <v>17</v>
      </c>
      <c r="W24" s="557">
        <f>J24</f>
        <v>100</v>
      </c>
      <c r="X24" s="1415"/>
      <c r="Y24" s="3942"/>
      <c r="Z24" s="1416">
        <f>Q24</f>
        <v>111</v>
      </c>
      <c r="AA24" s="1413">
        <f t="shared" si="3"/>
        <v>1</v>
      </c>
      <c r="AB24" s="1413">
        <f t="shared" si="4"/>
        <v>1</v>
      </c>
      <c r="AC24" s="1413">
        <f t="shared" si="5"/>
        <v>1</v>
      </c>
    </row>
    <row r="25" spans="1:29" s="51" customFormat="1" ht="15.75" thickBot="1">
      <c r="A25" s="254"/>
      <c r="B25" s="1805">
        <v>111</v>
      </c>
      <c r="C25" s="1894"/>
      <c r="D25" s="485">
        <v>100</v>
      </c>
      <c r="E25" s="1894"/>
      <c r="F25" s="486">
        <f>SUMIF(75:75,E25,76:76)-SUMIF(75:75,C25,76:76)+100</f>
        <v>100</v>
      </c>
      <c r="G25" s="1894"/>
      <c r="H25" s="485">
        <f>SUMIF(75:75,G25,76:76)-SUMIF(75:75,C25,76:76)+100</f>
        <v>100</v>
      </c>
      <c r="I25" s="1894"/>
      <c r="J25" s="485">
        <f>SUMIF(75:75,I25,76:76)-SUMIF(75:75,C25,76:76)+100</f>
        <v>100</v>
      </c>
      <c r="K25" s="436"/>
      <c r="L25" s="877"/>
      <c r="M25" s="878"/>
      <c r="N25" s="878"/>
      <c r="O25" s="879"/>
      <c r="P25" s="3942"/>
      <c r="Q25" s="1403">
        <f t="shared" si="11"/>
        <v>111</v>
      </c>
      <c r="R25" s="552" t="s">
        <v>17</v>
      </c>
      <c r="S25" s="553">
        <f>F25</f>
        <v>100</v>
      </c>
      <c r="T25" s="552" t="s">
        <v>17</v>
      </c>
      <c r="U25" s="553">
        <f>H25</f>
        <v>100</v>
      </c>
      <c r="V25" s="552" t="s">
        <v>17</v>
      </c>
      <c r="W25" s="553">
        <f>J25</f>
        <v>100</v>
      </c>
      <c r="X25" s="554"/>
      <c r="Y25" s="3942"/>
      <c r="Z25" s="40">
        <f>Q25</f>
        <v>111</v>
      </c>
      <c r="AA25" s="1413">
        <f>D25/F25</f>
        <v>1</v>
      </c>
      <c r="AB25" s="1413">
        <f>D25/H25</f>
        <v>1</v>
      </c>
      <c r="AC25" s="1413">
        <f>D25/J25</f>
        <v>1</v>
      </c>
    </row>
    <row r="26" spans="1:29" ht="15">
      <c r="A26" s="289" t="s">
        <v>2569</v>
      </c>
      <c r="B26" s="45" t="s">
        <v>2720</v>
      </c>
      <c r="C26" s="1875"/>
      <c r="D26" s="290">
        <v>100</v>
      </c>
      <c r="E26" s="1875"/>
      <c r="F26" s="487">
        <f>SUMIF(77:77,E26,78:78)-SUMIF(77:77,C26,78:78)+100</f>
        <v>100</v>
      </c>
      <c r="G26" s="1875"/>
      <c r="H26" s="290">
        <f>SUMIF(77:77,G26,78:78)-SUMIF(77:77,C26,78:78)+100</f>
        <v>100</v>
      </c>
      <c r="I26" s="1875"/>
      <c r="J26" s="290">
        <f>SUMIF(77:77,I26,78:78)-SUMIF(77:77,C26,78:78)+100</f>
        <v>100</v>
      </c>
      <c r="K26" s="435"/>
      <c r="L26" s="885"/>
      <c r="M26" s="876"/>
      <c r="N26" s="876"/>
      <c r="O26" s="884"/>
      <c r="P26" s="3970" t="s">
        <v>2571</v>
      </c>
      <c r="Q26" s="1412" t="str">
        <f t="shared" si="11"/>
        <v>公共部分装修</v>
      </c>
      <c r="R26" s="556" t="s">
        <v>17</v>
      </c>
      <c r="S26" s="557">
        <f t="shared" ref="S26:S34" si="12">F26</f>
        <v>100</v>
      </c>
      <c r="T26" s="556" t="s">
        <v>17</v>
      </c>
      <c r="U26" s="557">
        <f t="shared" ref="U26:U34" si="13">H26</f>
        <v>100</v>
      </c>
      <c r="V26" s="556" t="s">
        <v>17</v>
      </c>
      <c r="W26" s="557">
        <f t="shared" ref="W26:W34" si="14">J26</f>
        <v>100</v>
      </c>
      <c r="X26" s="1415"/>
      <c r="Y26" s="3946" t="s">
        <v>2571</v>
      </c>
      <c r="Z26" s="1416" t="str">
        <f t="shared" ref="Z26:Z34" si="15">Q26</f>
        <v>公共部分装修</v>
      </c>
      <c r="AA26" s="1413">
        <f t="shared" si="3"/>
        <v>1</v>
      </c>
      <c r="AB26" s="1413">
        <f t="shared" si="4"/>
        <v>1</v>
      </c>
      <c r="AC26" s="1413">
        <f t="shared" si="5"/>
        <v>1</v>
      </c>
    </row>
    <row r="27" spans="1:29" s="294" customFormat="1" ht="15">
      <c r="A27" s="291"/>
      <c r="B27" s="245" t="s">
        <v>2721</v>
      </c>
      <c r="C27" s="297"/>
      <c r="D27" s="53">
        <v>100</v>
      </c>
      <c r="E27" s="298"/>
      <c r="F27" s="284" t="e">
        <f>LOOKUP(E27,80:80,81:81)-LOOKUP(C27,80:80,81:81)+100</f>
        <v>#N/A</v>
      </c>
      <c r="G27" s="299"/>
      <c r="H27" s="258" t="e">
        <f>LOOKUP(G27,80:80,81:81)-LOOKUP(C27,80:80,81:81)+100</f>
        <v>#N/A</v>
      </c>
      <c r="I27" s="299"/>
      <c r="J27" s="258" t="e">
        <f>LOOKUP(I27,80:80,81:81)-LOOKUP(C27,80:80,81:81)+100</f>
        <v>#N/A</v>
      </c>
      <c r="K27" s="435"/>
      <c r="L27" s="883"/>
      <c r="M27" s="886"/>
      <c r="N27" s="886"/>
      <c r="O27" s="887"/>
      <c r="P27" s="3946"/>
      <c r="Q27" s="558" t="str">
        <f t="shared" si="11"/>
        <v>成新率</v>
      </c>
      <c r="R27" s="559" t="s">
        <v>17</v>
      </c>
      <c r="S27" s="560" t="e">
        <f t="shared" si="12"/>
        <v>#N/A</v>
      </c>
      <c r="T27" s="559" t="s">
        <v>17</v>
      </c>
      <c r="U27" s="560" t="e">
        <f t="shared" si="13"/>
        <v>#N/A</v>
      </c>
      <c r="V27" s="559" t="s">
        <v>17</v>
      </c>
      <c r="W27" s="560" t="e">
        <f t="shared" si="14"/>
        <v>#N/A</v>
      </c>
      <c r="X27" s="561"/>
      <c r="Y27" s="3946"/>
      <c r="Z27" s="562" t="str">
        <f t="shared" si="15"/>
        <v>成新率</v>
      </c>
      <c r="AA27" s="1413" t="e">
        <f t="shared" si="3"/>
        <v>#N/A</v>
      </c>
      <c r="AB27" s="1413" t="e">
        <f t="shared" si="4"/>
        <v>#N/A</v>
      </c>
      <c r="AC27" s="1413" t="e">
        <f t="shared" si="5"/>
        <v>#N/A</v>
      </c>
    </row>
    <row r="28" spans="1:29" ht="15">
      <c r="A28" s="295"/>
      <c r="B28" s="245" t="s">
        <v>2722</v>
      </c>
      <c r="C28" s="283"/>
      <c r="D28" s="258">
        <v>100</v>
      </c>
      <c r="E28" s="283"/>
      <c r="F28" s="284">
        <f>SUMIF(82:82,E28,83:83)-SUMIF(82:82,C28,83:83)+100</f>
        <v>100</v>
      </c>
      <c r="G28" s="283"/>
      <c r="H28" s="258">
        <f>SUMIF(82:82,G28,83:83)-SUMIF(82:82,C28,83:83)+100</f>
        <v>100</v>
      </c>
      <c r="I28" s="283"/>
      <c r="J28" s="258">
        <f>SUMIF(82:82,I28,83:83)-SUMIF(82:82,C28,83:83)+100</f>
        <v>100</v>
      </c>
      <c r="K28" s="435"/>
      <c r="L28" s="885"/>
      <c r="M28" s="876"/>
      <c r="N28" s="876"/>
      <c r="O28" s="884"/>
      <c r="P28" s="3946"/>
      <c r="Q28" s="1412" t="str">
        <f t="shared" si="11"/>
        <v>物业等级</v>
      </c>
      <c r="R28" s="556" t="s">
        <v>17</v>
      </c>
      <c r="S28" s="557">
        <f t="shared" si="12"/>
        <v>100</v>
      </c>
      <c r="T28" s="556" t="s">
        <v>17</v>
      </c>
      <c r="U28" s="557">
        <f t="shared" si="13"/>
        <v>100</v>
      </c>
      <c r="V28" s="556" t="s">
        <v>17</v>
      </c>
      <c r="W28" s="557">
        <f t="shared" si="14"/>
        <v>100</v>
      </c>
      <c r="X28" s="1415"/>
      <c r="Y28" s="3946"/>
      <c r="Z28" s="1416" t="str">
        <f t="shared" si="15"/>
        <v>物业等级</v>
      </c>
      <c r="AA28" s="1413">
        <f t="shared" si="3"/>
        <v>1</v>
      </c>
      <c r="AB28" s="1413">
        <f t="shared" si="4"/>
        <v>1</v>
      </c>
      <c r="AC28" s="1413">
        <f t="shared" si="5"/>
        <v>1</v>
      </c>
    </row>
    <row r="29" spans="1:29" ht="15">
      <c r="A29" s="295"/>
      <c r="B29" s="245" t="s">
        <v>2743</v>
      </c>
      <c r="C29" s="477"/>
      <c r="D29" s="258">
        <v>100</v>
      </c>
      <c r="E29" s="477"/>
      <c r="F29" s="284">
        <f>SUMIF(84:84,E29,85:85)-SUMIF(84:84,C29,85:85)+100</f>
        <v>100</v>
      </c>
      <c r="G29" s="477"/>
      <c r="H29" s="258">
        <f>SUMIF(84:84,G29,85:85)-SUMIF(84:84,C29,85:85)+100</f>
        <v>100</v>
      </c>
      <c r="I29" s="477"/>
      <c r="J29" s="258">
        <f>SUMIF(84:84,I29,85:85)-SUMIF(84:84,C29,85:85)+100</f>
        <v>100</v>
      </c>
      <c r="K29" s="435"/>
      <c r="L29" s="885"/>
      <c r="M29" s="876"/>
      <c r="N29" s="876"/>
      <c r="O29" s="884"/>
      <c r="P29" s="3946"/>
      <c r="Q29" s="1412" t="str">
        <f t="shared" si="11"/>
        <v>有无电梯</v>
      </c>
      <c r="R29" s="556" t="s">
        <v>17</v>
      </c>
      <c r="S29" s="557">
        <f t="shared" si="12"/>
        <v>100</v>
      </c>
      <c r="T29" s="556" t="s">
        <v>17</v>
      </c>
      <c r="U29" s="557">
        <f t="shared" si="13"/>
        <v>100</v>
      </c>
      <c r="V29" s="556" t="s">
        <v>17</v>
      </c>
      <c r="W29" s="557">
        <f t="shared" si="14"/>
        <v>100</v>
      </c>
      <c r="X29" s="1415"/>
      <c r="Y29" s="3946"/>
      <c r="Z29" s="1416" t="str">
        <f t="shared" si="15"/>
        <v>有无电梯</v>
      </c>
      <c r="AA29" s="1413">
        <f t="shared" si="3"/>
        <v>1</v>
      </c>
      <c r="AB29" s="1413">
        <f t="shared" si="4"/>
        <v>1</v>
      </c>
      <c r="AC29" s="1413">
        <f t="shared" si="5"/>
        <v>1</v>
      </c>
    </row>
    <row r="30" spans="1:29" ht="15">
      <c r="A30" s="295"/>
      <c r="B30" s="245" t="s">
        <v>2744</v>
      </c>
      <c r="C30" s="292"/>
      <c r="D30" s="258">
        <v>100</v>
      </c>
      <c r="E30" s="292"/>
      <c r="F30" s="284" t="e">
        <f>LOOKUP(E30,87:87,88:88)-LOOKUP(C30,87:87,88:88)+100</f>
        <v>#N/A</v>
      </c>
      <c r="G30" s="292"/>
      <c r="H30" s="258" t="e">
        <f>LOOKUP(G30,87:87,88:88)-LOOKUP(C30,87:87,88:88)+100</f>
        <v>#N/A</v>
      </c>
      <c r="I30" s="292"/>
      <c r="J30" s="258" t="e">
        <f>LOOKUP(I30,87:87,88:88)-LOOKUP(C30,87:87,88:88)+100</f>
        <v>#N/A</v>
      </c>
      <c r="K30" s="436"/>
      <c r="L30" s="885"/>
      <c r="M30" s="876"/>
      <c r="N30" s="876"/>
      <c r="O30" s="884"/>
      <c r="P30" s="3946"/>
      <c r="Q30" s="1412" t="str">
        <f t="shared" si="11"/>
        <v>建筑面积</v>
      </c>
      <c r="R30" s="556" t="s">
        <v>17</v>
      </c>
      <c r="S30" s="557" t="e">
        <f t="shared" si="12"/>
        <v>#N/A</v>
      </c>
      <c r="T30" s="556" t="s">
        <v>17</v>
      </c>
      <c r="U30" s="557" t="e">
        <f t="shared" si="13"/>
        <v>#N/A</v>
      </c>
      <c r="V30" s="556" t="s">
        <v>17</v>
      </c>
      <c r="W30" s="557" t="e">
        <f t="shared" si="14"/>
        <v>#N/A</v>
      </c>
      <c r="X30" s="1415"/>
      <c r="Y30" s="3946"/>
      <c r="Z30" s="1416" t="str">
        <f t="shared" si="15"/>
        <v>建筑面积</v>
      </c>
      <c r="AA30" s="1413" t="e">
        <f t="shared" si="3"/>
        <v>#N/A</v>
      </c>
      <c r="AB30" s="1413" t="e">
        <f t="shared" si="4"/>
        <v>#N/A</v>
      </c>
      <c r="AC30" s="1413" t="e">
        <f t="shared" si="5"/>
        <v>#N/A</v>
      </c>
    </row>
    <row r="31" spans="1:29" s="51" customFormat="1" ht="15">
      <c r="A31" s="296"/>
      <c r="B31" s="245" t="s">
        <v>2745</v>
      </c>
      <c r="C31" s="477"/>
      <c r="D31" s="53">
        <v>100</v>
      </c>
      <c r="E31" s="477"/>
      <c r="F31" s="284">
        <f>SUMIF(89:89,E31,90:90)-SUMIF(89:89,C31,90:90)+100</f>
        <v>100</v>
      </c>
      <c r="G31" s="477"/>
      <c r="H31" s="258">
        <f>SUMIF(89:89,G31,90:90)-SUMIF(89:89,C31,90:90)+100</f>
        <v>100</v>
      </c>
      <c r="I31" s="477"/>
      <c r="J31" s="258">
        <f>SUMIF(89:89,I31,90:90)-SUMIF(89:89,C31,90:90)+100</f>
        <v>100</v>
      </c>
      <c r="K31" s="435"/>
      <c r="L31" s="877"/>
      <c r="M31" s="878"/>
      <c r="N31" s="878"/>
      <c r="O31" s="879"/>
      <c r="P31" s="3946"/>
      <c r="Q31" s="1403" t="str">
        <f t="shared" si="11"/>
        <v>是否封闭</v>
      </c>
      <c r="R31" s="552" t="s">
        <v>17</v>
      </c>
      <c r="S31" s="553">
        <f t="shared" si="12"/>
        <v>100</v>
      </c>
      <c r="T31" s="552" t="s">
        <v>17</v>
      </c>
      <c r="U31" s="553">
        <f t="shared" si="13"/>
        <v>100</v>
      </c>
      <c r="V31" s="552" t="s">
        <v>17</v>
      </c>
      <c r="W31" s="553">
        <f t="shared" si="14"/>
        <v>100</v>
      </c>
      <c r="X31" s="554"/>
      <c r="Y31" s="3946"/>
      <c r="Z31" s="40" t="str">
        <f t="shared" si="15"/>
        <v>是否封闭</v>
      </c>
      <c r="AA31" s="555">
        <f t="shared" si="3"/>
        <v>1</v>
      </c>
      <c r="AB31" s="555">
        <f t="shared" si="4"/>
        <v>1</v>
      </c>
      <c r="AC31" s="555">
        <f t="shared" si="5"/>
        <v>1</v>
      </c>
    </row>
    <row r="32" spans="1:29" ht="15">
      <c r="A32" s="295"/>
      <c r="B32" s="1805">
        <v>111</v>
      </c>
      <c r="C32" s="255"/>
      <c r="D32" s="258">
        <v>100</v>
      </c>
      <c r="E32" s="292"/>
      <c r="F32" s="284">
        <f>SUMIF(91:91,E32,92:92)-SUMIF(91:91,C32,92:92)+100</f>
        <v>100</v>
      </c>
      <c r="G32" s="292"/>
      <c r="H32" s="258">
        <f>SUMIF(91:91,G32,92:92)-SUMIF(91:91,C32,92:92)+100</f>
        <v>100</v>
      </c>
      <c r="I32" s="292"/>
      <c r="J32" s="258">
        <f>SUMIF(91:91,I32,92:92)-SUMIF(91:91,C32,92:92)+100</f>
        <v>100</v>
      </c>
      <c r="K32" s="436"/>
      <c r="L32" s="885"/>
      <c r="M32" s="876"/>
      <c r="N32" s="876"/>
      <c r="O32" s="884"/>
      <c r="P32" s="3946" t="s">
        <v>2571</v>
      </c>
      <c r="Q32" s="1412">
        <f t="shared" si="11"/>
        <v>111</v>
      </c>
      <c r="R32" s="556" t="s">
        <v>17</v>
      </c>
      <c r="S32" s="557">
        <f t="shared" si="12"/>
        <v>100</v>
      </c>
      <c r="T32" s="556" t="s">
        <v>17</v>
      </c>
      <c r="U32" s="557">
        <f t="shared" si="13"/>
        <v>100</v>
      </c>
      <c r="V32" s="556" t="s">
        <v>17</v>
      </c>
      <c r="W32" s="557">
        <f t="shared" si="14"/>
        <v>100</v>
      </c>
      <c r="X32" s="1415"/>
      <c r="Y32" s="3946" t="s">
        <v>2571</v>
      </c>
      <c r="Z32" s="1416">
        <f t="shared" si="15"/>
        <v>111</v>
      </c>
      <c r="AA32" s="1413">
        <f t="shared" si="3"/>
        <v>1</v>
      </c>
      <c r="AB32" s="1413">
        <f t="shared" si="4"/>
        <v>1</v>
      </c>
      <c r="AC32" s="1413">
        <f t="shared" si="5"/>
        <v>1</v>
      </c>
    </row>
    <row r="33" spans="1:29" ht="15">
      <c r="A33" s="295"/>
      <c r="B33" s="1805">
        <v>111</v>
      </c>
      <c r="C33" s="255"/>
      <c r="D33" s="258">
        <v>100</v>
      </c>
      <c r="E33" s="292"/>
      <c r="F33" s="284">
        <f>SUMIF(93:93,E33,94:94)-SUMIF(93:93,C33,94:94)+100</f>
        <v>100</v>
      </c>
      <c r="G33" s="292"/>
      <c r="H33" s="258">
        <f>SUMIF(93:93,G33,94:94)-SUMIF(93:93,C33,94:94)+100</f>
        <v>100</v>
      </c>
      <c r="I33" s="292"/>
      <c r="J33" s="258">
        <f>SUMIF(93:93,I33,94:94)-SUMIF(93:93,C33,94:94)+100</f>
        <v>100</v>
      </c>
      <c r="K33" s="436"/>
      <c r="L33" s="885"/>
      <c r="M33" s="876"/>
      <c r="N33" s="876"/>
      <c r="O33" s="884"/>
      <c r="P33" s="3946"/>
      <c r="Q33" s="1412">
        <f t="shared" si="11"/>
        <v>111</v>
      </c>
      <c r="R33" s="556" t="s">
        <v>17</v>
      </c>
      <c r="S33" s="557">
        <f t="shared" si="12"/>
        <v>100</v>
      </c>
      <c r="T33" s="556" t="s">
        <v>17</v>
      </c>
      <c r="U33" s="557">
        <f t="shared" si="13"/>
        <v>100</v>
      </c>
      <c r="V33" s="556" t="s">
        <v>17</v>
      </c>
      <c r="W33" s="557">
        <f t="shared" si="14"/>
        <v>100</v>
      </c>
      <c r="X33" s="1415"/>
      <c r="Y33" s="3946"/>
      <c r="Z33" s="1416">
        <f t="shared" si="15"/>
        <v>111</v>
      </c>
      <c r="AA33" s="1413">
        <f t="shared" si="3"/>
        <v>1</v>
      </c>
      <c r="AB33" s="1413">
        <f t="shared" si="4"/>
        <v>1</v>
      </c>
      <c r="AC33" s="1413">
        <f t="shared" si="5"/>
        <v>1</v>
      </c>
    </row>
    <row r="34" spans="1:29" ht="15.75" thickBot="1">
      <c r="A34" s="301"/>
      <c r="B34" s="1807">
        <v>111</v>
      </c>
      <c r="C34" s="260"/>
      <c r="D34" s="261">
        <v>100</v>
      </c>
      <c r="E34" s="1893"/>
      <c r="F34" s="262">
        <f>SUMIF(95:95,E34,96:96)-SUMIF(95:95,C34,96:96)+100</f>
        <v>100</v>
      </c>
      <c r="G34" s="1893"/>
      <c r="H34" s="261">
        <f>SUMIF(95:95,G34,96:96)-SUMIF(95:95,C34,96:96)+100</f>
        <v>100</v>
      </c>
      <c r="I34" s="1893"/>
      <c r="J34" s="261">
        <f>SUMIF(95:95,I34,96:96)-SUMIF(95:95,C34,96:96)+100</f>
        <v>100</v>
      </c>
      <c r="K34" s="436"/>
      <c r="L34" s="885"/>
      <c r="M34" s="876"/>
      <c r="N34" s="876"/>
      <c r="O34" s="884"/>
      <c r="P34" s="3946"/>
      <c r="Q34" s="1412">
        <f t="shared" si="11"/>
        <v>111</v>
      </c>
      <c r="R34" s="556" t="s">
        <v>17</v>
      </c>
      <c r="S34" s="557">
        <f t="shared" si="12"/>
        <v>100</v>
      </c>
      <c r="T34" s="556" t="s">
        <v>17</v>
      </c>
      <c r="U34" s="557">
        <f t="shared" si="13"/>
        <v>100</v>
      </c>
      <c r="V34" s="556" t="s">
        <v>17</v>
      </c>
      <c r="W34" s="557">
        <f t="shared" si="14"/>
        <v>100</v>
      </c>
      <c r="X34" s="1415"/>
      <c r="Y34" s="3946"/>
      <c r="Z34" s="1416">
        <f t="shared" si="15"/>
        <v>111</v>
      </c>
      <c r="AA34" s="1413">
        <f t="shared" si="3"/>
        <v>1</v>
      </c>
      <c r="AB34" s="1413">
        <f t="shared" si="4"/>
        <v>1</v>
      </c>
      <c r="AC34" s="1413">
        <f t="shared" si="5"/>
        <v>1</v>
      </c>
    </row>
    <row r="35" spans="1:29" ht="15">
      <c r="A35" s="302" t="s">
        <v>2583</v>
      </c>
      <c r="B35" s="303"/>
      <c r="C35" s="1073" t="s">
        <v>1</v>
      </c>
      <c r="D35" s="1074"/>
      <c r="E35" s="1075"/>
      <c r="F35" s="1076"/>
      <c r="G35" s="1077"/>
      <c r="H35" s="1078"/>
      <c r="I35" s="1075"/>
      <c r="J35" s="1078"/>
      <c r="K35" s="565"/>
      <c r="L35" s="888"/>
      <c r="M35" s="889"/>
      <c r="N35" s="876"/>
      <c r="O35" s="889"/>
      <c r="P35" s="3939" t="str">
        <f>A35</f>
        <v>成交单价（元/平方米）</v>
      </c>
      <c r="Q35" s="3939"/>
      <c r="R35" s="3940">
        <f>E35</f>
        <v>0</v>
      </c>
      <c r="S35" s="3940"/>
      <c r="T35" s="3940">
        <f>G35</f>
        <v>0</v>
      </c>
      <c r="U35" s="3940"/>
      <c r="V35" s="3940">
        <f>I35</f>
        <v>0</v>
      </c>
      <c r="W35" s="3940"/>
      <c r="X35" s="541"/>
      <c r="Y35" s="563"/>
      <c r="Z35" s="541"/>
      <c r="AA35" s="541"/>
      <c r="AB35" s="541"/>
      <c r="AC35" s="541"/>
    </row>
    <row r="36" spans="1:29" ht="15.75" thickBot="1">
      <c r="A36" s="309" t="s">
        <v>2675</v>
      </c>
      <c r="B36" s="310"/>
      <c r="C36" s="1079" t="e">
        <f>R37</f>
        <v>#DIV/0!</v>
      </c>
      <c r="D36" s="1080"/>
      <c r="E36" s="1081" t="e">
        <f>R36</f>
        <v>#DIV/0!</v>
      </c>
      <c r="F36" s="1081"/>
      <c r="G36" s="1079" t="e">
        <f>T36</f>
        <v>#DIV/0!</v>
      </c>
      <c r="H36" s="1080"/>
      <c r="I36" s="1081" t="e">
        <f>V36</f>
        <v>#DIV/0!</v>
      </c>
      <c r="J36" s="1080"/>
      <c r="K36" s="566"/>
      <c r="L36" s="888"/>
      <c r="M36" s="889"/>
      <c r="N36" s="876"/>
      <c r="O36" s="889"/>
      <c r="P36" s="3939" t="str">
        <f>A36</f>
        <v>比较价值（元/平方米）</v>
      </c>
      <c r="Q36" s="3939"/>
      <c r="R36" s="3940" t="e">
        <f>IF(F1="售价",ROUND(PRODUCT(R35,AA7:AA34),0),ROUND(PRODUCT(R35,AA7:AA34),1))</f>
        <v>#DIV/0!</v>
      </c>
      <c r="S36" s="3940"/>
      <c r="T36" s="3940" t="e">
        <f>IF(F1="售价",ROUND(PRODUCT(T35,AB7:AB34),0),ROUND(PRODUCT(T35,AB7:AB34),1))</f>
        <v>#DIV/0!</v>
      </c>
      <c r="U36" s="3940"/>
      <c r="V36" s="3940" t="e">
        <f>IF(F1="售价",ROUND(PRODUCT(V35,AC7:AC34),0),ROUND(PRODUCT(V35,AC7:AC34),1))</f>
        <v>#DIV/0!</v>
      </c>
      <c r="W36" s="3940"/>
      <c r="X36" s="541"/>
      <c r="Y36" s="541"/>
      <c r="Z36" s="541"/>
      <c r="AA36" s="541"/>
      <c r="AB36" s="541"/>
      <c r="AC36" s="541"/>
    </row>
    <row r="37" spans="1:29" ht="15.75" thickBot="1">
      <c r="A37" s="315" t="s">
        <v>2676</v>
      </c>
      <c r="B37" s="316"/>
      <c r="C37" s="1083" t="e">
        <f>R37</f>
        <v>#DIV/0!</v>
      </c>
      <c r="D37" s="1083"/>
      <c r="E37" s="1083"/>
      <c r="F37" s="1083"/>
      <c r="G37" s="1083"/>
      <c r="H37" s="1083"/>
      <c r="I37" s="1083"/>
      <c r="J37" s="1083"/>
      <c r="K37" s="567"/>
      <c r="L37" s="888"/>
      <c r="M37" s="889"/>
      <c r="N37" s="889"/>
      <c r="O37" s="889"/>
      <c r="P37" s="3936" t="str">
        <f>A37</f>
        <v>估价对象XX用房的比较价值（楼面单价，元/平方米）</v>
      </c>
      <c r="Q37" s="3937"/>
      <c r="R37" s="3938" t="e">
        <f>IF(F1="售价",ROUND(AVERAGE(R36:V36),0),ROUND(AVERAGE(R36:V36),1))</f>
        <v>#DIV/0!</v>
      </c>
      <c r="S37" s="3938"/>
      <c r="T37" s="3938"/>
      <c r="U37" s="3938"/>
      <c r="V37" s="3938"/>
      <c r="W37" s="3938"/>
      <c r="X37" s="541"/>
      <c r="Y37" s="541"/>
      <c r="Z37" s="541"/>
      <c r="AA37" s="541"/>
      <c r="AB37" s="541"/>
      <c r="AC37" s="541"/>
    </row>
    <row r="38" spans="1:29">
      <c r="A38" s="889"/>
      <c r="B38" s="889"/>
      <c r="C38" s="889"/>
      <c r="D38" s="889"/>
      <c r="E38" s="889"/>
      <c r="F38" s="889"/>
      <c r="G38" s="892"/>
      <c r="H38" s="889"/>
      <c r="I38" s="889"/>
      <c r="J38" s="889"/>
      <c r="K38" s="858"/>
      <c r="L38" s="859"/>
      <c r="M38" s="889"/>
      <c r="N38" s="889"/>
      <c r="O38" s="889"/>
    </row>
    <row r="39" spans="1:29">
      <c r="A39" s="889"/>
      <c r="B39" s="889"/>
      <c r="C39" s="889"/>
      <c r="D39" s="889"/>
      <c r="E39" s="889"/>
      <c r="F39" s="889"/>
      <c r="G39" s="889"/>
      <c r="H39" s="889"/>
      <c r="I39" s="889"/>
      <c r="J39" s="889"/>
      <c r="K39" s="858"/>
      <c r="L39" s="859"/>
      <c r="M39" s="889"/>
      <c r="N39" s="889"/>
      <c r="O39" s="889"/>
    </row>
    <row r="40" spans="1:29" ht="13.5" customHeight="1">
      <c r="A40" s="889"/>
      <c r="B40" s="889"/>
      <c r="C40" s="320" t="s">
        <v>2677</v>
      </c>
      <c r="D40" s="321"/>
      <c r="E40" s="322" t="e">
        <f>IF(E35&lt;E36,E36/E35-1,E35/E36-1)</f>
        <v>#DIV/0!</v>
      </c>
      <c r="F40" s="323" t="e">
        <f>IF(OR(E40&gt;=0.3,E40&lt;=-0.3),"超过30%","")</f>
        <v>#DIV/0!</v>
      </c>
      <c r="G40" s="322" t="e">
        <f>IF(G35&lt;G36,G36/G35-1,G35/G36-1)</f>
        <v>#DIV/0!</v>
      </c>
      <c r="H40" s="323" t="e">
        <f>IF(OR(G40&gt;=0.3,G40&lt;=-0.3),"超过30%","")</f>
        <v>#DIV/0!</v>
      </c>
      <c r="I40" s="322" t="e">
        <f>IF(I35&lt;I36,I36/I35-1,I35/I36-1)</f>
        <v>#DIV/0!</v>
      </c>
      <c r="J40" s="323" t="e">
        <f>IF(OR(I40&gt;=0.3,I40&lt;=-0.3),"超过30%","")</f>
        <v>#DIV/0!</v>
      </c>
      <c r="K40" s="858"/>
      <c r="L40" s="859"/>
      <c r="M40" s="889"/>
      <c r="N40" s="889"/>
      <c r="O40" s="889"/>
    </row>
    <row r="41" spans="1:29" ht="13.5" customHeight="1">
      <c r="A41" s="889"/>
      <c r="B41" s="889"/>
      <c r="C41" s="320" t="s">
        <v>2678</v>
      </c>
      <c r="D41" s="324"/>
      <c r="E41" s="322" t="e">
        <f>IF(E36&lt;G36,G36/E36-1,E36/G36-1)</f>
        <v>#DIV/0!</v>
      </c>
      <c r="F41" s="323" t="e">
        <f>IF(OR(E41&gt;=0.2,E41&lt;=-0.2),"超过20%","")</f>
        <v>#DIV/0!</v>
      </c>
      <c r="G41" s="322" t="e">
        <f>IF(G36&lt;I36,I36/G36-1,G36/I36-1)</f>
        <v>#DIV/0!</v>
      </c>
      <c r="H41" s="323" t="e">
        <f>IF(OR(G41&gt;=0.2,G41&lt;=-0.2),"超过20%","")</f>
        <v>#DIV/0!</v>
      </c>
      <c r="I41" s="322" t="e">
        <f>IF(I36&lt;E36,E36/I36-1,I36/E36-1)</f>
        <v>#DIV/0!</v>
      </c>
      <c r="J41" s="323" t="e">
        <f>IF(OR(I41&gt;=0.2,I41&lt;=-0.2),"超过20%","")</f>
        <v>#DIV/0!</v>
      </c>
      <c r="K41" s="858"/>
      <c r="L41" s="859"/>
      <c r="M41" s="889"/>
      <c r="N41" s="889"/>
      <c r="O41" s="889"/>
    </row>
    <row r="42" spans="1:29" s="325" customFormat="1" ht="13.5" customHeight="1">
      <c r="A42" s="890"/>
      <c r="B42" s="890"/>
      <c r="C42" s="320" t="s">
        <v>2679</v>
      </c>
      <c r="D42" s="324"/>
      <c r="E42" s="322" t="e">
        <f>IF(E35&lt;G35,G35/E35-1,E35/G35-1)</f>
        <v>#DIV/0!</v>
      </c>
      <c r="F42" s="323" t="e">
        <f>IF(OR(E42&gt;=0.3,E42&lt;=-0.3),"超过30%","")</f>
        <v>#DIV/0!</v>
      </c>
      <c r="G42" s="322" t="e">
        <f>IF(G35&lt;I35,I35/G35-1,G35/I35-1)</f>
        <v>#DIV/0!</v>
      </c>
      <c r="H42" s="323" t="e">
        <f>IF(OR(G42&gt;=0.3,G42&lt;=-0.3),"超过30%","")</f>
        <v>#DIV/0!</v>
      </c>
      <c r="I42" s="322" t="e">
        <f>IF(I35&lt;E35,E35/I35-1,I35/E35-1)</f>
        <v>#DIV/0!</v>
      </c>
      <c r="J42" s="323" t="e">
        <f>IF(OR(I42&gt;=0.3,I42&lt;=-0.3),"超过30%","")</f>
        <v>#DIV/0!</v>
      </c>
      <c r="K42" s="893"/>
      <c r="L42" s="894"/>
      <c r="M42" s="890"/>
      <c r="N42" s="890"/>
      <c r="O42" s="890"/>
    </row>
    <row r="43" spans="1:29" s="325" customFormat="1">
      <c r="A43" s="890"/>
      <c r="B43" s="891"/>
      <c r="C43" s="895"/>
      <c r="D43" s="890"/>
      <c r="E43" s="890"/>
      <c r="F43" s="890"/>
      <c r="G43" s="890"/>
      <c r="H43" s="890"/>
      <c r="I43" s="890"/>
      <c r="J43" s="890"/>
      <c r="K43" s="893"/>
      <c r="L43" s="894"/>
      <c r="M43" s="890"/>
      <c r="N43" s="890"/>
      <c r="O43" s="890"/>
    </row>
    <row r="44" spans="1:29">
      <c r="A44" s="889"/>
      <c r="B44" s="891"/>
      <c r="C44" s="895"/>
      <c r="D44" s="889"/>
      <c r="E44" s="889"/>
      <c r="F44" s="889"/>
      <c r="G44" s="889"/>
      <c r="H44" s="889"/>
      <c r="I44" s="889"/>
      <c r="J44" s="889"/>
      <c r="K44" s="858"/>
      <c r="L44" s="859"/>
      <c r="M44" s="889"/>
      <c r="N44" s="889"/>
      <c r="O44" s="889"/>
    </row>
    <row r="45" spans="1:29" ht="21.75" thickBot="1">
      <c r="A45" s="545" t="s">
        <v>2680</v>
      </c>
      <c r="B45" s="541"/>
      <c r="C45" s="546"/>
      <c r="D45" s="546"/>
      <c r="E45" s="546"/>
      <c r="F45" s="547"/>
      <c r="G45" s="547"/>
      <c r="H45" s="546"/>
      <c r="I45" s="546"/>
      <c r="J45" s="546"/>
      <c r="K45" s="548"/>
      <c r="L45" s="549"/>
      <c r="M45" s="546"/>
      <c r="N45" s="546"/>
      <c r="O45" s="546"/>
      <c r="P45" s="326"/>
      <c r="Q45" s="327"/>
    </row>
    <row r="46" spans="1:29" s="331" customFormat="1" ht="15">
      <c r="A46" s="328" t="s">
        <v>2554</v>
      </c>
      <c r="B46" s="329"/>
      <c r="C46" s="1237" t="str">
        <f>YEAR(C7)&amp;"-"&amp;MONTH(C7)</f>
        <v>2017-12</v>
      </c>
      <c r="D46" s="1238">
        <f>EDATE(C46,-1)</f>
        <v>43040</v>
      </c>
      <c r="E46" s="1238">
        <f t="shared" ref="E46:O46" si="16">EDATE(D46,-1)</f>
        <v>43009</v>
      </c>
      <c r="F46" s="1238">
        <f t="shared" si="16"/>
        <v>42979</v>
      </c>
      <c r="G46" s="1238">
        <f t="shared" si="16"/>
        <v>42948</v>
      </c>
      <c r="H46" s="1238">
        <f t="shared" si="16"/>
        <v>42917</v>
      </c>
      <c r="I46" s="1238">
        <f t="shared" si="16"/>
        <v>42887</v>
      </c>
      <c r="J46" s="1238">
        <f t="shared" si="16"/>
        <v>42856</v>
      </c>
      <c r="K46" s="1238">
        <f t="shared" si="16"/>
        <v>42826</v>
      </c>
      <c r="L46" s="1238">
        <f t="shared" si="16"/>
        <v>42795</v>
      </c>
      <c r="M46" s="1238">
        <f t="shared" si="16"/>
        <v>42767</v>
      </c>
      <c r="N46" s="1238">
        <f t="shared" si="16"/>
        <v>42736</v>
      </c>
      <c r="O46" s="1238">
        <f t="shared" si="16"/>
        <v>42705</v>
      </c>
      <c r="P46" s="330"/>
    </row>
    <row r="47" spans="1:29" s="51" customFormat="1" ht="15">
      <c r="A47" s="332"/>
      <c r="B47" s="333"/>
      <c r="C47" s="1236">
        <v>100</v>
      </c>
      <c r="D47" s="335"/>
      <c r="E47" s="335"/>
      <c r="F47" s="335"/>
      <c r="G47" s="335"/>
      <c r="H47" s="335"/>
      <c r="I47" s="335"/>
      <c r="J47" s="335"/>
      <c r="K47" s="335"/>
      <c r="L47" s="335"/>
      <c r="M47" s="336"/>
      <c r="N47" s="335"/>
      <c r="O47" s="337"/>
      <c r="P47" s="327"/>
    </row>
    <row r="48" spans="1:29" s="51" customFormat="1" ht="15.75" thickBot="1">
      <c r="A48" s="338" t="s">
        <v>2591</v>
      </c>
      <c r="B48" s="339"/>
      <c r="C48" s="340"/>
      <c r="D48" s="341"/>
      <c r="E48" s="341"/>
      <c r="F48" s="341"/>
      <c r="G48" s="341"/>
      <c r="H48" s="341"/>
      <c r="I48" s="341"/>
      <c r="J48" s="341"/>
      <c r="K48" s="341"/>
      <c r="L48" s="341"/>
      <c r="M48" s="342"/>
      <c r="N48" s="341"/>
      <c r="O48" s="343"/>
      <c r="P48" s="327"/>
      <c r="Q48" s="327"/>
    </row>
    <row r="49" spans="1:17" s="51" customFormat="1" ht="15">
      <c r="A49" s="344" t="s">
        <v>2556</v>
      </c>
      <c r="B49" s="333"/>
      <c r="C49" s="345" t="s">
        <v>2658</v>
      </c>
      <c r="D49" s="346"/>
      <c r="E49" s="346"/>
      <c r="F49" s="346"/>
      <c r="G49" s="346"/>
      <c r="H49" s="346"/>
      <c r="I49" s="346"/>
      <c r="J49" s="346"/>
      <c r="K49" s="346"/>
      <c r="L49" s="347"/>
      <c r="M49" s="348"/>
      <c r="N49" s="896"/>
      <c r="O49" s="896"/>
      <c r="P49" s="349"/>
      <c r="Q49" s="327"/>
    </row>
    <row r="50" spans="1:17" s="51" customFormat="1" ht="15.75" thickBot="1">
      <c r="A50" s="344"/>
      <c r="B50" s="333"/>
      <c r="C50" s="459">
        <v>100</v>
      </c>
      <c r="D50" s="335"/>
      <c r="E50" s="335"/>
      <c r="F50" s="335"/>
      <c r="G50" s="335"/>
      <c r="H50" s="335"/>
      <c r="I50" s="335"/>
      <c r="J50" s="335"/>
      <c r="K50" s="335"/>
      <c r="L50" s="335"/>
      <c r="M50" s="337"/>
      <c r="N50" s="896"/>
      <c r="O50" s="896"/>
      <c r="P50" s="327"/>
      <c r="Q50" s="327"/>
    </row>
    <row r="51" spans="1:17">
      <c r="A51" s="350" t="s">
        <v>2594</v>
      </c>
      <c r="B51" s="351" t="s">
        <v>2560</v>
      </c>
      <c r="C51" s="352">
        <f>C9</f>
        <v>0</v>
      </c>
      <c r="D51" s="353"/>
      <c r="E51" s="353"/>
      <c r="F51" s="353"/>
      <c r="G51" s="353"/>
      <c r="H51" s="353"/>
      <c r="I51" s="353"/>
      <c r="J51" s="353"/>
      <c r="K51" s="354"/>
      <c r="L51" s="355"/>
      <c r="M51" s="356"/>
      <c r="N51" s="897"/>
      <c r="O51" s="897"/>
      <c r="P51" s="38"/>
      <c r="Q51" s="327"/>
    </row>
    <row r="52" spans="1:17" ht="15.75" thickBot="1">
      <c r="A52" s="357"/>
      <c r="B52" s="358"/>
      <c r="C52" s="359">
        <v>100</v>
      </c>
      <c r="D52" s="359"/>
      <c r="E52" s="359"/>
      <c r="F52" s="359"/>
      <c r="G52" s="359"/>
      <c r="H52" s="359"/>
      <c r="I52" s="359"/>
      <c r="J52" s="359"/>
      <c r="K52" s="359"/>
      <c r="L52" s="359"/>
      <c r="M52" s="360"/>
      <c r="N52" s="898"/>
      <c r="O52" s="898"/>
      <c r="P52" s="38"/>
      <c r="Q52" s="327"/>
    </row>
    <row r="53" spans="1:17" ht="27.75" thickTop="1">
      <c r="A53" s="357"/>
      <c r="B53" s="361" t="s">
        <v>2563</v>
      </c>
      <c r="C53" s="362" t="s">
        <v>2595</v>
      </c>
      <c r="D53" s="362" t="s">
        <v>2596</v>
      </c>
      <c r="E53" s="362" t="s">
        <v>2597</v>
      </c>
      <c r="F53" s="362" t="s">
        <v>2598</v>
      </c>
      <c r="G53" s="362" t="s">
        <v>2599</v>
      </c>
      <c r="H53" s="362" t="s">
        <v>2600</v>
      </c>
      <c r="I53" s="362" t="s">
        <v>2601</v>
      </c>
      <c r="J53" s="362"/>
      <c r="K53" s="363"/>
      <c r="L53" s="364"/>
      <c r="M53" s="365"/>
      <c r="N53" s="897"/>
      <c r="O53" s="897"/>
      <c r="P53" s="38"/>
      <c r="Q53" s="327"/>
    </row>
    <row r="54" spans="1:17" ht="15.75" thickBot="1">
      <c r="A54" s="357"/>
      <c r="B54" s="366"/>
      <c r="C54" s="367" t="s">
        <v>24</v>
      </c>
      <c r="D54" s="367" t="s">
        <v>25</v>
      </c>
      <c r="E54" s="367">
        <v>100</v>
      </c>
      <c r="F54" s="367">
        <f>E54-$K10</f>
        <v>100</v>
      </c>
      <c r="G54" s="367">
        <f>F54-$K10</f>
        <v>100</v>
      </c>
      <c r="H54" s="367">
        <f>G54-$K10</f>
        <v>100</v>
      </c>
      <c r="I54" s="367">
        <f>H54-$K10</f>
        <v>100</v>
      </c>
      <c r="J54" s="367"/>
      <c r="K54" s="367"/>
      <c r="L54" s="367"/>
      <c r="M54" s="368"/>
      <c r="N54" s="898"/>
      <c r="O54" s="898"/>
      <c r="P54" s="38"/>
      <c r="Q54" s="327"/>
    </row>
    <row r="55" spans="1:17" ht="15.75" thickTop="1">
      <c r="A55" s="357"/>
      <c r="B55" s="480">
        <f>B11</f>
        <v>111</v>
      </c>
      <c r="C55" s="372"/>
      <c r="D55" s="372"/>
      <c r="E55" s="372"/>
      <c r="F55" s="372"/>
      <c r="G55" s="372"/>
      <c r="H55" s="372"/>
      <c r="I55" s="372"/>
      <c r="J55" s="372"/>
      <c r="K55" s="373"/>
      <c r="L55" s="374"/>
      <c r="M55" s="375"/>
      <c r="N55" s="897"/>
      <c r="O55" s="897"/>
      <c r="P55" s="38"/>
      <c r="Q55" s="327"/>
    </row>
    <row r="56" spans="1:17" ht="15.75" thickBot="1">
      <c r="A56" s="357"/>
      <c r="B56" s="358"/>
      <c r="C56" s="383"/>
      <c r="D56" s="359"/>
      <c r="E56" s="359"/>
      <c r="F56" s="359"/>
      <c r="G56" s="359"/>
      <c r="H56" s="359"/>
      <c r="I56" s="359"/>
      <c r="J56" s="359"/>
      <c r="K56" s="359"/>
      <c r="L56" s="359"/>
      <c r="M56" s="360"/>
      <c r="N56" s="898"/>
      <c r="O56" s="898"/>
      <c r="P56" s="38"/>
      <c r="Q56" s="327"/>
    </row>
    <row r="57" spans="1:17" s="294" customFormat="1" ht="15.75" thickTop="1">
      <c r="A57" s="376"/>
      <c r="B57" s="361">
        <f>B12</f>
        <v>111</v>
      </c>
      <c r="C57" s="372"/>
      <c r="D57" s="372"/>
      <c r="E57" s="372"/>
      <c r="F57" s="372"/>
      <c r="G57" s="377"/>
      <c r="H57" s="378"/>
      <c r="I57" s="378"/>
      <c r="J57" s="378"/>
      <c r="K57" s="378"/>
      <c r="L57" s="379"/>
      <c r="M57" s="380"/>
      <c r="N57" s="899"/>
      <c r="O57" s="899"/>
      <c r="P57" s="381"/>
      <c r="Q57" s="382"/>
    </row>
    <row r="58" spans="1:17" s="294" customFormat="1" ht="15.75" thickBot="1">
      <c r="A58" s="376"/>
      <c r="B58" s="366"/>
      <c r="C58" s="383"/>
      <c r="D58" s="359"/>
      <c r="E58" s="359"/>
      <c r="F58" s="359"/>
      <c r="G58" s="359"/>
      <c r="H58" s="359"/>
      <c r="I58" s="359"/>
      <c r="J58" s="359"/>
      <c r="K58" s="359"/>
      <c r="L58" s="359"/>
      <c r="M58" s="360"/>
      <c r="N58" s="898"/>
      <c r="O58" s="898"/>
      <c r="P58" s="381"/>
      <c r="Q58" s="382"/>
    </row>
    <row r="59" spans="1:17" s="294" customFormat="1" ht="15.75" thickTop="1">
      <c r="A59" s="376"/>
      <c r="B59" s="361">
        <f>B13</f>
        <v>111</v>
      </c>
      <c r="C59" s="372"/>
      <c r="D59" s="372"/>
      <c r="E59" s="372"/>
      <c r="F59" s="372"/>
      <c r="G59" s="377"/>
      <c r="H59" s="378"/>
      <c r="I59" s="378"/>
      <c r="J59" s="378"/>
      <c r="K59" s="378"/>
      <c r="L59" s="379"/>
      <c r="M59" s="380"/>
      <c r="N59" s="899"/>
      <c r="O59" s="899"/>
      <c r="P59" s="293"/>
      <c r="Q59" s="384"/>
    </row>
    <row r="60" spans="1:17" s="294" customFormat="1" ht="15.75" thickBot="1">
      <c r="A60" s="376"/>
      <c r="B60" s="366"/>
      <c r="C60" s="383"/>
      <c r="D60" s="383"/>
      <c r="E60" s="383"/>
      <c r="F60" s="383"/>
      <c r="G60" s="383"/>
      <c r="H60" s="385"/>
      <c r="I60" s="385"/>
      <c r="J60" s="385"/>
      <c r="K60" s="385"/>
      <c r="L60" s="385"/>
      <c r="M60" s="386"/>
      <c r="N60" s="899"/>
      <c r="O60" s="899"/>
      <c r="P60" s="381"/>
      <c r="Q60" s="382"/>
    </row>
    <row r="61" spans="1:17" ht="15" thickTop="1">
      <c r="A61" s="350" t="s">
        <v>2565</v>
      </c>
      <c r="B61" s="351" t="s">
        <v>2608</v>
      </c>
      <c r="C61" s="396" t="s">
        <v>2603</v>
      </c>
      <c r="D61" s="396" t="s">
        <v>2604</v>
      </c>
      <c r="E61" s="396" t="s">
        <v>2605</v>
      </c>
      <c r="F61" s="396" t="s">
        <v>2606</v>
      </c>
      <c r="G61" s="396" t="s">
        <v>2607</v>
      </c>
      <c r="H61" s="352"/>
      <c r="I61" s="352"/>
      <c r="J61" s="352"/>
      <c r="K61" s="397"/>
      <c r="L61" s="398"/>
      <c r="M61" s="399"/>
      <c r="N61" s="897"/>
      <c r="O61" s="897"/>
      <c r="P61" s="400"/>
      <c r="Q61" s="327"/>
    </row>
    <row r="62" spans="1:17" ht="15.75" thickBot="1">
      <c r="A62" s="357"/>
      <c r="B62" s="366"/>
      <c r="C62" s="367">
        <v>100</v>
      </c>
      <c r="D62" s="367">
        <f>C62-$K14</f>
        <v>100</v>
      </c>
      <c r="E62" s="367">
        <f>D62-$K14</f>
        <v>100</v>
      </c>
      <c r="F62" s="367">
        <f>E62-$K14</f>
        <v>100</v>
      </c>
      <c r="G62" s="367">
        <f>F62-$K14</f>
        <v>100</v>
      </c>
      <c r="H62" s="367"/>
      <c r="I62" s="367"/>
      <c r="J62" s="367"/>
      <c r="K62" s="367"/>
      <c r="L62" s="367"/>
      <c r="M62" s="368"/>
      <c r="N62" s="898"/>
      <c r="O62" s="898"/>
      <c r="P62" s="38"/>
      <c r="Q62" s="327"/>
    </row>
    <row r="63" spans="1:17" ht="27.75" thickTop="1">
      <c r="A63" s="357"/>
      <c r="B63" s="361" t="s">
        <v>2746</v>
      </c>
      <c r="C63" s="401" t="s">
        <v>2603</v>
      </c>
      <c r="D63" s="401" t="s">
        <v>2604</v>
      </c>
      <c r="E63" s="401" t="s">
        <v>2605</v>
      </c>
      <c r="F63" s="401" t="s">
        <v>2606</v>
      </c>
      <c r="G63" s="401" t="s">
        <v>2607</v>
      </c>
      <c r="H63" s="362"/>
      <c r="I63" s="362"/>
      <c r="J63" s="362"/>
      <c r="K63" s="363"/>
      <c r="L63" s="364"/>
      <c r="M63" s="365"/>
      <c r="N63" s="897"/>
      <c r="O63" s="897"/>
      <c r="P63" s="38"/>
      <c r="Q63" s="327"/>
    </row>
    <row r="64" spans="1:17" ht="15.75" thickBot="1">
      <c r="A64" s="357"/>
      <c r="B64" s="366"/>
      <c r="C64" s="367">
        <v>100</v>
      </c>
      <c r="D64" s="367">
        <f>C64-$K16</f>
        <v>100</v>
      </c>
      <c r="E64" s="367">
        <f>D64-$K16</f>
        <v>100</v>
      </c>
      <c r="F64" s="367">
        <f>E64-$K16</f>
        <v>100</v>
      </c>
      <c r="G64" s="367">
        <f>F64-$K16</f>
        <v>100</v>
      </c>
      <c r="H64" s="367"/>
      <c r="I64" s="367"/>
      <c r="J64" s="367"/>
      <c r="K64" s="367"/>
      <c r="L64" s="367"/>
      <c r="M64" s="368"/>
      <c r="N64" s="898"/>
      <c r="O64" s="898"/>
      <c r="P64" s="38"/>
      <c r="Q64" s="327"/>
    </row>
    <row r="65" spans="1:17" ht="15.75" thickTop="1">
      <c r="A65" s="357"/>
      <c r="B65" s="369" t="s">
        <v>2695</v>
      </c>
      <c r="C65" s="480" t="s">
        <v>2681</v>
      </c>
      <c r="D65" s="480" t="s">
        <v>2682</v>
      </c>
      <c r="E65" s="480" t="s">
        <v>2683</v>
      </c>
      <c r="F65" s="480" t="s">
        <v>2684</v>
      </c>
      <c r="G65" s="480" t="s">
        <v>2685</v>
      </c>
      <c r="H65" s="362"/>
      <c r="I65" s="362"/>
      <c r="J65" s="362"/>
      <c r="K65" s="362"/>
      <c r="L65" s="362"/>
      <c r="M65" s="1059"/>
      <c r="N65" s="898"/>
      <c r="O65" s="898"/>
      <c r="P65" s="38"/>
      <c r="Q65" s="327"/>
    </row>
    <row r="66" spans="1:17" ht="15.75" thickBot="1">
      <c r="A66" s="357"/>
      <c r="B66" s="369"/>
      <c r="C66" s="367">
        <v>100</v>
      </c>
      <c r="D66" s="367">
        <f>C66-$K18</f>
        <v>100</v>
      </c>
      <c r="E66" s="367">
        <f>D66-$K18</f>
        <v>100</v>
      </c>
      <c r="F66" s="367">
        <f>E66-$K18</f>
        <v>100</v>
      </c>
      <c r="G66" s="367">
        <f>F66-$K18</f>
        <v>100</v>
      </c>
      <c r="H66" s="480"/>
      <c r="I66" s="480"/>
      <c r="J66" s="480"/>
      <c r="K66" s="480"/>
      <c r="L66" s="480"/>
      <c r="M66" s="273"/>
      <c r="N66" s="898"/>
      <c r="O66" s="898"/>
      <c r="P66" s="38"/>
      <c r="Q66" s="327"/>
    </row>
    <row r="67" spans="1:17" ht="15.75" thickTop="1">
      <c r="A67" s="357"/>
      <c r="B67" s="361" t="s">
        <v>2615</v>
      </c>
      <c r="C67" s="401" t="s">
        <v>2603</v>
      </c>
      <c r="D67" s="401" t="s">
        <v>2604</v>
      </c>
      <c r="E67" s="401" t="s">
        <v>2605</v>
      </c>
      <c r="F67" s="401" t="s">
        <v>2606</v>
      </c>
      <c r="G67" s="401" t="s">
        <v>2607</v>
      </c>
      <c r="H67" s="362"/>
      <c r="I67" s="362"/>
      <c r="J67" s="362"/>
      <c r="K67" s="363"/>
      <c r="L67" s="364"/>
      <c r="M67" s="365"/>
      <c r="N67" s="897"/>
      <c r="O67" s="897"/>
      <c r="P67" s="38"/>
      <c r="Q67" s="327"/>
    </row>
    <row r="68" spans="1:17" ht="15.75" thickBot="1">
      <c r="A68" s="357"/>
      <c r="B68" s="366"/>
      <c r="C68" s="367">
        <v>100</v>
      </c>
      <c r="D68" s="367">
        <f>C68-$K20</f>
        <v>100</v>
      </c>
      <c r="E68" s="367">
        <f>D68-$K20</f>
        <v>100</v>
      </c>
      <c r="F68" s="367">
        <f>E68-$K20</f>
        <v>100</v>
      </c>
      <c r="G68" s="367">
        <f>F68-$K20</f>
        <v>100</v>
      </c>
      <c r="H68" s="367"/>
      <c r="I68" s="367"/>
      <c r="J68" s="367"/>
      <c r="K68" s="367"/>
      <c r="L68" s="367"/>
      <c r="M68" s="368"/>
      <c r="N68" s="898"/>
      <c r="O68" s="898"/>
      <c r="P68" s="38"/>
      <c r="Q68" s="327"/>
    </row>
    <row r="69" spans="1:17" ht="15.75" thickTop="1">
      <c r="A69" s="357"/>
      <c r="B69" s="361" t="s">
        <v>2735</v>
      </c>
      <c r="C69" s="377"/>
      <c r="D69" s="377"/>
      <c r="E69" s="377"/>
      <c r="F69" s="377"/>
      <c r="G69" s="377"/>
      <c r="H69" s="406"/>
      <c r="I69" s="406"/>
      <c r="J69" s="406"/>
      <c r="K69" s="407"/>
      <c r="L69" s="408"/>
      <c r="M69" s="409"/>
      <c r="N69" s="897"/>
      <c r="O69" s="897"/>
      <c r="P69" s="38"/>
      <c r="Q69" s="327"/>
    </row>
    <row r="70" spans="1:17" ht="15.75" thickBot="1">
      <c r="A70" s="357"/>
      <c r="B70" s="366"/>
      <c r="C70" s="367">
        <v>100</v>
      </c>
      <c r="D70" s="367">
        <f>C70-$K22</f>
        <v>100</v>
      </c>
      <c r="E70" s="367"/>
      <c r="F70" s="367"/>
      <c r="G70" s="367"/>
      <c r="H70" s="367"/>
      <c r="I70" s="367"/>
      <c r="J70" s="367"/>
      <c r="K70" s="367"/>
      <c r="L70" s="367"/>
      <c r="M70" s="368"/>
      <c r="N70" s="898"/>
      <c r="O70" s="898"/>
      <c r="P70" s="38"/>
      <c r="Q70" s="327"/>
    </row>
    <row r="71" spans="1:17" s="51" customFormat="1" ht="15.75" thickTop="1">
      <c r="A71" s="402"/>
      <c r="B71" s="361">
        <f>B23</f>
        <v>111</v>
      </c>
      <c r="C71" s="372"/>
      <c r="D71" s="372"/>
      <c r="E71" s="372"/>
      <c r="F71" s="372"/>
      <c r="G71" s="377"/>
      <c r="H71" s="377"/>
      <c r="I71" s="377"/>
      <c r="J71" s="377"/>
      <c r="K71" s="377"/>
      <c r="L71" s="403"/>
      <c r="M71" s="404"/>
      <c r="N71" s="896"/>
      <c r="O71" s="896"/>
      <c r="P71" s="38"/>
      <c r="Q71" s="327"/>
    </row>
    <row r="72" spans="1:17" s="51" customFormat="1" ht="15.75" thickBot="1">
      <c r="A72" s="402"/>
      <c r="B72" s="366"/>
      <c r="C72" s="383"/>
      <c r="D72" s="359"/>
      <c r="E72" s="359"/>
      <c r="F72" s="359"/>
      <c r="G72" s="359"/>
      <c r="H72" s="359"/>
      <c r="I72" s="359"/>
      <c r="J72" s="359"/>
      <c r="K72" s="359"/>
      <c r="L72" s="359"/>
      <c r="M72" s="360"/>
      <c r="N72" s="898"/>
      <c r="O72" s="898"/>
      <c r="P72" s="38"/>
      <c r="Q72" s="327"/>
    </row>
    <row r="73" spans="1:17" s="51" customFormat="1" ht="15.75" thickTop="1">
      <c r="A73" s="402"/>
      <c r="B73" s="361">
        <f>B24</f>
        <v>111</v>
      </c>
      <c r="C73" s="372"/>
      <c r="D73" s="372"/>
      <c r="E73" s="372"/>
      <c r="F73" s="372"/>
      <c r="G73" s="377"/>
      <c r="H73" s="377"/>
      <c r="I73" s="377"/>
      <c r="J73" s="377"/>
      <c r="K73" s="377"/>
      <c r="L73" s="377"/>
      <c r="M73" s="404"/>
      <c r="N73" s="896"/>
      <c r="O73" s="896"/>
      <c r="P73" s="38"/>
      <c r="Q73" s="327"/>
    </row>
    <row r="74" spans="1:17" s="51" customFormat="1" ht="15.75" thickBot="1">
      <c r="A74" s="402"/>
      <c r="B74" s="366"/>
      <c r="C74" s="383"/>
      <c r="D74" s="359"/>
      <c r="E74" s="359"/>
      <c r="F74" s="359"/>
      <c r="G74" s="359"/>
      <c r="H74" s="359"/>
      <c r="I74" s="359"/>
      <c r="J74" s="359"/>
      <c r="K74" s="359"/>
      <c r="L74" s="359"/>
      <c r="M74" s="360"/>
      <c r="N74" s="898"/>
      <c r="O74" s="898"/>
      <c r="P74" s="38"/>
      <c r="Q74" s="327"/>
    </row>
    <row r="75" spans="1:17" s="294" customFormat="1" ht="15.75" thickTop="1">
      <c r="A75" s="376"/>
      <c r="B75" s="361">
        <f>B25</f>
        <v>111</v>
      </c>
      <c r="C75" s="372"/>
      <c r="D75" s="372"/>
      <c r="E75" s="372"/>
      <c r="F75" s="372"/>
      <c r="G75" s="377"/>
      <c r="H75" s="378"/>
      <c r="I75" s="378"/>
      <c r="J75" s="378"/>
      <c r="K75" s="378"/>
      <c r="L75" s="379"/>
      <c r="M75" s="380"/>
      <c r="N75" s="899"/>
      <c r="O75" s="899"/>
      <c r="P75" s="381"/>
      <c r="Q75" s="382"/>
    </row>
    <row r="76" spans="1:17" s="294" customFormat="1" ht="15.75" thickBot="1">
      <c r="A76" s="376"/>
      <c r="B76" s="366"/>
      <c r="C76" s="383"/>
      <c r="D76" s="383"/>
      <c r="E76" s="383"/>
      <c r="F76" s="383"/>
      <c r="G76" s="359"/>
      <c r="H76" s="359"/>
      <c r="I76" s="359"/>
      <c r="J76" s="359"/>
      <c r="K76" s="359"/>
      <c r="L76" s="359"/>
      <c r="M76" s="360"/>
      <c r="N76" s="899"/>
      <c r="O76" s="899"/>
      <c r="P76" s="381"/>
      <c r="Q76" s="382"/>
    </row>
    <row r="77" spans="1:17" ht="15" thickTop="1">
      <c r="A77" s="350" t="s">
        <v>2569</v>
      </c>
      <c r="B77" s="351" t="s">
        <v>2622</v>
      </c>
      <c r="C77" s="377"/>
      <c r="D77" s="377"/>
      <c r="E77" s="353"/>
      <c r="F77" s="353"/>
      <c r="G77" s="353"/>
      <c r="H77" s="353"/>
      <c r="I77" s="353"/>
      <c r="J77" s="353"/>
      <c r="K77" s="354"/>
      <c r="L77" s="355"/>
      <c r="M77" s="356"/>
      <c r="N77" s="897"/>
      <c r="O77" s="897"/>
      <c r="P77" s="38"/>
      <c r="Q77" s="327"/>
    </row>
    <row r="78" spans="1:17" ht="15.75" thickBot="1">
      <c r="A78" s="357"/>
      <c r="B78" s="366"/>
      <c r="C78" s="367">
        <v>100</v>
      </c>
      <c r="D78" s="367">
        <f t="shared" ref="D78:M78" si="17">C78-$K26</f>
        <v>100</v>
      </c>
      <c r="E78" s="367">
        <f t="shared" si="17"/>
        <v>100</v>
      </c>
      <c r="F78" s="367">
        <f t="shared" si="17"/>
        <v>100</v>
      </c>
      <c r="G78" s="367">
        <f t="shared" si="17"/>
        <v>100</v>
      </c>
      <c r="H78" s="367">
        <f t="shared" si="17"/>
        <v>100</v>
      </c>
      <c r="I78" s="367">
        <f t="shared" si="17"/>
        <v>100</v>
      </c>
      <c r="J78" s="367">
        <f t="shared" si="17"/>
        <v>100</v>
      </c>
      <c r="K78" s="367">
        <f t="shared" si="17"/>
        <v>100</v>
      </c>
      <c r="L78" s="367">
        <f t="shared" si="17"/>
        <v>100</v>
      </c>
      <c r="M78" s="368">
        <f t="shared" si="17"/>
        <v>100</v>
      </c>
      <c r="N78" s="898"/>
      <c r="O78" s="898"/>
      <c r="P78" s="38"/>
      <c r="Q78" s="327"/>
    </row>
    <row r="79" spans="1:17" ht="15.75" thickTop="1">
      <c r="A79" s="357"/>
      <c r="B79" s="361" t="s">
        <v>2738</v>
      </c>
      <c r="C79" s="401" t="str">
        <f>C80&amp;"(含)"&amp;"-"&amp;D80</f>
        <v>0.5(含)-0.6</v>
      </c>
      <c r="D79" s="401" t="str">
        <f>D80&amp;"(含)"&amp;"-"&amp;E80</f>
        <v>0.6(含)-0.7</v>
      </c>
      <c r="E79" s="401" t="str">
        <f>E80&amp;"(含)"&amp;"-"&amp;F80</f>
        <v>0.7(含)-0.8</v>
      </c>
      <c r="F79" s="401" t="str">
        <f>F80&amp;"(含)"&amp;"-"&amp;G80</f>
        <v>0.8(含)-0.9</v>
      </c>
      <c r="G79" s="401" t="str">
        <f>G80&amp;"(含)"&amp;"-"&amp;ROUND(H80,0)&amp;"(含)"</f>
        <v>0.9(含)-1(含)</v>
      </c>
      <c r="H79" s="401"/>
      <c r="I79" s="362"/>
      <c r="J79" s="362"/>
      <c r="K79" s="363"/>
      <c r="L79" s="364"/>
      <c r="M79" s="365"/>
      <c r="N79" s="896"/>
      <c r="O79" s="896"/>
      <c r="P79" s="38"/>
      <c r="Q79" s="327"/>
    </row>
    <row r="80" spans="1:17" ht="15">
      <c r="A80" s="357"/>
      <c r="B80" s="369"/>
      <c r="C80" s="426">
        <v>0.5</v>
      </c>
      <c r="D80" s="426">
        <v>0.6</v>
      </c>
      <c r="E80" s="426">
        <v>0.7</v>
      </c>
      <c r="F80" s="426">
        <v>0.8</v>
      </c>
      <c r="G80" s="426">
        <v>0.9</v>
      </c>
      <c r="H80" s="426">
        <v>1.0001</v>
      </c>
      <c r="I80" s="480"/>
      <c r="J80" s="480"/>
      <c r="K80" s="488"/>
      <c r="L80" s="489"/>
      <c r="M80" s="490"/>
      <c r="N80" s="896"/>
      <c r="O80" s="896"/>
      <c r="P80" s="38"/>
      <c r="Q80" s="327"/>
    </row>
    <row r="81" spans="1:17" s="294" customFormat="1" ht="15.75" thickBot="1">
      <c r="A81" s="376"/>
      <c r="B81" s="366"/>
      <c r="C81" s="405">
        <v>100</v>
      </c>
      <c r="D81" s="367">
        <f t="shared" ref="D81:M81" si="18">C81+$K27</f>
        <v>100</v>
      </c>
      <c r="E81" s="367">
        <f t="shared" si="18"/>
        <v>100</v>
      </c>
      <c r="F81" s="367">
        <f t="shared" si="18"/>
        <v>100</v>
      </c>
      <c r="G81" s="367">
        <f t="shared" si="18"/>
        <v>100</v>
      </c>
      <c r="H81" s="367">
        <f t="shared" si="18"/>
        <v>100</v>
      </c>
      <c r="I81" s="367">
        <f t="shared" si="18"/>
        <v>100</v>
      </c>
      <c r="J81" s="367">
        <f t="shared" si="18"/>
        <v>100</v>
      </c>
      <c r="K81" s="367">
        <f t="shared" si="18"/>
        <v>100</v>
      </c>
      <c r="L81" s="367">
        <f t="shared" si="18"/>
        <v>100</v>
      </c>
      <c r="M81" s="367">
        <f t="shared" si="18"/>
        <v>100</v>
      </c>
      <c r="N81" s="898"/>
      <c r="O81" s="898"/>
      <c r="P81" s="381"/>
      <c r="Q81" s="382"/>
    </row>
    <row r="82" spans="1:17" ht="15" thickTop="1">
      <c r="A82" s="422"/>
      <c r="B82" s="369" t="s">
        <v>2739</v>
      </c>
      <c r="C82" s="377"/>
      <c r="D82" s="377"/>
      <c r="E82" s="406"/>
      <c r="F82" s="406"/>
      <c r="G82" s="406"/>
      <c r="H82" s="406"/>
      <c r="I82" s="406"/>
      <c r="J82" s="406"/>
      <c r="K82" s="407"/>
      <c r="L82" s="408"/>
      <c r="M82" s="409"/>
      <c r="N82" s="897"/>
      <c r="O82" s="897"/>
      <c r="P82" s="38"/>
      <c r="Q82" s="327"/>
    </row>
    <row r="83" spans="1:17" ht="15.75" thickBot="1">
      <c r="A83" s="357"/>
      <c r="B83" s="366"/>
      <c r="C83" s="367">
        <v>100</v>
      </c>
      <c r="D83" s="367">
        <f t="shared" ref="D83:M83" si="19">C83-$K28</f>
        <v>100</v>
      </c>
      <c r="E83" s="367">
        <f t="shared" si="19"/>
        <v>100</v>
      </c>
      <c r="F83" s="367">
        <f t="shared" si="19"/>
        <v>100</v>
      </c>
      <c r="G83" s="367">
        <f t="shared" si="19"/>
        <v>100</v>
      </c>
      <c r="H83" s="367">
        <f t="shared" si="19"/>
        <v>100</v>
      </c>
      <c r="I83" s="367">
        <f t="shared" si="19"/>
        <v>100</v>
      </c>
      <c r="J83" s="367">
        <f t="shared" si="19"/>
        <v>100</v>
      </c>
      <c r="K83" s="367">
        <f t="shared" si="19"/>
        <v>100</v>
      </c>
      <c r="L83" s="367">
        <f t="shared" si="19"/>
        <v>100</v>
      </c>
      <c r="M83" s="368">
        <f t="shared" si="19"/>
        <v>100</v>
      </c>
      <c r="N83" s="898"/>
      <c r="O83" s="898"/>
      <c r="P83" s="38"/>
      <c r="Q83" s="327"/>
    </row>
    <row r="84" spans="1:17" ht="15" thickTop="1">
      <c r="A84" s="422"/>
      <c r="B84" s="361" t="s">
        <v>2747</v>
      </c>
      <c r="C84" s="377"/>
      <c r="D84" s="377"/>
      <c r="E84" s="377"/>
      <c r="F84" s="377"/>
      <c r="G84" s="377"/>
      <c r="H84" s="377"/>
      <c r="I84" s="406"/>
      <c r="J84" s="406"/>
      <c r="K84" s="407"/>
      <c r="L84" s="408"/>
      <c r="M84" s="409"/>
      <c r="N84" s="897"/>
      <c r="O84" s="897"/>
      <c r="P84" s="38"/>
      <c r="Q84" s="327"/>
    </row>
    <row r="85" spans="1:17" ht="15.75" thickBot="1">
      <c r="A85" s="357"/>
      <c r="B85" s="366"/>
      <c r="C85" s="405">
        <v>100</v>
      </c>
      <c r="D85" s="367">
        <f t="shared" ref="D85:M85" si="20">C85+$K29</f>
        <v>100</v>
      </c>
      <c r="E85" s="367">
        <f t="shared" si="20"/>
        <v>100</v>
      </c>
      <c r="F85" s="367">
        <f t="shared" si="20"/>
        <v>100</v>
      </c>
      <c r="G85" s="367">
        <f t="shared" si="20"/>
        <v>100</v>
      </c>
      <c r="H85" s="367">
        <f t="shared" si="20"/>
        <v>100</v>
      </c>
      <c r="I85" s="367">
        <f t="shared" si="20"/>
        <v>100</v>
      </c>
      <c r="J85" s="367">
        <f t="shared" si="20"/>
        <v>100</v>
      </c>
      <c r="K85" s="367">
        <f t="shared" si="20"/>
        <v>100</v>
      </c>
      <c r="L85" s="367">
        <f t="shared" si="20"/>
        <v>100</v>
      </c>
      <c r="M85" s="367">
        <f t="shared" si="20"/>
        <v>100</v>
      </c>
      <c r="N85" s="898"/>
      <c r="O85" s="898"/>
      <c r="P85" s="38"/>
      <c r="Q85" s="327"/>
    </row>
    <row r="86" spans="1:17" ht="15" thickTop="1">
      <c r="A86" s="422"/>
      <c r="B86" s="369" t="s">
        <v>2748</v>
      </c>
      <c r="C86" s="401" t="str">
        <f t="shared" ref="C86:L86" si="21">C87&amp;"(含)"&amp;"-"&amp;D87</f>
        <v>(含)-</v>
      </c>
      <c r="D86" s="401" t="str">
        <f t="shared" si="21"/>
        <v>(含)-</v>
      </c>
      <c r="E86" s="401" t="str">
        <f t="shared" si="21"/>
        <v>(含)-</v>
      </c>
      <c r="F86" s="401" t="str">
        <f t="shared" si="21"/>
        <v>(含)-</v>
      </c>
      <c r="G86" s="401" t="str">
        <f t="shared" si="21"/>
        <v>(含)-</v>
      </c>
      <c r="H86" s="401" t="str">
        <f t="shared" si="21"/>
        <v>(含)-</v>
      </c>
      <c r="I86" s="401" t="str">
        <f t="shared" si="21"/>
        <v>(含)-</v>
      </c>
      <c r="J86" s="401" t="str">
        <f t="shared" si="21"/>
        <v>(含)-</v>
      </c>
      <c r="K86" s="401" t="str">
        <f t="shared" si="21"/>
        <v>(含)-</v>
      </c>
      <c r="L86" s="401" t="str">
        <f t="shared" si="21"/>
        <v>(含)-</v>
      </c>
      <c r="M86" s="443" t="str">
        <f>M87&amp;"(含)"&amp;"-"&amp;P87</f>
        <v>(含)-</v>
      </c>
      <c r="N86" s="897"/>
      <c r="O86" s="897"/>
      <c r="P86" s="38"/>
      <c r="Q86" s="327"/>
    </row>
    <row r="87" spans="1:17">
      <c r="A87" s="422"/>
      <c r="B87" s="369"/>
      <c r="C87" s="418"/>
      <c r="D87" s="418"/>
      <c r="E87" s="418"/>
      <c r="F87" s="418"/>
      <c r="G87" s="418"/>
      <c r="H87" s="418"/>
      <c r="I87" s="418"/>
      <c r="J87" s="419"/>
      <c r="K87" s="419"/>
      <c r="L87" s="420"/>
      <c r="M87" s="421"/>
      <c r="N87" s="897"/>
      <c r="O87" s="897"/>
      <c r="P87" s="38"/>
      <c r="Q87" s="327"/>
    </row>
    <row r="88" spans="1:17" ht="15.75" thickBot="1">
      <c r="A88" s="357"/>
      <c r="B88" s="366"/>
      <c r="C88" s="383"/>
      <c r="D88" s="359"/>
      <c r="E88" s="359"/>
      <c r="F88" s="359"/>
      <c r="G88" s="359"/>
      <c r="H88" s="359"/>
      <c r="I88" s="359"/>
      <c r="J88" s="359"/>
      <c r="K88" s="359"/>
      <c r="L88" s="359"/>
      <c r="M88" s="359"/>
      <c r="N88" s="898"/>
      <c r="O88" s="898"/>
      <c r="P88" s="38"/>
      <c r="Q88" s="327"/>
    </row>
    <row r="89" spans="1:17" s="294" customFormat="1" ht="15" thickTop="1">
      <c r="A89" s="416"/>
      <c r="B89" s="361" t="s">
        <v>2749</v>
      </c>
      <c r="C89" s="377"/>
      <c r="D89" s="377"/>
      <c r="E89" s="377"/>
      <c r="F89" s="377"/>
      <c r="G89" s="377"/>
      <c r="H89" s="377"/>
      <c r="I89" s="377"/>
      <c r="J89" s="377"/>
      <c r="K89" s="377"/>
      <c r="L89" s="377"/>
      <c r="M89" s="404"/>
      <c r="N89" s="899"/>
      <c r="O89" s="899"/>
      <c r="P89" s="381"/>
      <c r="Q89" s="382"/>
    </row>
    <row r="90" spans="1:17" s="294" customFormat="1" ht="15.75" thickBot="1">
      <c r="A90" s="376"/>
      <c r="B90" s="366"/>
      <c r="C90" s="383"/>
      <c r="D90" s="359"/>
      <c r="E90" s="359"/>
      <c r="F90" s="359"/>
      <c r="G90" s="359"/>
      <c r="H90" s="359"/>
      <c r="I90" s="359"/>
      <c r="J90" s="359"/>
      <c r="K90" s="359"/>
      <c r="L90" s="359"/>
      <c r="M90" s="360"/>
      <c r="N90" s="899"/>
      <c r="O90" s="899"/>
      <c r="P90" s="381"/>
      <c r="Q90" s="382"/>
    </row>
    <row r="91" spans="1:17" ht="15" thickTop="1">
      <c r="A91" s="422"/>
      <c r="B91" s="361">
        <f>B32</f>
        <v>111</v>
      </c>
      <c r="C91" s="372"/>
      <c r="D91" s="372"/>
      <c r="E91" s="372"/>
      <c r="F91" s="372"/>
      <c r="G91" s="377"/>
      <c r="H91" s="378"/>
      <c r="I91" s="378"/>
      <c r="J91" s="378"/>
      <c r="K91" s="378"/>
      <c r="L91" s="379"/>
      <c r="M91" s="380"/>
      <c r="N91" s="897"/>
      <c r="O91" s="897"/>
      <c r="P91" s="38"/>
      <c r="Q91" s="327"/>
    </row>
    <row r="92" spans="1:17" ht="15.75" thickBot="1">
      <c r="A92" s="357"/>
      <c r="B92" s="366"/>
      <c r="C92" s="383"/>
      <c r="D92" s="359"/>
      <c r="E92" s="359"/>
      <c r="F92" s="359"/>
      <c r="G92" s="383"/>
      <c r="H92" s="385"/>
      <c r="I92" s="385"/>
      <c r="J92" s="385"/>
      <c r="K92" s="385"/>
      <c r="L92" s="385"/>
      <c r="M92" s="386"/>
      <c r="N92" s="898"/>
      <c r="O92" s="898"/>
      <c r="P92" s="38"/>
      <c r="Q92" s="327"/>
    </row>
    <row r="93" spans="1:17" ht="15" thickTop="1">
      <c r="A93" s="422"/>
      <c r="B93" s="361">
        <f>B33</f>
        <v>111</v>
      </c>
      <c r="C93" s="372"/>
      <c r="D93" s="372"/>
      <c r="E93" s="372"/>
      <c r="F93" s="372"/>
      <c r="G93" s="377"/>
      <c r="H93" s="378"/>
      <c r="I93" s="378"/>
      <c r="J93" s="378"/>
      <c r="K93" s="378"/>
      <c r="L93" s="379"/>
      <c r="M93" s="380"/>
      <c r="N93" s="897"/>
      <c r="O93" s="897"/>
      <c r="P93" s="38"/>
      <c r="Q93" s="327"/>
    </row>
    <row r="94" spans="1:17" ht="15.75" thickBot="1">
      <c r="A94" s="357"/>
      <c r="B94" s="366"/>
      <c r="C94" s="383"/>
      <c r="D94" s="359"/>
      <c r="E94" s="359"/>
      <c r="F94" s="359"/>
      <c r="G94" s="383"/>
      <c r="H94" s="385"/>
      <c r="I94" s="385"/>
      <c r="J94" s="385"/>
      <c r="K94" s="385"/>
      <c r="L94" s="385"/>
      <c r="M94" s="386"/>
      <c r="N94" s="898"/>
      <c r="O94" s="898"/>
      <c r="P94" s="38"/>
      <c r="Q94" s="327"/>
    </row>
    <row r="95" spans="1:17" ht="15" thickTop="1">
      <c r="A95" s="422"/>
      <c r="B95" s="456">
        <f>B34</f>
        <v>111</v>
      </c>
      <c r="C95" s="372"/>
      <c r="D95" s="372"/>
      <c r="E95" s="372"/>
      <c r="F95" s="372"/>
      <c r="G95" s="377"/>
      <c r="H95" s="378"/>
      <c r="I95" s="378"/>
      <c r="J95" s="378"/>
      <c r="K95" s="378"/>
      <c r="L95" s="379"/>
      <c r="M95" s="380"/>
      <c r="N95" s="898"/>
      <c r="O95" s="898"/>
      <c r="P95" s="457"/>
      <c r="Q95" s="458"/>
    </row>
    <row r="96" spans="1:17" ht="15.75" thickBot="1">
      <c r="A96" s="357"/>
      <c r="B96" s="366"/>
      <c r="C96" s="383"/>
      <c r="D96" s="383"/>
      <c r="E96" s="383"/>
      <c r="F96" s="383"/>
      <c r="G96" s="383"/>
      <c r="H96" s="385"/>
      <c r="I96" s="385"/>
      <c r="J96" s="385"/>
      <c r="K96" s="385"/>
      <c r="L96" s="385"/>
      <c r="M96" s="386"/>
      <c r="N96" s="898"/>
      <c r="O96" s="898"/>
      <c r="P96" s="38"/>
      <c r="Q96" s="327"/>
    </row>
    <row r="97" spans="1:20" ht="15" thickTop="1"/>
    <row r="98" spans="1:20">
      <c r="A98" s="900"/>
      <c r="B98" s="900"/>
      <c r="C98" s="900"/>
      <c r="D98" s="900"/>
      <c r="E98" s="900"/>
      <c r="F98" s="900"/>
      <c r="G98" s="900"/>
      <c r="H98" s="900"/>
      <c r="I98" s="900"/>
      <c r="J98" s="900"/>
      <c r="K98" s="901"/>
      <c r="L98" s="902"/>
      <c r="M98" s="900"/>
      <c r="N98" s="900"/>
      <c r="O98" s="900"/>
      <c r="P98" s="900"/>
      <c r="Q98" s="900"/>
      <c r="R98" s="900"/>
      <c r="S98" s="900"/>
      <c r="T98" s="900"/>
    </row>
    <row r="99" spans="1:20">
      <c r="A99" s="900"/>
      <c r="B99" s="900"/>
      <c r="C99" s="900"/>
      <c r="D99" s="900"/>
      <c r="E99" s="900"/>
      <c r="F99" s="900"/>
      <c r="G99" s="900"/>
      <c r="H99" s="900"/>
      <c r="I99" s="900"/>
      <c r="J99" s="900"/>
      <c r="K99" s="901"/>
      <c r="L99" s="902"/>
      <c r="M99" s="900"/>
      <c r="N99" s="900"/>
      <c r="O99" s="900"/>
      <c r="P99" s="900"/>
      <c r="Q99" s="900"/>
      <c r="R99" s="900"/>
      <c r="S99" s="900"/>
      <c r="T99" s="900"/>
    </row>
    <row r="100" spans="1:20">
      <c r="A100" s="900"/>
      <c r="B100" s="900"/>
      <c r="C100" s="900"/>
      <c r="D100" s="900"/>
      <c r="E100" s="900"/>
      <c r="F100" s="900"/>
      <c r="G100" s="900"/>
      <c r="H100" s="900"/>
      <c r="I100" s="900"/>
      <c r="J100" s="900"/>
      <c r="K100" s="901"/>
      <c r="L100" s="902"/>
      <c r="M100" s="900"/>
      <c r="N100" s="900"/>
      <c r="O100" s="900"/>
      <c r="P100" s="900"/>
      <c r="Q100" s="900"/>
      <c r="R100" s="900"/>
      <c r="S100" s="900"/>
      <c r="T100" s="900"/>
    </row>
    <row r="101" spans="1:20">
      <c r="A101" s="900"/>
      <c r="B101" s="900"/>
      <c r="C101" s="900"/>
      <c r="D101" s="900"/>
      <c r="E101" s="900"/>
      <c r="F101" s="900"/>
      <c r="G101" s="900"/>
      <c r="H101" s="900"/>
      <c r="I101" s="900"/>
      <c r="J101" s="900"/>
      <c r="K101" s="901"/>
      <c r="L101" s="902"/>
      <c r="M101" s="900"/>
      <c r="N101" s="900"/>
      <c r="O101" s="900"/>
      <c r="P101" s="900"/>
      <c r="Q101" s="900"/>
      <c r="R101" s="900"/>
      <c r="S101" s="900"/>
      <c r="T101" s="900"/>
    </row>
    <row r="102" spans="1:20">
      <c r="A102" s="900"/>
      <c r="B102" s="900"/>
      <c r="C102" s="900"/>
      <c r="D102" s="900"/>
      <c r="E102" s="900"/>
      <c r="F102" s="900"/>
      <c r="G102" s="900"/>
      <c r="H102" s="900"/>
      <c r="I102" s="900"/>
      <c r="J102" s="900"/>
      <c r="K102" s="901"/>
      <c r="L102" s="902"/>
      <c r="M102" s="900"/>
      <c r="N102" s="900"/>
      <c r="O102" s="900"/>
      <c r="P102" s="900"/>
      <c r="Q102" s="900"/>
      <c r="R102" s="900"/>
      <c r="S102" s="900"/>
      <c r="T102" s="900"/>
    </row>
    <row r="103" spans="1:20">
      <c r="A103" s="900"/>
      <c r="B103" s="900"/>
      <c r="C103" s="900"/>
      <c r="D103" s="900"/>
      <c r="E103" s="900"/>
      <c r="F103" s="900"/>
      <c r="G103" s="900"/>
      <c r="H103" s="900"/>
      <c r="I103" s="900"/>
      <c r="J103" s="900"/>
      <c r="K103" s="901"/>
      <c r="L103" s="902"/>
      <c r="M103" s="900"/>
      <c r="N103" s="900"/>
      <c r="O103" s="900"/>
      <c r="P103" s="900"/>
      <c r="Q103" s="900"/>
      <c r="R103" s="900"/>
      <c r="S103" s="900"/>
      <c r="T103" s="900"/>
    </row>
    <row r="104" spans="1:20">
      <c r="A104" s="900"/>
      <c r="B104" s="900"/>
      <c r="C104" s="900"/>
      <c r="D104" s="900"/>
      <c r="E104" s="900"/>
      <c r="F104" s="900"/>
      <c r="G104" s="900"/>
      <c r="H104" s="900"/>
      <c r="I104" s="900"/>
      <c r="J104" s="900"/>
      <c r="K104" s="901"/>
      <c r="L104" s="902"/>
      <c r="M104" s="900"/>
      <c r="N104" s="900"/>
      <c r="O104" s="900"/>
      <c r="P104" s="900"/>
      <c r="Q104" s="900"/>
      <c r="R104" s="900"/>
      <c r="S104" s="900"/>
      <c r="T104" s="900"/>
    </row>
    <row r="105" spans="1:20">
      <c r="A105" s="900"/>
      <c r="B105" s="900"/>
      <c r="C105" s="900"/>
      <c r="D105" s="900"/>
      <c r="E105" s="900"/>
      <c r="F105" s="900"/>
      <c r="G105" s="900"/>
      <c r="H105" s="900"/>
      <c r="I105" s="900"/>
      <c r="J105" s="900"/>
      <c r="K105" s="901"/>
      <c r="L105" s="902"/>
      <c r="M105" s="900"/>
      <c r="N105" s="900"/>
      <c r="O105" s="900"/>
      <c r="P105" s="900"/>
      <c r="Q105" s="900"/>
      <c r="R105" s="900"/>
      <c r="S105" s="900"/>
      <c r="T105" s="900"/>
    </row>
    <row r="106" spans="1:20">
      <c r="A106" s="900"/>
      <c r="B106" s="900"/>
      <c r="C106" s="900"/>
      <c r="D106" s="900"/>
      <c r="E106" s="900"/>
      <c r="F106" s="900"/>
      <c r="G106" s="900"/>
      <c r="H106" s="900"/>
      <c r="I106" s="900"/>
      <c r="J106" s="900"/>
      <c r="K106" s="901"/>
      <c r="L106" s="902"/>
      <c r="M106" s="900"/>
      <c r="N106" s="900"/>
      <c r="O106" s="900"/>
      <c r="P106" s="900"/>
      <c r="Q106" s="900"/>
      <c r="R106" s="900"/>
      <c r="S106" s="900"/>
      <c r="T106" s="900"/>
    </row>
    <row r="107" spans="1:20">
      <c r="A107" s="900"/>
      <c r="B107" s="900"/>
      <c r="C107" s="900"/>
      <c r="D107" s="900"/>
      <c r="E107" s="900"/>
      <c r="F107" s="900"/>
      <c r="G107" s="900"/>
      <c r="H107" s="900"/>
      <c r="I107" s="900"/>
      <c r="J107" s="900"/>
      <c r="K107" s="901"/>
      <c r="L107" s="902"/>
      <c r="M107" s="900"/>
      <c r="N107" s="900"/>
      <c r="O107" s="900"/>
      <c r="P107" s="900"/>
      <c r="Q107" s="900"/>
      <c r="R107" s="900"/>
      <c r="S107" s="900"/>
      <c r="T107" s="900"/>
    </row>
    <row r="108" spans="1:20">
      <c r="A108" s="900"/>
      <c r="B108" s="900"/>
      <c r="C108" s="900"/>
      <c r="D108" s="900"/>
      <c r="E108" s="900"/>
      <c r="F108" s="900"/>
      <c r="G108" s="900"/>
      <c r="H108" s="900"/>
      <c r="I108" s="900"/>
      <c r="J108" s="900"/>
      <c r="K108" s="901"/>
      <c r="L108" s="902"/>
      <c r="M108" s="900"/>
      <c r="N108" s="900"/>
      <c r="O108" s="900"/>
      <c r="P108" s="900"/>
      <c r="Q108" s="900"/>
      <c r="R108" s="900"/>
      <c r="S108" s="900"/>
      <c r="T108" s="900"/>
    </row>
    <row r="109" spans="1:20">
      <c r="A109" s="900"/>
      <c r="B109" s="900"/>
      <c r="C109" s="900"/>
      <c r="D109" s="900"/>
      <c r="E109" s="900"/>
      <c r="F109" s="900"/>
      <c r="G109" s="900"/>
      <c r="H109" s="900"/>
      <c r="I109" s="900"/>
      <c r="J109" s="900"/>
      <c r="K109" s="901"/>
      <c r="L109" s="902"/>
      <c r="M109" s="900"/>
      <c r="N109" s="900"/>
      <c r="O109" s="900"/>
      <c r="P109" s="900"/>
      <c r="Q109" s="900"/>
      <c r="R109" s="900"/>
      <c r="S109" s="900"/>
      <c r="T109" s="900"/>
    </row>
    <row r="110" spans="1:20">
      <c r="A110" s="900"/>
      <c r="B110" s="900"/>
      <c r="C110" s="900"/>
      <c r="D110" s="900"/>
      <c r="E110" s="900"/>
      <c r="F110" s="900"/>
      <c r="G110" s="900"/>
      <c r="H110" s="900"/>
      <c r="I110" s="900"/>
      <c r="J110" s="900"/>
      <c r="K110" s="901"/>
      <c r="L110" s="902"/>
      <c r="M110" s="900"/>
      <c r="N110" s="900"/>
      <c r="O110" s="900"/>
      <c r="P110" s="900"/>
      <c r="Q110" s="900"/>
      <c r="R110" s="900"/>
      <c r="S110" s="900"/>
      <c r="T110" s="900"/>
    </row>
    <row r="111" spans="1:20">
      <c r="A111" s="900"/>
      <c r="B111" s="900"/>
      <c r="C111" s="900"/>
      <c r="D111" s="900"/>
      <c r="E111" s="900"/>
      <c r="F111" s="900"/>
      <c r="G111" s="900"/>
      <c r="H111" s="900"/>
      <c r="I111" s="900"/>
      <c r="J111" s="900"/>
      <c r="K111" s="901"/>
      <c r="L111" s="902"/>
      <c r="M111" s="900"/>
      <c r="N111" s="900"/>
      <c r="O111" s="900"/>
      <c r="P111" s="900"/>
      <c r="Q111" s="900"/>
      <c r="R111" s="900"/>
      <c r="S111" s="900"/>
      <c r="T111" s="900"/>
    </row>
    <row r="112" spans="1:20">
      <c r="A112" s="900"/>
      <c r="B112" s="900"/>
      <c r="C112" s="900"/>
      <c r="D112" s="900"/>
      <c r="E112" s="900"/>
      <c r="F112" s="900"/>
      <c r="G112" s="900"/>
      <c r="H112" s="900"/>
      <c r="I112" s="900"/>
      <c r="J112" s="900"/>
      <c r="K112" s="901"/>
      <c r="L112" s="902"/>
      <c r="M112" s="900"/>
      <c r="N112" s="900"/>
      <c r="O112" s="900"/>
      <c r="P112" s="900"/>
      <c r="Q112" s="900"/>
      <c r="R112" s="900"/>
      <c r="S112" s="900"/>
      <c r="T112" s="900"/>
    </row>
    <row r="113" spans="1:20">
      <c r="A113" s="900"/>
      <c r="B113" s="900"/>
      <c r="C113" s="900"/>
      <c r="D113" s="900"/>
      <c r="E113" s="900"/>
      <c r="F113" s="900"/>
      <c r="G113" s="900"/>
      <c r="H113" s="900"/>
      <c r="I113" s="900"/>
      <c r="J113" s="900"/>
      <c r="K113" s="901"/>
      <c r="L113" s="902"/>
      <c r="M113" s="900"/>
      <c r="N113" s="900"/>
      <c r="O113" s="900"/>
      <c r="P113" s="900"/>
      <c r="Q113" s="900"/>
      <c r="R113" s="900"/>
      <c r="S113" s="900"/>
      <c r="T113" s="900"/>
    </row>
    <row r="114" spans="1:20">
      <c r="A114" s="900"/>
      <c r="B114" s="900"/>
      <c r="C114" s="900"/>
      <c r="D114" s="900"/>
      <c r="E114" s="900"/>
      <c r="F114" s="900"/>
      <c r="G114" s="900"/>
      <c r="H114" s="900"/>
      <c r="I114" s="900"/>
      <c r="J114" s="900"/>
      <c r="K114" s="901"/>
      <c r="L114" s="902"/>
      <c r="M114" s="900"/>
      <c r="N114" s="900"/>
      <c r="O114" s="900"/>
      <c r="P114" s="900"/>
      <c r="Q114" s="900"/>
      <c r="R114" s="900"/>
      <c r="S114" s="900"/>
      <c r="T114" s="900"/>
    </row>
    <row r="115" spans="1:20">
      <c r="A115" s="900"/>
      <c r="B115" s="900"/>
      <c r="C115" s="900"/>
      <c r="D115" s="900"/>
      <c r="E115" s="900"/>
      <c r="F115" s="900"/>
      <c r="G115" s="900"/>
      <c r="H115" s="900"/>
      <c r="I115" s="900"/>
      <c r="J115" s="900"/>
      <c r="K115" s="901"/>
      <c r="L115" s="902"/>
      <c r="M115" s="900"/>
      <c r="N115" s="900"/>
      <c r="O115" s="900"/>
      <c r="P115" s="900"/>
      <c r="Q115" s="900"/>
      <c r="R115" s="900"/>
      <c r="S115" s="900"/>
      <c r="T115" s="900"/>
    </row>
    <row r="116" spans="1:20">
      <c r="A116" s="900"/>
      <c r="B116" s="900"/>
      <c r="C116" s="900"/>
      <c r="D116" s="900"/>
      <c r="E116" s="900"/>
      <c r="F116" s="900"/>
      <c r="G116" s="900"/>
      <c r="H116" s="900"/>
      <c r="I116" s="900"/>
      <c r="J116" s="900"/>
      <c r="K116" s="901"/>
      <c r="L116" s="902"/>
      <c r="M116" s="900"/>
      <c r="N116" s="900"/>
      <c r="O116" s="900"/>
      <c r="P116" s="900"/>
      <c r="Q116" s="900"/>
      <c r="R116" s="900"/>
      <c r="S116" s="900"/>
      <c r="T116" s="900"/>
    </row>
    <row r="117" spans="1:20">
      <c r="A117" s="900"/>
      <c r="B117" s="900"/>
      <c r="C117" s="900"/>
      <c r="D117" s="900"/>
      <c r="E117" s="900"/>
      <c r="F117" s="900"/>
      <c r="G117" s="900"/>
      <c r="H117" s="900"/>
      <c r="I117" s="900"/>
      <c r="J117" s="900"/>
      <c r="K117" s="901"/>
      <c r="L117" s="902"/>
      <c r="M117" s="900"/>
      <c r="N117" s="900"/>
      <c r="O117" s="900"/>
      <c r="P117" s="900"/>
      <c r="Q117" s="900"/>
      <c r="R117" s="900"/>
      <c r="S117" s="900"/>
      <c r="T117" s="900"/>
    </row>
    <row r="118" spans="1:20">
      <c r="A118" s="900"/>
      <c r="B118" s="900"/>
      <c r="C118" s="900"/>
      <c r="D118" s="900"/>
      <c r="E118" s="900"/>
      <c r="F118" s="900"/>
      <c r="G118" s="900"/>
      <c r="H118" s="900"/>
      <c r="I118" s="900"/>
      <c r="J118" s="900"/>
      <c r="K118" s="901"/>
      <c r="L118" s="902"/>
      <c r="M118" s="900"/>
      <c r="N118" s="900"/>
      <c r="O118" s="900"/>
      <c r="P118" s="900"/>
      <c r="Q118" s="900"/>
      <c r="R118" s="900"/>
      <c r="S118" s="900"/>
      <c r="T118" s="900"/>
    </row>
    <row r="119" spans="1:20">
      <c r="A119" s="900"/>
      <c r="B119" s="900"/>
      <c r="C119" s="900"/>
      <c r="D119" s="900"/>
      <c r="E119" s="900"/>
      <c r="F119" s="900"/>
      <c r="G119" s="900"/>
      <c r="H119" s="900"/>
      <c r="I119" s="900"/>
      <c r="J119" s="900"/>
      <c r="K119" s="901"/>
      <c r="L119" s="902"/>
      <c r="M119" s="900"/>
      <c r="N119" s="900"/>
      <c r="O119" s="900"/>
      <c r="P119" s="900"/>
      <c r="Q119" s="900"/>
      <c r="R119" s="900"/>
      <c r="S119" s="900"/>
      <c r="T119" s="900"/>
    </row>
    <row r="120" spans="1:20">
      <c r="A120" s="900"/>
      <c r="B120" s="900"/>
      <c r="C120" s="900"/>
      <c r="D120" s="900"/>
      <c r="E120" s="900"/>
      <c r="F120" s="900"/>
      <c r="G120" s="900"/>
      <c r="H120" s="900"/>
      <c r="I120" s="900"/>
      <c r="J120" s="900"/>
      <c r="K120" s="901"/>
      <c r="L120" s="902"/>
      <c r="M120" s="900"/>
      <c r="N120" s="900"/>
      <c r="O120" s="900"/>
      <c r="P120" s="900"/>
      <c r="Q120" s="900"/>
      <c r="R120" s="900"/>
      <c r="S120" s="900"/>
      <c r="T120" s="900"/>
    </row>
    <row r="121" spans="1:20">
      <c r="A121" s="900"/>
      <c r="B121" s="900"/>
      <c r="C121" s="900"/>
      <c r="D121" s="900"/>
      <c r="E121" s="900"/>
      <c r="F121" s="900"/>
      <c r="G121" s="900"/>
      <c r="H121" s="900"/>
      <c r="I121" s="900"/>
      <c r="J121" s="900"/>
      <c r="K121" s="901"/>
      <c r="L121" s="902"/>
      <c r="M121" s="900"/>
      <c r="N121" s="900"/>
      <c r="O121" s="900"/>
      <c r="P121" s="900"/>
      <c r="Q121" s="900"/>
      <c r="R121" s="900"/>
      <c r="S121" s="900"/>
      <c r="T121" s="900"/>
    </row>
    <row r="122" spans="1:20">
      <c r="A122" s="900"/>
      <c r="B122" s="900"/>
      <c r="C122" s="900"/>
      <c r="D122" s="900"/>
      <c r="E122" s="900"/>
      <c r="F122" s="900"/>
      <c r="G122" s="900"/>
      <c r="H122" s="900"/>
      <c r="I122" s="900"/>
      <c r="J122" s="900"/>
      <c r="K122" s="901"/>
      <c r="L122" s="902"/>
      <c r="M122" s="900"/>
      <c r="N122" s="900"/>
      <c r="O122" s="900"/>
      <c r="P122" s="900"/>
      <c r="Q122" s="900"/>
      <c r="R122" s="900"/>
      <c r="S122" s="900"/>
      <c r="T122" s="900"/>
    </row>
    <row r="123" spans="1:20">
      <c r="A123" s="900"/>
      <c r="B123" s="900"/>
      <c r="C123" s="900"/>
      <c r="D123" s="900"/>
      <c r="E123" s="900"/>
      <c r="F123" s="900"/>
      <c r="G123" s="900"/>
      <c r="H123" s="900"/>
      <c r="I123" s="900"/>
      <c r="J123" s="900"/>
      <c r="K123" s="901"/>
      <c r="L123" s="902"/>
      <c r="M123" s="900"/>
      <c r="N123" s="900"/>
      <c r="O123" s="900"/>
      <c r="P123" s="900"/>
      <c r="Q123" s="900"/>
      <c r="R123" s="900"/>
      <c r="S123" s="900"/>
      <c r="T123" s="900"/>
    </row>
    <row r="124" spans="1:20">
      <c r="A124" s="900"/>
      <c r="B124" s="900"/>
      <c r="C124" s="900"/>
      <c r="D124" s="900"/>
      <c r="E124" s="900"/>
      <c r="F124" s="900"/>
      <c r="G124" s="900"/>
      <c r="H124" s="900"/>
      <c r="I124" s="900"/>
      <c r="J124" s="900"/>
      <c r="K124" s="901"/>
      <c r="L124" s="902"/>
      <c r="M124" s="900"/>
      <c r="N124" s="900"/>
      <c r="O124" s="900"/>
      <c r="P124" s="900"/>
      <c r="Q124" s="900"/>
      <c r="R124" s="900"/>
      <c r="S124" s="900"/>
      <c r="T124" s="900"/>
    </row>
    <row r="125" spans="1:20">
      <c r="A125" s="900"/>
      <c r="B125" s="900"/>
      <c r="C125" s="900"/>
      <c r="D125" s="900"/>
      <c r="E125" s="900"/>
      <c r="F125" s="900"/>
      <c r="G125" s="900"/>
      <c r="H125" s="900"/>
      <c r="I125" s="900"/>
      <c r="J125" s="900"/>
      <c r="K125" s="901"/>
      <c r="L125" s="902"/>
      <c r="M125" s="900"/>
      <c r="N125" s="900"/>
      <c r="O125" s="900"/>
      <c r="P125" s="900"/>
      <c r="Q125" s="900"/>
      <c r="R125" s="900"/>
      <c r="S125" s="900"/>
      <c r="T125" s="900"/>
    </row>
    <row r="126" spans="1:20">
      <c r="A126" s="900"/>
      <c r="B126" s="900"/>
      <c r="C126" s="900"/>
      <c r="D126" s="900"/>
      <c r="E126" s="900"/>
      <c r="F126" s="900"/>
      <c r="G126" s="900"/>
      <c r="H126" s="900"/>
      <c r="I126" s="900"/>
      <c r="J126" s="900"/>
      <c r="K126" s="901"/>
      <c r="L126" s="902"/>
      <c r="M126" s="900"/>
      <c r="N126" s="900"/>
      <c r="O126" s="900"/>
      <c r="P126" s="900"/>
      <c r="Q126" s="900"/>
      <c r="R126" s="900"/>
      <c r="S126" s="900"/>
      <c r="T126" s="900"/>
    </row>
    <row r="127" spans="1:20">
      <c r="A127" s="900"/>
      <c r="B127" s="900"/>
      <c r="C127" s="900"/>
      <c r="D127" s="900"/>
      <c r="E127" s="900"/>
      <c r="F127" s="900"/>
      <c r="G127" s="900"/>
      <c r="H127" s="900"/>
      <c r="I127" s="900"/>
      <c r="J127" s="900"/>
      <c r="K127" s="901"/>
      <c r="L127" s="902"/>
      <c r="M127" s="900"/>
      <c r="N127" s="900"/>
      <c r="O127" s="900"/>
      <c r="P127" s="900"/>
      <c r="Q127" s="900"/>
      <c r="R127" s="900"/>
      <c r="S127" s="900"/>
      <c r="T127" s="900"/>
    </row>
    <row r="128" spans="1:20">
      <c r="A128" s="900"/>
      <c r="B128" s="900"/>
      <c r="C128" s="900"/>
      <c r="D128" s="900"/>
      <c r="E128" s="900"/>
      <c r="F128" s="900"/>
      <c r="G128" s="900"/>
      <c r="H128" s="900"/>
      <c r="I128" s="900"/>
      <c r="J128" s="900"/>
      <c r="K128" s="901"/>
      <c r="L128" s="902"/>
      <c r="M128" s="900"/>
      <c r="N128" s="900"/>
      <c r="O128" s="900"/>
      <c r="P128" s="900"/>
      <c r="Q128" s="900"/>
      <c r="R128" s="900"/>
      <c r="S128" s="900"/>
      <c r="T128" s="900"/>
    </row>
    <row r="129" spans="1:20">
      <c r="A129" s="900"/>
      <c r="B129" s="900"/>
      <c r="C129" s="900"/>
      <c r="D129" s="900"/>
      <c r="E129" s="900"/>
      <c r="F129" s="900"/>
      <c r="G129" s="900"/>
      <c r="H129" s="900"/>
      <c r="I129" s="900"/>
      <c r="J129" s="900"/>
      <c r="K129" s="901"/>
      <c r="L129" s="902"/>
      <c r="M129" s="900"/>
      <c r="N129" s="900"/>
      <c r="O129" s="900"/>
      <c r="P129" s="900"/>
      <c r="Q129" s="900"/>
      <c r="R129" s="900"/>
      <c r="S129" s="900"/>
      <c r="T129" s="900"/>
    </row>
    <row r="130" spans="1:20">
      <c r="A130" s="900"/>
      <c r="B130" s="900"/>
      <c r="C130" s="900"/>
      <c r="D130" s="900"/>
      <c r="E130" s="900"/>
      <c r="F130" s="900"/>
      <c r="G130" s="900"/>
      <c r="H130" s="900"/>
      <c r="I130" s="900"/>
      <c r="J130" s="900"/>
      <c r="K130" s="901"/>
      <c r="L130" s="902"/>
      <c r="M130" s="900"/>
      <c r="N130" s="900"/>
      <c r="O130" s="900"/>
      <c r="P130" s="900"/>
      <c r="Q130" s="900"/>
      <c r="R130" s="900"/>
      <c r="S130" s="900"/>
      <c r="T130" s="900"/>
    </row>
    <row r="131" spans="1:20">
      <c r="A131" s="900"/>
      <c r="B131" s="900"/>
      <c r="C131" s="900"/>
      <c r="D131" s="900"/>
      <c r="E131" s="900"/>
      <c r="F131" s="900"/>
      <c r="G131" s="900"/>
      <c r="H131" s="900"/>
      <c r="I131" s="900"/>
      <c r="J131" s="900"/>
      <c r="K131" s="901"/>
      <c r="L131" s="902"/>
      <c r="M131" s="900"/>
      <c r="N131" s="900"/>
      <c r="O131" s="900"/>
      <c r="P131" s="900"/>
      <c r="Q131" s="900"/>
      <c r="R131" s="900"/>
      <c r="S131" s="900"/>
      <c r="T131" s="900"/>
    </row>
    <row r="132" spans="1:20">
      <c r="A132" s="900"/>
      <c r="B132" s="900"/>
      <c r="C132" s="900"/>
      <c r="D132" s="900"/>
      <c r="E132" s="900"/>
      <c r="F132" s="900"/>
      <c r="G132" s="900"/>
      <c r="H132" s="900"/>
      <c r="I132" s="900"/>
      <c r="J132" s="900"/>
      <c r="K132" s="901"/>
      <c r="L132" s="902"/>
      <c r="M132" s="900"/>
      <c r="N132" s="900"/>
      <c r="O132" s="900"/>
      <c r="P132" s="900"/>
      <c r="Q132" s="900"/>
      <c r="R132" s="900"/>
      <c r="S132" s="900"/>
      <c r="T132" s="900"/>
    </row>
    <row r="133" spans="1:20">
      <c r="A133" s="900"/>
      <c r="B133" s="900"/>
      <c r="C133" s="900"/>
      <c r="D133" s="900"/>
      <c r="E133" s="900"/>
      <c r="F133" s="900"/>
      <c r="G133" s="900"/>
      <c r="H133" s="900"/>
      <c r="I133" s="900"/>
      <c r="J133" s="900"/>
      <c r="K133" s="901"/>
      <c r="L133" s="902"/>
      <c r="M133" s="900"/>
      <c r="N133" s="900"/>
      <c r="O133" s="900"/>
      <c r="P133" s="900"/>
      <c r="Q133" s="900"/>
      <c r="R133" s="900"/>
      <c r="S133" s="900"/>
      <c r="T133" s="900"/>
    </row>
    <row r="134" spans="1:20">
      <c r="A134" s="900"/>
      <c r="B134" s="900"/>
      <c r="C134" s="900"/>
      <c r="D134" s="900"/>
      <c r="E134" s="900"/>
      <c r="F134" s="900"/>
      <c r="G134" s="900"/>
      <c r="H134" s="900"/>
      <c r="I134" s="900"/>
      <c r="J134" s="900"/>
      <c r="K134" s="901"/>
      <c r="L134" s="902"/>
      <c r="M134" s="900"/>
      <c r="N134" s="900"/>
      <c r="O134" s="900"/>
      <c r="P134" s="900"/>
      <c r="Q134" s="900"/>
      <c r="R134" s="900"/>
      <c r="S134" s="900"/>
      <c r="T134" s="900"/>
    </row>
    <row r="135" spans="1:20">
      <c r="A135" s="900"/>
      <c r="B135" s="900"/>
      <c r="C135" s="900"/>
      <c r="D135" s="900"/>
      <c r="E135" s="900"/>
      <c r="F135" s="900"/>
      <c r="G135" s="900"/>
      <c r="H135" s="900"/>
      <c r="I135" s="900"/>
      <c r="J135" s="900"/>
      <c r="K135" s="901"/>
      <c r="L135" s="902"/>
      <c r="M135" s="900"/>
      <c r="N135" s="900"/>
      <c r="O135" s="900"/>
      <c r="P135" s="900"/>
      <c r="Q135" s="900"/>
      <c r="R135" s="900"/>
      <c r="S135" s="900"/>
      <c r="T135" s="900"/>
    </row>
    <row r="136" spans="1:20">
      <c r="A136" s="900"/>
      <c r="B136" s="900"/>
      <c r="C136" s="900"/>
      <c r="D136" s="900"/>
      <c r="E136" s="900"/>
      <c r="F136" s="900"/>
      <c r="G136" s="900"/>
      <c r="H136" s="900"/>
      <c r="I136" s="900"/>
      <c r="J136" s="900"/>
      <c r="K136" s="901"/>
      <c r="L136" s="902"/>
      <c r="M136" s="900"/>
      <c r="N136" s="900"/>
      <c r="O136" s="900"/>
      <c r="P136" s="900"/>
      <c r="Q136" s="900"/>
      <c r="R136" s="900"/>
      <c r="S136" s="900"/>
      <c r="T136" s="900"/>
    </row>
    <row r="137" spans="1:20">
      <c r="A137" s="900"/>
      <c r="B137" s="900"/>
      <c r="C137" s="900"/>
      <c r="D137" s="900"/>
      <c r="E137" s="900"/>
      <c r="F137" s="900"/>
      <c r="G137" s="900"/>
      <c r="H137" s="900"/>
      <c r="I137" s="900"/>
      <c r="J137" s="900"/>
      <c r="K137" s="901"/>
      <c r="L137" s="902"/>
      <c r="M137" s="900"/>
      <c r="N137" s="900"/>
      <c r="O137" s="900"/>
      <c r="P137" s="900"/>
      <c r="Q137" s="900"/>
      <c r="R137" s="900"/>
      <c r="S137" s="900"/>
      <c r="T137" s="900"/>
    </row>
    <row r="138" spans="1:20">
      <c r="A138" s="900"/>
      <c r="B138" s="900"/>
      <c r="C138" s="900"/>
      <c r="D138" s="900"/>
      <c r="E138" s="900"/>
      <c r="F138" s="900"/>
      <c r="G138" s="900"/>
      <c r="H138" s="900"/>
      <c r="I138" s="900"/>
      <c r="J138" s="900"/>
      <c r="K138" s="901"/>
      <c r="L138" s="902"/>
      <c r="M138" s="900"/>
      <c r="N138" s="900"/>
      <c r="O138" s="900"/>
      <c r="P138" s="900"/>
      <c r="Q138" s="900"/>
      <c r="R138" s="900"/>
      <c r="S138" s="900"/>
      <c r="T138" s="900"/>
    </row>
    <row r="139" spans="1:20">
      <c r="A139" s="900"/>
      <c r="B139" s="900"/>
      <c r="C139" s="900"/>
      <c r="D139" s="900"/>
      <c r="E139" s="900"/>
      <c r="F139" s="900"/>
      <c r="G139" s="900"/>
      <c r="H139" s="900"/>
      <c r="I139" s="900"/>
      <c r="J139" s="900"/>
      <c r="K139" s="901"/>
      <c r="L139" s="902"/>
      <c r="M139" s="900"/>
      <c r="N139" s="900"/>
      <c r="O139" s="900"/>
      <c r="P139" s="900"/>
      <c r="Q139" s="900"/>
      <c r="R139" s="900"/>
      <c r="S139" s="900"/>
      <c r="T139" s="900"/>
    </row>
    <row r="140" spans="1:20">
      <c r="A140" s="900"/>
      <c r="B140" s="900"/>
      <c r="C140" s="900"/>
      <c r="D140" s="900"/>
      <c r="E140" s="900"/>
      <c r="F140" s="900"/>
      <c r="G140" s="900"/>
      <c r="H140" s="900"/>
      <c r="I140" s="900"/>
      <c r="J140" s="900"/>
      <c r="K140" s="901"/>
      <c r="L140" s="902"/>
      <c r="M140" s="900"/>
      <c r="N140" s="900"/>
      <c r="O140" s="900"/>
      <c r="P140" s="900"/>
      <c r="Q140" s="900"/>
      <c r="R140" s="900"/>
      <c r="S140" s="900"/>
      <c r="T140" s="900"/>
    </row>
    <row r="141" spans="1:20">
      <c r="A141" s="900"/>
      <c r="B141" s="900"/>
      <c r="C141" s="900"/>
      <c r="D141" s="900"/>
      <c r="E141" s="900"/>
      <c r="F141" s="900"/>
      <c r="G141" s="900"/>
      <c r="H141" s="900"/>
      <c r="I141" s="900"/>
      <c r="J141" s="900"/>
      <c r="K141" s="901"/>
      <c r="L141" s="902"/>
      <c r="M141" s="900"/>
      <c r="N141" s="900"/>
      <c r="O141" s="900"/>
      <c r="P141" s="900"/>
      <c r="Q141" s="900"/>
      <c r="R141" s="900"/>
      <c r="S141" s="900"/>
      <c r="T141" s="900"/>
    </row>
    <row r="142" spans="1:20">
      <c r="A142" s="900"/>
      <c r="B142" s="900"/>
      <c r="C142" s="900"/>
      <c r="D142" s="900"/>
      <c r="E142" s="900"/>
      <c r="F142" s="900"/>
      <c r="G142" s="900"/>
      <c r="H142" s="900"/>
      <c r="I142" s="900"/>
      <c r="J142" s="900"/>
      <c r="K142" s="901"/>
      <c r="L142" s="902"/>
      <c r="M142" s="900"/>
      <c r="N142" s="900"/>
      <c r="O142" s="900"/>
      <c r="P142" s="900"/>
      <c r="Q142" s="900"/>
      <c r="R142" s="900"/>
      <c r="S142" s="900"/>
      <c r="T142" s="900"/>
    </row>
    <row r="143" spans="1:20">
      <c r="A143" s="900"/>
      <c r="B143" s="900"/>
      <c r="C143" s="900"/>
      <c r="D143" s="900"/>
      <c r="E143" s="900"/>
      <c r="F143" s="900"/>
      <c r="G143" s="900"/>
      <c r="H143" s="900"/>
      <c r="I143" s="900"/>
      <c r="J143" s="900"/>
      <c r="K143" s="901"/>
      <c r="L143" s="902"/>
      <c r="M143" s="900"/>
      <c r="N143" s="900"/>
      <c r="O143" s="900"/>
      <c r="P143" s="900"/>
      <c r="Q143" s="900"/>
      <c r="R143" s="900"/>
      <c r="S143" s="900"/>
      <c r="T143" s="900"/>
    </row>
    <row r="144" spans="1:20">
      <c r="A144" s="900"/>
      <c r="B144" s="900"/>
      <c r="C144" s="900"/>
      <c r="D144" s="900"/>
      <c r="E144" s="900"/>
      <c r="F144" s="900"/>
      <c r="G144" s="900"/>
      <c r="H144" s="900"/>
      <c r="I144" s="900"/>
      <c r="J144" s="900"/>
      <c r="K144" s="901"/>
      <c r="L144" s="902"/>
      <c r="M144" s="900"/>
      <c r="N144" s="900"/>
      <c r="O144" s="900"/>
      <c r="P144" s="900"/>
      <c r="Q144" s="900"/>
      <c r="R144" s="900"/>
      <c r="S144" s="900"/>
      <c r="T144" s="900"/>
    </row>
    <row r="145" spans="1:20">
      <c r="A145" s="900"/>
      <c r="B145" s="900"/>
      <c r="C145" s="900"/>
      <c r="D145" s="900"/>
      <c r="E145" s="900"/>
      <c r="F145" s="900"/>
      <c r="G145" s="900"/>
      <c r="H145" s="900"/>
      <c r="I145" s="900"/>
      <c r="J145" s="900"/>
      <c r="K145" s="901"/>
      <c r="L145" s="902"/>
      <c r="M145" s="900"/>
      <c r="N145" s="900"/>
      <c r="O145" s="900"/>
      <c r="P145" s="900"/>
      <c r="Q145" s="900"/>
      <c r="R145" s="900"/>
      <c r="S145" s="900"/>
      <c r="T145" s="900"/>
    </row>
    <row r="146" spans="1:20">
      <c r="A146" s="900"/>
      <c r="B146" s="900"/>
      <c r="C146" s="900"/>
      <c r="D146" s="900"/>
      <c r="E146" s="900"/>
      <c r="F146" s="900"/>
      <c r="G146" s="900"/>
      <c r="H146" s="900"/>
      <c r="I146" s="900"/>
      <c r="J146" s="900"/>
      <c r="K146" s="901"/>
      <c r="L146" s="902"/>
      <c r="M146" s="900"/>
      <c r="N146" s="900"/>
      <c r="O146" s="900"/>
      <c r="P146" s="900"/>
      <c r="Q146" s="900"/>
      <c r="R146" s="900"/>
      <c r="S146" s="900"/>
      <c r="T146" s="900"/>
    </row>
    <row r="147" spans="1:20">
      <c r="A147" s="900"/>
      <c r="B147" s="900"/>
      <c r="C147" s="900"/>
      <c r="D147" s="900"/>
      <c r="E147" s="900"/>
      <c r="F147" s="900"/>
      <c r="G147" s="900"/>
      <c r="H147" s="900"/>
      <c r="I147" s="900"/>
      <c r="J147" s="900"/>
      <c r="K147" s="901"/>
      <c r="L147" s="902"/>
      <c r="M147" s="900"/>
      <c r="N147" s="900"/>
      <c r="O147" s="900"/>
      <c r="P147" s="900"/>
      <c r="Q147" s="900"/>
      <c r="R147" s="900"/>
      <c r="S147" s="900"/>
      <c r="T147" s="900"/>
    </row>
    <row r="148" spans="1:20">
      <c r="A148" s="900"/>
      <c r="B148" s="900"/>
      <c r="C148" s="900"/>
      <c r="D148" s="900"/>
      <c r="E148" s="900"/>
      <c r="F148" s="900"/>
      <c r="G148" s="900"/>
      <c r="H148" s="900"/>
      <c r="I148" s="900"/>
      <c r="J148" s="900"/>
      <c r="K148" s="901"/>
      <c r="L148" s="902"/>
      <c r="M148" s="900"/>
      <c r="N148" s="900"/>
      <c r="O148" s="900"/>
      <c r="P148" s="900"/>
      <c r="Q148" s="900"/>
      <c r="R148" s="900"/>
      <c r="S148" s="900"/>
      <c r="T148" s="900"/>
    </row>
    <row r="149" spans="1:20">
      <c r="A149" s="900"/>
      <c r="B149" s="900"/>
      <c r="C149" s="900"/>
      <c r="D149" s="900"/>
      <c r="E149" s="900"/>
      <c r="F149" s="900"/>
      <c r="G149" s="900"/>
      <c r="H149" s="900"/>
      <c r="I149" s="900"/>
      <c r="J149" s="900"/>
      <c r="K149" s="901"/>
      <c r="L149" s="902"/>
      <c r="M149" s="900"/>
      <c r="N149" s="900"/>
      <c r="O149" s="900"/>
      <c r="P149" s="900"/>
      <c r="Q149" s="900"/>
      <c r="R149" s="900"/>
      <c r="S149" s="900"/>
      <c r="T149" s="900"/>
    </row>
    <row r="150" spans="1:20">
      <c r="A150" s="900"/>
      <c r="B150" s="900"/>
      <c r="C150" s="900"/>
      <c r="D150" s="900"/>
      <c r="E150" s="900"/>
      <c r="F150" s="900"/>
      <c r="G150" s="900"/>
      <c r="H150" s="900"/>
      <c r="I150" s="900"/>
      <c r="J150" s="900"/>
      <c r="K150" s="901"/>
      <c r="L150" s="902"/>
      <c r="M150" s="900"/>
      <c r="N150" s="900"/>
      <c r="O150" s="900"/>
      <c r="P150" s="900"/>
      <c r="Q150" s="900"/>
      <c r="R150" s="900"/>
      <c r="S150" s="900"/>
      <c r="T150" s="900"/>
    </row>
    <row r="151" spans="1:20">
      <c r="A151" s="900"/>
      <c r="B151" s="900"/>
      <c r="C151" s="900"/>
      <c r="D151" s="900"/>
      <c r="E151" s="900"/>
      <c r="F151" s="900"/>
      <c r="G151" s="900"/>
      <c r="H151" s="900"/>
      <c r="I151" s="900"/>
      <c r="J151" s="900"/>
      <c r="K151" s="901"/>
      <c r="L151" s="902"/>
      <c r="M151" s="900"/>
      <c r="N151" s="900"/>
      <c r="O151" s="900"/>
      <c r="P151" s="900"/>
      <c r="Q151" s="900"/>
      <c r="R151" s="900"/>
      <c r="S151" s="900"/>
      <c r="T151" s="900"/>
    </row>
    <row r="152" spans="1:20">
      <c r="A152" s="900"/>
      <c r="B152" s="900"/>
      <c r="C152" s="900"/>
      <c r="D152" s="900"/>
      <c r="E152" s="900"/>
      <c r="F152" s="900"/>
      <c r="G152" s="900"/>
      <c r="H152" s="900"/>
      <c r="I152" s="900"/>
      <c r="J152" s="900"/>
      <c r="K152" s="901"/>
      <c r="L152" s="902"/>
      <c r="M152" s="900"/>
      <c r="N152" s="900"/>
      <c r="O152" s="900"/>
      <c r="P152" s="900"/>
      <c r="Q152" s="900"/>
      <c r="R152" s="900"/>
      <c r="S152" s="900"/>
      <c r="T152" s="900"/>
    </row>
    <row r="153" spans="1:20">
      <c r="A153" s="900"/>
      <c r="B153" s="900"/>
      <c r="C153" s="900"/>
      <c r="D153" s="900"/>
      <c r="E153" s="900"/>
      <c r="F153" s="900"/>
      <c r="G153" s="900"/>
      <c r="H153" s="900"/>
      <c r="I153" s="900"/>
      <c r="J153" s="900"/>
      <c r="K153" s="901"/>
      <c r="L153" s="902"/>
      <c r="M153" s="900"/>
      <c r="N153" s="900"/>
      <c r="O153" s="900"/>
      <c r="P153" s="900"/>
      <c r="Q153" s="900"/>
      <c r="R153" s="900"/>
      <c r="S153" s="900"/>
      <c r="T153" s="900"/>
    </row>
    <row r="154" spans="1:20">
      <c r="A154" s="900"/>
      <c r="B154" s="900"/>
      <c r="C154" s="900"/>
      <c r="D154" s="900"/>
      <c r="E154" s="900"/>
      <c r="F154" s="900"/>
      <c r="G154" s="900"/>
      <c r="H154" s="900"/>
      <c r="I154" s="900"/>
      <c r="J154" s="900"/>
      <c r="K154" s="901"/>
      <c r="L154" s="902"/>
      <c r="M154" s="900"/>
      <c r="N154" s="900"/>
      <c r="O154" s="900"/>
      <c r="P154" s="900"/>
      <c r="Q154" s="900"/>
      <c r="R154" s="900"/>
      <c r="S154" s="900"/>
      <c r="T154" s="900"/>
    </row>
    <row r="155" spans="1:20">
      <c r="A155" s="900"/>
      <c r="B155" s="900"/>
      <c r="C155" s="900"/>
      <c r="D155" s="900"/>
      <c r="E155" s="900"/>
      <c r="F155" s="900"/>
      <c r="G155" s="900"/>
      <c r="H155" s="900"/>
      <c r="I155" s="900"/>
      <c r="J155" s="900"/>
      <c r="K155" s="901"/>
      <c r="L155" s="902"/>
      <c r="M155" s="900"/>
      <c r="N155" s="900"/>
      <c r="O155" s="900"/>
      <c r="P155" s="900"/>
      <c r="Q155" s="900"/>
      <c r="R155" s="900"/>
      <c r="S155" s="900"/>
      <c r="T155" s="900"/>
    </row>
    <row r="156" spans="1:20">
      <c r="A156" s="900"/>
      <c r="B156" s="900"/>
      <c r="C156" s="900"/>
      <c r="D156" s="900"/>
      <c r="E156" s="900"/>
      <c r="F156" s="900"/>
      <c r="G156" s="900"/>
      <c r="H156" s="900"/>
      <c r="I156" s="900"/>
      <c r="J156" s="900"/>
      <c r="K156" s="901"/>
      <c r="L156" s="902"/>
      <c r="M156" s="900"/>
      <c r="N156" s="900"/>
      <c r="O156" s="900"/>
      <c r="P156" s="900"/>
      <c r="Q156" s="900"/>
      <c r="R156" s="900"/>
      <c r="S156" s="900"/>
      <c r="T156" s="900"/>
    </row>
    <row r="157" spans="1:20">
      <c r="A157" s="900"/>
      <c r="B157" s="900"/>
      <c r="C157" s="900"/>
      <c r="D157" s="900"/>
      <c r="E157" s="900"/>
      <c r="F157" s="900"/>
      <c r="G157" s="900"/>
      <c r="H157" s="900"/>
      <c r="I157" s="900"/>
      <c r="J157" s="900"/>
      <c r="K157" s="901"/>
      <c r="L157" s="902"/>
      <c r="M157" s="900"/>
      <c r="N157" s="900"/>
      <c r="O157" s="900"/>
      <c r="P157" s="900"/>
      <c r="Q157" s="900"/>
      <c r="R157" s="900"/>
      <c r="S157" s="900"/>
      <c r="T157" s="900"/>
    </row>
    <row r="158" spans="1:20">
      <c r="A158" s="900"/>
      <c r="B158" s="900"/>
      <c r="C158" s="900"/>
      <c r="D158" s="900"/>
      <c r="E158" s="900"/>
      <c r="F158" s="900"/>
      <c r="G158" s="900"/>
      <c r="H158" s="900"/>
      <c r="I158" s="900"/>
      <c r="J158" s="900"/>
      <c r="K158" s="901"/>
      <c r="L158" s="902"/>
      <c r="M158" s="900"/>
      <c r="N158" s="900"/>
      <c r="O158" s="900"/>
      <c r="P158" s="900"/>
      <c r="Q158" s="900"/>
      <c r="R158" s="900"/>
      <c r="S158" s="900"/>
      <c r="T158" s="900"/>
    </row>
    <row r="159" spans="1:20">
      <c r="A159" s="900"/>
      <c r="B159" s="900"/>
      <c r="C159" s="900"/>
      <c r="D159" s="900"/>
      <c r="E159" s="900"/>
      <c r="F159" s="900"/>
      <c r="G159" s="900"/>
      <c r="H159" s="900"/>
      <c r="I159" s="900"/>
      <c r="J159" s="900"/>
      <c r="K159" s="901"/>
      <c r="L159" s="902"/>
      <c r="M159" s="900"/>
      <c r="N159" s="900"/>
      <c r="O159" s="900"/>
      <c r="P159" s="900"/>
      <c r="Q159" s="900"/>
      <c r="R159" s="900"/>
      <c r="S159" s="900"/>
      <c r="T159" s="900"/>
    </row>
    <row r="160" spans="1:20">
      <c r="A160" s="900"/>
      <c r="B160" s="900"/>
      <c r="C160" s="900"/>
      <c r="D160" s="900"/>
      <c r="E160" s="900"/>
      <c r="F160" s="900"/>
      <c r="G160" s="900"/>
      <c r="H160" s="900"/>
      <c r="I160" s="900"/>
      <c r="J160" s="900"/>
      <c r="K160" s="901"/>
      <c r="L160" s="902"/>
      <c r="M160" s="900"/>
      <c r="N160" s="900"/>
      <c r="O160" s="900"/>
      <c r="P160" s="900"/>
      <c r="Q160" s="900"/>
      <c r="R160" s="900"/>
      <c r="S160" s="900"/>
      <c r="T160" s="900"/>
    </row>
    <row r="161" spans="1:20">
      <c r="A161" s="900"/>
      <c r="B161" s="900"/>
      <c r="C161" s="900"/>
      <c r="D161" s="900"/>
      <c r="E161" s="900"/>
      <c r="F161" s="900"/>
      <c r="G161" s="900"/>
      <c r="H161" s="900"/>
      <c r="I161" s="900"/>
      <c r="J161" s="900"/>
      <c r="K161" s="901"/>
      <c r="L161" s="902"/>
      <c r="M161" s="900"/>
      <c r="N161" s="900"/>
      <c r="O161" s="900"/>
      <c r="P161" s="900"/>
      <c r="Q161" s="900"/>
      <c r="R161" s="900"/>
      <c r="S161" s="900"/>
      <c r="T161" s="900"/>
    </row>
    <row r="162" spans="1:20">
      <c r="A162" s="900"/>
      <c r="B162" s="900"/>
      <c r="C162" s="900"/>
      <c r="D162" s="900"/>
      <c r="E162" s="900"/>
      <c r="F162" s="900"/>
      <c r="G162" s="900"/>
      <c r="H162" s="900"/>
      <c r="I162" s="900"/>
      <c r="J162" s="900"/>
      <c r="K162" s="901"/>
      <c r="L162" s="902"/>
      <c r="M162" s="900"/>
      <c r="N162" s="900"/>
      <c r="O162" s="900"/>
      <c r="P162" s="900"/>
      <c r="Q162" s="900"/>
      <c r="R162" s="900"/>
      <c r="S162" s="900"/>
      <c r="T162" s="900"/>
    </row>
    <row r="163" spans="1:20">
      <c r="A163" s="900"/>
      <c r="B163" s="900"/>
      <c r="C163" s="900"/>
      <c r="D163" s="900"/>
      <c r="E163" s="900"/>
      <c r="F163" s="900"/>
      <c r="G163" s="900"/>
      <c r="H163" s="900"/>
      <c r="I163" s="900"/>
      <c r="J163" s="900"/>
      <c r="K163" s="901"/>
      <c r="L163" s="902"/>
      <c r="M163" s="900"/>
      <c r="N163" s="900"/>
      <c r="O163" s="900"/>
      <c r="P163" s="900"/>
      <c r="Q163" s="900"/>
      <c r="R163" s="900"/>
      <c r="S163" s="900"/>
      <c r="T163" s="900"/>
    </row>
    <row r="164" spans="1:20">
      <c r="A164" s="900"/>
      <c r="B164" s="900"/>
      <c r="C164" s="900"/>
      <c r="D164" s="900"/>
      <c r="E164" s="900"/>
      <c r="F164" s="900"/>
      <c r="G164" s="900"/>
      <c r="H164" s="900"/>
      <c r="I164" s="900"/>
      <c r="J164" s="900"/>
      <c r="K164" s="901"/>
      <c r="L164" s="902"/>
      <c r="M164" s="900"/>
      <c r="N164" s="900"/>
      <c r="O164" s="900"/>
      <c r="P164" s="900"/>
      <c r="Q164" s="900"/>
      <c r="R164" s="900"/>
      <c r="S164" s="900"/>
      <c r="T164" s="900"/>
    </row>
    <row r="165" spans="1:20">
      <c r="A165" s="900"/>
      <c r="B165" s="900"/>
      <c r="C165" s="900"/>
      <c r="D165" s="900"/>
      <c r="E165" s="900"/>
      <c r="F165" s="900"/>
      <c r="G165" s="900"/>
      <c r="H165" s="900"/>
      <c r="I165" s="900"/>
      <c r="J165" s="900"/>
      <c r="K165" s="901"/>
      <c r="L165" s="902"/>
      <c r="M165" s="900"/>
      <c r="N165" s="900"/>
      <c r="O165" s="900"/>
      <c r="P165" s="900"/>
      <c r="Q165" s="900"/>
      <c r="R165" s="900"/>
      <c r="S165" s="900"/>
      <c r="T165" s="900"/>
    </row>
    <row r="166" spans="1:20">
      <c r="A166" s="900"/>
      <c r="B166" s="900"/>
      <c r="C166" s="900"/>
      <c r="D166" s="900"/>
      <c r="E166" s="900"/>
      <c r="F166" s="900"/>
      <c r="G166" s="900"/>
      <c r="H166" s="900"/>
      <c r="I166" s="900"/>
      <c r="J166" s="900"/>
      <c r="K166" s="901"/>
      <c r="L166" s="902"/>
      <c r="M166" s="900"/>
      <c r="N166" s="900"/>
      <c r="O166" s="900"/>
      <c r="P166" s="900"/>
      <c r="Q166" s="900"/>
      <c r="R166" s="900"/>
      <c r="S166" s="900"/>
      <c r="T166" s="900"/>
    </row>
    <row r="167" spans="1:20">
      <c r="A167" s="900"/>
      <c r="B167" s="900"/>
      <c r="C167" s="900"/>
      <c r="D167" s="900"/>
      <c r="E167" s="900"/>
      <c r="F167" s="900"/>
      <c r="G167" s="900"/>
      <c r="H167" s="900"/>
      <c r="I167" s="900"/>
      <c r="J167" s="900"/>
      <c r="K167" s="901"/>
      <c r="L167" s="902"/>
      <c r="M167" s="900"/>
      <c r="N167" s="900"/>
      <c r="O167" s="900"/>
      <c r="P167" s="900"/>
      <c r="Q167" s="900"/>
      <c r="R167" s="900"/>
      <c r="S167" s="900"/>
      <c r="T167" s="900"/>
    </row>
    <row r="168" spans="1:20">
      <c r="A168" s="900"/>
      <c r="B168" s="900"/>
      <c r="C168" s="900"/>
      <c r="D168" s="900"/>
      <c r="E168" s="900"/>
      <c r="F168" s="900"/>
      <c r="G168" s="900"/>
      <c r="H168" s="900"/>
      <c r="I168" s="900"/>
      <c r="J168" s="900"/>
      <c r="K168" s="901"/>
      <c r="L168" s="902"/>
      <c r="M168" s="900"/>
      <c r="N168" s="900"/>
      <c r="O168" s="900"/>
      <c r="P168" s="900"/>
      <c r="Q168" s="900"/>
      <c r="R168" s="900"/>
      <c r="S168" s="900"/>
      <c r="T168" s="900"/>
    </row>
    <row r="169" spans="1:20">
      <c r="A169" s="900"/>
      <c r="B169" s="900"/>
      <c r="C169" s="900"/>
      <c r="D169" s="900"/>
      <c r="E169" s="900"/>
      <c r="F169" s="900"/>
      <c r="G169" s="900"/>
      <c r="H169" s="900"/>
      <c r="I169" s="900"/>
      <c r="J169" s="900"/>
      <c r="K169" s="901"/>
      <c r="L169" s="902"/>
      <c r="M169" s="900"/>
      <c r="N169" s="900"/>
      <c r="O169" s="900"/>
      <c r="P169" s="900"/>
      <c r="Q169" s="900"/>
      <c r="R169" s="900"/>
      <c r="S169" s="900"/>
      <c r="T169" s="900"/>
    </row>
    <row r="170" spans="1:20">
      <c r="A170" s="900"/>
      <c r="B170" s="900"/>
      <c r="C170" s="900"/>
      <c r="D170" s="900"/>
      <c r="E170" s="900"/>
      <c r="F170" s="900"/>
      <c r="G170" s="900"/>
      <c r="H170" s="900"/>
      <c r="I170" s="900"/>
      <c r="J170" s="900"/>
      <c r="K170" s="901"/>
      <c r="L170" s="902"/>
      <c r="M170" s="900"/>
      <c r="N170" s="900"/>
      <c r="O170" s="900"/>
      <c r="P170" s="900"/>
      <c r="Q170" s="900"/>
      <c r="R170" s="900"/>
      <c r="S170" s="900"/>
      <c r="T170" s="900"/>
    </row>
    <row r="171" spans="1:20">
      <c r="A171" s="900"/>
      <c r="B171" s="900"/>
      <c r="C171" s="900"/>
      <c r="D171" s="900"/>
      <c r="E171" s="900"/>
      <c r="F171" s="900"/>
      <c r="G171" s="900"/>
      <c r="H171" s="900"/>
      <c r="I171" s="900"/>
      <c r="J171" s="900"/>
      <c r="K171" s="901"/>
      <c r="L171" s="902"/>
      <c r="M171" s="900"/>
      <c r="N171" s="900"/>
      <c r="O171" s="900"/>
      <c r="P171" s="900"/>
      <c r="Q171" s="900"/>
      <c r="R171" s="900"/>
      <c r="S171" s="900"/>
      <c r="T171" s="900"/>
    </row>
    <row r="172" spans="1:20">
      <c r="A172" s="900"/>
      <c r="B172" s="900"/>
      <c r="C172" s="900"/>
      <c r="D172" s="900"/>
      <c r="E172" s="900"/>
      <c r="F172" s="900"/>
      <c r="G172" s="900"/>
      <c r="H172" s="900"/>
      <c r="I172" s="900"/>
      <c r="J172" s="900"/>
      <c r="K172" s="901"/>
      <c r="L172" s="902"/>
      <c r="M172" s="900"/>
      <c r="N172" s="900"/>
      <c r="O172" s="900"/>
      <c r="P172" s="900"/>
      <c r="Q172" s="900"/>
      <c r="R172" s="900"/>
      <c r="S172" s="900"/>
      <c r="T172" s="900"/>
    </row>
    <row r="173" spans="1:20">
      <c r="A173" s="900"/>
      <c r="B173" s="900"/>
      <c r="C173" s="900"/>
      <c r="D173" s="900"/>
      <c r="E173" s="900"/>
      <c r="F173" s="900"/>
      <c r="G173" s="900"/>
      <c r="H173" s="900"/>
      <c r="I173" s="900"/>
      <c r="J173" s="900"/>
      <c r="K173" s="901"/>
      <c r="L173" s="902"/>
      <c r="M173" s="900"/>
      <c r="N173" s="900"/>
      <c r="O173" s="900"/>
      <c r="P173" s="900"/>
      <c r="Q173" s="900"/>
      <c r="R173" s="900"/>
      <c r="S173" s="900"/>
      <c r="T173" s="900"/>
    </row>
    <row r="174" spans="1:20">
      <c r="A174" s="900"/>
      <c r="B174" s="900"/>
      <c r="C174" s="900"/>
      <c r="D174" s="900"/>
      <c r="E174" s="900"/>
      <c r="F174" s="900"/>
      <c r="G174" s="900"/>
      <c r="H174" s="900"/>
      <c r="I174" s="900"/>
      <c r="J174" s="900"/>
      <c r="K174" s="901"/>
      <c r="L174" s="902"/>
      <c r="M174" s="900"/>
      <c r="N174" s="900"/>
      <c r="O174" s="900"/>
      <c r="P174" s="900"/>
      <c r="Q174" s="900"/>
      <c r="R174" s="900"/>
      <c r="S174" s="900"/>
      <c r="T174" s="900"/>
    </row>
    <row r="175" spans="1:20">
      <c r="A175" s="900"/>
      <c r="B175" s="900"/>
      <c r="C175" s="900"/>
      <c r="D175" s="900"/>
      <c r="E175" s="900"/>
      <c r="F175" s="900"/>
      <c r="G175" s="900"/>
      <c r="H175" s="900"/>
      <c r="I175" s="900"/>
      <c r="J175" s="900"/>
      <c r="K175" s="901"/>
      <c r="L175" s="902"/>
      <c r="M175" s="900"/>
      <c r="N175" s="900"/>
      <c r="O175" s="900"/>
      <c r="P175" s="900"/>
      <c r="Q175" s="900"/>
      <c r="R175" s="900"/>
      <c r="S175" s="900"/>
      <c r="T175" s="900"/>
    </row>
    <row r="176" spans="1:20">
      <c r="A176" s="900"/>
      <c r="B176" s="900"/>
      <c r="C176" s="900"/>
      <c r="D176" s="900"/>
      <c r="E176" s="900"/>
      <c r="F176" s="900"/>
      <c r="G176" s="900"/>
      <c r="H176" s="900"/>
      <c r="I176" s="900"/>
      <c r="J176" s="900"/>
      <c r="K176" s="901"/>
      <c r="L176" s="902"/>
      <c r="M176" s="900"/>
      <c r="N176" s="900"/>
      <c r="O176" s="900"/>
      <c r="P176" s="900"/>
      <c r="Q176" s="900"/>
      <c r="R176" s="900"/>
      <c r="S176" s="900"/>
      <c r="T176" s="900"/>
    </row>
    <row r="177" spans="1:20">
      <c r="A177" s="900"/>
      <c r="B177" s="900"/>
      <c r="C177" s="900"/>
      <c r="D177" s="900"/>
      <c r="E177" s="900"/>
      <c r="F177" s="900"/>
      <c r="G177" s="900"/>
      <c r="H177" s="900"/>
      <c r="I177" s="900"/>
      <c r="J177" s="900"/>
      <c r="K177" s="901"/>
      <c r="L177" s="902"/>
      <c r="M177" s="900"/>
      <c r="N177" s="900"/>
      <c r="O177" s="900"/>
      <c r="P177" s="900"/>
      <c r="Q177" s="900"/>
      <c r="R177" s="900"/>
      <c r="S177" s="900"/>
      <c r="T177" s="900"/>
    </row>
    <row r="178" spans="1:20">
      <c r="A178" s="900"/>
      <c r="B178" s="900"/>
      <c r="C178" s="900"/>
      <c r="D178" s="900"/>
      <c r="E178" s="900"/>
      <c r="F178" s="900"/>
      <c r="G178" s="900"/>
      <c r="H178" s="900"/>
      <c r="I178" s="900"/>
      <c r="J178" s="900"/>
      <c r="K178" s="901"/>
      <c r="L178" s="902"/>
      <c r="M178" s="900"/>
      <c r="N178" s="900"/>
      <c r="O178" s="900"/>
      <c r="P178" s="900"/>
      <c r="Q178" s="900"/>
      <c r="R178" s="900"/>
      <c r="S178" s="900"/>
      <c r="T178" s="900"/>
    </row>
    <row r="179" spans="1:20">
      <c r="A179" s="900"/>
      <c r="B179" s="900"/>
      <c r="C179" s="900"/>
      <c r="D179" s="900"/>
      <c r="E179" s="900"/>
      <c r="F179" s="900"/>
      <c r="G179" s="900"/>
      <c r="H179" s="900"/>
      <c r="I179" s="900"/>
      <c r="J179" s="900"/>
      <c r="K179" s="901"/>
      <c r="L179" s="902"/>
      <c r="M179" s="900"/>
      <c r="N179" s="900"/>
      <c r="O179" s="900"/>
      <c r="P179" s="900"/>
      <c r="Q179" s="900"/>
      <c r="R179" s="900"/>
      <c r="S179" s="900"/>
      <c r="T179" s="900"/>
    </row>
    <row r="180" spans="1:20">
      <c r="A180" s="900"/>
      <c r="B180" s="900"/>
      <c r="C180" s="900"/>
      <c r="D180" s="900"/>
      <c r="E180" s="900"/>
      <c r="F180" s="900"/>
      <c r="G180" s="900"/>
      <c r="H180" s="900"/>
      <c r="I180" s="900"/>
      <c r="J180" s="900"/>
      <c r="K180" s="901"/>
      <c r="L180" s="902"/>
      <c r="M180" s="900"/>
      <c r="N180" s="900"/>
      <c r="O180" s="900"/>
      <c r="P180" s="900"/>
      <c r="Q180" s="900"/>
      <c r="R180" s="900"/>
      <c r="S180" s="900"/>
      <c r="T180" s="900"/>
    </row>
    <row r="181" spans="1:20">
      <c r="A181" s="900"/>
      <c r="B181" s="900"/>
      <c r="C181" s="900"/>
      <c r="D181" s="900"/>
      <c r="E181" s="900"/>
      <c r="F181" s="900"/>
      <c r="G181" s="900"/>
      <c r="H181" s="900"/>
      <c r="I181" s="900"/>
      <c r="J181" s="900"/>
      <c r="K181" s="901"/>
      <c r="L181" s="902"/>
      <c r="M181" s="900"/>
      <c r="N181" s="900"/>
      <c r="O181" s="900"/>
      <c r="P181" s="900"/>
      <c r="Q181" s="900"/>
      <c r="R181" s="900"/>
      <c r="S181" s="900"/>
      <c r="T181" s="900"/>
    </row>
    <row r="182" spans="1:20">
      <c r="A182" s="900"/>
      <c r="B182" s="900"/>
      <c r="C182" s="900"/>
      <c r="D182" s="900"/>
      <c r="E182" s="900"/>
      <c r="F182" s="900"/>
      <c r="G182" s="900"/>
      <c r="H182" s="900"/>
      <c r="I182" s="900"/>
      <c r="J182" s="900"/>
      <c r="K182" s="901"/>
      <c r="L182" s="902"/>
      <c r="M182" s="900"/>
      <c r="N182" s="900"/>
      <c r="O182" s="900"/>
      <c r="P182" s="900"/>
      <c r="Q182" s="900"/>
      <c r="R182" s="900"/>
      <c r="S182" s="900"/>
      <c r="T182" s="900"/>
    </row>
    <row r="183" spans="1:20">
      <c r="A183" s="900"/>
      <c r="B183" s="900"/>
      <c r="C183" s="900"/>
      <c r="D183" s="900"/>
      <c r="E183" s="900"/>
      <c r="F183" s="900"/>
      <c r="G183" s="900"/>
      <c r="H183" s="900"/>
      <c r="I183" s="900"/>
      <c r="J183" s="900"/>
      <c r="K183" s="901"/>
      <c r="L183" s="902"/>
      <c r="M183" s="900"/>
      <c r="N183" s="900"/>
      <c r="O183" s="900"/>
      <c r="P183" s="900"/>
      <c r="Q183" s="900"/>
      <c r="R183" s="900"/>
      <c r="S183" s="900"/>
      <c r="T183" s="900"/>
    </row>
    <row r="184" spans="1:20">
      <c r="A184" s="900"/>
      <c r="B184" s="900"/>
      <c r="C184" s="900"/>
      <c r="D184" s="900"/>
      <c r="E184" s="900"/>
      <c r="F184" s="900"/>
      <c r="G184" s="900"/>
      <c r="H184" s="900"/>
      <c r="I184" s="900"/>
      <c r="J184" s="900"/>
      <c r="K184" s="901"/>
      <c r="L184" s="902"/>
      <c r="M184" s="900"/>
      <c r="N184" s="900"/>
      <c r="O184" s="900"/>
      <c r="P184" s="900"/>
      <c r="Q184" s="900"/>
      <c r="R184" s="900"/>
      <c r="S184" s="900"/>
      <c r="T184" s="900"/>
    </row>
    <row r="185" spans="1:20">
      <c r="A185" s="900"/>
      <c r="B185" s="900"/>
      <c r="C185" s="900"/>
      <c r="D185" s="900"/>
      <c r="E185" s="900"/>
      <c r="F185" s="900"/>
      <c r="G185" s="900"/>
      <c r="H185" s="900"/>
      <c r="I185" s="900"/>
      <c r="J185" s="900"/>
      <c r="K185" s="901"/>
      <c r="L185" s="902"/>
      <c r="M185" s="900"/>
      <c r="N185" s="900"/>
      <c r="O185" s="900"/>
      <c r="P185" s="900"/>
      <c r="Q185" s="900"/>
      <c r="R185" s="900"/>
      <c r="S185" s="900"/>
      <c r="T185" s="900"/>
    </row>
    <row r="186" spans="1:20">
      <c r="A186" s="900"/>
      <c r="B186" s="900"/>
      <c r="C186" s="900"/>
      <c r="D186" s="900"/>
      <c r="E186" s="900"/>
      <c r="F186" s="900"/>
      <c r="G186" s="900"/>
      <c r="H186" s="900"/>
      <c r="I186" s="900"/>
      <c r="J186" s="900"/>
      <c r="K186" s="901"/>
      <c r="L186" s="902"/>
      <c r="M186" s="900"/>
      <c r="N186" s="900"/>
      <c r="O186" s="900"/>
      <c r="P186" s="900"/>
      <c r="Q186" s="900"/>
      <c r="R186" s="900"/>
      <c r="S186" s="900"/>
      <c r="T186" s="900"/>
    </row>
    <row r="187" spans="1:20">
      <c r="A187" s="900"/>
      <c r="B187" s="900"/>
      <c r="C187" s="900"/>
      <c r="D187" s="900"/>
      <c r="E187" s="900"/>
      <c r="F187" s="900"/>
      <c r="G187" s="900"/>
      <c r="H187" s="900"/>
      <c r="I187" s="900"/>
      <c r="J187" s="900"/>
      <c r="K187" s="901"/>
      <c r="L187" s="902"/>
      <c r="M187" s="900"/>
      <c r="N187" s="900"/>
      <c r="O187" s="900"/>
      <c r="P187" s="900"/>
      <c r="Q187" s="900"/>
      <c r="R187" s="900"/>
      <c r="S187" s="900"/>
      <c r="T187" s="900"/>
    </row>
    <row r="188" spans="1:20">
      <c r="A188" s="900"/>
      <c r="B188" s="900"/>
      <c r="C188" s="900"/>
      <c r="D188" s="900"/>
      <c r="E188" s="900"/>
      <c r="F188" s="900"/>
      <c r="G188" s="900"/>
      <c r="H188" s="900"/>
      <c r="I188" s="900"/>
      <c r="J188" s="900"/>
      <c r="K188" s="901"/>
      <c r="L188" s="902"/>
      <c r="M188" s="900"/>
      <c r="N188" s="900"/>
      <c r="O188" s="900"/>
      <c r="P188" s="900"/>
      <c r="Q188" s="900"/>
      <c r="R188" s="900"/>
      <c r="S188" s="900"/>
      <c r="T188" s="900"/>
    </row>
    <row r="189" spans="1:20">
      <c r="A189" s="900"/>
      <c r="B189" s="900"/>
      <c r="C189" s="900"/>
      <c r="D189" s="900"/>
      <c r="E189" s="900"/>
      <c r="F189" s="900"/>
      <c r="G189" s="900"/>
      <c r="H189" s="900"/>
      <c r="I189" s="900"/>
      <c r="J189" s="900"/>
      <c r="K189" s="901"/>
      <c r="L189" s="902"/>
      <c r="M189" s="900"/>
      <c r="N189" s="900"/>
      <c r="O189" s="900"/>
      <c r="P189" s="900"/>
      <c r="Q189" s="900"/>
      <c r="R189" s="900"/>
      <c r="S189" s="900"/>
      <c r="T189" s="900"/>
    </row>
    <row r="190" spans="1:20">
      <c r="A190" s="900"/>
      <c r="B190" s="900"/>
      <c r="C190" s="900"/>
      <c r="D190" s="900"/>
      <c r="E190" s="900"/>
      <c r="F190" s="900"/>
      <c r="G190" s="900"/>
      <c r="H190" s="900"/>
      <c r="I190" s="900"/>
      <c r="J190" s="900"/>
      <c r="K190" s="901"/>
      <c r="L190" s="902"/>
      <c r="M190" s="900"/>
      <c r="N190" s="900"/>
      <c r="O190" s="900"/>
      <c r="P190" s="900"/>
      <c r="Q190" s="900"/>
      <c r="R190" s="900"/>
      <c r="S190" s="900"/>
      <c r="T190" s="900"/>
    </row>
    <row r="191" spans="1:20">
      <c r="A191" s="900"/>
      <c r="B191" s="900"/>
      <c r="C191" s="900"/>
      <c r="D191" s="900"/>
      <c r="E191" s="900"/>
      <c r="F191" s="900"/>
      <c r="G191" s="900"/>
      <c r="H191" s="900"/>
      <c r="I191" s="900"/>
      <c r="J191" s="900"/>
      <c r="K191" s="901"/>
      <c r="L191" s="902"/>
      <c r="M191" s="900"/>
      <c r="N191" s="900"/>
      <c r="O191" s="900"/>
      <c r="P191" s="900"/>
      <c r="Q191" s="900"/>
      <c r="R191" s="900"/>
      <c r="S191" s="900"/>
      <c r="T191" s="900"/>
    </row>
    <row r="192" spans="1:20">
      <c r="A192" s="900"/>
      <c r="B192" s="900"/>
      <c r="C192" s="900"/>
      <c r="D192" s="900"/>
      <c r="E192" s="900"/>
      <c r="F192" s="900"/>
      <c r="G192" s="900"/>
      <c r="H192" s="900"/>
      <c r="I192" s="900"/>
      <c r="J192" s="900"/>
      <c r="K192" s="901"/>
      <c r="L192" s="902"/>
      <c r="M192" s="900"/>
      <c r="N192" s="900"/>
      <c r="O192" s="900"/>
      <c r="P192" s="900"/>
      <c r="Q192" s="900"/>
      <c r="R192" s="900"/>
      <c r="S192" s="900"/>
      <c r="T192" s="900"/>
    </row>
    <row r="193" spans="1:20">
      <c r="A193" s="900"/>
      <c r="B193" s="900"/>
      <c r="C193" s="900"/>
      <c r="D193" s="900"/>
      <c r="E193" s="900"/>
      <c r="F193" s="900"/>
      <c r="G193" s="900"/>
      <c r="H193" s="900"/>
      <c r="I193" s="900"/>
      <c r="J193" s="900"/>
      <c r="K193" s="901"/>
      <c r="L193" s="902"/>
      <c r="M193" s="900"/>
      <c r="N193" s="900"/>
      <c r="O193" s="900"/>
      <c r="P193" s="900"/>
      <c r="Q193" s="900"/>
      <c r="R193" s="900"/>
      <c r="S193" s="900"/>
      <c r="T193" s="900"/>
    </row>
    <row r="194" spans="1:20">
      <c r="A194" s="900"/>
      <c r="B194" s="900"/>
      <c r="C194" s="900"/>
      <c r="D194" s="900"/>
      <c r="E194" s="900"/>
      <c r="F194" s="900"/>
      <c r="G194" s="900"/>
      <c r="H194" s="900"/>
      <c r="I194" s="900"/>
      <c r="J194" s="900"/>
      <c r="K194" s="901"/>
      <c r="L194" s="902"/>
      <c r="M194" s="900"/>
      <c r="N194" s="900"/>
      <c r="O194" s="900"/>
      <c r="P194" s="900"/>
      <c r="Q194" s="900"/>
      <c r="R194" s="900"/>
      <c r="S194" s="900"/>
      <c r="T194" s="900"/>
    </row>
    <row r="195" spans="1:20">
      <c r="A195" s="900"/>
      <c r="B195" s="900"/>
      <c r="C195" s="900"/>
      <c r="D195" s="900"/>
      <c r="E195" s="900"/>
      <c r="F195" s="900"/>
      <c r="G195" s="900"/>
      <c r="H195" s="900"/>
      <c r="I195" s="900"/>
      <c r="J195" s="900"/>
      <c r="K195" s="901"/>
      <c r="L195" s="902"/>
      <c r="M195" s="900"/>
      <c r="N195" s="900"/>
      <c r="O195" s="900"/>
      <c r="P195" s="900"/>
      <c r="Q195" s="900"/>
      <c r="R195" s="900"/>
      <c r="S195" s="900"/>
      <c r="T195" s="900"/>
    </row>
    <row r="196" spans="1:20">
      <c r="A196" s="900"/>
      <c r="B196" s="900"/>
      <c r="C196" s="900"/>
      <c r="D196" s="900"/>
      <c r="E196" s="900"/>
      <c r="F196" s="900"/>
      <c r="G196" s="900"/>
      <c r="H196" s="900"/>
      <c r="I196" s="900"/>
      <c r="J196" s="900"/>
      <c r="K196" s="901"/>
      <c r="L196" s="902"/>
      <c r="M196" s="900"/>
      <c r="N196" s="900"/>
      <c r="O196" s="900"/>
      <c r="P196" s="900"/>
      <c r="Q196" s="900"/>
      <c r="R196" s="900"/>
      <c r="S196" s="900"/>
      <c r="T196" s="900"/>
    </row>
    <row r="197" spans="1:20">
      <c r="A197" s="900"/>
      <c r="B197" s="900"/>
      <c r="C197" s="900"/>
      <c r="D197" s="900"/>
      <c r="E197" s="900"/>
      <c r="F197" s="900"/>
      <c r="G197" s="900"/>
      <c r="H197" s="900"/>
      <c r="I197" s="900"/>
      <c r="J197" s="900"/>
      <c r="K197" s="901"/>
      <c r="L197" s="902"/>
      <c r="M197" s="900"/>
      <c r="N197" s="900"/>
      <c r="O197" s="900"/>
      <c r="P197" s="900"/>
      <c r="Q197" s="900"/>
      <c r="R197" s="900"/>
      <c r="S197" s="900"/>
      <c r="T197" s="900"/>
    </row>
    <row r="198" spans="1:20">
      <c r="A198" s="900"/>
      <c r="B198" s="900"/>
      <c r="C198" s="900"/>
      <c r="D198" s="900"/>
      <c r="E198" s="900"/>
      <c r="F198" s="900"/>
      <c r="G198" s="900"/>
      <c r="H198" s="900"/>
      <c r="I198" s="900"/>
      <c r="J198" s="900"/>
      <c r="K198" s="901"/>
      <c r="L198" s="902"/>
      <c r="M198" s="900"/>
      <c r="N198" s="900"/>
      <c r="O198" s="900"/>
      <c r="P198" s="900"/>
      <c r="Q198" s="900"/>
      <c r="R198" s="900"/>
      <c r="S198" s="900"/>
      <c r="T198" s="900"/>
    </row>
    <row r="199" spans="1:20">
      <c r="A199" s="900"/>
      <c r="B199" s="900"/>
      <c r="C199" s="900"/>
      <c r="D199" s="900"/>
      <c r="E199" s="900"/>
      <c r="F199" s="900"/>
      <c r="G199" s="900"/>
      <c r="H199" s="900"/>
      <c r="I199" s="900"/>
      <c r="J199" s="900"/>
      <c r="K199" s="901"/>
      <c r="L199" s="902"/>
      <c r="M199" s="900"/>
      <c r="N199" s="900"/>
      <c r="O199" s="900"/>
      <c r="P199" s="900"/>
      <c r="Q199" s="900"/>
      <c r="R199" s="900"/>
      <c r="S199" s="900"/>
      <c r="T199" s="900"/>
    </row>
    <row r="200" spans="1:20">
      <c r="A200" s="900"/>
      <c r="B200" s="900"/>
      <c r="C200" s="900"/>
      <c r="D200" s="900"/>
      <c r="E200" s="900"/>
      <c r="F200" s="900"/>
      <c r="G200" s="900"/>
      <c r="H200" s="900"/>
      <c r="I200" s="900"/>
      <c r="J200" s="900"/>
      <c r="K200" s="901"/>
      <c r="L200" s="902"/>
      <c r="M200" s="900"/>
      <c r="N200" s="900"/>
      <c r="O200" s="900"/>
      <c r="P200" s="900"/>
      <c r="Q200" s="900"/>
      <c r="R200" s="900"/>
      <c r="S200" s="900"/>
      <c r="T200" s="900"/>
    </row>
    <row r="201" spans="1:20">
      <c r="A201" s="900"/>
      <c r="B201" s="900"/>
      <c r="C201" s="900"/>
      <c r="D201" s="900"/>
      <c r="E201" s="900"/>
      <c r="F201" s="900"/>
      <c r="G201" s="900"/>
      <c r="H201" s="900"/>
      <c r="I201" s="900"/>
      <c r="J201" s="900"/>
      <c r="K201" s="901"/>
      <c r="L201" s="902"/>
      <c r="M201" s="900"/>
      <c r="N201" s="900"/>
      <c r="O201" s="900"/>
      <c r="P201" s="900"/>
      <c r="Q201" s="900"/>
      <c r="R201" s="900"/>
      <c r="S201" s="900"/>
      <c r="T201" s="900"/>
    </row>
    <row r="202" spans="1:20">
      <c r="A202" s="900"/>
      <c r="B202" s="900"/>
      <c r="C202" s="900"/>
      <c r="D202" s="900"/>
      <c r="E202" s="900"/>
      <c r="F202" s="900"/>
      <c r="G202" s="900"/>
      <c r="H202" s="900"/>
      <c r="I202" s="900"/>
      <c r="J202" s="900"/>
      <c r="K202" s="901"/>
      <c r="L202" s="902"/>
      <c r="M202" s="900"/>
      <c r="N202" s="900"/>
      <c r="O202" s="900"/>
      <c r="P202" s="900"/>
      <c r="Q202" s="900"/>
      <c r="R202" s="900"/>
      <c r="S202" s="900"/>
      <c r="T202" s="900"/>
    </row>
    <row r="203" spans="1:20">
      <c r="A203" s="900"/>
      <c r="B203" s="900"/>
      <c r="C203" s="900"/>
      <c r="D203" s="900"/>
      <c r="E203" s="900"/>
      <c r="F203" s="900"/>
      <c r="G203" s="900"/>
      <c r="H203" s="900"/>
      <c r="I203" s="900"/>
      <c r="J203" s="900"/>
      <c r="K203" s="901"/>
      <c r="L203" s="902"/>
      <c r="M203" s="900"/>
      <c r="N203" s="900"/>
      <c r="O203" s="900"/>
      <c r="P203" s="900"/>
      <c r="Q203" s="900"/>
      <c r="R203" s="900"/>
      <c r="S203" s="900"/>
      <c r="T203" s="900"/>
    </row>
    <row r="204" spans="1:20">
      <c r="A204" s="900"/>
      <c r="B204" s="900"/>
      <c r="C204" s="900"/>
      <c r="D204" s="900"/>
      <c r="E204" s="900"/>
      <c r="F204" s="900"/>
      <c r="G204" s="900"/>
      <c r="H204" s="900"/>
      <c r="I204" s="900"/>
      <c r="J204" s="900"/>
      <c r="K204" s="901"/>
      <c r="L204" s="902"/>
      <c r="M204" s="900"/>
      <c r="N204" s="900"/>
      <c r="O204" s="900"/>
      <c r="P204" s="900"/>
      <c r="Q204" s="900"/>
      <c r="R204" s="900"/>
      <c r="S204" s="900"/>
      <c r="T204" s="900"/>
    </row>
    <row r="205" spans="1:20">
      <c r="A205" s="900"/>
      <c r="B205" s="900"/>
      <c r="C205" s="900"/>
      <c r="D205" s="900"/>
      <c r="E205" s="900"/>
      <c r="F205" s="900"/>
      <c r="G205" s="900"/>
      <c r="H205" s="900"/>
      <c r="I205" s="900"/>
      <c r="J205" s="900"/>
      <c r="K205" s="901"/>
      <c r="L205" s="902"/>
      <c r="M205" s="900"/>
      <c r="N205" s="900"/>
      <c r="O205" s="900"/>
      <c r="P205" s="900"/>
      <c r="Q205" s="900"/>
      <c r="R205" s="900"/>
      <c r="S205" s="900"/>
      <c r="T205" s="900"/>
    </row>
    <row r="206" spans="1:20">
      <c r="A206" s="900"/>
      <c r="B206" s="900"/>
      <c r="C206" s="900"/>
      <c r="D206" s="900"/>
      <c r="E206" s="900"/>
      <c r="F206" s="900"/>
      <c r="G206" s="900"/>
      <c r="H206" s="900"/>
      <c r="I206" s="900"/>
      <c r="J206" s="900"/>
      <c r="K206" s="901"/>
      <c r="L206" s="902"/>
      <c r="M206" s="900"/>
      <c r="N206" s="900"/>
      <c r="O206" s="900"/>
      <c r="P206" s="900"/>
      <c r="Q206" s="900"/>
      <c r="R206" s="900"/>
      <c r="S206" s="900"/>
      <c r="T206" s="900"/>
    </row>
    <row r="207" spans="1:20">
      <c r="A207" s="900"/>
      <c r="B207" s="900"/>
      <c r="C207" s="900"/>
      <c r="D207" s="900"/>
      <c r="E207" s="900"/>
      <c r="F207" s="900"/>
      <c r="G207" s="900"/>
      <c r="H207" s="900"/>
      <c r="I207" s="900"/>
      <c r="J207" s="900"/>
      <c r="K207" s="901"/>
      <c r="L207" s="902"/>
      <c r="M207" s="900"/>
      <c r="N207" s="900"/>
      <c r="O207" s="900"/>
      <c r="P207" s="900"/>
      <c r="Q207" s="900"/>
      <c r="R207" s="900"/>
      <c r="S207" s="900"/>
      <c r="T207" s="900"/>
    </row>
    <row r="208" spans="1:20">
      <c r="A208" s="900"/>
      <c r="B208" s="900"/>
      <c r="C208" s="900"/>
      <c r="D208" s="900"/>
      <c r="E208" s="900"/>
      <c r="F208" s="900"/>
      <c r="G208" s="900"/>
      <c r="H208" s="900"/>
      <c r="I208" s="900"/>
      <c r="J208" s="900"/>
      <c r="K208" s="901"/>
      <c r="L208" s="902"/>
      <c r="M208" s="900"/>
      <c r="N208" s="900"/>
      <c r="O208" s="900"/>
      <c r="P208" s="900"/>
      <c r="Q208" s="900"/>
      <c r="R208" s="900"/>
      <c r="S208" s="900"/>
      <c r="T208" s="900"/>
    </row>
    <row r="209" spans="1:20">
      <c r="A209" s="900"/>
      <c r="B209" s="900"/>
      <c r="C209" s="900"/>
      <c r="D209" s="900"/>
      <c r="E209" s="900"/>
      <c r="F209" s="900"/>
      <c r="G209" s="900"/>
      <c r="H209" s="900"/>
      <c r="I209" s="900"/>
      <c r="J209" s="900"/>
      <c r="K209" s="901"/>
      <c r="L209" s="902"/>
      <c r="M209" s="900"/>
      <c r="N209" s="900"/>
      <c r="O209" s="900"/>
      <c r="P209" s="900"/>
      <c r="Q209" s="900"/>
      <c r="R209" s="900"/>
      <c r="S209" s="900"/>
      <c r="T209" s="900"/>
    </row>
    <row r="210" spans="1:20">
      <c r="A210" s="900"/>
      <c r="B210" s="900"/>
      <c r="C210" s="900"/>
      <c r="D210" s="900"/>
      <c r="E210" s="900"/>
      <c r="F210" s="900"/>
      <c r="G210" s="900"/>
      <c r="H210" s="900"/>
      <c r="I210" s="900"/>
      <c r="J210" s="900"/>
      <c r="K210" s="901"/>
      <c r="L210" s="902"/>
      <c r="M210" s="900"/>
      <c r="N210" s="900"/>
      <c r="O210" s="900"/>
      <c r="P210" s="900"/>
      <c r="Q210" s="900"/>
      <c r="R210" s="900"/>
      <c r="S210" s="900"/>
      <c r="T210" s="900"/>
    </row>
    <row r="211" spans="1:20">
      <c r="A211" s="900"/>
      <c r="B211" s="900"/>
      <c r="C211" s="900"/>
      <c r="D211" s="900"/>
      <c r="E211" s="900"/>
      <c r="F211" s="900"/>
      <c r="G211" s="900"/>
      <c r="H211" s="900"/>
      <c r="I211" s="900"/>
      <c r="J211" s="900"/>
      <c r="K211" s="901"/>
      <c r="L211" s="902"/>
      <c r="M211" s="900"/>
      <c r="N211" s="900"/>
      <c r="O211" s="900"/>
      <c r="P211" s="900"/>
      <c r="Q211" s="900"/>
      <c r="R211" s="900"/>
      <c r="S211" s="900"/>
      <c r="T211" s="900"/>
    </row>
    <row r="212" spans="1:20">
      <c r="A212" s="900"/>
      <c r="B212" s="900"/>
      <c r="C212" s="900"/>
      <c r="D212" s="900"/>
      <c r="E212" s="900"/>
      <c r="F212" s="900"/>
      <c r="G212" s="900"/>
      <c r="H212" s="900"/>
      <c r="I212" s="900"/>
      <c r="J212" s="900"/>
      <c r="K212" s="901"/>
      <c r="L212" s="902"/>
      <c r="M212" s="900"/>
      <c r="N212" s="900"/>
      <c r="O212" s="900"/>
      <c r="P212" s="900"/>
      <c r="Q212" s="900"/>
      <c r="R212" s="900"/>
      <c r="S212" s="900"/>
      <c r="T212" s="900"/>
    </row>
    <row r="213" spans="1:20">
      <c r="A213" s="900"/>
      <c r="B213" s="900"/>
      <c r="C213" s="900"/>
      <c r="D213" s="900"/>
      <c r="E213" s="900"/>
      <c r="F213" s="900"/>
      <c r="G213" s="900"/>
      <c r="H213" s="900"/>
      <c r="I213" s="900"/>
      <c r="J213" s="900"/>
      <c r="K213" s="901"/>
      <c r="L213" s="902"/>
      <c r="M213" s="900"/>
      <c r="N213" s="900"/>
      <c r="O213" s="900"/>
      <c r="P213" s="900"/>
      <c r="Q213" s="900"/>
      <c r="R213" s="900"/>
      <c r="S213" s="900"/>
      <c r="T213" s="900"/>
    </row>
    <row r="214" spans="1:20">
      <c r="A214" s="900"/>
      <c r="B214" s="900"/>
      <c r="C214" s="900"/>
      <c r="D214" s="900"/>
      <c r="E214" s="900"/>
      <c r="F214" s="900"/>
      <c r="G214" s="900"/>
      <c r="H214" s="900"/>
      <c r="I214" s="900"/>
      <c r="J214" s="900"/>
      <c r="K214" s="901"/>
      <c r="L214" s="902"/>
      <c r="M214" s="900"/>
      <c r="N214" s="900"/>
      <c r="O214" s="900"/>
      <c r="P214" s="900"/>
      <c r="Q214" s="900"/>
      <c r="R214" s="900"/>
      <c r="S214" s="900"/>
      <c r="T214" s="900"/>
    </row>
    <row r="215" spans="1:20">
      <c r="A215" s="900"/>
      <c r="B215" s="900"/>
      <c r="C215" s="900"/>
      <c r="D215" s="900"/>
      <c r="E215" s="900"/>
      <c r="F215" s="900"/>
      <c r="G215" s="900"/>
      <c r="H215" s="900"/>
      <c r="I215" s="900"/>
      <c r="J215" s="900"/>
      <c r="K215" s="901"/>
      <c r="L215" s="902"/>
      <c r="M215" s="900"/>
      <c r="N215" s="900"/>
      <c r="O215" s="900"/>
      <c r="P215" s="900"/>
      <c r="Q215" s="900"/>
      <c r="R215" s="900"/>
      <c r="S215" s="900"/>
      <c r="T215" s="900"/>
    </row>
    <row r="216" spans="1:20">
      <c r="A216" s="900"/>
      <c r="B216" s="900"/>
      <c r="C216" s="900"/>
      <c r="D216" s="900"/>
      <c r="E216" s="900"/>
      <c r="F216" s="900"/>
      <c r="G216" s="900"/>
      <c r="H216" s="900"/>
      <c r="I216" s="900"/>
      <c r="J216" s="900"/>
      <c r="K216" s="901"/>
      <c r="L216" s="902"/>
      <c r="M216" s="900"/>
      <c r="N216" s="900"/>
      <c r="O216" s="900"/>
      <c r="P216" s="900"/>
      <c r="Q216" s="900"/>
      <c r="R216" s="900"/>
      <c r="S216" s="900"/>
      <c r="T216" s="900"/>
    </row>
    <row r="217" spans="1:20">
      <c r="A217" s="900"/>
      <c r="B217" s="900"/>
      <c r="C217" s="900"/>
      <c r="D217" s="900"/>
      <c r="E217" s="900"/>
      <c r="F217" s="900"/>
      <c r="G217" s="900"/>
      <c r="H217" s="900"/>
      <c r="I217" s="900"/>
      <c r="J217" s="900"/>
      <c r="K217" s="901"/>
      <c r="L217" s="902"/>
      <c r="M217" s="900"/>
      <c r="N217" s="900"/>
      <c r="O217" s="900"/>
      <c r="P217" s="900"/>
      <c r="Q217" s="900"/>
      <c r="R217" s="900"/>
      <c r="S217" s="900"/>
      <c r="T217" s="900"/>
    </row>
    <row r="218" spans="1:20">
      <c r="A218" s="900"/>
      <c r="B218" s="900"/>
      <c r="C218" s="900"/>
      <c r="D218" s="900"/>
      <c r="E218" s="900"/>
      <c r="F218" s="900"/>
      <c r="G218" s="900"/>
      <c r="H218" s="900"/>
      <c r="I218" s="900"/>
      <c r="J218" s="900"/>
      <c r="K218" s="901"/>
      <c r="L218" s="902"/>
      <c r="M218" s="900"/>
      <c r="N218" s="900"/>
      <c r="O218" s="900"/>
      <c r="P218" s="900"/>
      <c r="Q218" s="900"/>
      <c r="R218" s="900"/>
      <c r="S218" s="900"/>
      <c r="T218" s="900"/>
    </row>
    <row r="219" spans="1:20">
      <c r="A219" s="900"/>
      <c r="B219" s="900"/>
      <c r="C219" s="900"/>
      <c r="D219" s="900"/>
      <c r="E219" s="900"/>
      <c r="F219" s="900"/>
      <c r="G219" s="900"/>
      <c r="H219" s="900"/>
      <c r="I219" s="900"/>
      <c r="J219" s="900"/>
      <c r="K219" s="901"/>
      <c r="L219" s="902"/>
      <c r="M219" s="900"/>
      <c r="N219" s="900"/>
      <c r="O219" s="900"/>
      <c r="P219" s="900"/>
      <c r="Q219" s="900"/>
      <c r="R219" s="900"/>
      <c r="S219" s="900"/>
      <c r="T219" s="900"/>
    </row>
    <row r="220" spans="1:20">
      <c r="A220" s="900"/>
      <c r="B220" s="900"/>
      <c r="C220" s="900"/>
      <c r="D220" s="900"/>
      <c r="E220" s="900"/>
      <c r="F220" s="900"/>
      <c r="G220" s="900"/>
      <c r="H220" s="900"/>
      <c r="I220" s="900"/>
      <c r="J220" s="900"/>
      <c r="K220" s="901"/>
      <c r="L220" s="902"/>
      <c r="M220" s="900"/>
      <c r="N220" s="900"/>
      <c r="O220" s="900"/>
      <c r="P220" s="900"/>
      <c r="Q220" s="900"/>
      <c r="R220" s="900"/>
      <c r="S220" s="900"/>
      <c r="T220" s="900"/>
    </row>
    <row r="221" spans="1:20">
      <c r="A221" s="900"/>
      <c r="B221" s="900"/>
      <c r="C221" s="900"/>
      <c r="D221" s="900"/>
      <c r="E221" s="900"/>
      <c r="F221" s="900"/>
      <c r="G221" s="900"/>
      <c r="H221" s="900"/>
      <c r="I221" s="900"/>
      <c r="J221" s="900"/>
      <c r="K221" s="901"/>
      <c r="L221" s="902"/>
      <c r="M221" s="900"/>
      <c r="N221" s="900"/>
      <c r="O221" s="900"/>
      <c r="P221" s="900"/>
      <c r="Q221" s="900"/>
      <c r="R221" s="900"/>
      <c r="S221" s="900"/>
      <c r="T221" s="900"/>
    </row>
    <row r="222" spans="1:20">
      <c r="A222" s="900"/>
      <c r="B222" s="900"/>
      <c r="C222" s="900"/>
      <c r="D222" s="900"/>
      <c r="E222" s="900"/>
      <c r="F222" s="900"/>
      <c r="G222" s="900"/>
      <c r="H222" s="900"/>
      <c r="I222" s="900"/>
      <c r="J222" s="900"/>
      <c r="K222" s="901"/>
      <c r="L222" s="902"/>
      <c r="M222" s="900"/>
      <c r="N222" s="900"/>
      <c r="O222" s="900"/>
      <c r="P222" s="900"/>
      <c r="Q222" s="900"/>
      <c r="R222" s="900"/>
      <c r="S222" s="900"/>
      <c r="T222" s="900"/>
    </row>
    <row r="223" spans="1:20">
      <c r="A223" s="900"/>
      <c r="B223" s="900"/>
      <c r="C223" s="900"/>
      <c r="D223" s="900"/>
      <c r="E223" s="900"/>
      <c r="F223" s="900"/>
      <c r="G223" s="900"/>
      <c r="H223" s="900"/>
      <c r="I223" s="900"/>
      <c r="J223" s="900"/>
      <c r="K223" s="901"/>
      <c r="L223" s="902"/>
      <c r="M223" s="900"/>
      <c r="N223" s="900"/>
      <c r="O223" s="900"/>
      <c r="P223" s="900"/>
      <c r="Q223" s="900"/>
      <c r="R223" s="900"/>
      <c r="S223" s="900"/>
      <c r="T223" s="900"/>
    </row>
    <row r="224" spans="1:20">
      <c r="A224" s="900"/>
      <c r="B224" s="900"/>
      <c r="C224" s="900"/>
      <c r="D224" s="900"/>
      <c r="E224" s="900"/>
      <c r="F224" s="900"/>
      <c r="G224" s="900"/>
      <c r="H224" s="900"/>
      <c r="I224" s="900"/>
      <c r="J224" s="900"/>
      <c r="K224" s="901"/>
      <c r="L224" s="902"/>
      <c r="M224" s="900"/>
      <c r="N224" s="900"/>
      <c r="O224" s="900"/>
      <c r="P224" s="900"/>
      <c r="Q224" s="900"/>
      <c r="R224" s="900"/>
      <c r="S224" s="900"/>
      <c r="T224" s="900"/>
    </row>
    <row r="225" spans="1:20">
      <c r="A225" s="900"/>
      <c r="B225" s="900"/>
      <c r="C225" s="900"/>
      <c r="D225" s="900"/>
      <c r="E225" s="900"/>
      <c r="F225" s="900"/>
      <c r="G225" s="900"/>
      <c r="H225" s="900"/>
      <c r="I225" s="900"/>
      <c r="J225" s="900"/>
      <c r="K225" s="901"/>
      <c r="L225" s="902"/>
      <c r="M225" s="900"/>
      <c r="N225" s="900"/>
      <c r="O225" s="900"/>
      <c r="P225" s="900"/>
      <c r="Q225" s="900"/>
      <c r="R225" s="900"/>
      <c r="S225" s="900"/>
      <c r="T225" s="900"/>
    </row>
    <row r="226" spans="1:20">
      <c r="A226" s="900"/>
      <c r="B226" s="900"/>
      <c r="C226" s="900"/>
      <c r="D226" s="900"/>
      <c r="E226" s="900"/>
      <c r="F226" s="900"/>
      <c r="G226" s="900"/>
      <c r="H226" s="900"/>
      <c r="I226" s="900"/>
      <c r="J226" s="900"/>
      <c r="K226" s="901"/>
      <c r="L226" s="902"/>
      <c r="M226" s="900"/>
      <c r="N226" s="900"/>
      <c r="O226" s="900"/>
      <c r="P226" s="900"/>
      <c r="Q226" s="900"/>
      <c r="R226" s="900"/>
      <c r="S226" s="900"/>
      <c r="T226" s="900"/>
    </row>
    <row r="227" spans="1:20">
      <c r="A227" s="900"/>
      <c r="B227" s="900"/>
      <c r="C227" s="900"/>
      <c r="D227" s="900"/>
      <c r="E227" s="900"/>
      <c r="F227" s="900"/>
      <c r="G227" s="900"/>
      <c r="H227" s="900"/>
      <c r="I227" s="900"/>
      <c r="J227" s="900"/>
      <c r="K227" s="901"/>
      <c r="L227" s="902"/>
      <c r="M227" s="900"/>
      <c r="N227" s="900"/>
      <c r="O227" s="900"/>
      <c r="P227" s="900"/>
      <c r="Q227" s="900"/>
      <c r="R227" s="900"/>
      <c r="S227" s="900"/>
      <c r="T227" s="900"/>
    </row>
    <row r="228" spans="1:20">
      <c r="A228" s="900"/>
      <c r="B228" s="900"/>
      <c r="C228" s="900"/>
      <c r="D228" s="900"/>
      <c r="E228" s="900"/>
      <c r="F228" s="900"/>
      <c r="G228" s="900"/>
      <c r="H228" s="900"/>
      <c r="I228" s="900"/>
      <c r="J228" s="900"/>
      <c r="K228" s="901"/>
      <c r="L228" s="902"/>
      <c r="M228" s="900"/>
      <c r="N228" s="900"/>
      <c r="O228" s="900"/>
      <c r="P228" s="900"/>
      <c r="Q228" s="900"/>
      <c r="R228" s="900"/>
      <c r="S228" s="900"/>
      <c r="T228" s="900"/>
    </row>
    <row r="229" spans="1:20">
      <c r="A229" s="900"/>
      <c r="B229" s="900"/>
      <c r="C229" s="900"/>
      <c r="D229" s="900"/>
      <c r="E229" s="900"/>
      <c r="F229" s="900"/>
      <c r="G229" s="900"/>
      <c r="H229" s="900"/>
      <c r="I229" s="900"/>
      <c r="J229" s="900"/>
      <c r="K229" s="901"/>
      <c r="L229" s="902"/>
      <c r="M229" s="900"/>
      <c r="N229" s="900"/>
      <c r="O229" s="900"/>
      <c r="P229" s="900"/>
      <c r="Q229" s="900"/>
      <c r="R229" s="900"/>
      <c r="S229" s="900"/>
      <c r="T229" s="900"/>
    </row>
    <row r="230" spans="1:20">
      <c r="A230" s="900"/>
      <c r="B230" s="900"/>
      <c r="C230" s="900"/>
      <c r="D230" s="900"/>
      <c r="E230" s="900"/>
      <c r="F230" s="900"/>
      <c r="G230" s="900"/>
      <c r="H230" s="900"/>
      <c r="I230" s="900"/>
      <c r="J230" s="900"/>
      <c r="K230" s="901"/>
      <c r="L230" s="902"/>
      <c r="M230" s="900"/>
      <c r="N230" s="900"/>
      <c r="O230" s="900"/>
      <c r="P230" s="900"/>
      <c r="Q230" s="900"/>
      <c r="R230" s="900"/>
      <c r="S230" s="900"/>
      <c r="T230" s="900"/>
    </row>
    <row r="231" spans="1:20">
      <c r="A231" s="900"/>
      <c r="B231" s="900"/>
      <c r="C231" s="900"/>
      <c r="D231" s="900"/>
      <c r="E231" s="900"/>
      <c r="F231" s="900"/>
      <c r="G231" s="900"/>
      <c r="H231" s="900"/>
      <c r="I231" s="900"/>
      <c r="J231" s="900"/>
      <c r="K231" s="901"/>
      <c r="L231" s="902"/>
      <c r="M231" s="900"/>
      <c r="N231" s="900"/>
      <c r="O231" s="900"/>
      <c r="P231" s="900"/>
      <c r="Q231" s="900"/>
      <c r="R231" s="900"/>
      <c r="S231" s="900"/>
      <c r="T231" s="900"/>
    </row>
    <row r="232" spans="1:20">
      <c r="A232" s="900"/>
      <c r="B232" s="900"/>
      <c r="C232" s="900"/>
      <c r="D232" s="900"/>
      <c r="E232" s="900"/>
      <c r="F232" s="900"/>
      <c r="G232" s="900"/>
      <c r="H232" s="900"/>
      <c r="I232" s="900"/>
      <c r="J232" s="900"/>
      <c r="K232" s="901"/>
      <c r="L232" s="902"/>
      <c r="M232" s="900"/>
      <c r="N232" s="900"/>
      <c r="O232" s="900"/>
      <c r="P232" s="900"/>
      <c r="Q232" s="900"/>
      <c r="R232" s="900"/>
      <c r="S232" s="900"/>
      <c r="T232" s="900"/>
    </row>
    <row r="233" spans="1:20">
      <c r="A233" s="900"/>
      <c r="B233" s="900"/>
      <c r="C233" s="900"/>
      <c r="D233" s="900"/>
      <c r="E233" s="900"/>
      <c r="F233" s="900"/>
      <c r="G233" s="900"/>
      <c r="H233" s="900"/>
      <c r="I233" s="900"/>
      <c r="J233" s="900"/>
      <c r="K233" s="901"/>
      <c r="L233" s="902"/>
      <c r="M233" s="900"/>
      <c r="N233" s="900"/>
      <c r="O233" s="900"/>
      <c r="P233" s="900"/>
      <c r="Q233" s="900"/>
      <c r="R233" s="900"/>
      <c r="S233" s="900"/>
      <c r="T233" s="900"/>
    </row>
    <row r="234" spans="1:20">
      <c r="A234" s="900"/>
      <c r="B234" s="900"/>
      <c r="C234" s="900"/>
      <c r="D234" s="900"/>
      <c r="E234" s="900"/>
      <c r="F234" s="900"/>
      <c r="G234" s="900"/>
      <c r="H234" s="900"/>
      <c r="I234" s="900"/>
      <c r="J234" s="900"/>
      <c r="K234" s="901"/>
      <c r="L234" s="902"/>
      <c r="M234" s="900"/>
      <c r="N234" s="900"/>
      <c r="O234" s="900"/>
      <c r="P234" s="900"/>
      <c r="Q234" s="900"/>
      <c r="R234" s="900"/>
      <c r="S234" s="900"/>
      <c r="T234" s="900"/>
    </row>
    <row r="235" spans="1:20">
      <c r="A235" s="900"/>
      <c r="B235" s="900"/>
      <c r="C235" s="900"/>
      <c r="D235" s="900"/>
      <c r="E235" s="900"/>
      <c r="F235" s="900"/>
      <c r="G235" s="900"/>
      <c r="H235" s="900"/>
      <c r="I235" s="900"/>
      <c r="J235" s="900"/>
      <c r="K235" s="901"/>
      <c r="L235" s="902"/>
      <c r="M235" s="900"/>
      <c r="N235" s="900"/>
      <c r="O235" s="900"/>
      <c r="P235" s="900"/>
      <c r="Q235" s="900"/>
      <c r="R235" s="900"/>
      <c r="S235" s="900"/>
      <c r="T235" s="900"/>
    </row>
    <row r="236" spans="1:20">
      <c r="A236" s="900"/>
      <c r="B236" s="900"/>
      <c r="C236" s="900"/>
      <c r="D236" s="900"/>
      <c r="E236" s="900"/>
      <c r="F236" s="900"/>
      <c r="G236" s="900"/>
      <c r="H236" s="900"/>
      <c r="I236" s="900"/>
      <c r="J236" s="900"/>
      <c r="K236" s="901"/>
      <c r="L236" s="902"/>
      <c r="M236" s="900"/>
      <c r="N236" s="900"/>
      <c r="O236" s="900"/>
      <c r="P236" s="900"/>
      <c r="Q236" s="900"/>
      <c r="R236" s="900"/>
      <c r="S236" s="900"/>
      <c r="T236" s="900"/>
    </row>
    <row r="237" spans="1:20">
      <c r="A237" s="900"/>
      <c r="B237" s="900"/>
      <c r="C237" s="900"/>
      <c r="D237" s="900"/>
      <c r="E237" s="900"/>
      <c r="F237" s="900"/>
      <c r="G237" s="900"/>
      <c r="H237" s="900"/>
      <c r="I237" s="900"/>
      <c r="J237" s="900"/>
      <c r="K237" s="901"/>
      <c r="L237" s="902"/>
      <c r="M237" s="900"/>
      <c r="N237" s="900"/>
      <c r="O237" s="900"/>
      <c r="P237" s="900"/>
      <c r="Q237" s="900"/>
      <c r="R237" s="900"/>
      <c r="S237" s="900"/>
      <c r="T237" s="900"/>
    </row>
    <row r="238" spans="1:20">
      <c r="A238" s="900"/>
      <c r="B238" s="900"/>
      <c r="C238" s="900"/>
      <c r="D238" s="900"/>
      <c r="E238" s="900"/>
      <c r="F238" s="900"/>
      <c r="G238" s="900"/>
      <c r="H238" s="900"/>
      <c r="I238" s="900"/>
      <c r="J238" s="900"/>
      <c r="K238" s="901"/>
      <c r="L238" s="902"/>
      <c r="M238" s="900"/>
      <c r="N238" s="900"/>
      <c r="O238" s="900"/>
      <c r="P238" s="900"/>
      <c r="Q238" s="900"/>
      <c r="R238" s="900"/>
      <c r="S238" s="900"/>
      <c r="T238" s="900"/>
    </row>
    <row r="239" spans="1:20">
      <c r="A239" s="900"/>
      <c r="B239" s="900"/>
      <c r="C239" s="900"/>
      <c r="D239" s="900"/>
      <c r="E239" s="900"/>
      <c r="F239" s="900"/>
      <c r="G239" s="900"/>
      <c r="H239" s="900"/>
      <c r="I239" s="900"/>
      <c r="J239" s="900"/>
      <c r="K239" s="901"/>
      <c r="L239" s="902"/>
      <c r="M239" s="900"/>
      <c r="N239" s="900"/>
      <c r="O239" s="900"/>
      <c r="P239" s="900"/>
      <c r="Q239" s="900"/>
      <c r="R239" s="900"/>
      <c r="S239" s="900"/>
      <c r="T239" s="900"/>
    </row>
    <row r="240" spans="1:20">
      <c r="A240" s="900"/>
      <c r="B240" s="900"/>
      <c r="C240" s="900"/>
      <c r="D240" s="900"/>
      <c r="E240" s="900"/>
      <c r="F240" s="900"/>
      <c r="G240" s="900"/>
      <c r="H240" s="900"/>
      <c r="I240" s="900"/>
      <c r="J240" s="900"/>
      <c r="K240" s="901"/>
      <c r="L240" s="902"/>
      <c r="M240" s="900"/>
      <c r="N240" s="900"/>
      <c r="O240" s="900"/>
      <c r="P240" s="900"/>
      <c r="Q240" s="900"/>
      <c r="R240" s="900"/>
      <c r="S240" s="900"/>
      <c r="T240" s="900"/>
    </row>
    <row r="241" spans="1:20">
      <c r="A241" s="900"/>
      <c r="B241" s="900"/>
      <c r="C241" s="900"/>
      <c r="D241" s="900"/>
      <c r="E241" s="900"/>
      <c r="F241" s="900"/>
      <c r="G241" s="900"/>
      <c r="H241" s="900"/>
      <c r="I241" s="900"/>
      <c r="J241" s="900"/>
      <c r="K241" s="901"/>
      <c r="L241" s="902"/>
      <c r="M241" s="900"/>
      <c r="N241" s="900"/>
      <c r="O241" s="900"/>
      <c r="P241" s="900"/>
      <c r="Q241" s="900"/>
      <c r="R241" s="900"/>
      <c r="S241" s="900"/>
      <c r="T241" s="900"/>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559" customWidth="1"/>
    <col min="2" max="2" width="37.25" style="1559" customWidth="1"/>
    <col min="3" max="3" width="11.375" style="1559" customWidth="1"/>
    <col min="4" max="4" width="31.75" style="1559" customWidth="1"/>
    <col min="5" max="5" width="0.5" style="1559" customWidth="1"/>
    <col min="6" max="7" width="13" style="1559" customWidth="1"/>
    <col min="8" max="16384" width="9" style="1559"/>
  </cols>
  <sheetData>
    <row r="1" spans="1:5" ht="18.75">
      <c r="A1" s="1557" t="s">
        <v>1623</v>
      </c>
      <c r="B1" s="1558"/>
      <c r="C1" s="1558"/>
      <c r="D1" s="1558"/>
      <c r="E1" s="1558"/>
    </row>
    <row r="2" spans="1:5" ht="78" customHeight="1">
      <c r="A2" s="364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45"/>
      <c r="C2" s="3645"/>
      <c r="D2" s="3645"/>
      <c r="E2" s="3645"/>
    </row>
    <row r="3" spans="1:5" ht="18">
      <c r="A3" s="3646" t="str">
        <f>IF(项目基本情况!B9="房地产市场价值","估价结果一览表（市场价值不需“结果表-1”）","估价结果一览表")</f>
        <v>估价结果一览表</v>
      </c>
      <c r="B3" s="3646"/>
      <c r="C3" s="3646"/>
      <c r="D3" s="3646"/>
      <c r="E3" s="3646"/>
    </row>
    <row r="4" spans="1:5" ht="19.5" thickBot="1">
      <c r="A4" s="1560"/>
      <c r="B4" s="3644" t="s">
        <v>1632</v>
      </c>
      <c r="C4" s="3644"/>
      <c r="D4" s="3644"/>
      <c r="E4" s="1560"/>
    </row>
    <row r="5" spans="1:5" ht="16.5" thickTop="1">
      <c r="A5" s="1558"/>
      <c r="B5" s="3642" t="s">
        <v>1624</v>
      </c>
      <c r="C5" s="1561" t="s">
        <v>1625</v>
      </c>
      <c r="D5" s="802">
        <f ca="1">结果表!H101</f>
        <v>56044</v>
      </c>
      <c r="E5" s="1558"/>
    </row>
    <row r="6" spans="1:5" ht="15.75">
      <c r="A6" s="1558"/>
      <c r="B6" s="3642"/>
      <c r="C6" s="1561" t="s">
        <v>1626</v>
      </c>
      <c r="D6" s="802" t="str">
        <f ca="1">NUMBERSTRING(INT(D5*10000),2)&amp;"元整"</f>
        <v>伍亿陆仟零肆拾肆万元整</v>
      </c>
      <c r="E6" s="1558"/>
    </row>
    <row r="7" spans="1:5" ht="15.75">
      <c r="A7" s="1558"/>
      <c r="B7" s="3647"/>
      <c r="C7" s="1562" t="s">
        <v>1627</v>
      </c>
      <c r="D7" s="803">
        <f ca="1">结果表!H102</f>
        <v>12590</v>
      </c>
      <c r="E7" s="1558"/>
    </row>
    <row r="8" spans="1:5" ht="15.75">
      <c r="A8" s="1558"/>
      <c r="B8" s="3648" t="str">
        <f>结果表!E103</f>
        <v>2.估价师知悉的法定优先受偿款</v>
      </c>
      <c r="C8" s="1563" t="s">
        <v>1628</v>
      </c>
      <c r="D8" s="803">
        <f>结果表!H103</f>
        <v>0</v>
      </c>
      <c r="E8" s="1558"/>
    </row>
    <row r="9" spans="1:5" ht="15.75">
      <c r="A9" s="1558"/>
      <c r="B9" s="3650"/>
      <c r="C9" s="1561" t="s">
        <v>1626</v>
      </c>
      <c r="D9" s="802" t="str">
        <f>NUMBERSTRING(INT(D8*10000),2)&amp;"元整"</f>
        <v>零元整</v>
      </c>
      <c r="E9" s="1558"/>
    </row>
    <row r="10" spans="1:5" ht="15">
      <c r="A10" s="1558"/>
      <c r="B10" s="1564" t="s">
        <v>1631</v>
      </c>
      <c r="C10" s="1565" t="s">
        <v>1629</v>
      </c>
      <c r="D10" s="804">
        <f>结果表!H104</f>
        <v>0</v>
      </c>
      <c r="E10" s="1558"/>
    </row>
    <row r="11" spans="1:5" ht="15">
      <c r="A11" s="1558"/>
      <c r="B11" s="1564" t="s">
        <v>1633</v>
      </c>
      <c r="C11" s="1565" t="s">
        <v>1634</v>
      </c>
      <c r="D11" s="804">
        <f>结果表!H105</f>
        <v>0</v>
      </c>
      <c r="E11" s="1558"/>
    </row>
    <row r="12" spans="1:5" ht="15">
      <c r="A12" s="1558"/>
      <c r="B12" s="1564" t="s">
        <v>1635</v>
      </c>
      <c r="C12" s="1565" t="s">
        <v>1634</v>
      </c>
      <c r="D12" s="804">
        <f>结果表!H106</f>
        <v>0</v>
      </c>
      <c r="E12" s="1558"/>
    </row>
    <row r="13" spans="1:5" ht="15.75">
      <c r="A13" s="1558"/>
      <c r="B13" s="3641" t="str">
        <f>结果表!E107</f>
        <v>3.房地产抵押价值</v>
      </c>
      <c r="C13" s="1566" t="s">
        <v>1625</v>
      </c>
      <c r="D13" s="805">
        <f ca="1">结果表!H107</f>
        <v>56044</v>
      </c>
      <c r="E13" s="1558"/>
    </row>
    <row r="14" spans="1:5" ht="15.75">
      <c r="A14" s="1558"/>
      <c r="B14" s="3642"/>
      <c r="C14" s="1561" t="s">
        <v>1626</v>
      </c>
      <c r="D14" s="802" t="str">
        <f ca="1">NUMBERSTRING(INT(D13*10000),2)&amp;"元整"</f>
        <v>伍亿陆仟零肆拾肆万元整</v>
      </c>
      <c r="E14" s="1558"/>
    </row>
    <row r="15" spans="1:5" ht="15">
      <c r="A15" s="1558"/>
      <c r="B15" s="3647"/>
      <c r="C15" s="1562" t="s">
        <v>1636</v>
      </c>
      <c r="D15" s="807">
        <f ca="1">结果表!H108</f>
        <v>12590</v>
      </c>
      <c r="E15" s="1558"/>
    </row>
    <row r="16" spans="1:5" ht="15">
      <c r="A16" s="1558"/>
      <c r="B16" s="3648" t="str">
        <f>结果表!E109</f>
        <v>——</v>
      </c>
      <c r="C16" s="1566" t="s">
        <v>1637</v>
      </c>
      <c r="D16" s="1567" t="str">
        <f>结果表!H109</f>
        <v>——</v>
      </c>
      <c r="E16" s="1558"/>
    </row>
    <row r="17" spans="1:5" ht="15.75">
      <c r="A17" s="1558"/>
      <c r="B17" s="3649"/>
      <c r="C17" s="1561" t="s">
        <v>1638</v>
      </c>
      <c r="D17" s="802" t="e">
        <f>NUMBERSTRING(INT(D16*10000),2)&amp;"元整"</f>
        <v>#VALUE!</v>
      </c>
      <c r="E17" s="1558"/>
    </row>
    <row r="18" spans="1:5" ht="15">
      <c r="A18" s="1558"/>
      <c r="B18" s="3650"/>
      <c r="C18" s="1562" t="s">
        <v>1627</v>
      </c>
      <c r="D18" s="807" t="str">
        <f>结果表!H110</f>
        <v>——</v>
      </c>
      <c r="E18" s="1558"/>
    </row>
    <row r="19" spans="1:5" ht="15.75">
      <c r="A19" s="1558"/>
      <c r="B19" s="3641" t="str">
        <f>结果表!E111</f>
        <v>——</v>
      </c>
      <c r="C19" s="1566" t="s">
        <v>1625</v>
      </c>
      <c r="D19" s="803" t="str">
        <f>结果表!H111</f>
        <v>——</v>
      </c>
      <c r="E19" s="1558"/>
    </row>
    <row r="20" spans="1:5" ht="15.75">
      <c r="A20" s="1558"/>
      <c r="B20" s="3642"/>
      <c r="C20" s="1561" t="s">
        <v>1638</v>
      </c>
      <c r="D20" s="802" t="e">
        <f>NUMBERSTRING(INT(D19*10000),2)&amp;"元整"</f>
        <v>#VALUE!</v>
      </c>
      <c r="E20" s="1558"/>
    </row>
    <row r="21" spans="1:5" ht="15.75" thickBot="1">
      <c r="A21" s="1558"/>
      <c r="B21" s="3643"/>
      <c r="C21" s="1568" t="s">
        <v>1636</v>
      </c>
      <c r="D21" s="808" t="str">
        <f>结果表!H112</f>
        <v>——</v>
      </c>
      <c r="E21" s="1558"/>
    </row>
    <row r="22" spans="1:5" ht="15" thickTop="1">
      <c r="A22" s="1558"/>
      <c r="B22" s="1569" t="s">
        <v>1639</v>
      </c>
      <c r="C22" s="1558"/>
      <c r="D22" s="1558"/>
      <c r="E22" s="1558"/>
    </row>
    <row r="23" spans="1:5">
      <c r="A23" s="1558"/>
      <c r="B23" s="1558"/>
      <c r="C23" s="1558"/>
      <c r="D23" s="1558"/>
      <c r="E23" s="1558"/>
    </row>
    <row r="24" spans="1:5" ht="18.75">
      <c r="A24" s="1570"/>
      <c r="B24" s="1571" t="s">
        <v>1630</v>
      </c>
      <c r="C24" s="1570"/>
      <c r="D24" s="1570"/>
      <c r="E24" s="1570"/>
    </row>
    <row r="25" spans="1:5">
      <c r="A25" s="1570"/>
      <c r="B25" s="1570"/>
      <c r="C25" s="1570"/>
      <c r="D25" s="1570"/>
      <c r="E25" s="1570"/>
    </row>
    <row r="26" spans="1:5">
      <c r="A26" s="1570"/>
      <c r="B26" s="1570"/>
      <c r="C26" s="1570"/>
      <c r="D26" s="1570"/>
      <c r="E26" s="1570"/>
    </row>
    <row r="27" spans="1:5">
      <c r="A27" s="1570"/>
      <c r="B27" s="1570"/>
      <c r="C27" s="1570"/>
      <c r="D27" s="1570"/>
      <c r="E27" s="1570"/>
    </row>
    <row r="28" spans="1:5">
      <c r="A28" s="1570"/>
      <c r="B28" s="1570"/>
      <c r="C28" s="1570"/>
      <c r="D28" s="1570"/>
      <c r="E28" s="1570"/>
    </row>
    <row r="29" spans="1:5">
      <c r="A29" s="1570"/>
      <c r="B29" s="1570"/>
      <c r="C29" s="1570"/>
      <c r="D29" s="1570"/>
      <c r="E29" s="1570"/>
    </row>
    <row r="30" spans="1:5">
      <c r="A30" s="1570"/>
      <c r="B30" s="1570"/>
      <c r="C30" s="1570"/>
      <c r="D30" s="1570"/>
      <c r="E30" s="1570"/>
    </row>
    <row r="31" spans="1:5">
      <c r="A31" s="1570"/>
      <c r="B31" s="1570"/>
      <c r="C31" s="1570"/>
      <c r="D31" s="1570"/>
      <c r="E31" s="1570"/>
    </row>
    <row r="32" spans="1:5">
      <c r="A32" s="1570"/>
      <c r="B32" s="1570"/>
      <c r="C32" s="1570"/>
      <c r="D32" s="1570"/>
      <c r="E32" s="1570"/>
    </row>
    <row r="33" spans="1:5">
      <c r="A33" s="1570"/>
      <c r="B33" s="1570"/>
      <c r="C33" s="1570"/>
      <c r="D33" s="1570"/>
      <c r="E33" s="1570"/>
    </row>
    <row r="34" spans="1:5">
      <c r="A34" s="1570"/>
      <c r="B34" s="1570"/>
      <c r="C34" s="1570"/>
      <c r="D34" s="1570"/>
      <c r="E34" s="1570"/>
    </row>
    <row r="35" spans="1:5">
      <c r="A35" s="1570"/>
      <c r="B35" s="1570"/>
      <c r="C35" s="1570"/>
      <c r="D35" s="1570"/>
      <c r="E35" s="1570"/>
    </row>
    <row r="36" spans="1:5">
      <c r="A36" s="1570"/>
      <c r="B36" s="1570"/>
      <c r="C36" s="1570"/>
      <c r="D36" s="1570"/>
      <c r="E36" s="1570"/>
    </row>
    <row r="37" spans="1:5">
      <c r="A37" s="1570"/>
      <c r="B37" s="1570"/>
      <c r="C37" s="1570"/>
      <c r="D37" s="1570"/>
      <c r="E37" s="1570"/>
    </row>
    <row r="38" spans="1:5">
      <c r="A38" s="1570"/>
      <c r="B38" s="1570"/>
      <c r="C38" s="1570"/>
      <c r="D38" s="1570"/>
      <c r="E38" s="1570"/>
    </row>
    <row r="39" spans="1:5">
      <c r="A39" s="1570"/>
      <c r="B39" s="1570"/>
      <c r="C39" s="1570"/>
      <c r="D39" s="1570"/>
      <c r="E39" s="1570"/>
    </row>
    <row r="40" spans="1:5">
      <c r="A40" s="1570"/>
      <c r="B40" s="1570"/>
      <c r="C40" s="1570"/>
      <c r="D40" s="1570"/>
      <c r="E40" s="1570"/>
    </row>
    <row r="41" spans="1:5">
      <c r="A41" s="1570"/>
      <c r="B41" s="1570"/>
      <c r="C41" s="1570"/>
      <c r="D41" s="1570"/>
      <c r="E41" s="1570"/>
    </row>
    <row r="42" spans="1:5">
      <c r="A42" s="1570"/>
      <c r="B42" s="1570"/>
      <c r="C42" s="1570"/>
      <c r="D42" s="1570"/>
      <c r="E42" s="157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C38" sqref="C38"/>
    </sheetView>
  </sheetViews>
  <sheetFormatPr defaultRowHeight="14.25"/>
  <cols>
    <col min="1" max="1" width="14.375" style="227" customWidth="1"/>
    <col min="2" max="2" width="15.75" style="227" customWidth="1"/>
    <col min="3" max="3" width="14.375" style="227" customWidth="1"/>
    <col min="4" max="4" width="14.125" style="227" customWidth="1"/>
    <col min="5" max="5" width="14.375" style="227" customWidth="1"/>
    <col min="6" max="6" width="12.25" style="227" customWidth="1"/>
    <col min="7" max="7" width="14.5" style="227" customWidth="1"/>
    <col min="8" max="8" width="12.25" style="227" customWidth="1"/>
    <col min="9" max="9" width="14.5" style="227" customWidth="1"/>
    <col min="10" max="10" width="12.25" style="227" customWidth="1"/>
    <col min="11" max="11" width="12.25" style="318" customWidth="1"/>
    <col min="12" max="12" width="12.25" style="319" customWidth="1"/>
    <col min="13" max="15" width="12.25" style="227" customWidth="1"/>
    <col min="16" max="16" width="4.75" style="227" customWidth="1"/>
    <col min="17" max="17" width="19.5" style="227" customWidth="1"/>
    <col min="18" max="22" width="6.125" style="227" customWidth="1"/>
    <col min="23" max="23" width="5.75" style="227" customWidth="1"/>
    <col min="24" max="24" width="4.25" style="227" customWidth="1"/>
    <col min="25" max="25" width="3.5" style="227" customWidth="1"/>
    <col min="26" max="26" width="19.75" style="227" customWidth="1"/>
    <col min="27" max="28" width="9.375" style="227" customWidth="1"/>
    <col min="29" max="16384" width="9" style="227"/>
  </cols>
  <sheetData>
    <row r="1" spans="1:30" s="222" customFormat="1" ht="28.5" customHeight="1">
      <c r="A1" s="218" t="s">
        <v>2750</v>
      </c>
      <c r="B1" s="219"/>
      <c r="C1" s="220" t="s">
        <v>2751</v>
      </c>
      <c r="D1" s="537"/>
      <c r="E1" s="537"/>
      <c r="F1" s="536" t="s">
        <v>2649</v>
      </c>
      <c r="G1" s="537"/>
      <c r="H1" s="537"/>
      <c r="I1" s="537"/>
      <c r="J1" s="537"/>
      <c r="K1" s="538"/>
      <c r="L1" s="539"/>
      <c r="M1" s="540"/>
      <c r="N1" s="540"/>
      <c r="O1" s="540"/>
      <c r="P1" s="550"/>
      <c r="Q1" s="550"/>
      <c r="R1" s="550"/>
      <c r="S1" s="550"/>
      <c r="T1" s="550"/>
      <c r="U1" s="550"/>
      <c r="V1" s="550"/>
      <c r="W1" s="550"/>
      <c r="X1" s="550"/>
      <c r="Y1" s="550"/>
      <c r="Z1" s="550"/>
      <c r="AA1" s="550"/>
      <c r="AB1" s="550"/>
      <c r="AC1" s="551"/>
      <c r="AD1" s="221"/>
    </row>
    <row r="2" spans="1:30" s="222" customFormat="1" ht="28.5" customHeight="1">
      <c r="A2" s="71" t="s">
        <v>2333</v>
      </c>
      <c r="B2" s="491" t="e">
        <f>F66</f>
        <v>#DIV/0!</v>
      </c>
      <c r="C2" s="869"/>
      <c r="D2" s="869"/>
      <c r="E2" s="870"/>
      <c r="F2" s="871"/>
      <c r="G2" s="870"/>
      <c r="H2" s="870"/>
      <c r="I2" s="870"/>
      <c r="J2" s="870"/>
      <c r="K2" s="872"/>
      <c r="L2" s="873"/>
      <c r="M2" s="874"/>
      <c r="N2" s="874"/>
      <c r="O2" s="874"/>
      <c r="P2" s="550"/>
      <c r="Q2" s="550"/>
      <c r="R2" s="550"/>
      <c r="S2" s="550"/>
      <c r="T2" s="550"/>
      <c r="U2" s="550"/>
      <c r="V2" s="550"/>
      <c r="W2" s="550"/>
      <c r="X2" s="550"/>
      <c r="Y2" s="550"/>
      <c r="Z2" s="550"/>
      <c r="AA2" s="550"/>
      <c r="AB2" s="550"/>
      <c r="AC2" s="551"/>
      <c r="AD2" s="221"/>
    </row>
    <row r="3" spans="1:30" s="222" customFormat="1" ht="28.5" customHeight="1" thickBot="1">
      <c r="A3" s="73" t="s">
        <v>2335</v>
      </c>
      <c r="B3" s="432" t="e">
        <f>ROUND(IF(D3="",B2*10000/'数据-汇总表'!E3,B2*10000/D3),0)</f>
        <v>#DIV/0!</v>
      </c>
      <c r="C3" s="73" t="s">
        <v>2752</v>
      </c>
      <c r="D3" s="1246"/>
      <c r="E3" s="870"/>
      <c r="F3" s="871"/>
      <c r="G3" s="870"/>
      <c r="H3" s="870"/>
      <c r="I3" s="870"/>
      <c r="J3" s="870"/>
      <c r="K3" s="872"/>
      <c r="L3" s="873"/>
      <c r="M3" s="874"/>
      <c r="N3" s="874"/>
      <c r="O3" s="874"/>
      <c r="P3" s="550"/>
      <c r="Q3" s="550"/>
      <c r="R3" s="550"/>
      <c r="S3" s="550"/>
      <c r="T3" s="550"/>
      <c r="U3" s="550"/>
      <c r="V3" s="550"/>
      <c r="W3" s="550"/>
      <c r="X3" s="550"/>
      <c r="Y3" s="550"/>
      <c r="Z3" s="550"/>
      <c r="AA3" s="550"/>
      <c r="AB3" s="568"/>
      <c r="AC3" s="564"/>
    </row>
    <row r="4" spans="1:30" ht="15">
      <c r="A4" s="225" t="s">
        <v>2651</v>
      </c>
      <c r="B4" s="226"/>
      <c r="C4" s="3922" t="s">
        <v>2652</v>
      </c>
      <c r="D4" s="3923"/>
      <c r="E4" s="3924" t="s">
        <v>2653</v>
      </c>
      <c r="F4" s="3925"/>
      <c r="G4" s="3922" t="s">
        <v>2654</v>
      </c>
      <c r="H4" s="3923"/>
      <c r="I4" s="3922" t="s">
        <v>2655</v>
      </c>
      <c r="J4" s="3923"/>
      <c r="K4" s="433" t="s">
        <v>2656</v>
      </c>
      <c r="L4" s="875"/>
      <c r="M4" s="876"/>
      <c r="N4" s="876"/>
      <c r="O4" s="876"/>
      <c r="P4" s="3926" t="s">
        <v>2657</v>
      </c>
      <c r="Q4" s="3927"/>
      <c r="R4" s="3908" t="s">
        <v>2653</v>
      </c>
      <c r="S4" s="3909"/>
      <c r="T4" s="3908" t="s">
        <v>2654</v>
      </c>
      <c r="U4" s="3909"/>
      <c r="V4" s="3934" t="s">
        <v>2655</v>
      </c>
      <c r="W4" s="3934"/>
      <c r="X4" s="1415"/>
      <c r="Y4" s="3908" t="s">
        <v>2657</v>
      </c>
      <c r="Z4" s="3909"/>
      <c r="AA4" s="3903" t="s">
        <v>2653</v>
      </c>
      <c r="AB4" s="3904" t="s">
        <v>2654</v>
      </c>
      <c r="AC4" s="3903" t="s">
        <v>2655</v>
      </c>
    </row>
    <row r="5" spans="1:30" ht="15">
      <c r="A5" s="228"/>
      <c r="B5" s="229"/>
      <c r="C5" s="3914" t="s">
        <v>2548</v>
      </c>
      <c r="D5" s="3915"/>
      <c r="E5" s="3912" t="s">
        <v>2549</v>
      </c>
      <c r="F5" s="3913"/>
      <c r="G5" s="3914" t="s">
        <v>2550</v>
      </c>
      <c r="H5" s="3915"/>
      <c r="I5" s="3914" t="s">
        <v>2551</v>
      </c>
      <c r="J5" s="3915"/>
      <c r="K5" s="433"/>
      <c r="L5" s="875"/>
      <c r="M5" s="876"/>
      <c r="N5" s="876"/>
      <c r="O5" s="876"/>
      <c r="P5" s="3928"/>
      <c r="Q5" s="3929"/>
      <c r="R5" s="3910"/>
      <c r="S5" s="3911"/>
      <c r="T5" s="3910"/>
      <c r="U5" s="3911"/>
      <c r="V5" s="3934"/>
      <c r="W5" s="3934"/>
      <c r="X5" s="1415"/>
      <c r="Y5" s="3910"/>
      <c r="Z5" s="3911"/>
      <c r="AA5" s="3904"/>
      <c r="AB5" s="3904"/>
      <c r="AC5" s="3904"/>
    </row>
    <row r="6" spans="1:30" ht="15.75" thickBot="1">
      <c r="A6" s="230"/>
      <c r="B6" s="231"/>
      <c r="C6" s="3916" t="s">
        <v>2552</v>
      </c>
      <c r="D6" s="3917"/>
      <c r="E6" s="3918" t="s">
        <v>2552</v>
      </c>
      <c r="F6" s="3919"/>
      <c r="G6" s="3916" t="s">
        <v>2552</v>
      </c>
      <c r="H6" s="3917"/>
      <c r="I6" s="3916" t="s">
        <v>2552</v>
      </c>
      <c r="J6" s="3917"/>
      <c r="K6" s="433" t="s">
        <v>2553</v>
      </c>
      <c r="L6" s="875"/>
      <c r="M6" s="876"/>
      <c r="N6" s="876"/>
      <c r="O6" s="876"/>
      <c r="P6" s="3930"/>
      <c r="Q6" s="3931"/>
      <c r="R6" s="3910"/>
      <c r="S6" s="3911"/>
      <c r="T6" s="3932"/>
      <c r="U6" s="3933"/>
      <c r="V6" s="3934"/>
      <c r="W6" s="3934"/>
      <c r="X6" s="1415"/>
      <c r="Y6" s="3932"/>
      <c r="Z6" s="3933"/>
      <c r="AA6" s="3905"/>
      <c r="AB6" s="3905"/>
      <c r="AC6" s="3905"/>
    </row>
    <row r="7" spans="1:30" s="51" customFormat="1" ht="15.75" thickBot="1">
      <c r="A7" s="232" t="s">
        <v>2554</v>
      </c>
      <c r="B7" s="233"/>
      <c r="C7" s="234">
        <f>'数据-取费表'!B2</f>
        <v>43071</v>
      </c>
      <c r="D7" s="235">
        <v>100</v>
      </c>
      <c r="E7" s="236">
        <v>42309</v>
      </c>
      <c r="F7" s="237">
        <f>SUMIF(70:70,YEAR(E7)&amp;"-"&amp;INT((MONTH(E7)+2)/3),71:71)</f>
        <v>0</v>
      </c>
      <c r="G7" s="1892">
        <v>42309</v>
      </c>
      <c r="H7" s="235">
        <f>SUMIF(70:70,YEAR(G7)&amp;"-"&amp;INT((MONTH(G7)+2)/3),71:71)</f>
        <v>0</v>
      </c>
      <c r="I7" s="1892">
        <v>42036</v>
      </c>
      <c r="J7" s="235">
        <f>SUMIF(70:70,YEAR(I7)&amp;"-"&amp;INT((MONTH(I7)+2)/3),71:71)</f>
        <v>0</v>
      </c>
      <c r="K7" s="434"/>
      <c r="L7" s="877"/>
      <c r="M7" s="878"/>
      <c r="N7" s="878"/>
      <c r="O7" s="878"/>
      <c r="P7" s="3906" t="s">
        <v>2555</v>
      </c>
      <c r="Q7" s="3935"/>
      <c r="R7" s="552" t="s">
        <v>17</v>
      </c>
      <c r="S7" s="553">
        <f t="shared" ref="S7:S15" si="0">F7</f>
        <v>0</v>
      </c>
      <c r="T7" s="552" t="s">
        <v>17</v>
      </c>
      <c r="U7" s="553">
        <f t="shared" ref="U7:U15" si="1">H7</f>
        <v>0</v>
      </c>
      <c r="V7" s="552" t="s">
        <v>17</v>
      </c>
      <c r="W7" s="553">
        <f t="shared" ref="W7:W15" si="2">J7</f>
        <v>0</v>
      </c>
      <c r="X7" s="554"/>
      <c r="Y7" s="3906" t="s">
        <v>2555</v>
      </c>
      <c r="Z7" s="3907"/>
      <c r="AA7" s="555" t="e">
        <f>D7/F7</f>
        <v>#DIV/0!</v>
      </c>
      <c r="AB7" s="555" t="e">
        <f>D7/H7</f>
        <v>#DIV/0!</v>
      </c>
      <c r="AC7" s="555" t="e">
        <f>D7/J7</f>
        <v>#DIV/0!</v>
      </c>
    </row>
    <row r="8" spans="1:30" s="51" customFormat="1" ht="15.75" thickBot="1">
      <c r="A8" s="232" t="s">
        <v>2556</v>
      </c>
      <c r="B8" s="233"/>
      <c r="C8" s="238" t="s">
        <v>2557</v>
      </c>
      <c r="D8" s="235">
        <v>100</v>
      </c>
      <c r="E8" s="238"/>
      <c r="F8" s="237">
        <f>SUMIF(73:73,E8,74:74)-SUMIF(73:73,C8,74:74)+100</f>
        <v>0</v>
      </c>
      <c r="G8" s="238"/>
      <c r="H8" s="235">
        <f>SUMIF(73:73,G8,74:74)-SUMIF(73:73,C8,74:74)+100</f>
        <v>0</v>
      </c>
      <c r="I8" s="238"/>
      <c r="J8" s="235">
        <f>SUMIF(73:73,I8,74:74)-SUMIF(73:73,C8,74:74)+100</f>
        <v>0</v>
      </c>
      <c r="K8" s="434"/>
      <c r="L8" s="877"/>
      <c r="M8" s="878"/>
      <c r="N8" s="878"/>
      <c r="O8" s="878"/>
      <c r="P8" s="3906" t="s">
        <v>2558</v>
      </c>
      <c r="Q8" s="3907"/>
      <c r="R8" s="552" t="s">
        <v>17</v>
      </c>
      <c r="S8" s="553">
        <f t="shared" si="0"/>
        <v>0</v>
      </c>
      <c r="T8" s="552" t="s">
        <v>17</v>
      </c>
      <c r="U8" s="553">
        <f t="shared" si="1"/>
        <v>0</v>
      </c>
      <c r="V8" s="552" t="s">
        <v>17</v>
      </c>
      <c r="W8" s="553">
        <f t="shared" si="2"/>
        <v>0</v>
      </c>
      <c r="X8" s="554"/>
      <c r="Y8" s="3906" t="s">
        <v>2558</v>
      </c>
      <c r="Z8" s="3907"/>
      <c r="AA8" s="555" t="e">
        <f t="shared" ref="AA8:AA45" si="3">D8/F8</f>
        <v>#DIV/0!</v>
      </c>
      <c r="AB8" s="555" t="e">
        <f t="shared" ref="AB8:AB45" si="4">D8/H8</f>
        <v>#DIV/0!</v>
      </c>
      <c r="AC8" s="555" t="e">
        <f t="shared" ref="AC8:AC45" si="5">D8/J8</f>
        <v>#DIV/0!</v>
      </c>
    </row>
    <row r="9" spans="1:30" s="51" customFormat="1">
      <c r="A9" s="239" t="s">
        <v>2559</v>
      </c>
      <c r="B9" s="45" t="s">
        <v>2560</v>
      </c>
      <c r="C9" s="1895"/>
      <c r="D9" s="52">
        <v>100</v>
      </c>
      <c r="E9" s="1895"/>
      <c r="F9" s="52">
        <f>SUMIF(75:75,E9,76:76)-SUMIF(75:75,C9,76:76)+100</f>
        <v>100</v>
      </c>
      <c r="G9" s="1895"/>
      <c r="H9" s="52">
        <f>SUMIF(75:75,G9,76:76)-SUMIF(75:75,C9,76:76)+100</f>
        <v>100</v>
      </c>
      <c r="I9" s="1895"/>
      <c r="J9" s="52">
        <f>SUMIF(75:75,I9,76:76)-SUMIF(75:75,C9,76:76)+100</f>
        <v>100</v>
      </c>
      <c r="K9" s="434"/>
      <c r="L9" s="877"/>
      <c r="M9" s="878"/>
      <c r="N9" s="878"/>
      <c r="O9" s="879"/>
      <c r="P9" s="3939" t="s">
        <v>2561</v>
      </c>
      <c r="Q9" s="1403" t="str">
        <f t="shared" ref="Q9:Q15" si="6">B9</f>
        <v>用途</v>
      </c>
      <c r="R9" s="552" t="s">
        <v>17</v>
      </c>
      <c r="S9" s="553">
        <f t="shared" si="0"/>
        <v>100</v>
      </c>
      <c r="T9" s="552" t="s">
        <v>17</v>
      </c>
      <c r="U9" s="553">
        <f t="shared" si="1"/>
        <v>100</v>
      </c>
      <c r="V9" s="552" t="s">
        <v>17</v>
      </c>
      <c r="W9" s="553">
        <f t="shared" si="2"/>
        <v>100</v>
      </c>
      <c r="X9" s="554"/>
      <c r="Y9" s="3921" t="s">
        <v>2562</v>
      </c>
      <c r="Z9" s="40" t="str">
        <f t="shared" ref="Z9:Z15" si="7">Q9</f>
        <v>用途</v>
      </c>
      <c r="AA9" s="555">
        <f t="shared" si="3"/>
        <v>1</v>
      </c>
      <c r="AB9" s="555">
        <f t="shared" si="4"/>
        <v>1</v>
      </c>
      <c r="AC9" s="555">
        <f t="shared" si="5"/>
        <v>1</v>
      </c>
    </row>
    <row r="10" spans="1:30" s="250" customFormat="1" ht="27">
      <c r="A10" s="244"/>
      <c r="B10" s="245" t="s">
        <v>2563</v>
      </c>
      <c r="C10" s="255"/>
      <c r="D10" s="53">
        <v>100</v>
      </c>
      <c r="E10" s="288"/>
      <c r="F10" s="53">
        <f>ROUND(100/'数据-取费表'!G16,0)</f>
        <v>105</v>
      </c>
      <c r="G10" s="286"/>
      <c r="H10" s="53">
        <f>ROUND(100/'数据-取费表'!G16,0)</f>
        <v>105</v>
      </c>
      <c r="I10" s="286"/>
      <c r="J10" s="53">
        <f>ROUND(100/'数据-取费表'!G16,0)</f>
        <v>105</v>
      </c>
      <c r="K10" s="492"/>
      <c r="L10" s="880"/>
      <c r="M10" s="881"/>
      <c r="N10" s="881"/>
      <c r="O10" s="882"/>
      <c r="P10" s="3939"/>
      <c r="Q10" s="1403" t="str">
        <f t="shared" si="6"/>
        <v>土地使用年限（年）</v>
      </c>
      <c r="R10" s="552" t="s">
        <v>17</v>
      </c>
      <c r="S10" s="553">
        <f t="shared" si="0"/>
        <v>105</v>
      </c>
      <c r="T10" s="552" t="s">
        <v>17</v>
      </c>
      <c r="U10" s="553">
        <f t="shared" si="1"/>
        <v>105</v>
      </c>
      <c r="V10" s="552" t="s">
        <v>17</v>
      </c>
      <c r="W10" s="553">
        <f t="shared" si="2"/>
        <v>105</v>
      </c>
      <c r="X10" s="554"/>
      <c r="Y10" s="3921"/>
      <c r="Z10" s="40" t="str">
        <f t="shared" si="7"/>
        <v>土地使用年限（年）</v>
      </c>
      <c r="AA10" s="555">
        <f t="shared" si="3"/>
        <v>0.95238095238095233</v>
      </c>
      <c r="AB10" s="555">
        <f t="shared" si="4"/>
        <v>0.95238095238095233</v>
      </c>
      <c r="AC10" s="555">
        <f t="shared" si="5"/>
        <v>0.95238095238095233</v>
      </c>
    </row>
    <row r="11" spans="1:30" ht="15">
      <c r="A11" s="251"/>
      <c r="B11" s="245" t="s">
        <v>2564</v>
      </c>
      <c r="C11" s="252"/>
      <c r="D11" s="53">
        <v>100</v>
      </c>
      <c r="E11" s="252"/>
      <c r="F11" s="53" t="e">
        <f>LOOKUP(E11,80:80,81:81)-LOOKUP(C11,80:80,81:81)+100</f>
        <v>#N/A</v>
      </c>
      <c r="G11" s="253"/>
      <c r="H11" s="53" t="e">
        <f>LOOKUP(G11,80:80,81:81)-LOOKUP(C11,80:80,81:81)+100</f>
        <v>#N/A</v>
      </c>
      <c r="I11" s="252"/>
      <c r="J11" s="53" t="e">
        <f>LOOKUP(I11,80:80,81:81)-LOOKUP(C11,80:80,81:81)+100</f>
        <v>#N/A</v>
      </c>
      <c r="K11" s="493"/>
      <c r="L11" s="883"/>
      <c r="M11" s="876"/>
      <c r="N11" s="876"/>
      <c r="O11" s="884"/>
      <c r="P11" s="3939"/>
      <c r="Q11" s="1403" t="str">
        <f t="shared" si="6"/>
        <v>容积率</v>
      </c>
      <c r="R11" s="552" t="s">
        <v>17</v>
      </c>
      <c r="S11" s="553" t="e">
        <f t="shared" si="0"/>
        <v>#N/A</v>
      </c>
      <c r="T11" s="552" t="s">
        <v>17</v>
      </c>
      <c r="U11" s="553" t="e">
        <f t="shared" si="1"/>
        <v>#N/A</v>
      </c>
      <c r="V11" s="552" t="s">
        <v>17</v>
      </c>
      <c r="W11" s="553" t="e">
        <f t="shared" si="2"/>
        <v>#N/A</v>
      </c>
      <c r="X11" s="554"/>
      <c r="Y11" s="3921"/>
      <c r="Z11" s="40" t="str">
        <f t="shared" si="7"/>
        <v>容积率</v>
      </c>
      <c r="AA11" s="555" t="e">
        <f t="shared" si="3"/>
        <v>#N/A</v>
      </c>
      <c r="AB11" s="555" t="e">
        <f t="shared" si="4"/>
        <v>#N/A</v>
      </c>
      <c r="AC11" s="555" t="e">
        <f t="shared" si="5"/>
        <v>#N/A</v>
      </c>
    </row>
    <row r="12" spans="1:30" s="51" customFormat="1" ht="15">
      <c r="A12" s="254"/>
      <c r="B12" s="1805" t="s">
        <v>2753</v>
      </c>
      <c r="C12" s="255"/>
      <c r="D12" s="256">
        <v>100</v>
      </c>
      <c r="E12" s="288"/>
      <c r="F12" s="53">
        <f>SUMIF(82:82,E12,83:83)-SUMIF(82:82,C12,83:83)+100</f>
        <v>100</v>
      </c>
      <c r="G12" s="286"/>
      <c r="H12" s="53">
        <f>SUMIF(82:82,G12,83:83)-SUMIF(82:82,C12,83:83)+100</f>
        <v>100</v>
      </c>
      <c r="I12" s="288"/>
      <c r="J12" s="53">
        <f>SUMIF(82:82,I12,83:83)-SUMIF(82:82,C12,83:83)+100</f>
        <v>100</v>
      </c>
      <c r="K12" s="492"/>
      <c r="L12" s="877"/>
      <c r="M12" s="878"/>
      <c r="N12" s="878"/>
      <c r="O12" s="879"/>
      <c r="P12" s="3939"/>
      <c r="Q12" s="1403" t="str">
        <f t="shared" si="6"/>
        <v>配建</v>
      </c>
      <c r="R12" s="552" t="s">
        <v>17</v>
      </c>
      <c r="S12" s="553">
        <f t="shared" si="0"/>
        <v>100</v>
      </c>
      <c r="T12" s="552" t="s">
        <v>17</v>
      </c>
      <c r="U12" s="553">
        <f t="shared" si="1"/>
        <v>100</v>
      </c>
      <c r="V12" s="552" t="s">
        <v>17</v>
      </c>
      <c r="W12" s="553">
        <f t="shared" si="2"/>
        <v>100</v>
      </c>
      <c r="X12" s="554"/>
      <c r="Y12" s="3921"/>
      <c r="Z12" s="40" t="str">
        <f t="shared" si="7"/>
        <v>配建</v>
      </c>
      <c r="AA12" s="555">
        <f>D12/F12</f>
        <v>1</v>
      </c>
      <c r="AB12" s="555">
        <f>D12/H12</f>
        <v>1</v>
      </c>
      <c r="AC12" s="555">
        <f>D12/J12</f>
        <v>1</v>
      </c>
    </row>
    <row r="13" spans="1:30" ht="15">
      <c r="A13" s="251"/>
      <c r="B13" s="1805">
        <v>111</v>
      </c>
      <c r="C13" s="257"/>
      <c r="D13" s="258">
        <v>100</v>
      </c>
      <c r="E13" s="372"/>
      <c r="F13" s="53">
        <f>SUMIF(84:84,E13,85:85)-SUMIF(84:84,C13,85:85)+100</f>
        <v>100</v>
      </c>
      <c r="G13" s="494"/>
      <c r="H13" s="258">
        <f>SUMIF(84:84,G13,85:85)-SUMIF(84:84,C13,85:85)+100</f>
        <v>100</v>
      </c>
      <c r="I13" s="494"/>
      <c r="J13" s="258">
        <f>SUMIF(84:84,I13,85:85)-SUMIF(84:84,C13,85:85)+100</f>
        <v>100</v>
      </c>
      <c r="K13" s="492"/>
      <c r="L13" s="885"/>
      <c r="M13" s="876"/>
      <c r="N13" s="876"/>
      <c r="O13" s="884"/>
      <c r="P13" s="3939"/>
      <c r="Q13" s="1403">
        <f t="shared" si="6"/>
        <v>111</v>
      </c>
      <c r="R13" s="552" t="s">
        <v>17</v>
      </c>
      <c r="S13" s="553">
        <f t="shared" si="0"/>
        <v>100</v>
      </c>
      <c r="T13" s="552" t="s">
        <v>17</v>
      </c>
      <c r="U13" s="553">
        <f t="shared" si="1"/>
        <v>100</v>
      </c>
      <c r="V13" s="552" t="s">
        <v>17</v>
      </c>
      <c r="W13" s="553">
        <f t="shared" si="2"/>
        <v>100</v>
      </c>
      <c r="X13" s="554"/>
      <c r="Y13" s="3921"/>
      <c r="Z13" s="40">
        <f t="shared" si="7"/>
        <v>111</v>
      </c>
      <c r="AA13" s="555">
        <f>D13/F13</f>
        <v>1</v>
      </c>
      <c r="AB13" s="555">
        <f>D13/H13</f>
        <v>1</v>
      </c>
      <c r="AC13" s="555">
        <f>D13/J13</f>
        <v>1</v>
      </c>
    </row>
    <row r="14" spans="1:30" ht="15.75" thickBot="1">
      <c r="A14" s="259"/>
      <c r="B14" s="1807">
        <v>111</v>
      </c>
      <c r="C14" s="260"/>
      <c r="D14" s="261">
        <v>100</v>
      </c>
      <c r="E14" s="372"/>
      <c r="F14" s="261">
        <f>SUMIF(86:86,E14,87:87)-SUMIF(86:86,C14,87:87)+100</f>
        <v>100</v>
      </c>
      <c r="G14" s="494"/>
      <c r="H14" s="261">
        <f>SUMIF(86:86,G14,87:87)-SUMIF(86:86,C14,87:87)+100</f>
        <v>100</v>
      </c>
      <c r="I14" s="494"/>
      <c r="J14" s="261">
        <f>SUMIF(86:86,I14,87:87)-SUMIF(86:86,C14,87:87)+100</f>
        <v>100</v>
      </c>
      <c r="K14" s="492"/>
      <c r="L14" s="885"/>
      <c r="M14" s="876"/>
      <c r="N14" s="876"/>
      <c r="O14" s="884"/>
      <c r="P14" s="3939"/>
      <c r="Q14" s="1403">
        <f t="shared" si="6"/>
        <v>111</v>
      </c>
      <c r="R14" s="552" t="s">
        <v>17</v>
      </c>
      <c r="S14" s="553">
        <f t="shared" si="0"/>
        <v>100</v>
      </c>
      <c r="T14" s="552" t="s">
        <v>17</v>
      </c>
      <c r="U14" s="553">
        <f t="shared" si="1"/>
        <v>100</v>
      </c>
      <c r="V14" s="552" t="s">
        <v>17</v>
      </c>
      <c r="W14" s="553">
        <f t="shared" si="2"/>
        <v>100</v>
      </c>
      <c r="X14" s="554"/>
      <c r="Y14" s="3921"/>
      <c r="Z14" s="40">
        <f t="shared" si="7"/>
        <v>111</v>
      </c>
      <c r="AA14" s="555">
        <f>D14/F14</f>
        <v>1</v>
      </c>
      <c r="AB14" s="555">
        <f>D14/H14</f>
        <v>1</v>
      </c>
      <c r="AC14" s="555">
        <f>D14/J14</f>
        <v>1</v>
      </c>
    </row>
    <row r="15" spans="1:30" ht="99.75">
      <c r="A15" s="263" t="s">
        <v>2565</v>
      </c>
      <c r="B15" s="43" t="s">
        <v>2090</v>
      </c>
      <c r="C15" s="1808" t="str">
        <f>估价对象房地状况!C15</f>
        <v>估价对象周边居住用地比例、居住小区规模和社区发展完善程度，综合评价居住社区成熟度一般</v>
      </c>
      <c r="D15" s="264">
        <v>100</v>
      </c>
      <c r="E15" s="265"/>
      <c r="F15" s="264">
        <f>SUMIF(88:88,E16,89:89)-SUMIF(88:88,C16,89:89)+100</f>
        <v>100</v>
      </c>
      <c r="G15" s="265"/>
      <c r="H15" s="264">
        <f>SUMIF(88:88,G16,89:89)-SUMIF(88:88,C16,89:89)+100</f>
        <v>100</v>
      </c>
      <c r="I15" s="267"/>
      <c r="J15" s="264">
        <f>SUMIF(88:88,I16,89:89)-SUMIF(88:88,C16,89:89)+100</f>
        <v>100</v>
      </c>
      <c r="K15" s="493"/>
      <c r="L15" s="885"/>
      <c r="M15" s="876"/>
      <c r="N15" s="876"/>
      <c r="O15" s="884"/>
      <c r="P15" s="3941" t="s">
        <v>2566</v>
      </c>
      <c r="Q15" s="1412" t="str">
        <f t="shared" si="6"/>
        <v>居住社区成熟度</v>
      </c>
      <c r="R15" s="556" t="s">
        <v>17</v>
      </c>
      <c r="S15" s="557">
        <f t="shared" si="0"/>
        <v>100</v>
      </c>
      <c r="T15" s="556" t="s">
        <v>17</v>
      </c>
      <c r="U15" s="557">
        <f t="shared" si="1"/>
        <v>100</v>
      </c>
      <c r="V15" s="556" t="s">
        <v>17</v>
      </c>
      <c r="W15" s="557">
        <f t="shared" si="2"/>
        <v>100</v>
      </c>
      <c r="X15" s="1415"/>
      <c r="Y15" s="3941" t="s">
        <v>2566</v>
      </c>
      <c r="Z15" s="1416" t="str">
        <f t="shared" si="7"/>
        <v>居住社区成熟度</v>
      </c>
      <c r="AA15" s="1413">
        <f t="shared" si="3"/>
        <v>1</v>
      </c>
      <c r="AB15" s="1413">
        <f t="shared" si="4"/>
        <v>1</v>
      </c>
      <c r="AC15" s="1413">
        <f t="shared" si="5"/>
        <v>1</v>
      </c>
    </row>
    <row r="16" spans="1:30" ht="15">
      <c r="A16" s="251"/>
      <c r="B16" s="269"/>
      <c r="C16" s="270"/>
      <c r="D16" s="271"/>
      <c r="E16" s="1810"/>
      <c r="F16" s="271"/>
      <c r="G16" s="1810"/>
      <c r="H16" s="273"/>
      <c r="I16" s="1809"/>
      <c r="J16" s="271"/>
      <c r="K16" s="492"/>
      <c r="L16" s="885"/>
      <c r="M16" s="876"/>
      <c r="N16" s="876"/>
      <c r="O16" s="884"/>
      <c r="P16" s="3942"/>
      <c r="Q16" s="1412"/>
      <c r="R16" s="556"/>
      <c r="S16" s="557"/>
      <c r="T16" s="556"/>
      <c r="U16" s="557"/>
      <c r="V16" s="556"/>
      <c r="W16" s="557"/>
      <c r="X16" s="1415"/>
      <c r="Y16" s="3942"/>
      <c r="Z16" s="1416"/>
      <c r="AA16" s="1413">
        <v>1</v>
      </c>
      <c r="AB16" s="1413">
        <v>1</v>
      </c>
      <c r="AC16" s="1413">
        <v>1</v>
      </c>
    </row>
    <row r="17" spans="1:29" ht="71.25">
      <c r="A17" s="251"/>
      <c r="B17" s="274" t="s">
        <v>2659</v>
      </c>
      <c r="C17" s="1863" t="str">
        <f>估价对象房地状况!C16</f>
        <v>估价对象位于XX商圈，周边商业氛围成熟，人流量大，商业繁华度好</v>
      </c>
      <c r="D17" s="273">
        <v>100</v>
      </c>
      <c r="E17" s="275"/>
      <c r="F17" s="273">
        <f>SUMIF(90:90,E18,91:91)-SUMIF(90:90,C18,91:91)+100</f>
        <v>100</v>
      </c>
      <c r="G17" s="275"/>
      <c r="H17" s="278">
        <f>SUMIF(90:90,G18,91:91)-SUMIF(90:90,C18,91:91)+100</f>
        <v>100</v>
      </c>
      <c r="I17" s="277"/>
      <c r="J17" s="278">
        <f>SUMIF(90:90,I18,91:91)-SUMIF(90:90,C18,91:91)+100</f>
        <v>100</v>
      </c>
      <c r="K17" s="493"/>
      <c r="L17" s="885"/>
      <c r="M17" s="876"/>
      <c r="N17" s="876"/>
      <c r="O17" s="884"/>
      <c r="P17" s="3942"/>
      <c r="Q17" s="1412" t="str">
        <f>B17</f>
        <v>商业繁华度</v>
      </c>
      <c r="R17" s="556" t="s">
        <v>17</v>
      </c>
      <c r="S17" s="557">
        <f>F17</f>
        <v>100</v>
      </c>
      <c r="T17" s="556" t="s">
        <v>17</v>
      </c>
      <c r="U17" s="557">
        <f>H17</f>
        <v>100</v>
      </c>
      <c r="V17" s="556" t="s">
        <v>17</v>
      </c>
      <c r="W17" s="557">
        <f>J17</f>
        <v>100</v>
      </c>
      <c r="X17" s="1415"/>
      <c r="Y17" s="3942"/>
      <c r="Z17" s="1416" t="str">
        <f>Q17</f>
        <v>商业繁华度</v>
      </c>
      <c r="AA17" s="1413">
        <f t="shared" si="3"/>
        <v>1</v>
      </c>
      <c r="AB17" s="1413">
        <f t="shared" si="4"/>
        <v>1</v>
      </c>
      <c r="AC17" s="1413">
        <f t="shared" si="5"/>
        <v>1</v>
      </c>
    </row>
    <row r="18" spans="1:29" ht="15">
      <c r="A18" s="251"/>
      <c r="B18" s="279"/>
      <c r="C18" s="1813"/>
      <c r="D18" s="273"/>
      <c r="E18" s="1815"/>
      <c r="F18" s="273"/>
      <c r="G18" s="1815"/>
      <c r="H18" s="271"/>
      <c r="I18" s="1814"/>
      <c r="J18" s="271"/>
      <c r="K18" s="492"/>
      <c r="L18" s="885"/>
      <c r="M18" s="876"/>
      <c r="N18" s="876"/>
      <c r="O18" s="884"/>
      <c r="P18" s="3942"/>
      <c r="Q18" s="1412"/>
      <c r="R18" s="556"/>
      <c r="S18" s="557"/>
      <c r="T18" s="556"/>
      <c r="U18" s="557"/>
      <c r="V18" s="556"/>
      <c r="W18" s="557"/>
      <c r="X18" s="1415"/>
      <c r="Y18" s="3942"/>
      <c r="Z18" s="1416"/>
      <c r="AA18" s="1413">
        <v>1</v>
      </c>
      <c r="AB18" s="1413">
        <v>1</v>
      </c>
      <c r="AC18" s="1413">
        <v>1</v>
      </c>
    </row>
    <row r="19" spans="1:29" ht="71.25">
      <c r="A19" s="251"/>
      <c r="B19" s="274" t="s">
        <v>2693</v>
      </c>
      <c r="C19" s="1863" t="str">
        <f>估价对象房地状况!C17</f>
        <v>估价对象位于XX商圈，周边办公楼项目较多，入驻率高，办公集聚程度较好</v>
      </c>
      <c r="D19" s="278">
        <v>100</v>
      </c>
      <c r="E19" s="280"/>
      <c r="F19" s="278">
        <f>SUMIF(92:92,E20,93:93)-SUMIF(92:92,C20,93:93)+100</f>
        <v>100</v>
      </c>
      <c r="G19" s="280"/>
      <c r="H19" s="273">
        <f>SUMIF(92:92,G20,93:93)-SUMIF(92:92,C20,93:93)+100</f>
        <v>100</v>
      </c>
      <c r="I19" s="282"/>
      <c r="J19" s="273">
        <f>SUMIF(92:92,I20,93:93)-SUMIF(92:92,C20,93:93)+100</f>
        <v>100</v>
      </c>
      <c r="K19" s="493"/>
      <c r="L19" s="885"/>
      <c r="M19" s="876"/>
      <c r="N19" s="876"/>
      <c r="O19" s="884"/>
      <c r="P19" s="3942"/>
      <c r="Q19" s="1412" t="str">
        <f>B19</f>
        <v>办公集聚程度</v>
      </c>
      <c r="R19" s="556" t="s">
        <v>17</v>
      </c>
      <c r="S19" s="557">
        <f>F19</f>
        <v>100</v>
      </c>
      <c r="T19" s="556" t="s">
        <v>17</v>
      </c>
      <c r="U19" s="557">
        <f>H19</f>
        <v>100</v>
      </c>
      <c r="V19" s="556" t="s">
        <v>17</v>
      </c>
      <c r="W19" s="557">
        <f>J19</f>
        <v>100</v>
      </c>
      <c r="X19" s="1415"/>
      <c r="Y19" s="3942"/>
      <c r="Z19" s="1416" t="str">
        <f>Q19</f>
        <v>办公集聚程度</v>
      </c>
      <c r="AA19" s="1413">
        <f t="shared" si="3"/>
        <v>1</v>
      </c>
      <c r="AB19" s="1413">
        <f t="shared" si="4"/>
        <v>1</v>
      </c>
      <c r="AC19" s="1413">
        <f t="shared" si="5"/>
        <v>1</v>
      </c>
    </row>
    <row r="20" spans="1:29" ht="15">
      <c r="A20" s="251"/>
      <c r="B20" s="279"/>
      <c r="C20" s="270"/>
      <c r="D20" s="271"/>
      <c r="E20" s="1810"/>
      <c r="F20" s="271"/>
      <c r="G20" s="1810"/>
      <c r="H20" s="271"/>
      <c r="I20" s="1809"/>
      <c r="J20" s="271"/>
      <c r="K20" s="492"/>
      <c r="L20" s="885"/>
      <c r="M20" s="876"/>
      <c r="N20" s="876"/>
      <c r="O20" s="884"/>
      <c r="P20" s="3942"/>
      <c r="Q20" s="1412"/>
      <c r="R20" s="556"/>
      <c r="S20" s="557"/>
      <c r="T20" s="556"/>
      <c r="U20" s="557"/>
      <c r="V20" s="556"/>
      <c r="W20" s="557"/>
      <c r="X20" s="1415"/>
      <c r="Y20" s="3942"/>
      <c r="Z20" s="1416"/>
      <c r="AA20" s="1413">
        <v>1</v>
      </c>
      <c r="AB20" s="1413">
        <v>1</v>
      </c>
      <c r="AC20" s="1413">
        <v>1</v>
      </c>
    </row>
    <row r="21" spans="1:29" ht="85.5">
      <c r="A21" s="251"/>
      <c r="B21" s="274" t="s">
        <v>2715</v>
      </c>
      <c r="C21" s="1812" t="str">
        <f>估价对象房地状况!C18</f>
        <v>估价对象周边道路状况、公共交通通达情况、停车便捷程度，综合评价交通便捷度较好</v>
      </c>
      <c r="D21" s="273">
        <v>100</v>
      </c>
      <c r="E21" s="275"/>
      <c r="F21" s="278">
        <f>SUMIF(94:94,E22,95:95)-SUMIF(94:94,C22,95:95)+100</f>
        <v>100</v>
      </c>
      <c r="G21" s="275"/>
      <c r="H21" s="273">
        <f>SUMIF(94:94,G22,95:95)-SUMIF(94:94,C22,95:95)+100</f>
        <v>100</v>
      </c>
      <c r="I21" s="277"/>
      <c r="J21" s="273">
        <f>SUMIF(94:94,I22,95:95)-SUMIF(94:94,C22,95:95)+100</f>
        <v>100</v>
      </c>
      <c r="K21" s="493"/>
      <c r="L21" s="885"/>
      <c r="M21" s="876"/>
      <c r="N21" s="876"/>
      <c r="O21" s="884"/>
      <c r="P21" s="3942"/>
      <c r="Q21" s="1412" t="str">
        <f>B21</f>
        <v>交通便捷度</v>
      </c>
      <c r="R21" s="556" t="s">
        <v>17</v>
      </c>
      <c r="S21" s="557">
        <f>F21</f>
        <v>100</v>
      </c>
      <c r="T21" s="556" t="s">
        <v>17</v>
      </c>
      <c r="U21" s="557">
        <f>H21</f>
        <v>100</v>
      </c>
      <c r="V21" s="556" t="s">
        <v>17</v>
      </c>
      <c r="W21" s="557">
        <f>J21</f>
        <v>100</v>
      </c>
      <c r="X21" s="1415"/>
      <c r="Y21" s="3942"/>
      <c r="Z21" s="1416" t="str">
        <f>Q21</f>
        <v>交通便捷度</v>
      </c>
      <c r="AA21" s="1413">
        <f t="shared" si="3"/>
        <v>1</v>
      </c>
      <c r="AB21" s="1413">
        <f t="shared" si="4"/>
        <v>1</v>
      </c>
      <c r="AC21" s="1413">
        <f t="shared" si="5"/>
        <v>1</v>
      </c>
    </row>
    <row r="22" spans="1:29" ht="15">
      <c r="A22" s="251"/>
      <c r="B22" s="1061"/>
      <c r="C22" s="270"/>
      <c r="D22" s="273"/>
      <c r="E22" s="1810"/>
      <c r="F22" s="271"/>
      <c r="G22" s="1810"/>
      <c r="H22" s="271"/>
      <c r="I22" s="1809"/>
      <c r="J22" s="271"/>
      <c r="K22" s="492"/>
      <c r="L22" s="885"/>
      <c r="M22" s="876"/>
      <c r="N22" s="876"/>
      <c r="O22" s="884"/>
      <c r="P22" s="3942"/>
      <c r="Q22" s="1412"/>
      <c r="R22" s="556"/>
      <c r="S22" s="557"/>
      <c r="T22" s="556"/>
      <c r="U22" s="557"/>
      <c r="V22" s="556"/>
      <c r="W22" s="557"/>
      <c r="X22" s="1415"/>
      <c r="Y22" s="3942"/>
      <c r="Z22" s="1416"/>
      <c r="AA22" s="1413">
        <v>1</v>
      </c>
      <c r="AB22" s="1413">
        <v>1</v>
      </c>
      <c r="AC22" s="1413">
        <v>1</v>
      </c>
    </row>
    <row r="23" spans="1:29" ht="15">
      <c r="A23" s="228"/>
      <c r="B23" s="274" t="s">
        <v>2754</v>
      </c>
      <c r="C23" s="1066">
        <f>估价对象房地状况!C19</f>
        <v>0</v>
      </c>
      <c r="D23" s="278">
        <v>100</v>
      </c>
      <c r="E23" s="275"/>
      <c r="F23" s="278">
        <f>SUMIF(96:96,E24,97:97)-SUMIF(96:96,C24,97:97)+100</f>
        <v>100</v>
      </c>
      <c r="G23" s="277"/>
      <c r="H23" s="278">
        <f>SUMIF(96:96,G24,97:97)-SUMIF(96:96,C24,97:97)+100</f>
        <v>100</v>
      </c>
      <c r="I23" s="277"/>
      <c r="J23" s="278">
        <f>SUMIF(96:96,I24,97:97)-SUMIF(96:96,C24,97:97)+100</f>
        <v>100</v>
      </c>
      <c r="K23" s="493"/>
      <c r="L23" s="885"/>
      <c r="M23" s="876"/>
      <c r="N23" s="876"/>
      <c r="O23" s="884"/>
      <c r="P23" s="3942"/>
      <c r="Q23" s="1412" t="str">
        <f t="shared" ref="Q23:Q37" si="8">B23</f>
        <v>区域土地利用方向</v>
      </c>
      <c r="R23" s="556" t="s">
        <v>17</v>
      </c>
      <c r="S23" s="557">
        <f>F23</f>
        <v>100</v>
      </c>
      <c r="T23" s="556" t="s">
        <v>17</v>
      </c>
      <c r="U23" s="557">
        <f>H23</f>
        <v>100</v>
      </c>
      <c r="V23" s="556" t="s">
        <v>17</v>
      </c>
      <c r="W23" s="557">
        <f>J23</f>
        <v>100</v>
      </c>
      <c r="X23" s="1415"/>
      <c r="Y23" s="3942"/>
      <c r="Z23" s="1416" t="str">
        <f>Q23</f>
        <v>区域土地利用方向</v>
      </c>
      <c r="AA23" s="1413">
        <f t="shared" si="3"/>
        <v>1</v>
      </c>
      <c r="AB23" s="1413">
        <f t="shared" si="4"/>
        <v>1</v>
      </c>
      <c r="AC23" s="1413">
        <f t="shared" si="5"/>
        <v>1</v>
      </c>
    </row>
    <row r="24" spans="1:29" ht="15">
      <c r="A24" s="228"/>
      <c r="B24" s="279"/>
      <c r="C24" s="439"/>
      <c r="D24" s="271"/>
      <c r="E24" s="1810"/>
      <c r="F24" s="271"/>
      <c r="G24" s="1809"/>
      <c r="H24" s="271"/>
      <c r="I24" s="1809"/>
      <c r="J24" s="271"/>
      <c r="K24" s="575"/>
      <c r="L24" s="885"/>
      <c r="M24" s="876"/>
      <c r="N24" s="876"/>
      <c r="O24" s="884"/>
      <c r="P24" s="3942"/>
      <c r="Q24" s="1412"/>
      <c r="R24" s="556"/>
      <c r="S24" s="557"/>
      <c r="T24" s="556"/>
      <c r="U24" s="557"/>
      <c r="V24" s="556"/>
      <c r="W24" s="557"/>
      <c r="X24" s="1415"/>
      <c r="Y24" s="3942"/>
      <c r="Z24" s="1416"/>
      <c r="AA24" s="1413"/>
      <c r="AB24" s="1413"/>
      <c r="AC24" s="1413"/>
    </row>
    <row r="25" spans="1:29" ht="57">
      <c r="A25" s="228"/>
      <c r="B25" s="1061" t="s">
        <v>2755</v>
      </c>
      <c r="C25" s="1863" t="str">
        <f>估价对象房地状况!C20</f>
        <v>区域自然环境：；人文环境；综合评价环境状况一般</v>
      </c>
      <c r="D25" s="273">
        <v>100</v>
      </c>
      <c r="E25" s="275"/>
      <c r="F25" s="273">
        <f>SUMIF(98:98,E26,99:99)-SUMIF(98:98,C26,99:99)+100</f>
        <v>100</v>
      </c>
      <c r="G25" s="275"/>
      <c r="H25" s="273">
        <f>SUMIF(98:98,G26,99:99)-SUMIF(98:98,C26,99:99)+100</f>
        <v>100</v>
      </c>
      <c r="I25" s="277"/>
      <c r="J25" s="273">
        <f>SUMIF(98:98,I26,99:99)-SUMIF(98:98,C26,99:99)+100</f>
        <v>100</v>
      </c>
      <c r="K25" s="493"/>
      <c r="L25" s="885"/>
      <c r="M25" s="876"/>
      <c r="N25" s="876"/>
      <c r="O25" s="884"/>
      <c r="P25" s="3942"/>
      <c r="Q25" s="1412" t="str">
        <f t="shared" si="8"/>
        <v>自然及人文环境状况</v>
      </c>
      <c r="R25" s="556" t="s">
        <v>17</v>
      </c>
      <c r="S25" s="557">
        <f>F25</f>
        <v>100</v>
      </c>
      <c r="T25" s="556" t="s">
        <v>17</v>
      </c>
      <c r="U25" s="557">
        <f>H25</f>
        <v>100</v>
      </c>
      <c r="V25" s="556" t="s">
        <v>17</v>
      </c>
      <c r="W25" s="557">
        <f>J25</f>
        <v>100</v>
      </c>
      <c r="X25" s="1415"/>
      <c r="Y25" s="3942"/>
      <c r="Z25" s="1416" t="str">
        <f>Q25</f>
        <v>自然及人文环境状况</v>
      </c>
      <c r="AA25" s="1413">
        <f t="shared" si="3"/>
        <v>1</v>
      </c>
      <c r="AB25" s="1413">
        <f t="shared" si="4"/>
        <v>1</v>
      </c>
      <c r="AC25" s="1413">
        <f t="shared" si="5"/>
        <v>1</v>
      </c>
    </row>
    <row r="26" spans="1:29" ht="15">
      <c r="A26" s="228"/>
      <c r="B26" s="279"/>
      <c r="C26" s="270"/>
      <c r="D26" s="271"/>
      <c r="E26" s="1816"/>
      <c r="F26" s="271"/>
      <c r="G26" s="1816"/>
      <c r="H26" s="271"/>
      <c r="I26" s="270"/>
      <c r="J26" s="271"/>
      <c r="K26" s="492"/>
      <c r="L26" s="885"/>
      <c r="M26" s="876"/>
      <c r="N26" s="876"/>
      <c r="O26" s="884"/>
      <c r="P26" s="3942"/>
      <c r="Q26" s="1412"/>
      <c r="R26" s="556"/>
      <c r="S26" s="557"/>
      <c r="T26" s="556"/>
      <c r="U26" s="557"/>
      <c r="V26" s="556"/>
      <c r="W26" s="557"/>
      <c r="X26" s="1415"/>
      <c r="Y26" s="3942"/>
      <c r="Z26" s="1416"/>
      <c r="AA26" s="1413">
        <v>1</v>
      </c>
      <c r="AB26" s="1413">
        <v>1</v>
      </c>
      <c r="AC26" s="1413">
        <v>1</v>
      </c>
    </row>
    <row r="27" spans="1:29" s="51" customFormat="1" ht="42.75">
      <c r="A27" s="469"/>
      <c r="B27" s="1061" t="s">
        <v>2660</v>
      </c>
      <c r="C27" s="1812" t="str">
        <f>估价对象房地状况!C21</f>
        <v>估价对象所在区域公共配套设施齐备情况</v>
      </c>
      <c r="D27" s="273">
        <v>100</v>
      </c>
      <c r="E27" s="275"/>
      <c r="F27" s="273">
        <f>SUMIF(100:100,E28,101:101)-SUMIF(100:100,C28,101:101)+100</f>
        <v>100</v>
      </c>
      <c r="G27" s="275"/>
      <c r="H27" s="273">
        <f>SUMIF(100:100,G28,101:101)-SUMIF(100:100,C28,101:101)+100</f>
        <v>100</v>
      </c>
      <c r="I27" s="277"/>
      <c r="J27" s="273">
        <f>SUMIF(100:100,I28,101:101)-SUMIF(100:100,C28,101:101)+100</f>
        <v>100</v>
      </c>
      <c r="K27" s="493"/>
      <c r="L27" s="877"/>
      <c r="M27" s="878"/>
      <c r="N27" s="878"/>
      <c r="O27" s="879"/>
      <c r="P27" s="3942"/>
      <c r="Q27" s="1403" t="str">
        <f t="shared" si="8"/>
        <v>公共配套设施</v>
      </c>
      <c r="R27" s="552" t="s">
        <v>17</v>
      </c>
      <c r="S27" s="553">
        <f>F27</f>
        <v>100</v>
      </c>
      <c r="T27" s="552" t="s">
        <v>17</v>
      </c>
      <c r="U27" s="553">
        <f>H27</f>
        <v>100</v>
      </c>
      <c r="V27" s="552" t="s">
        <v>17</v>
      </c>
      <c r="W27" s="553">
        <f>J27</f>
        <v>100</v>
      </c>
      <c r="X27" s="554"/>
      <c r="Y27" s="3942"/>
      <c r="Z27" s="40" t="str">
        <f>Q27</f>
        <v>公共配套设施</v>
      </c>
      <c r="AA27" s="1413">
        <f>D27/F27</f>
        <v>1</v>
      </c>
      <c r="AB27" s="1413">
        <f>D27/H27</f>
        <v>1</v>
      </c>
      <c r="AC27" s="1413">
        <f>D27/J27</f>
        <v>1</v>
      </c>
    </row>
    <row r="28" spans="1:29" s="51" customFormat="1" ht="15">
      <c r="A28" s="469"/>
      <c r="B28" s="279"/>
      <c r="C28" s="1896"/>
      <c r="D28" s="271"/>
      <c r="E28" s="1816"/>
      <c r="F28" s="271"/>
      <c r="G28" s="1816"/>
      <c r="H28" s="271"/>
      <c r="I28" s="270"/>
      <c r="J28" s="271"/>
      <c r="K28" s="492"/>
      <c r="L28" s="877"/>
      <c r="M28" s="878"/>
      <c r="N28" s="878"/>
      <c r="O28" s="879"/>
      <c r="P28" s="3942"/>
      <c r="Q28" s="1403"/>
      <c r="R28" s="552"/>
      <c r="S28" s="553"/>
      <c r="T28" s="552"/>
      <c r="U28" s="553"/>
      <c r="V28" s="552"/>
      <c r="W28" s="553"/>
      <c r="X28" s="554"/>
      <c r="Y28" s="3942"/>
      <c r="Z28" s="40"/>
      <c r="AA28" s="1413">
        <v>1</v>
      </c>
      <c r="AB28" s="1413">
        <v>1</v>
      </c>
      <c r="AC28" s="1413">
        <v>1</v>
      </c>
    </row>
    <row r="29" spans="1:29" s="51" customFormat="1" ht="28.5">
      <c r="A29" s="469"/>
      <c r="B29" s="1061" t="s">
        <v>2661</v>
      </c>
      <c r="C29" s="1812" t="str">
        <f>估价对象房地状况!C22</f>
        <v>估价对象所在区域基础设施水平</v>
      </c>
      <c r="D29" s="273">
        <v>100</v>
      </c>
      <c r="E29" s="275"/>
      <c r="F29" s="273">
        <f>SUMIF(102:102,E30,103:103)-SUMIF(102:102,C30,103:103)+100</f>
        <v>100</v>
      </c>
      <c r="G29" s="275"/>
      <c r="H29" s="273">
        <f>SUMIF(102:102,G30,103:103)-SUMIF(102:102,C30,103:103)+100</f>
        <v>100</v>
      </c>
      <c r="I29" s="277"/>
      <c r="J29" s="273">
        <f>SUMIF(102:102,I30,103:103)-SUMIF(102:102,C30,103:103)+100</f>
        <v>100</v>
      </c>
      <c r="K29" s="493"/>
      <c r="L29" s="877"/>
      <c r="M29" s="878"/>
      <c r="N29" s="878"/>
      <c r="O29" s="879"/>
      <c r="P29" s="3942"/>
      <c r="Q29" s="1403" t="str">
        <f t="shared" ref="Q29" si="9">B29</f>
        <v>基础设施水平</v>
      </c>
      <c r="R29" s="552" t="s">
        <v>17</v>
      </c>
      <c r="S29" s="553">
        <f>F29</f>
        <v>100</v>
      </c>
      <c r="T29" s="552" t="s">
        <v>17</v>
      </c>
      <c r="U29" s="553">
        <f>H29</f>
        <v>100</v>
      </c>
      <c r="V29" s="552" t="s">
        <v>17</v>
      </c>
      <c r="W29" s="553">
        <f>J29</f>
        <v>100</v>
      </c>
      <c r="X29" s="554"/>
      <c r="Y29" s="3942"/>
      <c r="Z29" s="40" t="str">
        <f>Q29</f>
        <v>基础设施水平</v>
      </c>
      <c r="AA29" s="1413">
        <f>D29/F29</f>
        <v>1</v>
      </c>
      <c r="AB29" s="1413">
        <f>D29/H29</f>
        <v>1</v>
      </c>
      <c r="AC29" s="1413">
        <f>D29/J29</f>
        <v>1</v>
      </c>
    </row>
    <row r="30" spans="1:29" s="51" customFormat="1" ht="15">
      <c r="A30" s="469"/>
      <c r="B30" s="279"/>
      <c r="C30" s="1896"/>
      <c r="D30" s="271"/>
      <c r="E30" s="1897"/>
      <c r="F30" s="271"/>
      <c r="G30" s="1897"/>
      <c r="H30" s="271"/>
      <c r="I30" s="1897"/>
      <c r="J30" s="271"/>
      <c r="K30" s="492"/>
      <c r="L30" s="877"/>
      <c r="M30" s="878"/>
      <c r="N30" s="878"/>
      <c r="O30" s="879"/>
      <c r="P30" s="3942"/>
      <c r="Q30" s="1403"/>
      <c r="R30" s="552"/>
      <c r="S30" s="553"/>
      <c r="T30" s="552"/>
      <c r="U30" s="553"/>
      <c r="V30" s="552"/>
      <c r="W30" s="553"/>
      <c r="X30" s="554"/>
      <c r="Y30" s="3942"/>
      <c r="Z30" s="40"/>
      <c r="AA30" s="1413">
        <v>1</v>
      </c>
      <c r="AB30" s="1413">
        <v>1</v>
      </c>
      <c r="AC30" s="1413">
        <v>1</v>
      </c>
    </row>
    <row r="31" spans="1:29" ht="15">
      <c r="A31" s="251"/>
      <c r="B31" s="279" t="s">
        <v>2662</v>
      </c>
      <c r="C31" s="439"/>
      <c r="D31" s="258">
        <v>100</v>
      </c>
      <c r="E31" s="454"/>
      <c r="F31" s="258">
        <f>SUMIF(104:104,E31,105:105)-SUMIF(104:104,C31,105:105)+100</f>
        <v>100</v>
      </c>
      <c r="G31" s="454"/>
      <c r="H31" s="258">
        <f>SUMIF(104:104,G31,105:105)-SUMIF(104:104,C31,105:105)+100</f>
        <v>100</v>
      </c>
      <c r="I31" s="454"/>
      <c r="J31" s="258">
        <f>SUMIF(104:104,I31,105:105)-SUMIF(104:104,C31,105:105)+100</f>
        <v>100</v>
      </c>
      <c r="K31" s="493"/>
      <c r="L31" s="885"/>
      <c r="M31" s="876"/>
      <c r="N31" s="876"/>
      <c r="O31" s="884"/>
      <c r="P31" s="3942"/>
      <c r="Q31" s="1412" t="str">
        <f t="shared" si="8"/>
        <v>临街状况</v>
      </c>
      <c r="R31" s="556" t="s">
        <v>17</v>
      </c>
      <c r="S31" s="557">
        <f t="shared" ref="S31:S45" si="10">F31</f>
        <v>100</v>
      </c>
      <c r="T31" s="556" t="s">
        <v>17</v>
      </c>
      <c r="U31" s="557">
        <f t="shared" ref="U31:U45" si="11">H31</f>
        <v>100</v>
      </c>
      <c r="V31" s="556" t="s">
        <v>17</v>
      </c>
      <c r="W31" s="557">
        <f t="shared" ref="W31:W45" si="12">J31</f>
        <v>100</v>
      </c>
      <c r="X31" s="1415"/>
      <c r="Y31" s="3942"/>
      <c r="Z31" s="1416" t="str">
        <f t="shared" ref="Z31:Z45" si="13">Q31</f>
        <v>临街状况</v>
      </c>
      <c r="AA31" s="1413">
        <f t="shared" si="3"/>
        <v>1</v>
      </c>
      <c r="AB31" s="1413">
        <f t="shared" si="4"/>
        <v>1</v>
      </c>
      <c r="AC31" s="1413">
        <f t="shared" si="5"/>
        <v>1</v>
      </c>
    </row>
    <row r="32" spans="1:29" ht="27">
      <c r="A32" s="251"/>
      <c r="B32" s="1061" t="s">
        <v>2697</v>
      </c>
      <c r="C32" s="277"/>
      <c r="D32" s="273">
        <v>100</v>
      </c>
      <c r="E32" s="275"/>
      <c r="F32" s="273">
        <f>SUMIF(106:106,E33,107:107)-SUMIF(106:106,C33,107:107)+100</f>
        <v>100</v>
      </c>
      <c r="G32" s="275"/>
      <c r="H32" s="273">
        <f>SUMIF(106:106,G33,107:107)-SUMIF(106:106,C33,107:107)+100</f>
        <v>100</v>
      </c>
      <c r="I32" s="277"/>
      <c r="J32" s="273">
        <f>SUMIF(106:106,I33,107:107)-SUMIF(106:106,C33,107:107)+100</f>
        <v>100</v>
      </c>
      <c r="K32" s="493"/>
      <c r="L32" s="885"/>
      <c r="M32" s="876"/>
      <c r="N32" s="876"/>
      <c r="O32" s="884"/>
      <c r="P32" s="3942"/>
      <c r="Q32" s="1412" t="str">
        <f t="shared" si="8"/>
        <v>毗邻道路的类型与等级</v>
      </c>
      <c r="R32" s="556" t="s">
        <v>17</v>
      </c>
      <c r="S32" s="557">
        <f t="shared" si="10"/>
        <v>100</v>
      </c>
      <c r="T32" s="556" t="s">
        <v>17</v>
      </c>
      <c r="U32" s="557">
        <f t="shared" si="11"/>
        <v>100</v>
      </c>
      <c r="V32" s="556" t="s">
        <v>17</v>
      </c>
      <c r="W32" s="557">
        <f t="shared" si="12"/>
        <v>100</v>
      </c>
      <c r="X32" s="1415"/>
      <c r="Y32" s="3942"/>
      <c r="Z32" s="1416" t="str">
        <f t="shared" si="13"/>
        <v>毗邻道路的类型与等级</v>
      </c>
      <c r="AA32" s="1413">
        <f t="shared" si="3"/>
        <v>1</v>
      </c>
      <c r="AB32" s="1413">
        <f t="shared" si="4"/>
        <v>1</v>
      </c>
      <c r="AC32" s="1413">
        <f t="shared" si="5"/>
        <v>1</v>
      </c>
    </row>
    <row r="33" spans="1:29" ht="15">
      <c r="A33" s="251"/>
      <c r="B33" s="279"/>
      <c r="C33" s="270"/>
      <c r="D33" s="271"/>
      <c r="E33" s="1816"/>
      <c r="F33" s="271"/>
      <c r="G33" s="1816"/>
      <c r="H33" s="271"/>
      <c r="I33" s="270"/>
      <c r="J33" s="271"/>
      <c r="K33" s="436"/>
      <c r="L33" s="885"/>
      <c r="M33" s="876"/>
      <c r="N33" s="876"/>
      <c r="O33" s="884"/>
      <c r="P33" s="3942"/>
      <c r="Q33" s="1412"/>
      <c r="R33" s="556"/>
      <c r="S33" s="557"/>
      <c r="T33" s="556"/>
      <c r="U33" s="557"/>
      <c r="V33" s="556"/>
      <c r="W33" s="557"/>
      <c r="X33" s="1415"/>
      <c r="Y33" s="3942"/>
      <c r="Z33" s="1416"/>
      <c r="AA33" s="1413">
        <v>1</v>
      </c>
      <c r="AB33" s="1413">
        <v>1</v>
      </c>
      <c r="AC33" s="1413">
        <v>1</v>
      </c>
    </row>
    <row r="34" spans="1:29" ht="15">
      <c r="A34" s="251"/>
      <c r="B34" s="245" t="s">
        <v>2756</v>
      </c>
      <c r="C34" s="439"/>
      <c r="D34" s="258">
        <v>100</v>
      </c>
      <c r="E34" s="454"/>
      <c r="F34" s="258">
        <f>SUMIF(108:108,E34,109:109)-SUMIF(108:108,C34,109:109)+100</f>
        <v>100</v>
      </c>
      <c r="G34" s="454"/>
      <c r="H34" s="258">
        <f>SUMIF(108:108,G34,109:109)-SUMIF(108:108,C34,109:109)+100</f>
        <v>100</v>
      </c>
      <c r="I34" s="439"/>
      <c r="J34" s="258">
        <f>SUMIF(108:108,I34,109:109)-SUMIF(108:108,C34,109:109)+100</f>
        <v>100</v>
      </c>
      <c r="K34" s="435"/>
      <c r="L34" s="885"/>
      <c r="M34" s="876"/>
      <c r="N34" s="876"/>
      <c r="O34" s="884"/>
      <c r="P34" s="3942"/>
      <c r="Q34" s="1412" t="str">
        <f t="shared" si="8"/>
        <v>土地级别</v>
      </c>
      <c r="R34" s="556" t="s">
        <v>17</v>
      </c>
      <c r="S34" s="557">
        <f t="shared" si="10"/>
        <v>100</v>
      </c>
      <c r="T34" s="556" t="s">
        <v>17</v>
      </c>
      <c r="U34" s="557">
        <f t="shared" si="11"/>
        <v>100</v>
      </c>
      <c r="V34" s="556" t="s">
        <v>17</v>
      </c>
      <c r="W34" s="557">
        <f t="shared" si="12"/>
        <v>100</v>
      </c>
      <c r="X34" s="1415"/>
      <c r="Y34" s="3942"/>
      <c r="Z34" s="1416" t="str">
        <f t="shared" si="13"/>
        <v>土地级别</v>
      </c>
      <c r="AA34" s="1413">
        <f t="shared" si="3"/>
        <v>1</v>
      </c>
      <c r="AB34" s="1413">
        <f t="shared" si="4"/>
        <v>1</v>
      </c>
      <c r="AC34" s="1413">
        <f t="shared" si="5"/>
        <v>1</v>
      </c>
    </row>
    <row r="35" spans="1:29" ht="15">
      <c r="A35" s="228"/>
      <c r="B35" s="1063">
        <v>111</v>
      </c>
      <c r="C35" s="494"/>
      <c r="D35" s="258">
        <v>100</v>
      </c>
      <c r="E35" s="300"/>
      <c r="F35" s="258">
        <f>SUMIF(110:110,E35,111:111)-SUMIF(110:110,C35,111:111)+100</f>
        <v>100</v>
      </c>
      <c r="G35" s="300"/>
      <c r="H35" s="258">
        <f>SUMIF(110:110,G35,111:111)-SUMIF(110:110,C35,111:111)+100</f>
        <v>100</v>
      </c>
      <c r="I35" s="494"/>
      <c r="J35" s="258">
        <f>SUMIF(110:110,I35,111:111)-SUMIF(110:110,C35,111:111)+100</f>
        <v>100</v>
      </c>
      <c r="K35" s="436"/>
      <c r="L35" s="885"/>
      <c r="M35" s="876"/>
      <c r="N35" s="876"/>
      <c r="O35" s="884"/>
      <c r="P35" s="3942"/>
      <c r="Q35" s="1412">
        <f t="shared" si="8"/>
        <v>111</v>
      </c>
      <c r="R35" s="556" t="s">
        <v>17</v>
      </c>
      <c r="S35" s="557">
        <f t="shared" si="10"/>
        <v>100</v>
      </c>
      <c r="T35" s="556" t="s">
        <v>17</v>
      </c>
      <c r="U35" s="557">
        <f t="shared" si="11"/>
        <v>100</v>
      </c>
      <c r="V35" s="556" t="s">
        <v>17</v>
      </c>
      <c r="W35" s="557">
        <f t="shared" si="12"/>
        <v>100</v>
      </c>
      <c r="X35" s="1415"/>
      <c r="Y35" s="3942"/>
      <c r="Z35" s="1416">
        <f t="shared" si="13"/>
        <v>111</v>
      </c>
      <c r="AA35" s="1413">
        <f t="shared" si="3"/>
        <v>1</v>
      </c>
      <c r="AB35" s="1413">
        <f t="shared" si="4"/>
        <v>1</v>
      </c>
      <c r="AC35" s="1413">
        <f t="shared" si="5"/>
        <v>1</v>
      </c>
    </row>
    <row r="36" spans="1:29" ht="15">
      <c r="A36" s="495"/>
      <c r="B36" s="1064">
        <v>111</v>
      </c>
      <c r="C36" s="494"/>
      <c r="D36" s="258">
        <v>100</v>
      </c>
      <c r="E36" s="300"/>
      <c r="F36" s="258">
        <f>SUMIF(112:112,E37,113:113)-SUMIF(112:112,C37,113:113)+100</f>
        <v>100</v>
      </c>
      <c r="G36" s="300"/>
      <c r="H36" s="258">
        <f>SUMIF(112:112,G36,113:113)-SUMIF(112:112,C36,113:113)+100</f>
        <v>100</v>
      </c>
      <c r="I36" s="494"/>
      <c r="J36" s="258">
        <f>SUMIF(112:112,I36,113:113)-SUMIF(112:112,C36,113:113)+100</f>
        <v>100</v>
      </c>
      <c r="K36" s="436"/>
      <c r="L36" s="885"/>
      <c r="M36" s="876"/>
      <c r="N36" s="876"/>
      <c r="O36" s="884"/>
      <c r="P36" s="3970" t="s">
        <v>2571</v>
      </c>
      <c r="Q36" s="1412">
        <f t="shared" si="8"/>
        <v>111</v>
      </c>
      <c r="R36" s="556" t="s">
        <v>17</v>
      </c>
      <c r="S36" s="557">
        <f t="shared" si="10"/>
        <v>100</v>
      </c>
      <c r="T36" s="556" t="s">
        <v>17</v>
      </c>
      <c r="U36" s="557">
        <f t="shared" si="11"/>
        <v>100</v>
      </c>
      <c r="V36" s="556" t="s">
        <v>17</v>
      </c>
      <c r="W36" s="557">
        <f t="shared" si="12"/>
        <v>100</v>
      </c>
      <c r="X36" s="1415"/>
      <c r="Y36" s="3946" t="s">
        <v>2571</v>
      </c>
      <c r="Z36" s="1416">
        <f t="shared" si="13"/>
        <v>111</v>
      </c>
      <c r="AA36" s="1413">
        <f t="shared" si="3"/>
        <v>1</v>
      </c>
      <c r="AB36" s="1413">
        <f t="shared" si="4"/>
        <v>1</v>
      </c>
      <c r="AC36" s="1413">
        <f t="shared" si="5"/>
        <v>1</v>
      </c>
    </row>
    <row r="37" spans="1:29" s="294" customFormat="1" ht="15.75" thickBot="1">
      <c r="A37" s="496"/>
      <c r="B37" s="1065">
        <v>111</v>
      </c>
      <c r="C37" s="498"/>
      <c r="D37" s="54">
        <v>100</v>
      </c>
      <c r="E37" s="521"/>
      <c r="F37" s="261">
        <f>SUMIF(114:114,E37,115:115)-SUMIF(114:114,C37,115:115)+100</f>
        <v>100</v>
      </c>
      <c r="G37" s="521"/>
      <c r="H37" s="261">
        <f>SUMIF(114:114,G37,115:115)-SUMIF(114:114,C37,115:115)+100</f>
        <v>100</v>
      </c>
      <c r="I37" s="498"/>
      <c r="J37" s="261">
        <f>SUMIF(114:114,I37,115:115)-SUMIF(114:114,C37,115:115)+100</f>
        <v>100</v>
      </c>
      <c r="K37" s="436"/>
      <c r="L37" s="883"/>
      <c r="M37" s="886"/>
      <c r="N37" s="886"/>
      <c r="O37" s="887"/>
      <c r="P37" s="3946"/>
      <c r="Q37" s="1412">
        <f t="shared" si="8"/>
        <v>111</v>
      </c>
      <c r="R37" s="559" t="s">
        <v>17</v>
      </c>
      <c r="S37" s="560">
        <f t="shared" si="10"/>
        <v>100</v>
      </c>
      <c r="T37" s="559" t="s">
        <v>17</v>
      </c>
      <c r="U37" s="560">
        <f t="shared" si="11"/>
        <v>100</v>
      </c>
      <c r="V37" s="559" t="s">
        <v>17</v>
      </c>
      <c r="W37" s="560">
        <f t="shared" si="12"/>
        <v>100</v>
      </c>
      <c r="X37" s="561"/>
      <c r="Y37" s="3946"/>
      <c r="Z37" s="562">
        <f t="shared" si="13"/>
        <v>111</v>
      </c>
      <c r="AA37" s="1413">
        <f t="shared" si="3"/>
        <v>1</v>
      </c>
      <c r="AB37" s="1413">
        <f t="shared" si="4"/>
        <v>1</v>
      </c>
      <c r="AC37" s="1413">
        <f t="shared" si="5"/>
        <v>1</v>
      </c>
    </row>
    <row r="38" spans="1:29" ht="15">
      <c r="A38" s="295" t="s">
        <v>2569</v>
      </c>
      <c r="B38" s="279" t="s">
        <v>2757</v>
      </c>
      <c r="C38" s="499"/>
      <c r="D38" s="290">
        <v>100</v>
      </c>
      <c r="E38" s="499"/>
      <c r="F38" s="290" t="e">
        <f>LOOKUP(E38,117:117,118:118)-LOOKUP(C38,117:117,118:118)+100</f>
        <v>#N/A</v>
      </c>
      <c r="G38" s="499"/>
      <c r="H38" s="290" t="e">
        <f>LOOKUP(G38,117:117,118:118)-LOOKUP(C38,117:117,118:118)+100</f>
        <v>#N/A</v>
      </c>
      <c r="I38" s="353"/>
      <c r="J38" s="290" t="e">
        <f>LOOKUP(I38,117:117,118:118)-LOOKUP(C38,117:117,118:118)+100</f>
        <v>#N/A</v>
      </c>
      <c r="K38" s="436"/>
      <c r="L38" s="885"/>
      <c r="M38" s="876"/>
      <c r="N38" s="876"/>
      <c r="O38" s="884"/>
      <c r="P38" s="3946"/>
      <c r="Q38" s="1412" t="str">
        <f>B38</f>
        <v>宗地面积</v>
      </c>
      <c r="R38" s="556" t="s">
        <v>17</v>
      </c>
      <c r="S38" s="557" t="e">
        <f t="shared" si="10"/>
        <v>#N/A</v>
      </c>
      <c r="T38" s="556" t="s">
        <v>17</v>
      </c>
      <c r="U38" s="557" t="e">
        <f t="shared" si="11"/>
        <v>#N/A</v>
      </c>
      <c r="V38" s="556" t="s">
        <v>17</v>
      </c>
      <c r="W38" s="557" t="e">
        <f t="shared" si="12"/>
        <v>#N/A</v>
      </c>
      <c r="X38" s="1415"/>
      <c r="Y38" s="3946"/>
      <c r="Z38" s="1416" t="str">
        <f t="shared" si="13"/>
        <v>宗地面积</v>
      </c>
      <c r="AA38" s="1413" t="e">
        <f t="shared" si="3"/>
        <v>#N/A</v>
      </c>
      <c r="AB38" s="1413" t="e">
        <f t="shared" si="4"/>
        <v>#N/A</v>
      </c>
      <c r="AC38" s="1413" t="e">
        <f t="shared" si="5"/>
        <v>#N/A</v>
      </c>
    </row>
    <row r="39" spans="1:29" ht="15">
      <c r="A39" s="295"/>
      <c r="B39" s="245" t="s">
        <v>2758</v>
      </c>
      <c r="C39" s="1818"/>
      <c r="D39" s="258">
        <v>100</v>
      </c>
      <c r="E39" s="1818"/>
      <c r="F39" s="258">
        <f>SUMIF(119:119,E39,120:120)-SUMIF(119:119,C39,120:120)+100</f>
        <v>100</v>
      </c>
      <c r="G39" s="1818"/>
      <c r="H39" s="258">
        <f>SUMIF(119:119,G39,120:120)-SUMIF(119:119,C39,120:120)+100</f>
        <v>100</v>
      </c>
      <c r="I39" s="1818"/>
      <c r="J39" s="258">
        <f>SUMIF(119:119,I39,120:120)-SUMIF(119:119,C39,120:120)+100</f>
        <v>100</v>
      </c>
      <c r="K39" s="435"/>
      <c r="L39" s="885"/>
      <c r="M39" s="876"/>
      <c r="N39" s="876"/>
      <c r="O39" s="884"/>
      <c r="P39" s="3946"/>
      <c r="Q39" s="1412" t="str">
        <f t="shared" ref="Q39:Q45" si="14">B39</f>
        <v>宗地形状</v>
      </c>
      <c r="R39" s="556" t="s">
        <v>17</v>
      </c>
      <c r="S39" s="557">
        <f t="shared" si="10"/>
        <v>100</v>
      </c>
      <c r="T39" s="556" t="s">
        <v>17</v>
      </c>
      <c r="U39" s="557">
        <f t="shared" si="11"/>
        <v>100</v>
      </c>
      <c r="V39" s="556" t="s">
        <v>17</v>
      </c>
      <c r="W39" s="557">
        <f t="shared" si="12"/>
        <v>100</v>
      </c>
      <c r="X39" s="1415"/>
      <c r="Y39" s="3946"/>
      <c r="Z39" s="1416" t="str">
        <f t="shared" si="13"/>
        <v>宗地形状</v>
      </c>
      <c r="AA39" s="1413">
        <f t="shared" si="3"/>
        <v>1</v>
      </c>
      <c r="AB39" s="1413">
        <f t="shared" si="4"/>
        <v>1</v>
      </c>
      <c r="AC39" s="1413">
        <f t="shared" si="5"/>
        <v>1</v>
      </c>
    </row>
    <row r="40" spans="1:29" ht="15">
      <c r="A40" s="295"/>
      <c r="B40" s="245" t="s">
        <v>2759</v>
      </c>
      <c r="C40" s="1818"/>
      <c r="D40" s="258">
        <v>100</v>
      </c>
      <c r="E40" s="1818"/>
      <c r="F40" s="258">
        <f>SUMIF(121:121,E40,122:122)-SUMIF(121:121,C40,122:122)+100</f>
        <v>100</v>
      </c>
      <c r="G40" s="1818"/>
      <c r="H40" s="258">
        <f>SUMIF(121:121,G40,122:122)-SUMIF(121:121,C40,122:122)+100</f>
        <v>100</v>
      </c>
      <c r="I40" s="1818"/>
      <c r="J40" s="258">
        <f>SUMIF(121:121,I40,122:122)-SUMIF(121:121,C40,122:122)+100</f>
        <v>100</v>
      </c>
      <c r="K40" s="435"/>
      <c r="L40" s="885"/>
      <c r="M40" s="876"/>
      <c r="N40" s="876"/>
      <c r="O40" s="884"/>
      <c r="P40" s="3946"/>
      <c r="Q40" s="1412" t="str">
        <f t="shared" si="14"/>
        <v>临街宽度及深度</v>
      </c>
      <c r="R40" s="556" t="s">
        <v>17</v>
      </c>
      <c r="S40" s="557">
        <f t="shared" si="10"/>
        <v>100</v>
      </c>
      <c r="T40" s="556" t="s">
        <v>17</v>
      </c>
      <c r="U40" s="557">
        <f t="shared" si="11"/>
        <v>100</v>
      </c>
      <c r="V40" s="556" t="s">
        <v>17</v>
      </c>
      <c r="W40" s="557">
        <f t="shared" si="12"/>
        <v>100</v>
      </c>
      <c r="X40" s="1415"/>
      <c r="Y40" s="3946"/>
      <c r="Z40" s="1416" t="str">
        <f t="shared" si="13"/>
        <v>临街宽度及深度</v>
      </c>
      <c r="AA40" s="1413">
        <f t="shared" si="3"/>
        <v>1</v>
      </c>
      <c r="AB40" s="1413">
        <f t="shared" si="4"/>
        <v>1</v>
      </c>
      <c r="AC40" s="1413">
        <f t="shared" si="5"/>
        <v>1</v>
      </c>
    </row>
    <row r="41" spans="1:29" s="51" customFormat="1" ht="15">
      <c r="A41" s="296"/>
      <c r="B41" s="245" t="s">
        <v>2760</v>
      </c>
      <c r="C41" s="1898"/>
      <c r="D41" s="53">
        <v>100</v>
      </c>
      <c r="E41" s="1898"/>
      <c r="F41" s="258">
        <f>SUMIF(123:123,E41,124:124)-SUMIF(123:123,C41,124:124)+100</f>
        <v>100</v>
      </c>
      <c r="G41" s="1898"/>
      <c r="H41" s="258">
        <f>SUMIF(123:123,G41,124:124)-SUMIF(123:123,C41,124:124)+100</f>
        <v>100</v>
      </c>
      <c r="I41" s="1898"/>
      <c r="J41" s="258">
        <f>SUMIF(123:123,I41,124:124)-SUMIF(123:123,C41,124:124)+100</f>
        <v>100</v>
      </c>
      <c r="K41" s="435"/>
      <c r="L41" s="877"/>
      <c r="M41" s="878"/>
      <c r="N41" s="878"/>
      <c r="O41" s="879"/>
      <c r="P41" s="3946"/>
      <c r="Q41" s="1412" t="str">
        <f t="shared" si="14"/>
        <v>宗地开发程度</v>
      </c>
      <c r="R41" s="552" t="s">
        <v>17</v>
      </c>
      <c r="S41" s="553">
        <f t="shared" si="10"/>
        <v>100</v>
      </c>
      <c r="T41" s="552" t="s">
        <v>17</v>
      </c>
      <c r="U41" s="553">
        <f t="shared" si="11"/>
        <v>100</v>
      </c>
      <c r="V41" s="552" t="s">
        <v>17</v>
      </c>
      <c r="W41" s="553">
        <f t="shared" si="12"/>
        <v>100</v>
      </c>
      <c r="X41" s="554"/>
      <c r="Y41" s="3946"/>
      <c r="Z41" s="40" t="str">
        <f t="shared" si="13"/>
        <v>宗地开发程度</v>
      </c>
      <c r="AA41" s="555">
        <f t="shared" si="3"/>
        <v>1</v>
      </c>
      <c r="AB41" s="555">
        <f t="shared" si="4"/>
        <v>1</v>
      </c>
      <c r="AC41" s="555">
        <f t="shared" si="5"/>
        <v>1</v>
      </c>
    </row>
    <row r="42" spans="1:29" ht="15">
      <c r="A42" s="295"/>
      <c r="B42" s="245" t="s">
        <v>2761</v>
      </c>
      <c r="C42" s="1818"/>
      <c r="D42" s="258">
        <v>100</v>
      </c>
      <c r="E42" s="1818"/>
      <c r="F42" s="258">
        <f>SUMIF(125:125,E42,126:126)-SUMIF(125:125,C42,126:126)+100</f>
        <v>100</v>
      </c>
      <c r="G42" s="1818"/>
      <c r="H42" s="258">
        <f>SUMIF(125:125,G42,126:126)-SUMIF(125:125,C42,126:126)+100</f>
        <v>100</v>
      </c>
      <c r="I42" s="1818"/>
      <c r="J42" s="258">
        <f>SUMIF(125:125,I42,126:126)-SUMIF(125:125,C42,126:126)+100</f>
        <v>100</v>
      </c>
      <c r="K42" s="435"/>
      <c r="L42" s="885"/>
      <c r="M42" s="876"/>
      <c r="N42" s="876"/>
      <c r="O42" s="884"/>
      <c r="P42" s="3946" t="s">
        <v>2571</v>
      </c>
      <c r="Q42" s="1412" t="str">
        <f t="shared" si="14"/>
        <v>工程地质条件</v>
      </c>
      <c r="R42" s="556" t="s">
        <v>17</v>
      </c>
      <c r="S42" s="557">
        <f t="shared" si="10"/>
        <v>100</v>
      </c>
      <c r="T42" s="556" t="s">
        <v>17</v>
      </c>
      <c r="U42" s="557">
        <f t="shared" si="11"/>
        <v>100</v>
      </c>
      <c r="V42" s="556" t="s">
        <v>17</v>
      </c>
      <c r="W42" s="557">
        <f t="shared" si="12"/>
        <v>100</v>
      </c>
      <c r="X42" s="1415"/>
      <c r="Y42" s="3946" t="s">
        <v>2571</v>
      </c>
      <c r="Z42" s="1416" t="str">
        <f t="shared" si="13"/>
        <v>工程地质条件</v>
      </c>
      <c r="AA42" s="1413">
        <f t="shared" si="3"/>
        <v>1</v>
      </c>
      <c r="AB42" s="1413">
        <f t="shared" si="4"/>
        <v>1</v>
      </c>
      <c r="AC42" s="1413">
        <f t="shared" si="5"/>
        <v>1</v>
      </c>
    </row>
    <row r="43" spans="1:29" ht="15">
      <c r="A43" s="295"/>
      <c r="B43" s="1064">
        <v>111</v>
      </c>
      <c r="C43" s="494"/>
      <c r="D43" s="258">
        <v>100</v>
      </c>
      <c r="E43" s="494"/>
      <c r="F43" s="258">
        <f>SUMIF(127:127,E43,128:128)-SUMIF(127:127,C43,128:128)+100</f>
        <v>100</v>
      </c>
      <c r="G43" s="494"/>
      <c r="H43" s="258">
        <f>SUMIF(127:127,G43,128:128)-SUMIF(127:127,C43,128:128)+100</f>
        <v>100</v>
      </c>
      <c r="I43" s="372"/>
      <c r="J43" s="258">
        <f>SUMIF(127:127,I43,128:128)-SUMIF(127:127,C43,128:128)+100</f>
        <v>100</v>
      </c>
      <c r="K43" s="436"/>
      <c r="L43" s="885"/>
      <c r="M43" s="876"/>
      <c r="N43" s="876"/>
      <c r="O43" s="884"/>
      <c r="P43" s="3946"/>
      <c r="Q43" s="1412">
        <f t="shared" si="14"/>
        <v>111</v>
      </c>
      <c r="R43" s="556" t="s">
        <v>17</v>
      </c>
      <c r="S43" s="557">
        <f t="shared" si="10"/>
        <v>100</v>
      </c>
      <c r="T43" s="556" t="s">
        <v>17</v>
      </c>
      <c r="U43" s="557">
        <f t="shared" si="11"/>
        <v>100</v>
      </c>
      <c r="V43" s="556" t="s">
        <v>17</v>
      </c>
      <c r="W43" s="557">
        <f t="shared" si="12"/>
        <v>100</v>
      </c>
      <c r="X43" s="1415"/>
      <c r="Y43" s="3946"/>
      <c r="Z43" s="1416">
        <f t="shared" si="13"/>
        <v>111</v>
      </c>
      <c r="AA43" s="1413">
        <f t="shared" si="3"/>
        <v>1</v>
      </c>
      <c r="AB43" s="1413">
        <f t="shared" si="4"/>
        <v>1</v>
      </c>
      <c r="AC43" s="1413">
        <f t="shared" si="5"/>
        <v>1</v>
      </c>
    </row>
    <row r="44" spans="1:29" ht="15">
      <c r="A44" s="295"/>
      <c r="B44" s="1064">
        <v>111</v>
      </c>
      <c r="C44" s="494"/>
      <c r="D44" s="258">
        <v>100</v>
      </c>
      <c r="E44" s="494"/>
      <c r="F44" s="258">
        <f>SUMIF(129:129,E44,130:130)-SUMIF(129:129,C44,130:130)+100</f>
        <v>100</v>
      </c>
      <c r="G44" s="494"/>
      <c r="H44" s="258">
        <f>SUMIF(129:129,G44,130:130)-SUMIF(129:129,C44,130:130)+100</f>
        <v>100</v>
      </c>
      <c r="I44" s="372"/>
      <c r="J44" s="258">
        <f>SUMIF(129:129,I44,130:130)-SUMIF(129:129,C44,130:130)+100</f>
        <v>100</v>
      </c>
      <c r="K44" s="436"/>
      <c r="L44" s="885"/>
      <c r="M44" s="876"/>
      <c r="N44" s="876"/>
      <c r="O44" s="884"/>
      <c r="P44" s="3946"/>
      <c r="Q44" s="1412">
        <f t="shared" si="14"/>
        <v>111</v>
      </c>
      <c r="R44" s="556" t="s">
        <v>17</v>
      </c>
      <c r="S44" s="557">
        <f t="shared" si="10"/>
        <v>100</v>
      </c>
      <c r="T44" s="556" t="s">
        <v>17</v>
      </c>
      <c r="U44" s="557">
        <f t="shared" si="11"/>
        <v>100</v>
      </c>
      <c r="V44" s="556" t="s">
        <v>17</v>
      </c>
      <c r="W44" s="557">
        <f t="shared" si="12"/>
        <v>100</v>
      </c>
      <c r="X44" s="1415"/>
      <c r="Y44" s="3946"/>
      <c r="Z44" s="1416">
        <f t="shared" si="13"/>
        <v>111</v>
      </c>
      <c r="AA44" s="1413">
        <f t="shared" si="3"/>
        <v>1</v>
      </c>
      <c r="AB44" s="1413">
        <f t="shared" si="4"/>
        <v>1</v>
      </c>
      <c r="AC44" s="1413">
        <f t="shared" si="5"/>
        <v>1</v>
      </c>
    </row>
    <row r="45" spans="1:29" s="294" customFormat="1" ht="15.75" thickBot="1">
      <c r="A45" s="291"/>
      <c r="B45" s="1064">
        <v>111</v>
      </c>
      <c r="C45" s="1899"/>
      <c r="D45" s="500">
        <v>100</v>
      </c>
      <c r="E45" s="494"/>
      <c r="F45" s="261">
        <f>SUMIF(131:131,E45,132:132)-SUMIF(131:131,C45,132:132)+100</f>
        <v>100</v>
      </c>
      <c r="G45" s="494"/>
      <c r="H45" s="261">
        <f>SUMIF(131:131,G45,132:132)-SUMIF(131:131,C45,132:132)+100</f>
        <v>100</v>
      </c>
      <c r="I45" s="494"/>
      <c r="J45" s="261">
        <f>SUMIF(131:131,I45,132:132)-SUMIF(131:131,C45,132:132)+100</f>
        <v>100</v>
      </c>
      <c r="K45" s="501"/>
      <c r="L45" s="883"/>
      <c r="M45" s="886"/>
      <c r="N45" s="886"/>
      <c r="O45" s="887"/>
      <c r="P45" s="3946"/>
      <c r="Q45" s="1412">
        <f t="shared" si="14"/>
        <v>111</v>
      </c>
      <c r="R45" s="559" t="s">
        <v>17</v>
      </c>
      <c r="S45" s="560">
        <f t="shared" si="10"/>
        <v>100</v>
      </c>
      <c r="T45" s="559" t="s">
        <v>17</v>
      </c>
      <c r="U45" s="560">
        <f t="shared" si="11"/>
        <v>100</v>
      </c>
      <c r="V45" s="559" t="s">
        <v>17</v>
      </c>
      <c r="W45" s="560">
        <f t="shared" si="12"/>
        <v>100</v>
      </c>
      <c r="X45" s="561"/>
      <c r="Y45" s="3946"/>
      <c r="Z45" s="562">
        <f t="shared" si="13"/>
        <v>111</v>
      </c>
      <c r="AA45" s="1413">
        <f t="shared" si="3"/>
        <v>1</v>
      </c>
      <c r="AB45" s="1413">
        <f t="shared" si="4"/>
        <v>1</v>
      </c>
      <c r="AC45" s="1413">
        <f t="shared" si="5"/>
        <v>1</v>
      </c>
    </row>
    <row r="46" spans="1:29" ht="15">
      <c r="A46" s="302" t="s">
        <v>2726</v>
      </c>
      <c r="B46" s="1900" t="s">
        <v>2762</v>
      </c>
      <c r="C46" s="502" t="s">
        <v>1</v>
      </c>
      <c r="D46" s="304"/>
      <c r="E46" s="305"/>
      <c r="F46" s="306"/>
      <c r="G46" s="307"/>
      <c r="H46" s="308"/>
      <c r="I46" s="305"/>
      <c r="J46" s="308"/>
      <c r="K46" s="565"/>
      <c r="L46" s="888"/>
      <c r="M46" s="889"/>
      <c r="N46" s="876"/>
      <c r="O46" s="889"/>
      <c r="P46" s="3939" t="str">
        <f>A46</f>
        <v>成交单价</v>
      </c>
      <c r="Q46" s="3939"/>
      <c r="R46" s="3934">
        <f>E46</f>
        <v>0</v>
      </c>
      <c r="S46" s="3934"/>
      <c r="T46" s="3934">
        <f>G46</f>
        <v>0</v>
      </c>
      <c r="U46" s="3934"/>
      <c r="V46" s="3934">
        <f>I46</f>
        <v>0</v>
      </c>
      <c r="W46" s="3934"/>
      <c r="X46" s="541"/>
      <c r="Y46" s="563"/>
      <c r="Z46" s="541"/>
      <c r="AA46" s="541"/>
      <c r="AB46" s="541"/>
      <c r="AC46" s="541"/>
    </row>
    <row r="47" spans="1:29" ht="15.75" thickBot="1">
      <c r="A47" s="309" t="s">
        <v>2675</v>
      </c>
      <c r="B47" s="503"/>
      <c r="C47" s="313" t="e">
        <f>R48</f>
        <v>#DIV/0!</v>
      </c>
      <c r="D47" s="312"/>
      <c r="E47" s="313" t="e">
        <f>R47</f>
        <v>#DIV/0!</v>
      </c>
      <c r="F47" s="314"/>
      <c r="G47" s="311" t="e">
        <f>T47</f>
        <v>#DIV/0!</v>
      </c>
      <c r="H47" s="312"/>
      <c r="I47" s="313" t="e">
        <f>V47</f>
        <v>#DIV/0!</v>
      </c>
      <c r="J47" s="312"/>
      <c r="K47" s="566"/>
      <c r="L47" s="888"/>
      <c r="M47" s="889"/>
      <c r="N47" s="889"/>
      <c r="O47" s="889"/>
      <c r="P47" s="3939" t="str">
        <f>A47</f>
        <v>比较价值（元/平方米）</v>
      </c>
      <c r="Q47" s="3939"/>
      <c r="R47" s="3971" t="e">
        <f>ROUND(PRODUCT(R46,AA7:AA45),0)</f>
        <v>#DIV/0!</v>
      </c>
      <c r="S47" s="3971"/>
      <c r="T47" s="3971" t="e">
        <f>ROUND(PRODUCT(T46,AB7:AB45),0)</f>
        <v>#DIV/0!</v>
      </c>
      <c r="U47" s="3971"/>
      <c r="V47" s="3971" t="e">
        <f>ROUND(PRODUCT(V46,AC7:AC45),0)</f>
        <v>#DIV/0!</v>
      </c>
      <c r="W47" s="3971"/>
      <c r="X47" s="541"/>
      <c r="Y47" s="541"/>
      <c r="Z47" s="541"/>
      <c r="AA47" s="541"/>
      <c r="AB47" s="541"/>
      <c r="AC47" s="541"/>
    </row>
    <row r="48" spans="1:29" ht="15.75" thickBot="1">
      <c r="A48" s="315" t="s">
        <v>2763</v>
      </c>
      <c r="B48" s="316"/>
      <c r="C48" s="317" t="e">
        <f>R48</f>
        <v>#DIV/0!</v>
      </c>
      <c r="D48" s="317"/>
      <c r="E48" s="317"/>
      <c r="F48" s="317"/>
      <c r="G48" s="317"/>
      <c r="H48" s="317"/>
      <c r="I48" s="317"/>
      <c r="J48" s="317"/>
      <c r="K48" s="567"/>
      <c r="L48" s="888"/>
      <c r="M48" s="889"/>
      <c r="N48" s="889"/>
      <c r="O48" s="889"/>
      <c r="P48" s="3936" t="str">
        <f>A48</f>
        <v>估价对象XX用房的比较价值（楼面单价，元/平方米）</v>
      </c>
      <c r="Q48" s="3937"/>
      <c r="R48" s="3972" t="e">
        <f>ROUND(AVERAGE(R47:V47),0)</f>
        <v>#DIV/0!</v>
      </c>
      <c r="S48" s="3972"/>
      <c r="T48" s="3972"/>
      <c r="U48" s="3972"/>
      <c r="V48" s="3972"/>
      <c r="W48" s="3972"/>
      <c r="X48" s="541"/>
      <c r="Y48" s="541"/>
      <c r="Z48" s="541"/>
      <c r="AA48" s="541"/>
      <c r="AB48" s="541"/>
      <c r="AC48" s="541"/>
    </row>
    <row r="49" spans="1:15">
      <c r="A49" s="889"/>
      <c r="B49" s="889"/>
      <c r="C49" s="889"/>
      <c r="D49" s="889"/>
      <c r="E49" s="889"/>
      <c r="F49" s="889"/>
      <c r="G49" s="892"/>
      <c r="H49" s="889"/>
      <c r="I49" s="889"/>
      <c r="J49" s="889"/>
      <c r="K49" s="858"/>
      <c r="L49" s="859"/>
      <c r="M49" s="889"/>
      <c r="N49" s="889"/>
      <c r="O49" s="889"/>
    </row>
    <row r="50" spans="1:15">
      <c r="A50" s="889"/>
      <c r="B50" s="889"/>
      <c r="C50" s="889"/>
      <c r="D50" s="889"/>
      <c r="E50" s="889"/>
      <c r="F50" s="889"/>
      <c r="G50" s="889"/>
      <c r="H50" s="889"/>
      <c r="I50" s="889"/>
      <c r="J50" s="889"/>
      <c r="K50" s="858"/>
      <c r="L50" s="859"/>
      <c r="M50" s="889"/>
      <c r="N50" s="889"/>
      <c r="O50" s="889"/>
    </row>
    <row r="51" spans="1:15" ht="13.5" customHeight="1">
      <c r="A51" s="889"/>
      <c r="B51" s="889"/>
      <c r="C51" s="320" t="s">
        <v>2677</v>
      </c>
      <c r="D51" s="321"/>
      <c r="E51" s="322" t="e">
        <f>IF(E46&lt;E47,E47/E46-1,E46/E47-1)</f>
        <v>#DIV/0!</v>
      </c>
      <c r="F51" s="323" t="e">
        <f>IF(OR(E51&gt;=0.3,E51&lt;=-0.3),"超过30%","")</f>
        <v>#DIV/0!</v>
      </c>
      <c r="G51" s="322" t="e">
        <f>IF(G46&lt;G47,G47/G46-1,G46/G47-1)</f>
        <v>#DIV/0!</v>
      </c>
      <c r="H51" s="323" t="e">
        <f>IF(OR(G51&gt;=0.3,G51&lt;=-0.3),"超过30%","")</f>
        <v>#DIV/0!</v>
      </c>
      <c r="I51" s="322" t="e">
        <f>IF(I46&lt;I47,I47/I46-1,I46/I47-1)</f>
        <v>#DIV/0!</v>
      </c>
      <c r="J51" s="323" t="e">
        <f>IF(OR(I51&gt;=0.3,I51&lt;=-0.3),"超过30%","")</f>
        <v>#DIV/0!</v>
      </c>
      <c r="K51" s="858"/>
      <c r="L51" s="859"/>
      <c r="M51" s="889"/>
      <c r="N51" s="889"/>
      <c r="O51" s="889"/>
    </row>
    <row r="52" spans="1:15" ht="13.5" customHeight="1">
      <c r="A52" s="889"/>
      <c r="B52" s="889"/>
      <c r="C52" s="320" t="s">
        <v>2678</v>
      </c>
      <c r="D52" s="324"/>
      <c r="E52" s="322" t="e">
        <f>IF(E47&lt;G47,G47/E47-1,E47/G47-1)</f>
        <v>#DIV/0!</v>
      </c>
      <c r="F52" s="323" t="e">
        <f>IF(OR(E52&gt;=0.2,E52&lt;=-0.2),"超过20%","")</f>
        <v>#DIV/0!</v>
      </c>
      <c r="G52" s="322" t="e">
        <f>IF(G47&lt;I47,I47/G47-1,G47/I47-1)</f>
        <v>#DIV/0!</v>
      </c>
      <c r="H52" s="323" t="e">
        <f>IF(OR(G52&gt;=0.2,G52&lt;=-0.2),"超过20%","")</f>
        <v>#DIV/0!</v>
      </c>
      <c r="I52" s="322" t="e">
        <f>IF(I47&lt;E47,E47/I47-1,I47/E47-1)</f>
        <v>#DIV/0!</v>
      </c>
      <c r="J52" s="323" t="e">
        <f>IF(OR(I52&gt;=0.2,I52&lt;=-0.2),"超过20%","")</f>
        <v>#DIV/0!</v>
      </c>
      <c r="K52" s="858"/>
      <c r="L52" s="859"/>
      <c r="M52" s="889"/>
      <c r="N52" s="889"/>
      <c r="O52" s="889"/>
    </row>
    <row r="53" spans="1:15" s="325" customFormat="1" ht="13.5" customHeight="1">
      <c r="A53" s="890"/>
      <c r="B53" s="890"/>
      <c r="C53" s="320" t="s">
        <v>2679</v>
      </c>
      <c r="D53" s="324"/>
      <c r="E53" s="322" t="e">
        <f>IF(E46&lt;G46,G46/E46-1,E46/G46-1)</f>
        <v>#DIV/0!</v>
      </c>
      <c r="F53" s="323" t="e">
        <f>IF(OR(E53&gt;=0.3,E53&lt;=-0.3),"超过30%","")</f>
        <v>#DIV/0!</v>
      </c>
      <c r="G53" s="322" t="e">
        <f>IF(G46&lt;I46,I46/G46-1,G46/I46-1)</f>
        <v>#DIV/0!</v>
      </c>
      <c r="H53" s="323" t="e">
        <f>IF(OR(G53&gt;=0.3,G53&lt;=-0.3),"超过30%","")</f>
        <v>#DIV/0!</v>
      </c>
      <c r="I53" s="322" t="e">
        <f>IF(I46&lt;E46,E46/I46-1,I46/E46-1)</f>
        <v>#DIV/0!</v>
      </c>
      <c r="J53" s="323" t="e">
        <f>IF(OR(I53&gt;=0.3,I53&lt;=-0.3),"超过30%","")</f>
        <v>#DIV/0!</v>
      </c>
      <c r="K53" s="893"/>
      <c r="L53" s="894"/>
      <c r="M53" s="890"/>
      <c r="N53" s="890"/>
      <c r="O53" s="890"/>
    </row>
    <row r="54" spans="1:15" s="325" customFormat="1" ht="15" thickBot="1">
      <c r="A54" s="890"/>
      <c r="B54" s="891"/>
      <c r="C54" s="544"/>
      <c r="D54" s="542"/>
      <c r="E54" s="542"/>
      <c r="F54" s="542"/>
      <c r="G54" s="542"/>
      <c r="H54" s="542"/>
      <c r="I54" s="542"/>
      <c r="J54" s="542"/>
      <c r="K54" s="893"/>
      <c r="L54" s="894"/>
      <c r="M54" s="890"/>
      <c r="N54" s="890"/>
      <c r="O54" s="890"/>
    </row>
    <row r="55" spans="1:15" ht="27" customHeight="1">
      <c r="A55" s="504" t="s">
        <v>2764</v>
      </c>
      <c r="B55" s="505" t="s">
        <v>2765</v>
      </c>
      <c r="C55" s="1901" t="s">
        <v>2766</v>
      </c>
      <c r="D55" s="1902" t="s">
        <v>2767</v>
      </c>
      <c r="E55" s="506" t="s">
        <v>2768</v>
      </c>
      <c r="F55" s="860" t="s">
        <v>2769</v>
      </c>
      <c r="G55" s="3922" t="s">
        <v>2770</v>
      </c>
      <c r="H55" s="3973"/>
      <c r="I55" s="56" t="s">
        <v>2771</v>
      </c>
      <c r="J55" s="1903" t="str">
        <f>项目基本情况!F35</f>
        <v>福建省福州市</v>
      </c>
      <c r="K55" s="1904" t="s">
        <v>2772</v>
      </c>
      <c r="L55" s="859"/>
      <c r="M55" s="889"/>
      <c r="N55" s="889"/>
      <c r="O55" s="889"/>
    </row>
    <row r="56" spans="1:15" s="512" customFormat="1">
      <c r="A56" s="508" t="s">
        <v>2773</v>
      </c>
      <c r="B56" s="509" t="e">
        <f>C48</f>
        <v>#DIV/0!</v>
      </c>
      <c r="C56" s="510">
        <v>1</v>
      </c>
      <c r="D56" s="908">
        <v>1</v>
      </c>
      <c r="E56" s="510">
        <f>'数据-汇总表'!E8+'数据-汇总表'!E9</f>
        <v>22765.390000000003</v>
      </c>
      <c r="F56" s="856" t="e">
        <f t="shared" ref="F56:F65" si="15">ROUND(B56*E56/10000,0)</f>
        <v>#DIV/0!</v>
      </c>
      <c r="G56" s="3920"/>
      <c r="H56" s="3939"/>
      <c r="I56" s="861">
        <v>1</v>
      </c>
      <c r="J56" s="864">
        <v>1</v>
      </c>
      <c r="K56" s="890"/>
      <c r="L56" s="706"/>
      <c r="M56" s="706"/>
      <c r="N56" s="706"/>
      <c r="O56" s="706"/>
    </row>
    <row r="57" spans="1:15" s="512" customFormat="1">
      <c r="A57" s="513" t="s">
        <v>2774</v>
      </c>
      <c r="B57" s="88" t="e">
        <f>ROUND($C$48*C57*D57,0)</f>
        <v>#DIV/0!</v>
      </c>
      <c r="C57" s="62">
        <f t="shared" ref="C57:C65" si="16">IF($C$55="北京市系数",I57,J57)</f>
        <v>0</v>
      </c>
      <c r="D57" s="909">
        <v>0.25</v>
      </c>
      <c r="E57" s="514"/>
      <c r="F57" s="856" t="e">
        <f t="shared" si="15"/>
        <v>#DIV/0!</v>
      </c>
      <c r="G57" s="3974" t="s">
        <v>2775</v>
      </c>
      <c r="H57" s="857">
        <f>项目基本情况!B37</f>
        <v>0</v>
      </c>
      <c r="I57" s="861">
        <f>SUMIF(修正!A45:A56,H57,修正!B45:B56)</f>
        <v>0</v>
      </c>
      <c r="J57" s="865"/>
      <c r="K57" s="889"/>
      <c r="L57" s="706"/>
      <c r="M57" s="706"/>
      <c r="N57" s="706"/>
      <c r="O57" s="706"/>
    </row>
    <row r="58" spans="1:15" s="512" customFormat="1">
      <c r="A58" s="513" t="s">
        <v>2776</v>
      </c>
      <c r="B58" s="88" t="e">
        <f t="shared" ref="B58:B65" si="17">ROUND($C$48*C58*D58,0)</f>
        <v>#DIV/0!</v>
      </c>
      <c r="C58" s="62">
        <f t="shared" si="16"/>
        <v>0</v>
      </c>
      <c r="D58" s="909">
        <v>0.25</v>
      </c>
      <c r="E58" s="514"/>
      <c r="F58" s="856" t="e">
        <f t="shared" si="15"/>
        <v>#DIV/0!</v>
      </c>
      <c r="G58" s="3974"/>
      <c r="H58" s="857">
        <f>项目基本情况!B37</f>
        <v>0</v>
      </c>
      <c r="I58" s="861">
        <f>SUMIF(修正!A45:A56,H58,修正!C45:C56)</f>
        <v>0</v>
      </c>
      <c r="J58" s="865"/>
      <c r="K58" s="890"/>
      <c r="L58" s="706"/>
      <c r="M58" s="706"/>
      <c r="N58" s="706"/>
      <c r="O58" s="706"/>
    </row>
    <row r="59" spans="1:15" s="512" customFormat="1">
      <c r="A59" s="513" t="s">
        <v>2777</v>
      </c>
      <c r="B59" s="88" t="e">
        <f t="shared" si="17"/>
        <v>#DIV/0!</v>
      </c>
      <c r="C59" s="62">
        <f t="shared" si="16"/>
        <v>0</v>
      </c>
      <c r="D59" s="909">
        <v>0.25</v>
      </c>
      <c r="E59" s="514"/>
      <c r="F59" s="856" t="e">
        <f t="shared" si="15"/>
        <v>#DIV/0!</v>
      </c>
      <c r="G59" s="3974"/>
      <c r="H59" s="857">
        <f>项目基本情况!B37</f>
        <v>0</v>
      </c>
      <c r="I59" s="861">
        <f>SUMIF(修正!A45:A56,H59,修正!D45:D56)</f>
        <v>0</v>
      </c>
      <c r="J59" s="865"/>
      <c r="K59" s="889"/>
      <c r="L59" s="706"/>
      <c r="M59" s="706"/>
      <c r="N59" s="706"/>
      <c r="O59" s="706"/>
    </row>
    <row r="60" spans="1:15" s="512" customFormat="1">
      <c r="A60" s="513" t="s">
        <v>2778</v>
      </c>
      <c r="B60" s="88" t="e">
        <f t="shared" si="17"/>
        <v>#DIV/0!</v>
      </c>
      <c r="C60" s="62">
        <f t="shared" si="16"/>
        <v>0</v>
      </c>
      <c r="D60" s="909">
        <v>0.25</v>
      </c>
      <c r="E60" s="514"/>
      <c r="F60" s="856" t="e">
        <f t="shared" si="15"/>
        <v>#DIV/0!</v>
      </c>
      <c r="G60" s="3974"/>
      <c r="H60" s="857">
        <f>项目基本情况!B37</f>
        <v>0</v>
      </c>
      <c r="I60" s="861">
        <f>SUMIF(修正!A45:A56,H60,修正!E45:E56)</f>
        <v>0</v>
      </c>
      <c r="J60" s="865"/>
      <c r="K60" s="890"/>
      <c r="L60" s="706"/>
      <c r="M60" s="706"/>
      <c r="N60" s="706"/>
      <c r="O60" s="706"/>
    </row>
    <row r="61" spans="1:15" s="512" customFormat="1">
      <c r="A61" s="513" t="s">
        <v>2779</v>
      </c>
      <c r="B61" s="88" t="e">
        <f t="shared" si="17"/>
        <v>#DIV/0!</v>
      </c>
      <c r="C61" s="62">
        <f t="shared" si="16"/>
        <v>0</v>
      </c>
      <c r="D61" s="909">
        <v>0.25</v>
      </c>
      <c r="E61" s="87">
        <f>'数据-汇总表'!E11</f>
        <v>0</v>
      </c>
      <c r="F61" s="856" t="e">
        <f t="shared" si="15"/>
        <v>#DIV/0!</v>
      </c>
      <c r="G61" s="1905" t="s">
        <v>2780</v>
      </c>
      <c r="H61" s="857">
        <f>项目基本情况!C37</f>
        <v>0</v>
      </c>
      <c r="I61" s="861">
        <f>SUMIF(修正!A45:A56,H61,修正!F45:F56)</f>
        <v>0</v>
      </c>
      <c r="J61" s="865"/>
      <c r="K61" s="889"/>
      <c r="L61" s="706"/>
      <c r="M61" s="706"/>
      <c r="N61" s="706"/>
      <c r="O61" s="706"/>
    </row>
    <row r="62" spans="1:15" s="512" customFormat="1">
      <c r="A62" s="513" t="s">
        <v>2781</v>
      </c>
      <c r="B62" s="88" t="e">
        <f t="shared" si="17"/>
        <v>#DIV/0!</v>
      </c>
      <c r="C62" s="62">
        <f t="shared" si="16"/>
        <v>0</v>
      </c>
      <c r="D62" s="909">
        <v>0.25</v>
      </c>
      <c r="E62" s="87">
        <f>'数据-汇总表'!E12</f>
        <v>0</v>
      </c>
      <c r="F62" s="856" t="e">
        <f t="shared" si="15"/>
        <v>#DIV/0!</v>
      </c>
      <c r="G62" s="862" t="s">
        <v>2782</v>
      </c>
      <c r="H62" s="857">
        <f>IF(G62="商业",项目基本情况!B37,IF(G62="办公",项目基本情况!C37,IF(G62="住宅",项目基本情况!D37,项目基本情况!E37)))</f>
        <v>0</v>
      </c>
      <c r="I62" s="861">
        <f>SUMIF(修正!A45:A56,H62,修正!G45:G56)</f>
        <v>0</v>
      </c>
      <c r="J62" s="865"/>
      <c r="K62" s="890"/>
      <c r="L62" s="706"/>
      <c r="M62" s="706"/>
      <c r="N62" s="706"/>
      <c r="O62" s="706"/>
    </row>
    <row r="63" spans="1:15" s="512" customFormat="1">
      <c r="A63" s="513" t="s">
        <v>2783</v>
      </c>
      <c r="B63" s="88" t="e">
        <f t="shared" si="17"/>
        <v>#DIV/0!</v>
      </c>
      <c r="C63" s="62">
        <f t="shared" si="16"/>
        <v>0</v>
      </c>
      <c r="D63" s="909">
        <v>0.25</v>
      </c>
      <c r="E63" s="87">
        <f>'数据-汇总表'!E13</f>
        <v>0</v>
      </c>
      <c r="F63" s="856" t="e">
        <f t="shared" si="15"/>
        <v>#DIV/0!</v>
      </c>
      <c r="G63" s="862" t="s">
        <v>2784</v>
      </c>
      <c r="H63" s="857">
        <f>IF(G63="商业",项目基本情况!B37,IF(G63="办公",项目基本情况!C37,IF(G63="住宅",项目基本情况!D37,项目基本情况!E37)))</f>
        <v>0</v>
      </c>
      <c r="I63" s="861">
        <f>SUMIF(修正!A45:A56,H63,修正!H45:H56)</f>
        <v>0</v>
      </c>
      <c r="J63" s="865"/>
      <c r="K63" s="889"/>
      <c r="L63" s="706"/>
      <c r="M63" s="706"/>
      <c r="N63" s="706"/>
      <c r="O63" s="706"/>
    </row>
    <row r="64" spans="1:15" s="512" customFormat="1">
      <c r="A64" s="513" t="s">
        <v>2785</v>
      </c>
      <c r="B64" s="88" t="e">
        <f t="shared" si="17"/>
        <v>#DIV/0!</v>
      </c>
      <c r="C64" s="62">
        <f t="shared" si="16"/>
        <v>0</v>
      </c>
      <c r="D64" s="909">
        <v>0.25</v>
      </c>
      <c r="E64" s="87">
        <f>'数据-汇总表'!E14</f>
        <v>0</v>
      </c>
      <c r="F64" s="856" t="e">
        <f t="shared" si="15"/>
        <v>#DIV/0!</v>
      </c>
      <c r="G64" s="1905" t="s">
        <v>2775</v>
      </c>
      <c r="H64" s="857">
        <f>项目基本情况!B37</f>
        <v>0</v>
      </c>
      <c r="I64" s="861">
        <f>SUMIF(修正!A45:A56,H64,修正!H45:H56)</f>
        <v>0</v>
      </c>
      <c r="J64" s="865"/>
      <c r="K64" s="890"/>
      <c r="L64" s="706"/>
      <c r="M64" s="706"/>
      <c r="N64" s="706"/>
      <c r="O64" s="706"/>
    </row>
    <row r="65" spans="1:17" s="512" customFormat="1" ht="15" thickBot="1">
      <c r="A65" s="513" t="s">
        <v>2786</v>
      </c>
      <c r="B65" s="88" t="e">
        <f t="shared" si="17"/>
        <v>#DIV/0!</v>
      </c>
      <c r="C65" s="62">
        <f t="shared" si="16"/>
        <v>0</v>
      </c>
      <c r="D65" s="909">
        <v>0.25</v>
      </c>
      <c r="E65" s="87">
        <f>'数据-汇总表'!E15</f>
        <v>0</v>
      </c>
      <c r="F65" s="856" t="e">
        <f t="shared" si="15"/>
        <v>#DIV/0!</v>
      </c>
      <c r="G65" s="1906" t="s">
        <v>2780</v>
      </c>
      <c r="H65" s="867">
        <f>项目基本情况!C37</f>
        <v>0</v>
      </c>
      <c r="I65" s="863">
        <f>SUMIF(修正!A45:A56,H65,修正!H45:H56)</f>
        <v>0</v>
      </c>
      <c r="J65" s="866"/>
      <c r="K65" s="889"/>
      <c r="L65" s="706"/>
      <c r="M65" s="706"/>
      <c r="N65" s="706"/>
      <c r="O65" s="706"/>
    </row>
    <row r="66" spans="1:17" s="512" customFormat="1" ht="13.5" thickBot="1">
      <c r="A66" s="515" t="s">
        <v>2787</v>
      </c>
      <c r="B66" s="516" t="s">
        <v>28</v>
      </c>
      <c r="C66" s="516" t="s">
        <v>29</v>
      </c>
      <c r="D66" s="516" t="s">
        <v>1029</v>
      </c>
      <c r="E66" s="516">
        <f>IF(B46="楼面地价",SUM(E56:E65),'数据-汇总表'!D3)</f>
        <v>22765.390000000003</v>
      </c>
      <c r="F66" s="517" t="e">
        <f>IF(B46="楼面地价",SUM(F56:F65),ROUND(C48*E66/10000,0))</f>
        <v>#DIV/0!</v>
      </c>
      <c r="G66" s="569"/>
      <c r="H66" s="569"/>
      <c r="I66" s="569"/>
      <c r="J66" s="569"/>
      <c r="K66" s="903"/>
      <c r="L66" s="706"/>
      <c r="M66" s="706"/>
      <c r="N66" s="706"/>
      <c r="O66" s="706"/>
    </row>
    <row r="67" spans="1:17">
      <c r="A67" s="541"/>
      <c r="B67" s="543"/>
      <c r="C67" s="544"/>
      <c r="D67" s="541"/>
      <c r="E67" s="541"/>
      <c r="F67" s="541"/>
      <c r="G67" s="541"/>
      <c r="H67" s="541"/>
      <c r="I67" s="541"/>
      <c r="J67" s="889"/>
      <c r="K67" s="858"/>
      <c r="L67" s="859"/>
      <c r="M67" s="889"/>
      <c r="N67" s="889"/>
      <c r="O67" s="889"/>
    </row>
    <row r="68" spans="1:17">
      <c r="A68" s="541"/>
      <c r="B68" s="543"/>
      <c r="C68" s="543" t="str">
        <f>YEAR(C7)&amp;"-"&amp;MONTH(C7)&amp;"-1"</f>
        <v>2017-12-1</v>
      </c>
      <c r="D68" s="543">
        <f>EDATE(C68,-3)</f>
        <v>42979</v>
      </c>
      <c r="E68" s="543">
        <f>EDATE(D68,-3)</f>
        <v>42887</v>
      </c>
      <c r="F68" s="543">
        <f t="shared" ref="F68:O68" si="18">EDATE(E68,-3)</f>
        <v>42795</v>
      </c>
      <c r="G68" s="543">
        <f t="shared" si="18"/>
        <v>42705</v>
      </c>
      <c r="H68" s="543">
        <f t="shared" si="18"/>
        <v>42614</v>
      </c>
      <c r="I68" s="543">
        <f t="shared" si="18"/>
        <v>42522</v>
      </c>
      <c r="J68" s="543">
        <f t="shared" si="18"/>
        <v>42430</v>
      </c>
      <c r="K68" s="543">
        <f t="shared" si="18"/>
        <v>42339</v>
      </c>
      <c r="L68" s="543">
        <f t="shared" si="18"/>
        <v>42248</v>
      </c>
      <c r="M68" s="543">
        <f t="shared" si="18"/>
        <v>42156</v>
      </c>
      <c r="N68" s="543">
        <f t="shared" si="18"/>
        <v>42064</v>
      </c>
      <c r="O68" s="543">
        <f t="shared" si="18"/>
        <v>41974</v>
      </c>
    </row>
    <row r="69" spans="1:17" ht="21.75" thickBot="1">
      <c r="A69" s="545" t="s">
        <v>2680</v>
      </c>
      <c r="B69" s="541"/>
      <c r="C69" s="546"/>
      <c r="D69" s="546"/>
      <c r="E69" s="546"/>
      <c r="F69" s="547"/>
      <c r="G69" s="547"/>
      <c r="H69" s="546"/>
      <c r="I69" s="546"/>
      <c r="J69" s="904"/>
      <c r="K69" s="905"/>
      <c r="L69" s="906"/>
      <c r="M69" s="904"/>
      <c r="N69" s="904"/>
      <c r="O69" s="904"/>
      <c r="P69" s="326"/>
      <c r="Q69" s="327"/>
    </row>
    <row r="70" spans="1:17" s="331" customFormat="1" ht="15">
      <c r="A70" s="1907" t="s">
        <v>2788</v>
      </c>
      <c r="B70" s="1038"/>
      <c r="C70" s="1235" t="str">
        <f>YEAR(C68)&amp;"-"&amp;ROUNDUP(MONTH(C68)/3,0)</f>
        <v>2017-4</v>
      </c>
      <c r="D70" s="1235" t="str">
        <f>YEAR(D68)&amp;"-"&amp;ROUNDUP(MONTH(D68)/3,0)</f>
        <v>2017-3</v>
      </c>
      <c r="E70" s="1235" t="str">
        <f t="shared" ref="E70:O70" si="19">YEAR(E68)&amp;"-"&amp;ROUNDUP(MONTH(E68)/3,0)</f>
        <v>2017-2</v>
      </c>
      <c r="F70" s="1235" t="str">
        <f t="shared" si="19"/>
        <v>2017-1</v>
      </c>
      <c r="G70" s="1235" t="str">
        <f t="shared" si="19"/>
        <v>2016-4</v>
      </c>
      <c r="H70" s="1235" t="str">
        <f t="shared" si="19"/>
        <v>2016-3</v>
      </c>
      <c r="I70" s="1235" t="str">
        <f t="shared" si="19"/>
        <v>2016-2</v>
      </c>
      <c r="J70" s="1235" t="str">
        <f t="shared" si="19"/>
        <v>2016-1</v>
      </c>
      <c r="K70" s="1235" t="str">
        <f t="shared" si="19"/>
        <v>2015-4</v>
      </c>
      <c r="L70" s="1235" t="str">
        <f t="shared" si="19"/>
        <v>2015-3</v>
      </c>
      <c r="M70" s="1235" t="str">
        <f t="shared" si="19"/>
        <v>2015-2</v>
      </c>
      <c r="N70" s="1235" t="str">
        <f t="shared" si="19"/>
        <v>2015-1</v>
      </c>
      <c r="O70" s="1235" t="str">
        <f t="shared" si="19"/>
        <v>2014-4</v>
      </c>
      <c r="P70" s="330"/>
    </row>
    <row r="71" spans="1:17" s="51" customFormat="1" ht="30" customHeight="1">
      <c r="A71" s="1908" t="s">
        <v>2789</v>
      </c>
      <c r="B71" s="158" t="str">
        <f>"北京市平均增长率"&amp;TEXT(SUMIF(基准地价修正!N21:N25,A71,基准地价修正!P21:P25),"0.00%")</f>
        <v>北京市平均增长率2.78%</v>
      </c>
      <c r="C71" s="426">
        <v>100</v>
      </c>
      <c r="D71" s="418"/>
      <c r="E71" s="418"/>
      <c r="F71" s="418"/>
      <c r="G71" s="418"/>
      <c r="H71" s="418"/>
      <c r="I71" s="418"/>
      <c r="J71" s="418"/>
      <c r="K71" s="418"/>
      <c r="L71" s="418"/>
      <c r="M71" s="1230"/>
      <c r="N71" s="418"/>
      <c r="O71" s="1231"/>
      <c r="P71" s="327"/>
    </row>
    <row r="72" spans="1:17" s="51" customFormat="1" ht="15.75" thickBot="1">
      <c r="A72" s="338" t="s">
        <v>2591</v>
      </c>
      <c r="B72" s="339"/>
      <c r="C72" s="340"/>
      <c r="D72" s="341"/>
      <c r="E72" s="341"/>
      <c r="F72" s="341"/>
      <c r="G72" s="341"/>
      <c r="H72" s="341"/>
      <c r="I72" s="341"/>
      <c r="J72" s="341"/>
      <c r="K72" s="341"/>
      <c r="L72" s="341"/>
      <c r="M72" s="342"/>
      <c r="N72" s="341"/>
      <c r="O72" s="907"/>
      <c r="P72" s="327"/>
      <c r="Q72" s="327"/>
    </row>
    <row r="73" spans="1:17" s="51" customFormat="1" ht="15">
      <c r="A73" s="344" t="s">
        <v>2556</v>
      </c>
      <c r="B73" s="333"/>
      <c r="C73" s="345" t="s">
        <v>2658</v>
      </c>
      <c r="D73" s="346"/>
      <c r="E73" s="346"/>
      <c r="F73" s="346"/>
      <c r="G73" s="346"/>
      <c r="H73" s="346"/>
      <c r="I73" s="346"/>
      <c r="J73" s="346"/>
      <c r="K73" s="346"/>
      <c r="L73" s="347"/>
      <c r="M73" s="348"/>
      <c r="N73" s="896"/>
      <c r="O73" s="896"/>
      <c r="P73" s="349"/>
      <c r="Q73" s="327"/>
    </row>
    <row r="74" spans="1:17" s="51" customFormat="1" ht="15.75" thickBot="1">
      <c r="A74" s="344"/>
      <c r="B74" s="333"/>
      <c r="C74" s="459">
        <v>100</v>
      </c>
      <c r="D74" s="335"/>
      <c r="E74" s="335"/>
      <c r="F74" s="335"/>
      <c r="G74" s="335"/>
      <c r="H74" s="335"/>
      <c r="I74" s="335"/>
      <c r="J74" s="335"/>
      <c r="K74" s="335"/>
      <c r="L74" s="335"/>
      <c r="M74" s="337"/>
      <c r="N74" s="896"/>
      <c r="O74" s="896"/>
      <c r="P74" s="327"/>
      <c r="Q74" s="327"/>
    </row>
    <row r="75" spans="1:17">
      <c r="A75" s="350" t="s">
        <v>2594</v>
      </c>
      <c r="B75" s="351" t="s">
        <v>2560</v>
      </c>
      <c r="C75" s="353"/>
      <c r="D75" s="353"/>
      <c r="E75" s="353"/>
      <c r="F75" s="353"/>
      <c r="G75" s="353"/>
      <c r="H75" s="353"/>
      <c r="I75" s="353"/>
      <c r="J75" s="353"/>
      <c r="K75" s="354"/>
      <c r="L75" s="355"/>
      <c r="M75" s="356"/>
      <c r="N75" s="897"/>
      <c r="O75" s="897"/>
      <c r="P75" s="38"/>
      <c r="Q75" s="327"/>
    </row>
    <row r="76" spans="1:17" ht="15.75" thickBot="1">
      <c r="A76" s="357"/>
      <c r="B76" s="358"/>
      <c r="C76" s="359"/>
      <c r="D76" s="359"/>
      <c r="E76" s="359"/>
      <c r="F76" s="359"/>
      <c r="G76" s="359"/>
      <c r="H76" s="359"/>
      <c r="I76" s="359"/>
      <c r="J76" s="359"/>
      <c r="K76" s="359"/>
      <c r="L76" s="359"/>
      <c r="M76" s="360"/>
      <c r="N76" s="898"/>
      <c r="O76" s="898"/>
      <c r="P76" s="38"/>
      <c r="Q76" s="327"/>
    </row>
    <row r="77" spans="1:17" ht="27.75" thickTop="1">
      <c r="A77" s="357"/>
      <c r="B77" s="361" t="s">
        <v>2563</v>
      </c>
      <c r="C77" s="362"/>
      <c r="D77" s="362"/>
      <c r="E77" s="362"/>
      <c r="F77" s="362"/>
      <c r="G77" s="362"/>
      <c r="H77" s="362"/>
      <c r="I77" s="362"/>
      <c r="J77" s="362"/>
      <c r="K77" s="363"/>
      <c r="L77" s="364"/>
      <c r="M77" s="365"/>
      <c r="N77" s="897"/>
      <c r="O77" s="897"/>
      <c r="P77" s="38"/>
      <c r="Q77" s="327"/>
    </row>
    <row r="78" spans="1:17" ht="15.75" thickBot="1">
      <c r="A78" s="357"/>
      <c r="B78" s="366"/>
      <c r="C78" s="367"/>
      <c r="D78" s="367"/>
      <c r="E78" s="367"/>
      <c r="F78" s="367"/>
      <c r="G78" s="367"/>
      <c r="H78" s="367"/>
      <c r="I78" s="367"/>
      <c r="J78" s="367"/>
      <c r="K78" s="367"/>
      <c r="L78" s="367"/>
      <c r="M78" s="368"/>
      <c r="N78" s="898"/>
      <c r="O78" s="898"/>
      <c r="P78" s="38"/>
      <c r="Q78" s="327"/>
    </row>
    <row r="79" spans="1:17" ht="15.75" thickTop="1">
      <c r="A79" s="357"/>
      <c r="B79" s="369" t="s">
        <v>2564</v>
      </c>
      <c r="C79" s="370" t="str">
        <f>C80&amp;"（含）"&amp;"-"&amp;D80</f>
        <v>（含）-</v>
      </c>
      <c r="D79" s="370" t="str">
        <f t="shared" ref="D79:L79" si="20">D80&amp;"（含）"&amp;"-"&amp;E80</f>
        <v>（含）-</v>
      </c>
      <c r="E79" s="370" t="str">
        <f t="shared" si="20"/>
        <v>（含）-</v>
      </c>
      <c r="F79" s="370" t="str">
        <f t="shared" si="20"/>
        <v>（含）-</v>
      </c>
      <c r="G79" s="370" t="str">
        <f t="shared" si="20"/>
        <v>（含）-</v>
      </c>
      <c r="H79" s="370" t="str">
        <f t="shared" si="20"/>
        <v>（含）-</v>
      </c>
      <c r="I79" s="370" t="str">
        <f t="shared" si="20"/>
        <v>（含）-</v>
      </c>
      <c r="J79" s="370" t="str">
        <f t="shared" si="20"/>
        <v>（含）-</v>
      </c>
      <c r="K79" s="370" t="str">
        <f t="shared" si="20"/>
        <v>（含）-</v>
      </c>
      <c r="L79" s="370" t="str">
        <f t="shared" si="20"/>
        <v>（含）-</v>
      </c>
      <c r="M79" s="271" t="str">
        <f>M80&amp;"（含）"&amp;"-"&amp;P80</f>
        <v>（含）-</v>
      </c>
      <c r="N79" s="898"/>
      <c r="O79" s="898"/>
      <c r="P79" s="38"/>
      <c r="Q79" s="327"/>
    </row>
    <row r="80" spans="1:17" ht="15">
      <c r="A80" s="357"/>
      <c r="B80" s="371"/>
      <c r="C80" s="372"/>
      <c r="D80" s="372"/>
      <c r="E80" s="372"/>
      <c r="F80" s="372"/>
      <c r="G80" s="372"/>
      <c r="H80" s="372"/>
      <c r="I80" s="372"/>
      <c r="J80" s="372"/>
      <c r="K80" s="373"/>
      <c r="L80" s="374"/>
      <c r="M80" s="375"/>
      <c r="N80" s="897"/>
      <c r="O80" s="897"/>
      <c r="P80" s="38"/>
      <c r="Q80" s="327"/>
    </row>
    <row r="81" spans="1:17" ht="15.75" thickBot="1">
      <c r="A81" s="357"/>
      <c r="B81" s="358"/>
      <c r="C81" s="367">
        <v>100</v>
      </c>
      <c r="D81" s="367">
        <f t="shared" ref="D81:M81" si="21">IF($B$46="单位面积地价",C81+$K11,C81-$K11)</f>
        <v>100</v>
      </c>
      <c r="E81" s="367">
        <f t="shared" si="21"/>
        <v>100</v>
      </c>
      <c r="F81" s="367">
        <f t="shared" si="21"/>
        <v>100</v>
      </c>
      <c r="G81" s="367">
        <f t="shared" si="21"/>
        <v>100</v>
      </c>
      <c r="H81" s="367">
        <f t="shared" si="21"/>
        <v>100</v>
      </c>
      <c r="I81" s="367">
        <f t="shared" si="21"/>
        <v>100</v>
      </c>
      <c r="J81" s="367">
        <f t="shared" si="21"/>
        <v>100</v>
      </c>
      <c r="K81" s="367">
        <f t="shared" si="21"/>
        <v>100</v>
      </c>
      <c r="L81" s="367">
        <f t="shared" si="21"/>
        <v>100</v>
      </c>
      <c r="M81" s="367">
        <f t="shared" si="21"/>
        <v>100</v>
      </c>
      <c r="N81" s="898"/>
      <c r="O81" s="898"/>
      <c r="P81" s="38"/>
      <c r="Q81" s="327"/>
    </row>
    <row r="82" spans="1:17" s="294" customFormat="1" ht="15.75" thickTop="1">
      <c r="A82" s="376"/>
      <c r="B82" s="361" t="str">
        <f>B12</f>
        <v>配建</v>
      </c>
      <c r="C82" s="377"/>
      <c r="D82" s="377"/>
      <c r="E82" s="377"/>
      <c r="F82" s="377"/>
      <c r="G82" s="377"/>
      <c r="H82" s="378"/>
      <c r="I82" s="378"/>
      <c r="J82" s="378"/>
      <c r="K82" s="378"/>
      <c r="L82" s="379"/>
      <c r="M82" s="380"/>
      <c r="N82" s="899"/>
      <c r="O82" s="899"/>
      <c r="P82" s="381"/>
      <c r="Q82" s="382"/>
    </row>
    <row r="83" spans="1:17" s="294" customFormat="1" ht="15.75" thickBot="1">
      <c r="A83" s="376"/>
      <c r="B83" s="366"/>
      <c r="C83" s="383"/>
      <c r="D83" s="359"/>
      <c r="E83" s="359"/>
      <c r="F83" s="359"/>
      <c r="G83" s="359"/>
      <c r="H83" s="359"/>
      <c r="I83" s="359"/>
      <c r="J83" s="359"/>
      <c r="K83" s="359"/>
      <c r="L83" s="359"/>
      <c r="M83" s="360"/>
      <c r="N83" s="898"/>
      <c r="O83" s="898"/>
      <c r="P83" s="381"/>
      <c r="Q83" s="382"/>
    </row>
    <row r="84" spans="1:17" s="294" customFormat="1" ht="15.75" thickTop="1">
      <c r="A84" s="376"/>
      <c r="B84" s="361">
        <f>B13</f>
        <v>111</v>
      </c>
      <c r="C84" s="377"/>
      <c r="D84" s="377"/>
      <c r="E84" s="377"/>
      <c r="F84" s="377"/>
      <c r="G84" s="377"/>
      <c r="H84" s="378"/>
      <c r="I84" s="378"/>
      <c r="J84" s="378"/>
      <c r="K84" s="378"/>
      <c r="L84" s="379"/>
      <c r="M84" s="380"/>
      <c r="N84" s="899"/>
      <c r="O84" s="899"/>
      <c r="P84" s="293"/>
      <c r="Q84" s="384"/>
    </row>
    <row r="85" spans="1:17" s="294" customFormat="1" ht="15.75" thickBot="1">
      <c r="A85" s="376"/>
      <c r="B85" s="366"/>
      <c r="C85" s="383"/>
      <c r="D85" s="383"/>
      <c r="E85" s="383"/>
      <c r="F85" s="383"/>
      <c r="G85" s="383"/>
      <c r="H85" s="385"/>
      <c r="I85" s="385"/>
      <c r="J85" s="385"/>
      <c r="K85" s="385"/>
      <c r="L85" s="385"/>
      <c r="M85" s="386"/>
      <c r="N85" s="899"/>
      <c r="O85" s="899"/>
      <c r="P85" s="381"/>
      <c r="Q85" s="382"/>
    </row>
    <row r="86" spans="1:17" s="294" customFormat="1" ht="15.75" thickTop="1">
      <c r="A86" s="376"/>
      <c r="B86" s="369">
        <f>B14</f>
        <v>111</v>
      </c>
      <c r="C86" s="346"/>
      <c r="D86" s="346"/>
      <c r="E86" s="346"/>
      <c r="F86" s="346"/>
      <c r="G86" s="346"/>
      <c r="H86" s="387"/>
      <c r="I86" s="387"/>
      <c r="J86" s="387"/>
      <c r="K86" s="387"/>
      <c r="L86" s="388"/>
      <c r="M86" s="389"/>
      <c r="N86" s="899"/>
      <c r="O86" s="899"/>
      <c r="P86" s="390"/>
      <c r="Q86" s="382"/>
    </row>
    <row r="87" spans="1:17" s="294" customFormat="1" ht="15.75" thickBot="1">
      <c r="A87" s="391"/>
      <c r="B87" s="392"/>
      <c r="C87" s="393"/>
      <c r="D87" s="393"/>
      <c r="E87" s="393"/>
      <c r="F87" s="393"/>
      <c r="G87" s="393"/>
      <c r="H87" s="394"/>
      <c r="I87" s="394"/>
      <c r="J87" s="394"/>
      <c r="K87" s="394"/>
      <c r="L87" s="394"/>
      <c r="M87" s="395"/>
      <c r="N87" s="899"/>
      <c r="O87" s="899"/>
      <c r="P87" s="381"/>
      <c r="Q87" s="382"/>
    </row>
    <row r="88" spans="1:17">
      <c r="A88" s="350" t="s">
        <v>2565</v>
      </c>
      <c r="B88" s="351" t="s">
        <v>2602</v>
      </c>
      <c r="C88" s="396" t="s">
        <v>2603</v>
      </c>
      <c r="D88" s="396" t="s">
        <v>2604</v>
      </c>
      <c r="E88" s="396" t="s">
        <v>2605</v>
      </c>
      <c r="F88" s="396" t="s">
        <v>2606</v>
      </c>
      <c r="G88" s="396" t="s">
        <v>2607</v>
      </c>
      <c r="H88" s="352"/>
      <c r="I88" s="352"/>
      <c r="J88" s="352"/>
      <c r="K88" s="397"/>
      <c r="L88" s="398"/>
      <c r="M88" s="399"/>
      <c r="N88" s="897"/>
      <c r="O88" s="897"/>
      <c r="P88" s="400"/>
      <c r="Q88" s="327"/>
    </row>
    <row r="89" spans="1:17" ht="15.75" thickBot="1">
      <c r="A89" s="357"/>
      <c r="B89" s="366"/>
      <c r="C89" s="367">
        <v>100</v>
      </c>
      <c r="D89" s="367">
        <f>C89-$K15</f>
        <v>100</v>
      </c>
      <c r="E89" s="367">
        <f>D89-$K15</f>
        <v>100</v>
      </c>
      <c r="F89" s="367">
        <f>E89-$K15</f>
        <v>100</v>
      </c>
      <c r="G89" s="367">
        <f>F89-$K15</f>
        <v>100</v>
      </c>
      <c r="H89" s="367"/>
      <c r="I89" s="367"/>
      <c r="J89" s="367"/>
      <c r="K89" s="367"/>
      <c r="L89" s="367"/>
      <c r="M89" s="368"/>
      <c r="N89" s="898"/>
      <c r="O89" s="898"/>
      <c r="P89" s="38"/>
      <c r="Q89" s="327"/>
    </row>
    <row r="90" spans="1:17" ht="15.75" thickTop="1">
      <c r="A90" s="357"/>
      <c r="B90" s="361" t="s">
        <v>2790</v>
      </c>
      <c r="C90" s="401" t="s">
        <v>2603</v>
      </c>
      <c r="D90" s="401" t="s">
        <v>2604</v>
      </c>
      <c r="E90" s="401" t="s">
        <v>2605</v>
      </c>
      <c r="F90" s="401" t="s">
        <v>2606</v>
      </c>
      <c r="G90" s="401" t="s">
        <v>2607</v>
      </c>
      <c r="H90" s="362"/>
      <c r="I90" s="362"/>
      <c r="J90" s="362"/>
      <c r="K90" s="363"/>
      <c r="L90" s="364"/>
      <c r="M90" s="365"/>
      <c r="N90" s="897"/>
      <c r="O90" s="897"/>
      <c r="P90" s="38"/>
      <c r="Q90" s="327"/>
    </row>
    <row r="91" spans="1:17" ht="15.75" thickBot="1">
      <c r="A91" s="357"/>
      <c r="B91" s="366"/>
      <c r="C91" s="367">
        <v>100</v>
      </c>
      <c r="D91" s="367">
        <f>C91-$K17</f>
        <v>100</v>
      </c>
      <c r="E91" s="367">
        <f>D91-$K17</f>
        <v>100</v>
      </c>
      <c r="F91" s="367">
        <f>E91-$K17</f>
        <v>100</v>
      </c>
      <c r="G91" s="367">
        <f>F91-$K17</f>
        <v>100</v>
      </c>
      <c r="H91" s="367"/>
      <c r="I91" s="367"/>
      <c r="J91" s="367"/>
      <c r="K91" s="367"/>
      <c r="L91" s="367"/>
      <c r="M91" s="368"/>
      <c r="N91" s="898"/>
      <c r="O91" s="898"/>
      <c r="P91" s="38"/>
      <c r="Q91" s="327"/>
    </row>
    <row r="92" spans="1:17" ht="15.75" thickTop="1">
      <c r="A92" s="357"/>
      <c r="B92" s="361" t="s">
        <v>2703</v>
      </c>
      <c r="C92" s="401" t="s">
        <v>2603</v>
      </c>
      <c r="D92" s="401" t="s">
        <v>2604</v>
      </c>
      <c r="E92" s="401" t="s">
        <v>2605</v>
      </c>
      <c r="F92" s="401" t="s">
        <v>2606</v>
      </c>
      <c r="G92" s="401" t="s">
        <v>2607</v>
      </c>
      <c r="H92" s="362"/>
      <c r="I92" s="362"/>
      <c r="J92" s="362"/>
      <c r="K92" s="363"/>
      <c r="L92" s="364"/>
      <c r="M92" s="365"/>
      <c r="N92" s="897"/>
      <c r="O92" s="897"/>
      <c r="P92" s="38"/>
      <c r="Q92" s="327"/>
    </row>
    <row r="93" spans="1:17" ht="15.75" thickBot="1">
      <c r="A93" s="357"/>
      <c r="B93" s="366"/>
      <c r="C93" s="367">
        <v>100</v>
      </c>
      <c r="D93" s="367">
        <f>C93-$K19</f>
        <v>100</v>
      </c>
      <c r="E93" s="367">
        <f>D93-$K19</f>
        <v>100</v>
      </c>
      <c r="F93" s="367">
        <f>E93-$K19</f>
        <v>100</v>
      </c>
      <c r="G93" s="367">
        <f>F93-$K19</f>
        <v>100</v>
      </c>
      <c r="H93" s="367"/>
      <c r="I93" s="367"/>
      <c r="J93" s="367"/>
      <c r="K93" s="367"/>
      <c r="L93" s="367"/>
      <c r="M93" s="368"/>
      <c r="N93" s="898"/>
      <c r="O93" s="898"/>
      <c r="P93" s="38"/>
      <c r="Q93" s="327"/>
    </row>
    <row r="94" spans="1:17" ht="15.75" thickTop="1">
      <c r="A94" s="357"/>
      <c r="B94" s="361" t="s">
        <v>2608</v>
      </c>
      <c r="C94" s="401" t="s">
        <v>2603</v>
      </c>
      <c r="D94" s="401" t="s">
        <v>2604</v>
      </c>
      <c r="E94" s="401" t="s">
        <v>2605</v>
      </c>
      <c r="F94" s="401" t="s">
        <v>2606</v>
      </c>
      <c r="G94" s="401" t="s">
        <v>2607</v>
      </c>
      <c r="H94" s="362"/>
      <c r="I94" s="362"/>
      <c r="J94" s="362"/>
      <c r="K94" s="363"/>
      <c r="L94" s="364"/>
      <c r="M94" s="365"/>
      <c r="N94" s="897"/>
      <c r="O94" s="897"/>
      <c r="P94" s="38"/>
      <c r="Q94" s="327"/>
    </row>
    <row r="95" spans="1:17" ht="15.75" thickBot="1">
      <c r="A95" s="357"/>
      <c r="B95" s="366"/>
      <c r="C95" s="367">
        <v>100</v>
      </c>
      <c r="D95" s="367">
        <f>C95-$K21</f>
        <v>100</v>
      </c>
      <c r="E95" s="367">
        <f>D95-$K21</f>
        <v>100</v>
      </c>
      <c r="F95" s="367">
        <f>E95-$K21</f>
        <v>100</v>
      </c>
      <c r="G95" s="367">
        <f>F95-$K21</f>
        <v>100</v>
      </c>
      <c r="H95" s="367"/>
      <c r="I95" s="367"/>
      <c r="J95" s="367"/>
      <c r="K95" s="367"/>
      <c r="L95" s="367"/>
      <c r="M95" s="368"/>
      <c r="N95" s="898"/>
      <c r="O95" s="898"/>
      <c r="P95" s="38"/>
      <c r="Q95" s="327"/>
    </row>
    <row r="96" spans="1:17" s="51" customFormat="1" ht="15.75" thickTop="1">
      <c r="A96" s="402"/>
      <c r="B96" s="361" t="s">
        <v>2791</v>
      </c>
      <c r="C96" s="401" t="s">
        <v>2603</v>
      </c>
      <c r="D96" s="401" t="s">
        <v>2604</v>
      </c>
      <c r="E96" s="401" t="s">
        <v>2605</v>
      </c>
      <c r="F96" s="401" t="s">
        <v>2606</v>
      </c>
      <c r="G96" s="401" t="s">
        <v>2607</v>
      </c>
      <c r="H96" s="401"/>
      <c r="I96" s="401"/>
      <c r="J96" s="401"/>
      <c r="K96" s="401"/>
      <c r="L96" s="518"/>
      <c r="M96" s="443"/>
      <c r="N96" s="896"/>
      <c r="O96" s="896"/>
      <c r="P96" s="38"/>
      <c r="Q96" s="327"/>
    </row>
    <row r="97" spans="1:17" s="51" customFormat="1" ht="15.75" thickBot="1">
      <c r="A97" s="402"/>
      <c r="B97" s="366"/>
      <c r="C97" s="405">
        <v>100</v>
      </c>
      <c r="D97" s="367">
        <f>C97-$K23</f>
        <v>100</v>
      </c>
      <c r="E97" s="367">
        <f>D97-$K23</f>
        <v>100</v>
      </c>
      <c r="F97" s="367">
        <f>E97-$K23</f>
        <v>100</v>
      </c>
      <c r="G97" s="367">
        <f>F97-$K23</f>
        <v>100</v>
      </c>
      <c r="H97" s="367"/>
      <c r="I97" s="367"/>
      <c r="J97" s="367"/>
      <c r="K97" s="367"/>
      <c r="L97" s="367"/>
      <c r="M97" s="368"/>
      <c r="N97" s="898"/>
      <c r="O97" s="898"/>
      <c r="P97" s="38"/>
      <c r="Q97" s="327"/>
    </row>
    <row r="98" spans="1:17" s="51" customFormat="1" ht="27.75" thickTop="1">
      <c r="A98" s="402"/>
      <c r="B98" s="361" t="s">
        <v>2792</v>
      </c>
      <c r="C98" s="396" t="s">
        <v>2603</v>
      </c>
      <c r="D98" s="396" t="s">
        <v>2604</v>
      </c>
      <c r="E98" s="396" t="s">
        <v>2605</v>
      </c>
      <c r="F98" s="396" t="s">
        <v>2606</v>
      </c>
      <c r="G98" s="396" t="s">
        <v>2607</v>
      </c>
      <c r="H98" s="401"/>
      <c r="I98" s="401"/>
      <c r="J98" s="401"/>
      <c r="K98" s="401"/>
      <c r="L98" s="401"/>
      <c r="M98" s="443"/>
      <c r="N98" s="896"/>
      <c r="O98" s="896"/>
      <c r="P98" s="38"/>
      <c r="Q98" s="327"/>
    </row>
    <row r="99" spans="1:17" s="51" customFormat="1" ht="15.75" thickBot="1">
      <c r="A99" s="402"/>
      <c r="B99" s="366"/>
      <c r="C99" s="367">
        <v>100</v>
      </c>
      <c r="D99" s="367">
        <f>C99-$K25</f>
        <v>100</v>
      </c>
      <c r="E99" s="367">
        <f>D99-$K25</f>
        <v>100</v>
      </c>
      <c r="F99" s="367">
        <f>E99-$K25</f>
        <v>100</v>
      </c>
      <c r="G99" s="367">
        <f>F99-$K25</f>
        <v>100</v>
      </c>
      <c r="H99" s="367"/>
      <c r="I99" s="367"/>
      <c r="J99" s="367"/>
      <c r="K99" s="367"/>
      <c r="L99" s="367"/>
      <c r="M99" s="368"/>
      <c r="N99" s="898"/>
      <c r="O99" s="898"/>
      <c r="P99" s="38"/>
      <c r="Q99" s="327"/>
    </row>
    <row r="100" spans="1:17" s="294" customFormat="1" ht="15.75" thickTop="1">
      <c r="A100" s="376"/>
      <c r="B100" s="361" t="s">
        <v>2660</v>
      </c>
      <c r="C100" s="396" t="s">
        <v>2603</v>
      </c>
      <c r="D100" s="396" t="s">
        <v>2604</v>
      </c>
      <c r="E100" s="396" t="s">
        <v>2605</v>
      </c>
      <c r="F100" s="396" t="s">
        <v>2606</v>
      </c>
      <c r="G100" s="396" t="s">
        <v>2607</v>
      </c>
      <c r="H100" s="423"/>
      <c r="I100" s="423"/>
      <c r="J100" s="423"/>
      <c r="K100" s="423"/>
      <c r="L100" s="424"/>
      <c r="M100" s="425"/>
      <c r="N100" s="899"/>
      <c r="O100" s="899"/>
      <c r="P100" s="381"/>
      <c r="Q100" s="382"/>
    </row>
    <row r="101" spans="1:17" s="294" customFormat="1" ht="15.75" thickBot="1">
      <c r="A101" s="376"/>
      <c r="B101" s="366"/>
      <c r="C101" s="367">
        <v>100</v>
      </c>
      <c r="D101" s="367">
        <f>C101-$K27</f>
        <v>100</v>
      </c>
      <c r="E101" s="367">
        <f>D101-$K27</f>
        <v>100</v>
      </c>
      <c r="F101" s="367">
        <f>E101-$K27</f>
        <v>100</v>
      </c>
      <c r="G101" s="367">
        <f>F101-$K27</f>
        <v>100</v>
      </c>
      <c r="H101" s="430"/>
      <c r="I101" s="430"/>
      <c r="J101" s="430"/>
      <c r="K101" s="430"/>
      <c r="L101" s="430"/>
      <c r="M101" s="431"/>
      <c r="N101" s="899"/>
      <c r="O101" s="899"/>
      <c r="P101" s="381"/>
      <c r="Q101" s="382"/>
    </row>
    <row r="102" spans="1:17" s="294" customFormat="1" ht="15.75" thickTop="1">
      <c r="A102" s="376"/>
      <c r="B102" s="369" t="s">
        <v>2661</v>
      </c>
      <c r="C102" s="480" t="s">
        <v>2681</v>
      </c>
      <c r="D102" s="480" t="s">
        <v>2682</v>
      </c>
      <c r="E102" s="480" t="s">
        <v>2683</v>
      </c>
      <c r="F102" s="480" t="s">
        <v>2684</v>
      </c>
      <c r="G102" s="480" t="s">
        <v>2685</v>
      </c>
      <c r="H102" s="423"/>
      <c r="I102" s="423"/>
      <c r="J102" s="423"/>
      <c r="K102" s="423"/>
      <c r="L102" s="423"/>
      <c r="M102" s="1062"/>
      <c r="N102" s="899"/>
      <c r="O102" s="899"/>
      <c r="P102" s="381"/>
      <c r="Q102" s="382"/>
    </row>
    <row r="103" spans="1:17" s="294" customFormat="1" ht="15.75" thickBot="1">
      <c r="A103" s="376"/>
      <c r="B103" s="369"/>
      <c r="C103" s="367">
        <v>100</v>
      </c>
      <c r="D103" s="367">
        <f>C103-$K29</f>
        <v>100</v>
      </c>
      <c r="E103" s="367">
        <f>D103-$K29</f>
        <v>100</v>
      </c>
      <c r="F103" s="367">
        <f>E103-$K29</f>
        <v>100</v>
      </c>
      <c r="G103" s="367">
        <f>F103-$K29</f>
        <v>100</v>
      </c>
      <c r="H103" s="371"/>
      <c r="I103" s="371"/>
      <c r="J103" s="371"/>
      <c r="K103" s="371"/>
      <c r="L103" s="371"/>
      <c r="M103" s="1062"/>
      <c r="N103" s="899"/>
      <c r="O103" s="899"/>
      <c r="P103" s="381"/>
      <c r="Q103" s="382"/>
    </row>
    <row r="104" spans="1:17" ht="15.75" thickTop="1">
      <c r="A104" s="357"/>
      <c r="B104" s="361" t="str">
        <f>B31</f>
        <v>临街状况</v>
      </c>
      <c r="C104" s="362" t="s">
        <v>2793</v>
      </c>
      <c r="D104" s="362" t="s">
        <v>2794</v>
      </c>
      <c r="E104" s="362" t="s">
        <v>2795</v>
      </c>
      <c r="F104" s="362" t="s">
        <v>2796</v>
      </c>
      <c r="G104" s="362"/>
      <c r="H104" s="362"/>
      <c r="I104" s="362"/>
      <c r="J104" s="362"/>
      <c r="K104" s="363"/>
      <c r="L104" s="364"/>
      <c r="M104" s="365"/>
      <c r="N104" s="897"/>
      <c r="O104" s="897"/>
      <c r="P104" s="38"/>
      <c r="Q104" s="327"/>
    </row>
    <row r="105" spans="1:17" ht="15.75" thickBot="1">
      <c r="A105" s="357"/>
      <c r="B105" s="366"/>
      <c r="C105" s="367">
        <v>100</v>
      </c>
      <c r="D105" s="367">
        <f>C105-$K31</f>
        <v>100</v>
      </c>
      <c r="E105" s="367">
        <f t="shared" ref="E105:M105" si="22">D105-$K31</f>
        <v>100</v>
      </c>
      <c r="F105" s="367">
        <f t="shared" si="22"/>
        <v>100</v>
      </c>
      <c r="G105" s="367">
        <f t="shared" si="22"/>
        <v>100</v>
      </c>
      <c r="H105" s="367">
        <f t="shared" si="22"/>
        <v>100</v>
      </c>
      <c r="I105" s="367">
        <f t="shared" si="22"/>
        <v>100</v>
      </c>
      <c r="J105" s="367">
        <f t="shared" si="22"/>
        <v>100</v>
      </c>
      <c r="K105" s="367">
        <f t="shared" si="22"/>
        <v>100</v>
      </c>
      <c r="L105" s="367">
        <f t="shared" si="22"/>
        <v>100</v>
      </c>
      <c r="M105" s="367">
        <f t="shared" si="22"/>
        <v>100</v>
      </c>
      <c r="N105" s="898"/>
      <c r="O105" s="898"/>
      <c r="P105" s="38"/>
      <c r="Q105" s="327"/>
    </row>
    <row r="106" spans="1:17" ht="27.75" thickTop="1">
      <c r="A106" s="357"/>
      <c r="B106" s="361" t="s">
        <v>2697</v>
      </c>
      <c r="C106" s="377"/>
      <c r="D106" s="377"/>
      <c r="E106" s="377"/>
      <c r="F106" s="377"/>
      <c r="G106" s="377"/>
      <c r="H106" s="406"/>
      <c r="I106" s="406"/>
      <c r="J106" s="406"/>
      <c r="K106" s="407"/>
      <c r="L106" s="408"/>
      <c r="M106" s="409"/>
      <c r="N106" s="897"/>
      <c r="O106" s="897"/>
      <c r="P106" s="38"/>
      <c r="Q106" s="327"/>
    </row>
    <row r="107" spans="1:17" ht="15.75" thickBot="1">
      <c r="A107" s="357"/>
      <c r="B107" s="366"/>
      <c r="C107" s="367">
        <v>100</v>
      </c>
      <c r="D107" s="367">
        <f>C107-$K32</f>
        <v>100</v>
      </c>
      <c r="E107" s="367">
        <f t="shared" ref="E107:M107" si="23">D107-$K32</f>
        <v>100</v>
      </c>
      <c r="F107" s="367">
        <f t="shared" si="23"/>
        <v>100</v>
      </c>
      <c r="G107" s="367">
        <f t="shared" si="23"/>
        <v>100</v>
      </c>
      <c r="H107" s="367">
        <f t="shared" si="23"/>
        <v>100</v>
      </c>
      <c r="I107" s="367">
        <f t="shared" si="23"/>
        <v>100</v>
      </c>
      <c r="J107" s="367">
        <f t="shared" si="23"/>
        <v>100</v>
      </c>
      <c r="K107" s="367">
        <f t="shared" si="23"/>
        <v>100</v>
      </c>
      <c r="L107" s="367">
        <f t="shared" si="23"/>
        <v>100</v>
      </c>
      <c r="M107" s="367">
        <f t="shared" si="23"/>
        <v>100</v>
      </c>
      <c r="N107" s="898"/>
      <c r="O107" s="898"/>
      <c r="P107" s="38"/>
      <c r="Q107" s="327"/>
    </row>
    <row r="108" spans="1:17" ht="15.75" thickTop="1">
      <c r="A108" s="357"/>
      <c r="B108" s="361" t="s">
        <v>2756</v>
      </c>
      <c r="C108" s="406"/>
      <c r="D108" s="406"/>
      <c r="E108" s="406"/>
      <c r="F108" s="406"/>
      <c r="G108" s="406"/>
      <c r="H108" s="406"/>
      <c r="I108" s="406"/>
      <c r="J108" s="406"/>
      <c r="K108" s="407"/>
      <c r="L108" s="408"/>
      <c r="M108" s="409"/>
      <c r="N108" s="897"/>
      <c r="O108" s="897"/>
      <c r="P108" s="38"/>
      <c r="Q108" s="327"/>
    </row>
    <row r="109" spans="1:17" ht="15.75" thickBot="1">
      <c r="A109" s="357"/>
      <c r="B109" s="366"/>
      <c r="C109" s="367">
        <v>100</v>
      </c>
      <c r="D109" s="367">
        <f>C109-$K34</f>
        <v>100</v>
      </c>
      <c r="E109" s="367">
        <f t="shared" ref="E109:M109" si="24">D109-$K34</f>
        <v>100</v>
      </c>
      <c r="F109" s="367">
        <f t="shared" si="24"/>
        <v>100</v>
      </c>
      <c r="G109" s="367">
        <f t="shared" si="24"/>
        <v>100</v>
      </c>
      <c r="H109" s="367">
        <f t="shared" si="24"/>
        <v>100</v>
      </c>
      <c r="I109" s="367">
        <f t="shared" si="24"/>
        <v>100</v>
      </c>
      <c r="J109" s="367">
        <f t="shared" si="24"/>
        <v>100</v>
      </c>
      <c r="K109" s="367">
        <f t="shared" si="24"/>
        <v>100</v>
      </c>
      <c r="L109" s="367">
        <f t="shared" si="24"/>
        <v>100</v>
      </c>
      <c r="M109" s="367">
        <f t="shared" si="24"/>
        <v>100</v>
      </c>
      <c r="N109" s="898"/>
      <c r="O109" s="898"/>
      <c r="P109" s="38"/>
      <c r="Q109" s="327"/>
    </row>
    <row r="110" spans="1:17" ht="15.75" thickTop="1">
      <c r="A110" s="357"/>
      <c r="B110" s="369">
        <f>B35</f>
        <v>111</v>
      </c>
      <c r="C110" s="377"/>
      <c r="D110" s="377"/>
      <c r="E110" s="377"/>
      <c r="F110" s="377"/>
      <c r="G110" s="410"/>
      <c r="H110" s="410"/>
      <c r="I110" s="410"/>
      <c r="J110" s="410"/>
      <c r="K110" s="411"/>
      <c r="L110" s="412"/>
      <c r="M110" s="413"/>
      <c r="N110" s="897"/>
      <c r="O110" s="897"/>
      <c r="P110" s="38"/>
      <c r="Q110" s="327"/>
    </row>
    <row r="111" spans="1:17" ht="15.75" thickBot="1">
      <c r="A111" s="357"/>
      <c r="B111" s="392"/>
      <c r="C111" s="383"/>
      <c r="D111" s="383"/>
      <c r="E111" s="383"/>
      <c r="F111" s="383"/>
      <c r="G111" s="414"/>
      <c r="H111" s="414"/>
      <c r="I111" s="414"/>
      <c r="J111" s="414"/>
      <c r="K111" s="414"/>
      <c r="L111" s="414"/>
      <c r="M111" s="415"/>
      <c r="N111" s="898"/>
      <c r="O111" s="898"/>
      <c r="P111" s="38"/>
      <c r="Q111" s="327"/>
    </row>
    <row r="112" spans="1:17" ht="15" thickTop="1">
      <c r="A112" s="495"/>
      <c r="B112" s="361">
        <f>B36</f>
        <v>111</v>
      </c>
      <c r="C112" s="346"/>
      <c r="D112" s="346"/>
      <c r="E112" s="346"/>
      <c r="F112" s="346"/>
      <c r="G112" s="406"/>
      <c r="H112" s="406"/>
      <c r="I112" s="406"/>
      <c r="J112" s="406"/>
      <c r="K112" s="407"/>
      <c r="L112" s="408"/>
      <c r="M112" s="409"/>
      <c r="N112" s="897"/>
      <c r="O112" s="897"/>
      <c r="P112" s="38"/>
      <c r="Q112" s="327"/>
    </row>
    <row r="113" spans="1:17" ht="15.75" thickBot="1">
      <c r="A113" s="357"/>
      <c r="B113" s="366"/>
      <c r="C113" s="393"/>
      <c r="D113" s="393"/>
      <c r="E113" s="393"/>
      <c r="F113" s="393"/>
      <c r="G113" s="359"/>
      <c r="H113" s="359"/>
      <c r="I113" s="359"/>
      <c r="J113" s="359"/>
      <c r="K113" s="359"/>
      <c r="L113" s="359"/>
      <c r="M113" s="360"/>
      <c r="N113" s="898"/>
      <c r="O113" s="898"/>
      <c r="P113" s="38"/>
      <c r="Q113" s="327"/>
    </row>
    <row r="114" spans="1:17" s="294" customFormat="1" ht="15" thickTop="1">
      <c r="A114" s="416"/>
      <c r="B114" s="417">
        <f>B37</f>
        <v>111</v>
      </c>
      <c r="C114" s="418"/>
      <c r="D114" s="418"/>
      <c r="E114" s="418"/>
      <c r="F114" s="418"/>
      <c r="G114" s="418"/>
      <c r="H114" s="418"/>
      <c r="I114" s="418"/>
      <c r="J114" s="419"/>
      <c r="K114" s="419"/>
      <c r="L114" s="420"/>
      <c r="M114" s="421"/>
      <c r="N114" s="899"/>
      <c r="O114" s="899"/>
      <c r="P114" s="381"/>
      <c r="Q114" s="382"/>
    </row>
    <row r="115" spans="1:17" s="294" customFormat="1" ht="15.75" thickBot="1">
      <c r="A115" s="376"/>
      <c r="B115" s="369"/>
      <c r="C115" s="335"/>
      <c r="D115" s="497"/>
      <c r="E115" s="497"/>
      <c r="F115" s="497"/>
      <c r="G115" s="497"/>
      <c r="H115" s="497"/>
      <c r="I115" s="497"/>
      <c r="J115" s="497"/>
      <c r="K115" s="497"/>
      <c r="L115" s="497"/>
      <c r="M115" s="519"/>
      <c r="N115" s="898"/>
      <c r="O115" s="898"/>
      <c r="P115" s="381"/>
      <c r="Q115" s="382"/>
    </row>
    <row r="116" spans="1:17">
      <c r="A116" s="350" t="s">
        <v>2569</v>
      </c>
      <c r="B116" s="351" t="s">
        <v>2797</v>
      </c>
      <c r="C116" s="352" t="str">
        <f>C117&amp;"(含)"&amp;"-"&amp;D117</f>
        <v>(含)-</v>
      </c>
      <c r="D116" s="352" t="str">
        <f t="shared" ref="D116:M116" si="25">D117&amp;"(含)"&amp;"-"&amp;E117</f>
        <v>(含)-</v>
      </c>
      <c r="E116" s="352" t="str">
        <f t="shared" si="25"/>
        <v>(含)-</v>
      </c>
      <c r="F116" s="352" t="str">
        <f t="shared" si="25"/>
        <v>(含)-</v>
      </c>
      <c r="G116" s="352" t="str">
        <f t="shared" si="25"/>
        <v>(含)-</v>
      </c>
      <c r="H116" s="352" t="str">
        <f t="shared" si="25"/>
        <v>(含)-</v>
      </c>
      <c r="I116" s="352" t="str">
        <f t="shared" si="25"/>
        <v>(含)-</v>
      </c>
      <c r="J116" s="352" t="str">
        <f t="shared" si="25"/>
        <v>(含)-</v>
      </c>
      <c r="K116" s="352" t="str">
        <f t="shared" si="25"/>
        <v>(含)-</v>
      </c>
      <c r="L116" s="352" t="str">
        <f t="shared" si="25"/>
        <v>(含)-</v>
      </c>
      <c r="M116" s="352" t="str">
        <f t="shared" si="25"/>
        <v>(含)-</v>
      </c>
      <c r="N116" s="897"/>
      <c r="O116" s="897"/>
      <c r="P116" s="38"/>
      <c r="Q116" s="327"/>
    </row>
    <row r="117" spans="1:17" ht="15">
      <c r="A117" s="357"/>
      <c r="B117" s="369"/>
      <c r="C117" s="418"/>
      <c r="D117" s="418"/>
      <c r="E117" s="418"/>
      <c r="F117" s="418"/>
      <c r="G117" s="418"/>
      <c r="H117" s="418"/>
      <c r="I117" s="418"/>
      <c r="J117" s="419"/>
      <c r="K117" s="419"/>
      <c r="L117" s="420"/>
      <c r="M117" s="421"/>
      <c r="N117" s="897"/>
      <c r="O117" s="897"/>
      <c r="P117" s="38"/>
      <c r="Q117" s="327"/>
    </row>
    <row r="118" spans="1:17" ht="15.75" thickBot="1">
      <c r="A118" s="357"/>
      <c r="B118" s="366"/>
      <c r="C118" s="393"/>
      <c r="D118" s="414"/>
      <c r="E118" s="414"/>
      <c r="F118" s="414"/>
      <c r="G118" s="414"/>
      <c r="H118" s="414"/>
      <c r="I118" s="414"/>
      <c r="J118" s="414"/>
      <c r="K118" s="414"/>
      <c r="L118" s="414"/>
      <c r="M118" s="415"/>
      <c r="N118" s="898"/>
      <c r="O118" s="898"/>
      <c r="P118" s="38"/>
      <c r="Q118" s="327"/>
    </row>
    <row r="119" spans="1:17" ht="15" thickTop="1">
      <c r="A119" s="422"/>
      <c r="B119" s="361" t="s">
        <v>2798</v>
      </c>
      <c r="C119" s="406"/>
      <c r="D119" s="406"/>
      <c r="E119" s="406"/>
      <c r="F119" s="406"/>
      <c r="G119" s="406"/>
      <c r="H119" s="406"/>
      <c r="I119" s="406"/>
      <c r="J119" s="406"/>
      <c r="K119" s="407"/>
      <c r="L119" s="408"/>
      <c r="M119" s="409"/>
      <c r="N119" s="897"/>
      <c r="O119" s="897"/>
      <c r="P119" s="38"/>
      <c r="Q119" s="327"/>
    </row>
    <row r="120" spans="1:17" ht="15.75" thickBot="1">
      <c r="A120" s="357"/>
      <c r="B120" s="366"/>
      <c r="C120" s="367">
        <v>100</v>
      </c>
      <c r="D120" s="367">
        <f t="shared" ref="D120:M120" si="26">C120-$K39</f>
        <v>100</v>
      </c>
      <c r="E120" s="367">
        <f t="shared" si="26"/>
        <v>100</v>
      </c>
      <c r="F120" s="367">
        <f t="shared" si="26"/>
        <v>100</v>
      </c>
      <c r="G120" s="367">
        <f t="shared" si="26"/>
        <v>100</v>
      </c>
      <c r="H120" s="367">
        <f t="shared" si="26"/>
        <v>100</v>
      </c>
      <c r="I120" s="367">
        <f t="shared" si="26"/>
        <v>100</v>
      </c>
      <c r="J120" s="367">
        <f t="shared" si="26"/>
        <v>100</v>
      </c>
      <c r="K120" s="367">
        <f t="shared" si="26"/>
        <v>100</v>
      </c>
      <c r="L120" s="367">
        <f t="shared" si="26"/>
        <v>100</v>
      </c>
      <c r="M120" s="368">
        <f t="shared" si="26"/>
        <v>100</v>
      </c>
      <c r="N120" s="898"/>
      <c r="O120" s="898"/>
      <c r="P120" s="38"/>
      <c r="Q120" s="327"/>
    </row>
    <row r="121" spans="1:17" ht="15" thickTop="1">
      <c r="A121" s="422"/>
      <c r="B121" s="361" t="s">
        <v>2799</v>
      </c>
      <c r="C121" s="377"/>
      <c r="D121" s="377"/>
      <c r="E121" s="377"/>
      <c r="F121" s="406"/>
      <c r="G121" s="406"/>
      <c r="H121" s="406"/>
      <c r="I121" s="406"/>
      <c r="J121" s="406"/>
      <c r="K121" s="407"/>
      <c r="L121" s="408"/>
      <c r="M121" s="409"/>
      <c r="N121" s="897"/>
      <c r="O121" s="897"/>
      <c r="P121" s="38"/>
      <c r="Q121" s="327"/>
    </row>
    <row r="122" spans="1:17" ht="15.75" thickBot="1">
      <c r="A122" s="357"/>
      <c r="B122" s="366"/>
      <c r="C122" s="367">
        <v>100</v>
      </c>
      <c r="D122" s="367">
        <f t="shared" ref="D122:M122" si="27">C122-$K40</f>
        <v>100</v>
      </c>
      <c r="E122" s="367">
        <f t="shared" si="27"/>
        <v>100</v>
      </c>
      <c r="F122" s="367">
        <f t="shared" si="27"/>
        <v>100</v>
      </c>
      <c r="G122" s="367">
        <f t="shared" si="27"/>
        <v>100</v>
      </c>
      <c r="H122" s="367">
        <f t="shared" si="27"/>
        <v>100</v>
      </c>
      <c r="I122" s="367">
        <f t="shared" si="27"/>
        <v>100</v>
      </c>
      <c r="J122" s="367">
        <f t="shared" si="27"/>
        <v>100</v>
      </c>
      <c r="K122" s="367">
        <f t="shared" si="27"/>
        <v>100</v>
      </c>
      <c r="L122" s="367">
        <f t="shared" si="27"/>
        <v>100</v>
      </c>
      <c r="M122" s="368">
        <f t="shared" si="27"/>
        <v>100</v>
      </c>
      <c r="N122" s="898"/>
      <c r="O122" s="898"/>
      <c r="P122" s="38"/>
      <c r="Q122" s="327"/>
    </row>
    <row r="123" spans="1:17" s="294" customFormat="1" ht="15" thickTop="1">
      <c r="A123" s="416"/>
      <c r="B123" s="361" t="s">
        <v>2800</v>
      </c>
      <c r="C123" s="377"/>
      <c r="D123" s="377"/>
      <c r="E123" s="377"/>
      <c r="F123" s="377"/>
      <c r="G123" s="377"/>
      <c r="H123" s="406"/>
      <c r="I123" s="406"/>
      <c r="J123" s="406"/>
      <c r="K123" s="407"/>
      <c r="L123" s="408"/>
      <c r="M123" s="409"/>
      <c r="N123" s="899"/>
      <c r="O123" s="899"/>
      <c r="P123" s="381"/>
      <c r="Q123" s="382"/>
    </row>
    <row r="124" spans="1:17" s="294" customFormat="1" ht="15.75" thickBot="1">
      <c r="A124" s="376"/>
      <c r="B124" s="366"/>
      <c r="C124" s="367">
        <v>100</v>
      </c>
      <c r="D124" s="367">
        <f>C124-$K41</f>
        <v>100</v>
      </c>
      <c r="E124" s="367">
        <f t="shared" ref="E124:M124" si="28">D124-$K41</f>
        <v>100</v>
      </c>
      <c r="F124" s="367">
        <f t="shared" si="28"/>
        <v>100</v>
      </c>
      <c r="G124" s="367">
        <f t="shared" si="28"/>
        <v>100</v>
      </c>
      <c r="H124" s="367">
        <f t="shared" si="28"/>
        <v>100</v>
      </c>
      <c r="I124" s="367">
        <f t="shared" si="28"/>
        <v>100</v>
      </c>
      <c r="J124" s="367">
        <f t="shared" si="28"/>
        <v>100</v>
      </c>
      <c r="K124" s="367">
        <f t="shared" si="28"/>
        <v>100</v>
      </c>
      <c r="L124" s="367">
        <f t="shared" si="28"/>
        <v>100</v>
      </c>
      <c r="M124" s="368">
        <f t="shared" si="28"/>
        <v>100</v>
      </c>
      <c r="N124" s="899"/>
      <c r="O124" s="899"/>
      <c r="P124" s="381"/>
      <c r="Q124" s="382"/>
    </row>
    <row r="125" spans="1:17" ht="15" thickTop="1">
      <c r="A125" s="422"/>
      <c r="B125" s="361" t="s">
        <v>2801</v>
      </c>
      <c r="C125" s="377"/>
      <c r="D125" s="377"/>
      <c r="E125" s="406"/>
      <c r="F125" s="406"/>
      <c r="G125" s="406"/>
      <c r="H125" s="406"/>
      <c r="I125" s="406"/>
      <c r="J125" s="406"/>
      <c r="K125" s="407"/>
      <c r="L125" s="408"/>
      <c r="M125" s="409"/>
      <c r="N125" s="897"/>
      <c r="O125" s="897"/>
      <c r="P125" s="38"/>
      <c r="Q125" s="327"/>
    </row>
    <row r="126" spans="1:17" ht="15.75" thickBot="1">
      <c r="A126" s="357"/>
      <c r="B126" s="366"/>
      <c r="C126" s="367">
        <v>100</v>
      </c>
      <c r="D126" s="367">
        <f t="shared" ref="D126:M126" si="29">C126-$K42</f>
        <v>100</v>
      </c>
      <c r="E126" s="367">
        <f t="shared" si="29"/>
        <v>100</v>
      </c>
      <c r="F126" s="367">
        <f t="shared" si="29"/>
        <v>100</v>
      </c>
      <c r="G126" s="367">
        <f t="shared" si="29"/>
        <v>100</v>
      </c>
      <c r="H126" s="367">
        <f t="shared" si="29"/>
        <v>100</v>
      </c>
      <c r="I126" s="367">
        <f t="shared" si="29"/>
        <v>100</v>
      </c>
      <c r="J126" s="367">
        <f t="shared" si="29"/>
        <v>100</v>
      </c>
      <c r="K126" s="367">
        <f t="shared" si="29"/>
        <v>100</v>
      </c>
      <c r="L126" s="367">
        <f t="shared" si="29"/>
        <v>100</v>
      </c>
      <c r="M126" s="368">
        <f t="shared" si="29"/>
        <v>100</v>
      </c>
      <c r="N126" s="898"/>
      <c r="O126" s="898"/>
      <c r="P126" s="38"/>
      <c r="Q126" s="327"/>
    </row>
    <row r="127" spans="1:17" ht="15" thickTop="1">
      <c r="A127" s="422"/>
      <c r="B127" s="361">
        <f>B43</f>
        <v>111</v>
      </c>
      <c r="C127" s="377"/>
      <c r="D127" s="377"/>
      <c r="E127" s="377"/>
      <c r="F127" s="377"/>
      <c r="G127" s="377"/>
      <c r="H127" s="406"/>
      <c r="I127" s="406"/>
      <c r="J127" s="406"/>
      <c r="K127" s="407"/>
      <c r="L127" s="408"/>
      <c r="M127" s="409"/>
      <c r="N127" s="897"/>
      <c r="O127" s="897"/>
      <c r="P127" s="38"/>
      <c r="Q127" s="327"/>
    </row>
    <row r="128" spans="1:17" ht="15.75" thickBot="1">
      <c r="A128" s="357"/>
      <c r="B128" s="366"/>
      <c r="C128" s="383"/>
      <c r="D128" s="383"/>
      <c r="E128" s="383"/>
      <c r="F128" s="383"/>
      <c r="G128" s="359"/>
      <c r="H128" s="359"/>
      <c r="I128" s="359"/>
      <c r="J128" s="359"/>
      <c r="K128" s="359"/>
      <c r="L128" s="359"/>
      <c r="M128" s="360"/>
      <c r="N128" s="898"/>
      <c r="O128" s="898"/>
      <c r="P128" s="38"/>
      <c r="Q128" s="327"/>
    </row>
    <row r="129" spans="1:17" ht="15" thickTop="1">
      <c r="A129" s="422"/>
      <c r="B129" s="361">
        <f>B44</f>
        <v>111</v>
      </c>
      <c r="C129" s="346"/>
      <c r="D129" s="346"/>
      <c r="E129" s="346"/>
      <c r="F129" s="346"/>
      <c r="G129" s="406"/>
      <c r="H129" s="406"/>
      <c r="I129" s="406"/>
      <c r="J129" s="406"/>
      <c r="K129" s="407"/>
      <c r="L129" s="408"/>
      <c r="M129" s="409"/>
      <c r="N129" s="897"/>
      <c r="O129" s="897"/>
      <c r="P129" s="38"/>
      <c r="Q129" s="327"/>
    </row>
    <row r="130" spans="1:17" ht="15.75" thickBot="1">
      <c r="A130" s="357"/>
      <c r="B130" s="366"/>
      <c r="C130" s="393"/>
      <c r="D130" s="393"/>
      <c r="E130" s="393"/>
      <c r="F130" s="393"/>
      <c r="G130" s="359"/>
      <c r="H130" s="359"/>
      <c r="I130" s="359"/>
      <c r="J130" s="359"/>
      <c r="K130" s="359"/>
      <c r="L130" s="359"/>
      <c r="M130" s="360"/>
      <c r="N130" s="898"/>
      <c r="O130" s="898"/>
      <c r="P130" s="38"/>
      <c r="Q130" s="327"/>
    </row>
    <row r="131" spans="1:17" s="294" customFormat="1" ht="15" thickTop="1">
      <c r="A131" s="416"/>
      <c r="B131" s="361">
        <f>B45</f>
        <v>111</v>
      </c>
      <c r="C131" s="346"/>
      <c r="D131" s="346"/>
      <c r="E131" s="346"/>
      <c r="F131" s="346"/>
      <c r="G131" s="378"/>
      <c r="H131" s="378"/>
      <c r="I131" s="378"/>
      <c r="J131" s="378"/>
      <c r="K131" s="378"/>
      <c r="L131" s="379"/>
      <c r="M131" s="380"/>
      <c r="N131" s="899"/>
      <c r="O131" s="899"/>
      <c r="P131" s="381"/>
      <c r="Q131" s="382"/>
    </row>
    <row r="132" spans="1:17" s="294" customFormat="1" ht="15.75" thickBot="1">
      <c r="A132" s="391"/>
      <c r="B132" s="520"/>
      <c r="C132" s="393"/>
      <c r="D132" s="393"/>
      <c r="E132" s="393"/>
      <c r="F132" s="393"/>
      <c r="G132" s="414"/>
      <c r="H132" s="414"/>
      <c r="I132" s="414"/>
      <c r="J132" s="414"/>
      <c r="K132" s="414"/>
      <c r="L132" s="414"/>
      <c r="M132" s="415"/>
      <c r="N132" s="899"/>
      <c r="O132" s="899"/>
      <c r="P132" s="381"/>
      <c r="Q132" s="382"/>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C38" sqref="C38"/>
    </sheetView>
  </sheetViews>
  <sheetFormatPr defaultRowHeight="14.25"/>
  <cols>
    <col min="1" max="1" width="14.375" style="227" customWidth="1"/>
    <col min="2" max="2" width="15.75" style="227" customWidth="1"/>
    <col min="3" max="3" width="14.375" style="227" customWidth="1"/>
    <col min="4" max="4" width="12.25" style="227" customWidth="1"/>
    <col min="5" max="5" width="14.375" style="227" customWidth="1"/>
    <col min="6" max="6" width="12.25" style="227" customWidth="1"/>
    <col min="7" max="7" width="14.5" style="227" customWidth="1"/>
    <col min="8" max="8" width="12.25" style="227" customWidth="1"/>
    <col min="9" max="9" width="14.5" style="227" customWidth="1"/>
    <col min="10" max="10" width="12.25" style="227" customWidth="1"/>
    <col min="11" max="11" width="12.25" style="318" customWidth="1"/>
    <col min="12" max="12" width="12.25" style="319" customWidth="1"/>
    <col min="13" max="15" width="12.25" style="227" customWidth="1"/>
    <col min="16" max="16" width="4.75" style="227" customWidth="1"/>
    <col min="17" max="17" width="19.5" style="227" customWidth="1"/>
    <col min="18" max="22" width="6.125" style="227" customWidth="1"/>
    <col min="23" max="23" width="5.75" style="227" customWidth="1"/>
    <col min="24" max="24" width="4.25" style="227" customWidth="1"/>
    <col min="25" max="25" width="3.5" style="227" customWidth="1"/>
    <col min="26" max="26" width="19.75" style="227" customWidth="1"/>
    <col min="27" max="28" width="9.375" style="227" customWidth="1"/>
    <col min="29" max="16384" width="9" style="227"/>
  </cols>
  <sheetData>
    <row r="1" spans="1:29" s="222" customFormat="1" ht="28.5" customHeight="1">
      <c r="A1" s="218" t="s">
        <v>2750</v>
      </c>
      <c r="B1" s="219"/>
      <c r="C1" s="220" t="s">
        <v>2802</v>
      </c>
      <c r="D1" s="537"/>
      <c r="E1" s="537"/>
      <c r="F1" s="536" t="s">
        <v>2649</v>
      </c>
      <c r="G1" s="537"/>
      <c r="H1" s="537"/>
      <c r="I1" s="537"/>
      <c r="J1" s="537"/>
      <c r="K1" s="538"/>
      <c r="L1" s="539"/>
      <c r="M1" s="540"/>
      <c r="N1" s="540"/>
      <c r="O1" s="540"/>
      <c r="P1" s="550"/>
      <c r="Q1" s="550"/>
      <c r="R1" s="550"/>
      <c r="S1" s="550"/>
      <c r="T1" s="550"/>
      <c r="U1" s="550"/>
      <c r="V1" s="550"/>
      <c r="W1" s="550"/>
      <c r="X1" s="550"/>
      <c r="Y1" s="550"/>
      <c r="Z1" s="550"/>
      <c r="AA1" s="550"/>
      <c r="AB1" s="550"/>
      <c r="AC1" s="551"/>
    </row>
    <row r="2" spans="1:29" s="222" customFormat="1" ht="28.5" customHeight="1">
      <c r="A2" s="71" t="s">
        <v>2333</v>
      </c>
      <c r="B2" s="491" t="e">
        <f>F61</f>
        <v>#DIV/0!</v>
      </c>
      <c r="C2" s="870"/>
      <c r="D2" s="870"/>
      <c r="E2" s="870"/>
      <c r="F2" s="871"/>
      <c r="G2" s="870"/>
      <c r="H2" s="870"/>
      <c r="I2" s="870"/>
      <c r="J2" s="870"/>
      <c r="K2" s="872"/>
      <c r="L2" s="873"/>
      <c r="M2" s="874"/>
      <c r="N2" s="874"/>
      <c r="O2" s="874"/>
      <c r="P2" s="550"/>
      <c r="Q2" s="550"/>
      <c r="R2" s="550"/>
      <c r="S2" s="550"/>
      <c r="T2" s="550"/>
      <c r="U2" s="550"/>
      <c r="V2" s="550"/>
      <c r="W2" s="550"/>
      <c r="X2" s="550"/>
      <c r="Y2" s="550"/>
      <c r="Z2" s="550"/>
      <c r="AA2" s="550"/>
      <c r="AB2" s="550"/>
      <c r="AC2" s="551"/>
    </row>
    <row r="3" spans="1:29" s="222" customFormat="1" ht="28.5" customHeight="1" thickBot="1">
      <c r="A3" s="73" t="s">
        <v>2335</v>
      </c>
      <c r="B3" s="432" t="e">
        <f>ROUND(IF(D3="",B2*10000/'数据-汇总表'!E3,B2*10000/D3),0)</f>
        <v>#DIV/0!</v>
      </c>
      <c r="C3" s="73" t="s">
        <v>2752</v>
      </c>
      <c r="D3" s="1246"/>
      <c r="E3" s="870"/>
      <c r="F3" s="871"/>
      <c r="G3" s="870"/>
      <c r="H3" s="870"/>
      <c r="I3" s="870"/>
      <c r="J3" s="870"/>
      <c r="K3" s="872"/>
      <c r="L3" s="873"/>
      <c r="M3" s="874"/>
      <c r="N3" s="874"/>
      <c r="O3" s="874"/>
      <c r="P3" s="550"/>
      <c r="Q3" s="550"/>
      <c r="R3" s="550"/>
      <c r="S3" s="550"/>
      <c r="T3" s="550"/>
      <c r="U3" s="550"/>
      <c r="V3" s="550"/>
      <c r="W3" s="550"/>
      <c r="X3" s="550"/>
      <c r="Y3" s="550"/>
      <c r="Z3" s="550"/>
      <c r="AA3" s="550"/>
      <c r="AB3" s="568"/>
      <c r="AC3" s="564"/>
    </row>
    <row r="4" spans="1:29" ht="15">
      <c r="A4" s="225" t="s">
        <v>2651</v>
      </c>
      <c r="B4" s="226"/>
      <c r="C4" s="3922" t="s">
        <v>2652</v>
      </c>
      <c r="D4" s="3923"/>
      <c r="E4" s="3924" t="s">
        <v>2653</v>
      </c>
      <c r="F4" s="3925"/>
      <c r="G4" s="3922" t="s">
        <v>2654</v>
      </c>
      <c r="H4" s="3923"/>
      <c r="I4" s="3922" t="s">
        <v>2655</v>
      </c>
      <c r="J4" s="3923"/>
      <c r="K4" s="433" t="s">
        <v>2656</v>
      </c>
      <c r="L4" s="875"/>
      <c r="M4" s="876"/>
      <c r="N4" s="876"/>
      <c r="O4" s="876"/>
      <c r="P4" s="3926" t="s">
        <v>2657</v>
      </c>
      <c r="Q4" s="3927"/>
      <c r="R4" s="3908" t="s">
        <v>2653</v>
      </c>
      <c r="S4" s="3909"/>
      <c r="T4" s="3908" t="s">
        <v>2654</v>
      </c>
      <c r="U4" s="3909"/>
      <c r="V4" s="3934" t="s">
        <v>2655</v>
      </c>
      <c r="W4" s="3934"/>
      <c r="X4" s="1415"/>
      <c r="Y4" s="3908" t="s">
        <v>2657</v>
      </c>
      <c r="Z4" s="3909"/>
      <c r="AA4" s="3903" t="s">
        <v>2653</v>
      </c>
      <c r="AB4" s="3904" t="s">
        <v>2654</v>
      </c>
      <c r="AC4" s="3903" t="s">
        <v>2655</v>
      </c>
    </row>
    <row r="5" spans="1:29" ht="15">
      <c r="A5" s="228"/>
      <c r="B5" s="229"/>
      <c r="C5" s="3914" t="s">
        <v>2548</v>
      </c>
      <c r="D5" s="3915"/>
      <c r="E5" s="3912" t="s">
        <v>2549</v>
      </c>
      <c r="F5" s="3913"/>
      <c r="G5" s="3914" t="s">
        <v>2550</v>
      </c>
      <c r="H5" s="3915"/>
      <c r="I5" s="3914" t="s">
        <v>2551</v>
      </c>
      <c r="J5" s="3915"/>
      <c r="K5" s="433"/>
      <c r="L5" s="875"/>
      <c r="M5" s="876"/>
      <c r="N5" s="876"/>
      <c r="O5" s="876"/>
      <c r="P5" s="3928"/>
      <c r="Q5" s="3929"/>
      <c r="R5" s="3910"/>
      <c r="S5" s="3911"/>
      <c r="T5" s="3910"/>
      <c r="U5" s="3911"/>
      <c r="V5" s="3934"/>
      <c r="W5" s="3934"/>
      <c r="X5" s="1415"/>
      <c r="Y5" s="3910"/>
      <c r="Z5" s="3911"/>
      <c r="AA5" s="3904"/>
      <c r="AB5" s="3904"/>
      <c r="AC5" s="3904"/>
    </row>
    <row r="6" spans="1:29" ht="15.75" thickBot="1">
      <c r="A6" s="230"/>
      <c r="B6" s="231"/>
      <c r="C6" s="3975" t="s">
        <v>2803</v>
      </c>
      <c r="D6" s="3976"/>
      <c r="E6" s="3977" t="s">
        <v>2803</v>
      </c>
      <c r="F6" s="3978"/>
      <c r="G6" s="3975" t="s">
        <v>2803</v>
      </c>
      <c r="H6" s="3976"/>
      <c r="I6" s="3975" t="s">
        <v>2803</v>
      </c>
      <c r="J6" s="3976"/>
      <c r="K6" s="433" t="s">
        <v>2553</v>
      </c>
      <c r="L6" s="875"/>
      <c r="M6" s="876"/>
      <c r="N6" s="876"/>
      <c r="O6" s="876"/>
      <c r="P6" s="3930"/>
      <c r="Q6" s="3931"/>
      <c r="R6" s="3910"/>
      <c r="S6" s="3911"/>
      <c r="T6" s="3932"/>
      <c r="U6" s="3933"/>
      <c r="V6" s="3934"/>
      <c r="W6" s="3934"/>
      <c r="X6" s="1415"/>
      <c r="Y6" s="3932"/>
      <c r="Z6" s="3933"/>
      <c r="AA6" s="3905"/>
      <c r="AB6" s="3905"/>
      <c r="AC6" s="3905"/>
    </row>
    <row r="7" spans="1:29" s="51" customFormat="1" ht="15.75" thickBot="1">
      <c r="A7" s="232" t="s">
        <v>2554</v>
      </c>
      <c r="B7" s="233"/>
      <c r="C7" s="234">
        <f>'数据-取费表'!B2</f>
        <v>43071</v>
      </c>
      <c r="D7" s="235">
        <v>100</v>
      </c>
      <c r="E7" s="236"/>
      <c r="F7" s="237">
        <f>SUMIF(65:65,YEAR(E7)&amp;"-"&amp;INT((MONTH(E7)+2)/3),66:66)</f>
        <v>0</v>
      </c>
      <c r="G7" s="1892"/>
      <c r="H7" s="235">
        <f>SUMIF(65:65,YEAR(G7)&amp;"-"&amp;INT((MONTH(G7)+2)/3),66:66)</f>
        <v>0</v>
      </c>
      <c r="I7" s="1892"/>
      <c r="J7" s="235">
        <f>SUMIF(65:65,YEAR(I7)&amp;"-"&amp;INT((MONTH(I7)+2)/3),66:66)</f>
        <v>0</v>
      </c>
      <c r="K7" s="434"/>
      <c r="L7" s="877"/>
      <c r="M7" s="878"/>
      <c r="N7" s="878"/>
      <c r="O7" s="878"/>
      <c r="P7" s="3906" t="s">
        <v>2555</v>
      </c>
      <c r="Q7" s="3935"/>
      <c r="R7" s="552" t="s">
        <v>17</v>
      </c>
      <c r="S7" s="553">
        <f t="shared" ref="S7:S15" si="0">F7</f>
        <v>0</v>
      </c>
      <c r="T7" s="552" t="s">
        <v>17</v>
      </c>
      <c r="U7" s="553">
        <f t="shared" ref="U7:U15" si="1">H7</f>
        <v>0</v>
      </c>
      <c r="V7" s="552" t="s">
        <v>17</v>
      </c>
      <c r="W7" s="553">
        <f t="shared" ref="W7:W15" si="2">J7</f>
        <v>0</v>
      </c>
      <c r="X7" s="554"/>
      <c r="Y7" s="3906" t="s">
        <v>2555</v>
      </c>
      <c r="Z7" s="3907"/>
      <c r="AA7" s="555" t="e">
        <f>D7/F7</f>
        <v>#DIV/0!</v>
      </c>
      <c r="AB7" s="555" t="e">
        <f>D7/H7</f>
        <v>#DIV/0!</v>
      </c>
      <c r="AC7" s="555" t="e">
        <f>D7/J7</f>
        <v>#DIV/0!</v>
      </c>
    </row>
    <row r="8" spans="1:29" s="51" customFormat="1" ht="15.75" thickBot="1">
      <c r="A8" s="232" t="s">
        <v>2556</v>
      </c>
      <c r="B8" s="233"/>
      <c r="C8" s="238" t="s">
        <v>2557</v>
      </c>
      <c r="D8" s="235">
        <v>100</v>
      </c>
      <c r="E8" s="238"/>
      <c r="F8" s="237">
        <f>SUMIF(68:68,E8,69:69)-SUMIF(68:68,C8,69:69)+100</f>
        <v>0</v>
      </c>
      <c r="G8" s="238"/>
      <c r="H8" s="235">
        <f>SUMIF(68:68,G8,69:69)-SUMIF(68:68,C8,69:69)+100</f>
        <v>0</v>
      </c>
      <c r="I8" s="238"/>
      <c r="J8" s="235">
        <f>SUMIF(68:68,I8,69:69)-SUMIF(68:68,C8,69:69)+100</f>
        <v>0</v>
      </c>
      <c r="K8" s="434"/>
      <c r="L8" s="877"/>
      <c r="M8" s="878"/>
      <c r="N8" s="878"/>
      <c r="O8" s="878"/>
      <c r="P8" s="3906" t="s">
        <v>2558</v>
      </c>
      <c r="Q8" s="3907"/>
      <c r="R8" s="552" t="s">
        <v>17</v>
      </c>
      <c r="S8" s="553">
        <f t="shared" si="0"/>
        <v>0</v>
      </c>
      <c r="T8" s="552" t="s">
        <v>17</v>
      </c>
      <c r="U8" s="553">
        <f t="shared" si="1"/>
        <v>0</v>
      </c>
      <c r="V8" s="552" t="s">
        <v>17</v>
      </c>
      <c r="W8" s="553">
        <f t="shared" si="2"/>
        <v>0</v>
      </c>
      <c r="X8" s="554"/>
      <c r="Y8" s="3906" t="s">
        <v>2558</v>
      </c>
      <c r="Z8" s="3907"/>
      <c r="AA8" s="555" t="e">
        <f t="shared" ref="AA8:AA40" si="3">D8/F8</f>
        <v>#DIV/0!</v>
      </c>
      <c r="AB8" s="555" t="e">
        <f t="shared" ref="AB8:AB40" si="4">D8/H8</f>
        <v>#DIV/0!</v>
      </c>
      <c r="AC8" s="555" t="e">
        <f t="shared" ref="AC8:AC40" si="5">D8/J8</f>
        <v>#DIV/0!</v>
      </c>
    </row>
    <row r="9" spans="1:29" s="51" customFormat="1">
      <c r="A9" s="239" t="s">
        <v>2559</v>
      </c>
      <c r="B9" s="45" t="s">
        <v>2560</v>
      </c>
      <c r="C9" s="1895"/>
      <c r="D9" s="52">
        <v>100</v>
      </c>
      <c r="E9" s="1895"/>
      <c r="F9" s="52">
        <f>SUMIF(70:70,E9,71:71)-SUMIF(70:70,C9,71:71)+100</f>
        <v>100</v>
      </c>
      <c r="G9" s="1895"/>
      <c r="H9" s="52">
        <f>SUMIF(70:70,G9,71:71)-SUMIF(70:70,C9,71:71)+100</f>
        <v>100</v>
      </c>
      <c r="I9" s="1895"/>
      <c r="J9" s="52">
        <f>SUMIF(70:70,I9,71:71)-SUMIF(70:70,C9,71:71)+100</f>
        <v>100</v>
      </c>
      <c r="K9" s="434"/>
      <c r="L9" s="877"/>
      <c r="M9" s="878"/>
      <c r="N9" s="878"/>
      <c r="O9" s="879"/>
      <c r="P9" s="3939" t="s">
        <v>2561</v>
      </c>
      <c r="Q9" s="1403" t="str">
        <f t="shared" ref="Q9:Q15" si="6">B9</f>
        <v>用途</v>
      </c>
      <c r="R9" s="552" t="s">
        <v>17</v>
      </c>
      <c r="S9" s="553">
        <f t="shared" si="0"/>
        <v>100</v>
      </c>
      <c r="T9" s="552" t="s">
        <v>17</v>
      </c>
      <c r="U9" s="553">
        <f t="shared" si="1"/>
        <v>100</v>
      </c>
      <c r="V9" s="552" t="s">
        <v>17</v>
      </c>
      <c r="W9" s="553">
        <f t="shared" si="2"/>
        <v>100</v>
      </c>
      <c r="X9" s="554"/>
      <c r="Y9" s="3921" t="s">
        <v>2562</v>
      </c>
      <c r="Z9" s="40" t="str">
        <f t="shared" ref="Z9:Z15" si="7">Q9</f>
        <v>用途</v>
      </c>
      <c r="AA9" s="555">
        <f t="shared" si="3"/>
        <v>1</v>
      </c>
      <c r="AB9" s="555">
        <f t="shared" si="4"/>
        <v>1</v>
      </c>
      <c r="AC9" s="555">
        <f t="shared" si="5"/>
        <v>1</v>
      </c>
    </row>
    <row r="10" spans="1:29" s="250" customFormat="1" ht="27">
      <c r="A10" s="244"/>
      <c r="B10" s="245" t="s">
        <v>2563</v>
      </c>
      <c r="C10" s="255"/>
      <c r="D10" s="53">
        <v>100</v>
      </c>
      <c r="E10" s="255"/>
      <c r="F10" s="53">
        <f>ROUND(100/'数据-取费表'!G16,0)</f>
        <v>105</v>
      </c>
      <c r="G10" s="255"/>
      <c r="H10" s="53">
        <f>ROUND(100/'数据-取费表'!G16,0)</f>
        <v>105</v>
      </c>
      <c r="I10" s="255"/>
      <c r="J10" s="53">
        <f>ROUND(100/'数据-取费表'!G16,0)</f>
        <v>105</v>
      </c>
      <c r="K10" s="492"/>
      <c r="L10" s="880"/>
      <c r="M10" s="881"/>
      <c r="N10" s="881"/>
      <c r="O10" s="882"/>
      <c r="P10" s="3939"/>
      <c r="Q10" s="1403" t="str">
        <f t="shared" si="6"/>
        <v>土地使用年限（年）</v>
      </c>
      <c r="R10" s="552" t="s">
        <v>17</v>
      </c>
      <c r="S10" s="553">
        <f t="shared" si="0"/>
        <v>105</v>
      </c>
      <c r="T10" s="552" t="s">
        <v>17</v>
      </c>
      <c r="U10" s="553">
        <f t="shared" si="1"/>
        <v>105</v>
      </c>
      <c r="V10" s="552" t="s">
        <v>17</v>
      </c>
      <c r="W10" s="553">
        <f t="shared" si="2"/>
        <v>105</v>
      </c>
      <c r="X10" s="554"/>
      <c r="Y10" s="3921"/>
      <c r="Z10" s="40" t="str">
        <f t="shared" si="7"/>
        <v>土地使用年限（年）</v>
      </c>
      <c r="AA10" s="555">
        <f t="shared" si="3"/>
        <v>0.95238095238095233</v>
      </c>
      <c r="AB10" s="555">
        <f t="shared" si="4"/>
        <v>0.95238095238095233</v>
      </c>
      <c r="AC10" s="555">
        <f t="shared" si="5"/>
        <v>0.95238095238095233</v>
      </c>
    </row>
    <row r="11" spans="1:29" ht="15">
      <c r="A11" s="251"/>
      <c r="B11" s="245" t="s">
        <v>2564</v>
      </c>
      <c r="C11" s="252"/>
      <c r="D11" s="53">
        <v>100</v>
      </c>
      <c r="E11" s="252"/>
      <c r="F11" s="53" t="e">
        <f>LOOKUP(E11,75:75,76:76)-LOOKUP(C11,75:75,76:76)+100</f>
        <v>#N/A</v>
      </c>
      <c r="G11" s="253"/>
      <c r="H11" s="53" t="e">
        <f>LOOKUP(G11,75:75,76:76)-LOOKUP(C11,75:75,76:76)+100</f>
        <v>#N/A</v>
      </c>
      <c r="I11" s="252"/>
      <c r="J11" s="53" t="e">
        <f>LOOKUP(I11,75:75,76:76)-LOOKUP(C11,75:75,76:76)+100</f>
        <v>#N/A</v>
      </c>
      <c r="K11" s="493"/>
      <c r="L11" s="883"/>
      <c r="M11" s="876"/>
      <c r="N11" s="876"/>
      <c r="O11" s="884"/>
      <c r="P11" s="3939"/>
      <c r="Q11" s="1403" t="str">
        <f t="shared" si="6"/>
        <v>容积率</v>
      </c>
      <c r="R11" s="552" t="s">
        <v>17</v>
      </c>
      <c r="S11" s="553" t="e">
        <f t="shared" si="0"/>
        <v>#N/A</v>
      </c>
      <c r="T11" s="552" t="s">
        <v>17</v>
      </c>
      <c r="U11" s="553" t="e">
        <f t="shared" si="1"/>
        <v>#N/A</v>
      </c>
      <c r="V11" s="552" t="s">
        <v>17</v>
      </c>
      <c r="W11" s="553" t="e">
        <f t="shared" si="2"/>
        <v>#N/A</v>
      </c>
      <c r="X11" s="554"/>
      <c r="Y11" s="3921"/>
      <c r="Z11" s="40" t="str">
        <f t="shared" si="7"/>
        <v>容积率</v>
      </c>
      <c r="AA11" s="555" t="e">
        <f t="shared" si="3"/>
        <v>#N/A</v>
      </c>
      <c r="AB11" s="555" t="e">
        <f t="shared" si="4"/>
        <v>#N/A</v>
      </c>
      <c r="AC11" s="555" t="e">
        <f t="shared" si="5"/>
        <v>#N/A</v>
      </c>
    </row>
    <row r="12" spans="1:29" s="51" customFormat="1" ht="15">
      <c r="A12" s="254"/>
      <c r="B12" s="1805">
        <v>111</v>
      </c>
      <c r="C12" s="255"/>
      <c r="D12" s="256">
        <v>100</v>
      </c>
      <c r="E12" s="372"/>
      <c r="F12" s="53">
        <f>SUMIF(77:77,E12,78:78)-SUMIF(77:77,C12,78:78)+100</f>
        <v>100</v>
      </c>
      <c r="G12" s="494"/>
      <c r="H12" s="53">
        <f>SUMIF(77:77,G12,78:78)-SUMIF(77:77,C12,78:78)+100</f>
        <v>100</v>
      </c>
      <c r="I12" s="372"/>
      <c r="J12" s="53">
        <f>SUMIF(77:77,I12,78:78)-SUMIF(77:77,C12,78:78)+100</f>
        <v>100</v>
      </c>
      <c r="K12" s="492"/>
      <c r="L12" s="877"/>
      <c r="M12" s="878"/>
      <c r="N12" s="878"/>
      <c r="O12" s="879"/>
      <c r="P12" s="3939"/>
      <c r="Q12" s="1403">
        <f t="shared" si="6"/>
        <v>111</v>
      </c>
      <c r="R12" s="552" t="s">
        <v>17</v>
      </c>
      <c r="S12" s="553">
        <f t="shared" si="0"/>
        <v>100</v>
      </c>
      <c r="T12" s="552" t="s">
        <v>17</v>
      </c>
      <c r="U12" s="553">
        <f t="shared" si="1"/>
        <v>100</v>
      </c>
      <c r="V12" s="552" t="s">
        <v>17</v>
      </c>
      <c r="W12" s="553">
        <f t="shared" si="2"/>
        <v>100</v>
      </c>
      <c r="X12" s="554"/>
      <c r="Y12" s="3921"/>
      <c r="Z12" s="40">
        <f t="shared" si="7"/>
        <v>111</v>
      </c>
      <c r="AA12" s="555">
        <f>D12/F12</f>
        <v>1</v>
      </c>
      <c r="AB12" s="555">
        <f>D12/H12</f>
        <v>1</v>
      </c>
      <c r="AC12" s="555">
        <f>D12/J12</f>
        <v>1</v>
      </c>
    </row>
    <row r="13" spans="1:29" ht="15">
      <c r="A13" s="251"/>
      <c r="B13" s="1805">
        <v>111</v>
      </c>
      <c r="C13" s="257"/>
      <c r="D13" s="258">
        <v>100</v>
      </c>
      <c r="E13" s="372"/>
      <c r="F13" s="53">
        <f>SUMIF(79:79,E13,80:80)-SUMIF(79:79,C13,80:80)+100</f>
        <v>100</v>
      </c>
      <c r="G13" s="494"/>
      <c r="H13" s="258">
        <f>SUMIF(79:79,G13,80:80)-SUMIF(79:79,C13,80:80)+100</f>
        <v>100</v>
      </c>
      <c r="I13" s="372"/>
      <c r="J13" s="258">
        <f>SUMIF(79:79,I13,80:80)-SUMIF(79:79,C13,80:80)+100</f>
        <v>100</v>
      </c>
      <c r="K13" s="492"/>
      <c r="L13" s="885"/>
      <c r="M13" s="876"/>
      <c r="N13" s="876"/>
      <c r="O13" s="884"/>
      <c r="P13" s="3939"/>
      <c r="Q13" s="1403">
        <f t="shared" si="6"/>
        <v>111</v>
      </c>
      <c r="R13" s="552" t="s">
        <v>17</v>
      </c>
      <c r="S13" s="553">
        <f t="shared" si="0"/>
        <v>100</v>
      </c>
      <c r="T13" s="552" t="s">
        <v>17</v>
      </c>
      <c r="U13" s="553">
        <f t="shared" si="1"/>
        <v>100</v>
      </c>
      <c r="V13" s="552" t="s">
        <v>17</v>
      </c>
      <c r="W13" s="553">
        <f t="shared" si="2"/>
        <v>100</v>
      </c>
      <c r="X13" s="554"/>
      <c r="Y13" s="3921"/>
      <c r="Z13" s="40">
        <f t="shared" si="7"/>
        <v>111</v>
      </c>
      <c r="AA13" s="555">
        <f t="shared" si="3"/>
        <v>1</v>
      </c>
      <c r="AB13" s="555">
        <f t="shared" si="4"/>
        <v>1</v>
      </c>
      <c r="AC13" s="555">
        <f t="shared" si="5"/>
        <v>1</v>
      </c>
    </row>
    <row r="14" spans="1:29" ht="15.75" thickBot="1">
      <c r="A14" s="259"/>
      <c r="B14" s="1807">
        <v>111</v>
      </c>
      <c r="C14" s="260"/>
      <c r="D14" s="261">
        <v>100</v>
      </c>
      <c r="E14" s="372"/>
      <c r="F14" s="261">
        <f>SUMIF(81:81,E14,82:82)-SUMIF(81:81,C14,82:82)+100</f>
        <v>100</v>
      </c>
      <c r="G14" s="494"/>
      <c r="H14" s="261">
        <f>SUMIF(81:81,G14,82:82)-SUMIF(81:81,C14,82:82)+100</f>
        <v>100</v>
      </c>
      <c r="I14" s="372"/>
      <c r="J14" s="261">
        <f>SUMIF(81:81,I14,82:82)-SUMIF(81:81,C14,82:82)+100</f>
        <v>100</v>
      </c>
      <c r="K14" s="492"/>
      <c r="L14" s="885"/>
      <c r="M14" s="876"/>
      <c r="N14" s="876"/>
      <c r="O14" s="884"/>
      <c r="P14" s="3939"/>
      <c r="Q14" s="1403">
        <f t="shared" si="6"/>
        <v>111</v>
      </c>
      <c r="R14" s="552" t="s">
        <v>17</v>
      </c>
      <c r="S14" s="553">
        <f t="shared" si="0"/>
        <v>100</v>
      </c>
      <c r="T14" s="552" t="s">
        <v>17</v>
      </c>
      <c r="U14" s="553">
        <f t="shared" si="1"/>
        <v>100</v>
      </c>
      <c r="V14" s="552" t="s">
        <v>17</v>
      </c>
      <c r="W14" s="553">
        <f t="shared" si="2"/>
        <v>100</v>
      </c>
      <c r="X14" s="554"/>
      <c r="Y14" s="3921"/>
      <c r="Z14" s="40">
        <f t="shared" si="7"/>
        <v>111</v>
      </c>
      <c r="AA14" s="555">
        <f t="shared" si="3"/>
        <v>1</v>
      </c>
      <c r="AB14" s="555">
        <f t="shared" si="4"/>
        <v>1</v>
      </c>
      <c r="AC14" s="555">
        <f t="shared" si="5"/>
        <v>1</v>
      </c>
    </row>
    <row r="15" spans="1:29" ht="57">
      <c r="A15" s="263" t="s">
        <v>2565</v>
      </c>
      <c r="B15" s="449" t="s">
        <v>2804</v>
      </c>
      <c r="C15" s="1889" t="str">
        <f>估价对象房地状况!G15</f>
        <v>估价对象位于XX开发区，园区建设成熟度XX，产业集聚程度XX</v>
      </c>
      <c r="D15" s="264">
        <v>100</v>
      </c>
      <c r="E15" s="265"/>
      <c r="F15" s="264">
        <f>SUMIF(83:83,E16,84:84)-SUMIF(83:83,C16,84:84)+100</f>
        <v>100</v>
      </c>
      <c r="G15" s="265"/>
      <c r="H15" s="264">
        <f>SUMIF(83:83,G16,84:84)-SUMIF(83:83,C16,84:84)+100</f>
        <v>100</v>
      </c>
      <c r="I15" s="267"/>
      <c r="J15" s="264">
        <f>SUMIF(83:83,I16,84:84)-SUMIF(83:83,C16,84:84)+100</f>
        <v>100</v>
      </c>
      <c r="K15" s="493"/>
      <c r="L15" s="885"/>
      <c r="M15" s="876"/>
      <c r="N15" s="876"/>
      <c r="O15" s="884"/>
      <c r="P15" s="3941" t="s">
        <v>2566</v>
      </c>
      <c r="Q15" s="1412" t="str">
        <f t="shared" si="6"/>
        <v>产业集聚程度</v>
      </c>
      <c r="R15" s="556" t="s">
        <v>17</v>
      </c>
      <c r="S15" s="557">
        <f t="shared" si="0"/>
        <v>100</v>
      </c>
      <c r="T15" s="556" t="s">
        <v>17</v>
      </c>
      <c r="U15" s="557">
        <f t="shared" si="1"/>
        <v>100</v>
      </c>
      <c r="V15" s="556" t="s">
        <v>17</v>
      </c>
      <c r="W15" s="557">
        <f t="shared" si="2"/>
        <v>100</v>
      </c>
      <c r="X15" s="1415"/>
      <c r="Y15" s="3941" t="s">
        <v>2566</v>
      </c>
      <c r="Z15" s="1416" t="str">
        <f t="shared" si="7"/>
        <v>产业集聚程度</v>
      </c>
      <c r="AA15" s="1413">
        <f t="shared" si="3"/>
        <v>1</v>
      </c>
      <c r="AB15" s="1413">
        <f t="shared" si="4"/>
        <v>1</v>
      </c>
      <c r="AC15" s="1413">
        <f t="shared" si="5"/>
        <v>1</v>
      </c>
    </row>
    <row r="16" spans="1:29" ht="15">
      <c r="A16" s="251"/>
      <c r="B16" s="450"/>
      <c r="C16" s="270"/>
      <c r="D16" s="271"/>
      <c r="E16" s="1816"/>
      <c r="F16" s="271"/>
      <c r="G16" s="1816"/>
      <c r="H16" s="273"/>
      <c r="I16" s="1816"/>
      <c r="J16" s="271"/>
      <c r="K16" s="492"/>
      <c r="L16" s="885"/>
      <c r="M16" s="876"/>
      <c r="N16" s="876"/>
      <c r="O16" s="884"/>
      <c r="P16" s="3942"/>
      <c r="Q16" s="1412"/>
      <c r="R16" s="556"/>
      <c r="S16" s="557"/>
      <c r="T16" s="556"/>
      <c r="U16" s="557"/>
      <c r="V16" s="556"/>
      <c r="W16" s="557"/>
      <c r="X16" s="1415"/>
      <c r="Y16" s="3942"/>
      <c r="Z16" s="1416"/>
      <c r="AA16" s="1413">
        <v>1</v>
      </c>
      <c r="AB16" s="1413">
        <v>1</v>
      </c>
      <c r="AC16" s="1413">
        <v>1</v>
      </c>
    </row>
    <row r="17" spans="1:29" ht="85.5">
      <c r="A17" s="251"/>
      <c r="B17" s="451" t="s">
        <v>2715</v>
      </c>
      <c r="C17" s="1812" t="str">
        <f>估价对象房地状况!G16</f>
        <v>估价对象周边道路状况、公共交通通达情况、停车便捷程度，综合评价交通便捷度较好</v>
      </c>
      <c r="D17" s="273">
        <v>100</v>
      </c>
      <c r="E17" s="275"/>
      <c r="F17" s="278">
        <f>SUMIF(85:85,E18,86:86)-SUMIF(85:85,C18,86:86)+100</f>
        <v>100</v>
      </c>
      <c r="G17" s="275"/>
      <c r="H17" s="278">
        <f>SUMIF(85:85,G18,86:86)-SUMIF(85:85,C18,86:86)+100</f>
        <v>100</v>
      </c>
      <c r="I17" s="277"/>
      <c r="J17" s="273">
        <f>SUMIF(85:85,I18,86:86)-SUMIF(85:85,C18,86:86)+100</f>
        <v>100</v>
      </c>
      <c r="K17" s="493"/>
      <c r="L17" s="885"/>
      <c r="M17" s="876"/>
      <c r="N17" s="876"/>
      <c r="O17" s="884"/>
      <c r="P17" s="3942"/>
      <c r="Q17" s="1412" t="str">
        <f>B17</f>
        <v>交通便捷度</v>
      </c>
      <c r="R17" s="556" t="s">
        <v>17</v>
      </c>
      <c r="S17" s="557">
        <f>F17</f>
        <v>100</v>
      </c>
      <c r="T17" s="556" t="s">
        <v>17</v>
      </c>
      <c r="U17" s="557">
        <f>H17</f>
        <v>100</v>
      </c>
      <c r="V17" s="556" t="s">
        <v>17</v>
      </c>
      <c r="W17" s="557">
        <f>J17</f>
        <v>100</v>
      </c>
      <c r="X17" s="1415"/>
      <c r="Y17" s="3942"/>
      <c r="Z17" s="1416" t="str">
        <f>Q17</f>
        <v>交通便捷度</v>
      </c>
      <c r="AA17" s="1413">
        <f t="shared" si="3"/>
        <v>1</v>
      </c>
      <c r="AB17" s="1413">
        <f t="shared" si="4"/>
        <v>1</v>
      </c>
      <c r="AC17" s="1413">
        <f t="shared" si="5"/>
        <v>1</v>
      </c>
    </row>
    <row r="18" spans="1:29" ht="15">
      <c r="A18" s="251"/>
      <c r="B18" s="452"/>
      <c r="C18" s="270"/>
      <c r="D18" s="271"/>
      <c r="E18" s="1810"/>
      <c r="F18" s="271"/>
      <c r="G18" s="1810"/>
      <c r="H18" s="271"/>
      <c r="I18" s="1809"/>
      <c r="J18" s="271"/>
      <c r="K18" s="492"/>
      <c r="L18" s="885"/>
      <c r="M18" s="876"/>
      <c r="N18" s="876"/>
      <c r="O18" s="884"/>
      <c r="P18" s="3942"/>
      <c r="Q18" s="1412"/>
      <c r="R18" s="556"/>
      <c r="S18" s="557"/>
      <c r="T18" s="556"/>
      <c r="U18" s="557"/>
      <c r="V18" s="556"/>
      <c r="W18" s="557"/>
      <c r="X18" s="1415"/>
      <c r="Y18" s="3942"/>
      <c r="Z18" s="1416"/>
      <c r="AA18" s="1413">
        <v>1</v>
      </c>
      <c r="AB18" s="1413">
        <v>1</v>
      </c>
      <c r="AC18" s="1413">
        <v>1</v>
      </c>
    </row>
    <row r="19" spans="1:29" ht="15">
      <c r="A19" s="251"/>
      <c r="B19" s="451" t="s">
        <v>2754</v>
      </c>
      <c r="C19" s="1812">
        <f>估价对象房地状况!G17</f>
        <v>0</v>
      </c>
      <c r="D19" s="273">
        <v>100</v>
      </c>
      <c r="E19" s="275"/>
      <c r="F19" s="278">
        <f>SUMIF(87:87,E20,88:88)-SUMIF(87:87,C20,88:88)+100</f>
        <v>100</v>
      </c>
      <c r="G19" s="275"/>
      <c r="H19" s="278">
        <f>SUMIF(87:87,G20,88:88)-SUMIF(87:87,C20,88:88)+100</f>
        <v>100</v>
      </c>
      <c r="I19" s="275"/>
      <c r="J19" s="278">
        <f>SUMIF(87:87,I20,88:88)-SUMIF(87:87,C20,88:88)+100</f>
        <v>100</v>
      </c>
      <c r="K19" s="493"/>
      <c r="L19" s="885"/>
      <c r="M19" s="876"/>
      <c r="N19" s="876"/>
      <c r="O19" s="884"/>
      <c r="P19" s="3942"/>
      <c r="Q19" s="1412" t="str">
        <f t="shared" ref="Q19:Q33" si="8">B19</f>
        <v>区域土地利用方向</v>
      </c>
      <c r="R19" s="556" t="s">
        <v>17</v>
      </c>
      <c r="S19" s="557">
        <f>F19</f>
        <v>100</v>
      </c>
      <c r="T19" s="556" t="s">
        <v>17</v>
      </c>
      <c r="U19" s="557">
        <f>H19</f>
        <v>100</v>
      </c>
      <c r="V19" s="556" t="s">
        <v>17</v>
      </c>
      <c r="W19" s="557">
        <f>J19</f>
        <v>100</v>
      </c>
      <c r="X19" s="1415"/>
      <c r="Y19" s="3942"/>
      <c r="Z19" s="1416" t="str">
        <f>Q19</f>
        <v>区域土地利用方向</v>
      </c>
      <c r="AA19" s="1413">
        <f t="shared" si="3"/>
        <v>1</v>
      </c>
      <c r="AB19" s="1413">
        <f t="shared" si="4"/>
        <v>1</v>
      </c>
      <c r="AC19" s="1413">
        <f t="shared" si="5"/>
        <v>1</v>
      </c>
    </row>
    <row r="20" spans="1:29" ht="15">
      <c r="A20" s="228"/>
      <c r="B20" s="452"/>
      <c r="C20" s="270"/>
      <c r="D20" s="271"/>
      <c r="E20" s="1810"/>
      <c r="F20" s="271"/>
      <c r="G20" s="1810"/>
      <c r="H20" s="271"/>
      <c r="I20" s="1810"/>
      <c r="J20" s="271"/>
      <c r="K20" s="575"/>
      <c r="L20" s="885"/>
      <c r="M20" s="876"/>
      <c r="N20" s="876"/>
      <c r="O20" s="884"/>
      <c r="P20" s="3942"/>
      <c r="Q20" s="1412"/>
      <c r="R20" s="556"/>
      <c r="S20" s="557"/>
      <c r="T20" s="556"/>
      <c r="U20" s="557"/>
      <c r="V20" s="556"/>
      <c r="W20" s="557"/>
      <c r="X20" s="1415"/>
      <c r="Y20" s="3942"/>
      <c r="Z20" s="1416"/>
      <c r="AA20" s="1413"/>
      <c r="AB20" s="1413"/>
      <c r="AC20" s="1413"/>
    </row>
    <row r="21" spans="1:29" ht="71.25">
      <c r="A21" s="228"/>
      <c r="B21" s="451" t="s">
        <v>2805</v>
      </c>
      <c r="C21" s="1812" t="str">
        <f>估价对象房地状况!G18</f>
        <v>该园区内是否有污染型企业，绿化情况，卫生条件，整体环境状况判断</v>
      </c>
      <c r="D21" s="273">
        <v>100</v>
      </c>
      <c r="E21" s="275"/>
      <c r="F21" s="273">
        <f>SUMIF(89:89,E22,90:90)-SUMIF(89:89,C22,90:90)+100</f>
        <v>100</v>
      </c>
      <c r="G21" s="275"/>
      <c r="H21" s="273">
        <f>SUMIF(89:89,G22,90:90)-SUMIF(89:89,C22,90:90)+100</f>
        <v>100</v>
      </c>
      <c r="I21" s="277"/>
      <c r="J21" s="273">
        <f>SUMIF(89:89,I22,90:90)-SUMIF(89:89,C22,90:90)+100</f>
        <v>100</v>
      </c>
      <c r="K21" s="493"/>
      <c r="L21" s="885"/>
      <c r="M21" s="876"/>
      <c r="N21" s="876"/>
      <c r="O21" s="884"/>
      <c r="P21" s="3942"/>
      <c r="Q21" s="1412" t="str">
        <f t="shared" si="8"/>
        <v>环境状况</v>
      </c>
      <c r="R21" s="556" t="s">
        <v>17</v>
      </c>
      <c r="S21" s="557">
        <f>F21</f>
        <v>100</v>
      </c>
      <c r="T21" s="556" t="s">
        <v>17</v>
      </c>
      <c r="U21" s="557">
        <f>H21</f>
        <v>100</v>
      </c>
      <c r="V21" s="556" t="s">
        <v>17</v>
      </c>
      <c r="W21" s="557">
        <f>J21</f>
        <v>100</v>
      </c>
      <c r="X21" s="1415"/>
      <c r="Y21" s="3942"/>
      <c r="Z21" s="1416" t="str">
        <f>Q21</f>
        <v>环境状况</v>
      </c>
      <c r="AA21" s="1413">
        <f t="shared" si="3"/>
        <v>1</v>
      </c>
      <c r="AB21" s="1413">
        <f t="shared" si="4"/>
        <v>1</v>
      </c>
      <c r="AC21" s="1413">
        <f t="shared" si="5"/>
        <v>1</v>
      </c>
    </row>
    <row r="22" spans="1:29" ht="15">
      <c r="A22" s="228"/>
      <c r="B22" s="452"/>
      <c r="C22" s="270"/>
      <c r="D22" s="271"/>
      <c r="E22" s="1816"/>
      <c r="F22" s="271"/>
      <c r="G22" s="1816"/>
      <c r="H22" s="271"/>
      <c r="I22" s="270"/>
      <c r="J22" s="271"/>
      <c r="K22" s="492"/>
      <c r="L22" s="885"/>
      <c r="M22" s="876"/>
      <c r="N22" s="876"/>
      <c r="O22" s="884"/>
      <c r="P22" s="3942"/>
      <c r="Q22" s="1412"/>
      <c r="R22" s="556"/>
      <c r="S22" s="557"/>
      <c r="T22" s="556"/>
      <c r="U22" s="557"/>
      <c r="V22" s="556"/>
      <c r="W22" s="557"/>
      <c r="X22" s="1415"/>
      <c r="Y22" s="3942"/>
      <c r="Z22" s="1416"/>
      <c r="AA22" s="1413">
        <v>1</v>
      </c>
      <c r="AB22" s="1413">
        <v>1</v>
      </c>
      <c r="AC22" s="1413">
        <v>1</v>
      </c>
    </row>
    <row r="23" spans="1:29" s="51" customFormat="1" ht="42.75">
      <c r="A23" s="469"/>
      <c r="B23" s="453" t="s">
        <v>2660</v>
      </c>
      <c r="C23" s="1812" t="str">
        <f>估价对象房地状况!G19</f>
        <v>估价对象所在区域公共配套设施齐备情况</v>
      </c>
      <c r="D23" s="273">
        <v>100</v>
      </c>
      <c r="E23" s="275"/>
      <c r="F23" s="273">
        <f>SUMIF(91:91,E24,92:92)-SUMIF(91:91,C24,92:92)+100</f>
        <v>100</v>
      </c>
      <c r="G23" s="275"/>
      <c r="H23" s="273">
        <f>SUMIF(91:91,G24,92:92)-SUMIF(91:91,C24,92:92)+100</f>
        <v>100</v>
      </c>
      <c r="I23" s="277"/>
      <c r="J23" s="273">
        <f>SUMIF(91:91,I24,92:92)-SUMIF(91:91,C24,92:92)+100</f>
        <v>100</v>
      </c>
      <c r="K23" s="493"/>
      <c r="L23" s="877"/>
      <c r="M23" s="878"/>
      <c r="N23" s="878"/>
      <c r="O23" s="879"/>
      <c r="P23" s="3942"/>
      <c r="Q23" s="1403" t="str">
        <f t="shared" si="8"/>
        <v>公共配套设施</v>
      </c>
      <c r="R23" s="552" t="s">
        <v>17</v>
      </c>
      <c r="S23" s="553">
        <f>F23</f>
        <v>100</v>
      </c>
      <c r="T23" s="552" t="s">
        <v>17</v>
      </c>
      <c r="U23" s="553">
        <f>H23</f>
        <v>100</v>
      </c>
      <c r="V23" s="552" t="s">
        <v>17</v>
      </c>
      <c r="W23" s="553">
        <f>J23</f>
        <v>100</v>
      </c>
      <c r="X23" s="554"/>
      <c r="Y23" s="3942"/>
      <c r="Z23" s="40" t="str">
        <f>Q23</f>
        <v>公共配套设施</v>
      </c>
      <c r="AA23" s="1413">
        <f>D23/F23</f>
        <v>1</v>
      </c>
      <c r="AB23" s="1413">
        <f>D23/H23</f>
        <v>1</v>
      </c>
      <c r="AC23" s="1413">
        <f>D23/J23</f>
        <v>1</v>
      </c>
    </row>
    <row r="24" spans="1:29" s="51" customFormat="1" ht="15">
      <c r="A24" s="469"/>
      <c r="B24" s="452"/>
      <c r="C24" s="1896"/>
      <c r="D24" s="271"/>
      <c r="E24" s="1816"/>
      <c r="F24" s="271"/>
      <c r="G24" s="1816"/>
      <c r="H24" s="271"/>
      <c r="I24" s="270"/>
      <c r="J24" s="271"/>
      <c r="K24" s="492"/>
      <c r="L24" s="877"/>
      <c r="M24" s="878"/>
      <c r="N24" s="878"/>
      <c r="O24" s="879"/>
      <c r="P24" s="3942"/>
      <c r="Q24" s="1403"/>
      <c r="R24" s="552"/>
      <c r="S24" s="553"/>
      <c r="T24" s="552"/>
      <c r="U24" s="553"/>
      <c r="V24" s="552"/>
      <c r="W24" s="553"/>
      <c r="X24" s="554"/>
      <c r="Y24" s="3942"/>
      <c r="Z24" s="40"/>
      <c r="AA24" s="555">
        <v>1</v>
      </c>
      <c r="AB24" s="555">
        <v>1</v>
      </c>
      <c r="AC24" s="555">
        <v>1</v>
      </c>
    </row>
    <row r="25" spans="1:29" s="51" customFormat="1" ht="28.5">
      <c r="A25" s="469"/>
      <c r="B25" s="453" t="s">
        <v>2661</v>
      </c>
      <c r="C25" s="1812" t="str">
        <f>估价对象房地状况!G20</f>
        <v>估价对象所在区域基础设施水平</v>
      </c>
      <c r="D25" s="273">
        <v>100</v>
      </c>
      <c r="E25" s="275"/>
      <c r="F25" s="273">
        <f>SUMIF(93:93,E26,94:94)-SUMIF(93:93,C26,94:94)+100</f>
        <v>100</v>
      </c>
      <c r="G25" s="275"/>
      <c r="H25" s="273">
        <f>SUMIF(93:93,G26,94:94)-SUMIF(93:93,C26,94:94)+100</f>
        <v>100</v>
      </c>
      <c r="I25" s="277"/>
      <c r="J25" s="273">
        <f>SUMIF(93:93,I26,94:94)-SUMIF(93:93,C26,94:94)+100</f>
        <v>100</v>
      </c>
      <c r="K25" s="493"/>
      <c r="L25" s="877"/>
      <c r="M25" s="878"/>
      <c r="N25" s="878"/>
      <c r="O25" s="879"/>
      <c r="P25" s="3942"/>
      <c r="Q25" s="1403" t="str">
        <f t="shared" ref="Q25" si="9">B25</f>
        <v>基础设施水平</v>
      </c>
      <c r="R25" s="552" t="s">
        <v>17</v>
      </c>
      <c r="S25" s="553">
        <f>F25</f>
        <v>100</v>
      </c>
      <c r="T25" s="552" t="s">
        <v>17</v>
      </c>
      <c r="U25" s="553">
        <f>H25</f>
        <v>100</v>
      </c>
      <c r="V25" s="552" t="s">
        <v>17</v>
      </c>
      <c r="W25" s="553">
        <f>J25</f>
        <v>100</v>
      </c>
      <c r="X25" s="554"/>
      <c r="Y25" s="3942"/>
      <c r="Z25" s="40" t="str">
        <f>Q25</f>
        <v>基础设施水平</v>
      </c>
      <c r="AA25" s="1413">
        <f>D25/F25</f>
        <v>1</v>
      </c>
      <c r="AB25" s="1413">
        <f>D25/H25</f>
        <v>1</v>
      </c>
      <c r="AC25" s="1413">
        <f>D25/J25</f>
        <v>1</v>
      </c>
    </row>
    <row r="26" spans="1:29" s="51" customFormat="1" ht="15">
      <c r="A26" s="469"/>
      <c r="B26" s="452"/>
      <c r="C26" s="1896"/>
      <c r="D26" s="271"/>
      <c r="E26" s="1897"/>
      <c r="F26" s="271"/>
      <c r="G26" s="1897"/>
      <c r="H26" s="271"/>
      <c r="I26" s="1897"/>
      <c r="J26" s="271"/>
      <c r="K26" s="492"/>
      <c r="L26" s="877"/>
      <c r="M26" s="878"/>
      <c r="N26" s="878"/>
      <c r="O26" s="879"/>
      <c r="P26" s="3942"/>
      <c r="Q26" s="1403"/>
      <c r="R26" s="552"/>
      <c r="S26" s="553"/>
      <c r="T26" s="552"/>
      <c r="U26" s="553"/>
      <c r="V26" s="552"/>
      <c r="W26" s="553"/>
      <c r="X26" s="554"/>
      <c r="Y26" s="3942"/>
      <c r="Z26" s="40"/>
      <c r="AA26" s="555">
        <v>1</v>
      </c>
      <c r="AB26" s="555">
        <v>1</v>
      </c>
      <c r="AC26" s="555">
        <v>1</v>
      </c>
    </row>
    <row r="27" spans="1:29" ht="15">
      <c r="A27" s="251"/>
      <c r="B27" s="452" t="s">
        <v>2662</v>
      </c>
      <c r="C27" s="439"/>
      <c r="D27" s="258">
        <v>100</v>
      </c>
      <c r="E27" s="454"/>
      <c r="F27" s="258">
        <f>SUMIF(95:95,E27,96:96)-SUMIF(95:95,C27,96:96)+100</f>
        <v>100</v>
      </c>
      <c r="G27" s="454"/>
      <c r="H27" s="258">
        <f>SUMIF(95:95,G27,96:96)-SUMIF(95:95,C27,96:96)+100</f>
        <v>100</v>
      </c>
      <c r="I27" s="454"/>
      <c r="J27" s="258">
        <f>SUMIF(95:95,I27,96:96)-SUMIF(95:95,C27,96:96)+100</f>
        <v>100</v>
      </c>
      <c r="K27" s="493"/>
      <c r="L27" s="885"/>
      <c r="M27" s="876"/>
      <c r="N27" s="876"/>
      <c r="O27" s="884"/>
      <c r="P27" s="3942"/>
      <c r="Q27" s="1412" t="str">
        <f t="shared" si="8"/>
        <v>临街状况</v>
      </c>
      <c r="R27" s="556" t="s">
        <v>17</v>
      </c>
      <c r="S27" s="557">
        <f t="shared" ref="S27:S40" si="10">F27</f>
        <v>100</v>
      </c>
      <c r="T27" s="556" t="s">
        <v>17</v>
      </c>
      <c r="U27" s="557">
        <f t="shared" ref="U27:U40" si="11">H27</f>
        <v>100</v>
      </c>
      <c r="V27" s="556" t="s">
        <v>17</v>
      </c>
      <c r="W27" s="557">
        <f t="shared" ref="W27:W40" si="12">J27</f>
        <v>100</v>
      </c>
      <c r="X27" s="1415"/>
      <c r="Y27" s="3942"/>
      <c r="Z27" s="1416" t="str">
        <f t="shared" ref="Z27:Z40" si="13">Q27</f>
        <v>临街状况</v>
      </c>
      <c r="AA27" s="1413">
        <f t="shared" si="3"/>
        <v>1</v>
      </c>
      <c r="AB27" s="1413">
        <f t="shared" si="4"/>
        <v>1</v>
      </c>
      <c r="AC27" s="1413">
        <f t="shared" si="5"/>
        <v>1</v>
      </c>
    </row>
    <row r="28" spans="1:29" ht="27">
      <c r="A28" s="251"/>
      <c r="B28" s="453" t="s">
        <v>2697</v>
      </c>
      <c r="C28" s="1909">
        <f>估价对象房地状况!G22</f>
        <v>0</v>
      </c>
      <c r="D28" s="273">
        <v>100</v>
      </c>
      <c r="E28" s="275"/>
      <c r="F28" s="273">
        <f>SUMIF(97:97,E29,98:98)-SUMIF(97:97,C29,98:98)+100</f>
        <v>100</v>
      </c>
      <c r="G28" s="275"/>
      <c r="H28" s="273">
        <f>SUMIF(97:97,G29,98:98)-SUMIF(97:97,C29,98:98)+100</f>
        <v>100</v>
      </c>
      <c r="I28" s="277"/>
      <c r="J28" s="273">
        <f>SUMIF(97:97,I29,98:98)-SUMIF(97:97,C29,98:98)+100</f>
        <v>100</v>
      </c>
      <c r="K28" s="493"/>
      <c r="L28" s="885"/>
      <c r="M28" s="876"/>
      <c r="N28" s="876"/>
      <c r="O28" s="884"/>
      <c r="P28" s="3942"/>
      <c r="Q28" s="1412" t="str">
        <f t="shared" si="8"/>
        <v>毗邻道路的类型与等级</v>
      </c>
      <c r="R28" s="556" t="s">
        <v>17</v>
      </c>
      <c r="S28" s="557">
        <f t="shared" si="10"/>
        <v>100</v>
      </c>
      <c r="T28" s="556" t="s">
        <v>17</v>
      </c>
      <c r="U28" s="557">
        <f t="shared" si="11"/>
        <v>100</v>
      </c>
      <c r="V28" s="556" t="s">
        <v>17</v>
      </c>
      <c r="W28" s="557">
        <f t="shared" si="12"/>
        <v>100</v>
      </c>
      <c r="X28" s="1415"/>
      <c r="Y28" s="3942"/>
      <c r="Z28" s="1416" t="str">
        <f t="shared" si="13"/>
        <v>毗邻道路的类型与等级</v>
      </c>
      <c r="AA28" s="1413">
        <f t="shared" si="3"/>
        <v>1</v>
      </c>
      <c r="AB28" s="1413">
        <f t="shared" si="4"/>
        <v>1</v>
      </c>
      <c r="AC28" s="1413">
        <f t="shared" si="5"/>
        <v>1</v>
      </c>
    </row>
    <row r="29" spans="1:29" ht="15">
      <c r="A29" s="251"/>
      <c r="B29" s="452"/>
      <c r="C29" s="270"/>
      <c r="D29" s="271"/>
      <c r="E29" s="1816"/>
      <c r="F29" s="271"/>
      <c r="G29" s="1816"/>
      <c r="H29" s="271"/>
      <c r="I29" s="1816"/>
      <c r="J29" s="271"/>
      <c r="K29" s="436"/>
      <c r="L29" s="885"/>
      <c r="M29" s="876"/>
      <c r="N29" s="876"/>
      <c r="O29" s="884"/>
      <c r="P29" s="3942"/>
      <c r="Q29" s="1412"/>
      <c r="R29" s="556"/>
      <c r="S29" s="557"/>
      <c r="T29" s="556"/>
      <c r="U29" s="557"/>
      <c r="V29" s="556"/>
      <c r="W29" s="557"/>
      <c r="X29" s="1415"/>
      <c r="Y29" s="3942"/>
      <c r="Z29" s="1416"/>
      <c r="AA29" s="1413">
        <v>1</v>
      </c>
      <c r="AB29" s="1413">
        <v>1</v>
      </c>
      <c r="AC29" s="1413">
        <v>1</v>
      </c>
    </row>
    <row r="30" spans="1:29" ht="15">
      <c r="A30" s="251"/>
      <c r="B30" s="474" t="s">
        <v>2756</v>
      </c>
      <c r="C30" s="1066">
        <f>估价对象房地状况!G23</f>
        <v>0</v>
      </c>
      <c r="D30" s="258">
        <v>100</v>
      </c>
      <c r="E30" s="454"/>
      <c r="F30" s="258">
        <f>SUMIF(99:99,E30,100:100)-SUMIF(99:99,C30,100:100)+100</f>
        <v>100</v>
      </c>
      <c r="G30" s="454"/>
      <c r="H30" s="258">
        <f>SUMIF(99:99,G30,100:100)-SUMIF(99:99,C30,100:100)+100</f>
        <v>100</v>
      </c>
      <c r="I30" s="454"/>
      <c r="J30" s="258">
        <f>SUMIF(99:99,I30,100:100)-SUMIF(99:99,C30,100:100)+100</f>
        <v>100</v>
      </c>
      <c r="K30" s="435"/>
      <c r="L30" s="885"/>
      <c r="M30" s="876"/>
      <c r="N30" s="876"/>
      <c r="O30" s="884"/>
      <c r="P30" s="3942"/>
      <c r="Q30" s="1412" t="str">
        <f t="shared" si="8"/>
        <v>土地级别</v>
      </c>
      <c r="R30" s="556" t="s">
        <v>17</v>
      </c>
      <c r="S30" s="557">
        <f t="shared" si="10"/>
        <v>100</v>
      </c>
      <c r="T30" s="556" t="s">
        <v>17</v>
      </c>
      <c r="U30" s="557">
        <f t="shared" si="11"/>
        <v>100</v>
      </c>
      <c r="V30" s="556" t="s">
        <v>17</v>
      </c>
      <c r="W30" s="557">
        <f t="shared" si="12"/>
        <v>100</v>
      </c>
      <c r="X30" s="1415"/>
      <c r="Y30" s="3942"/>
      <c r="Z30" s="1416" t="str">
        <f t="shared" si="13"/>
        <v>土地级别</v>
      </c>
      <c r="AA30" s="1413">
        <f t="shared" si="3"/>
        <v>1</v>
      </c>
      <c r="AB30" s="1413">
        <f t="shared" si="4"/>
        <v>1</v>
      </c>
      <c r="AC30" s="1413">
        <f t="shared" si="5"/>
        <v>1</v>
      </c>
    </row>
    <row r="31" spans="1:29" ht="15">
      <c r="A31" s="228"/>
      <c r="B31" s="1874">
        <v>111</v>
      </c>
      <c r="C31" s="494"/>
      <c r="D31" s="258">
        <v>100</v>
      </c>
      <c r="E31" s="300"/>
      <c r="F31" s="258">
        <f>SUMIF(101:101,E31,102:102)-SUMIF(101:101,C31,102:102)+100</f>
        <v>100</v>
      </c>
      <c r="G31" s="300"/>
      <c r="H31" s="258">
        <f>SUMIF(101:101,G31,102:102)-SUMIF(101:101,C31,102:102)+100</f>
        <v>100</v>
      </c>
      <c r="I31" s="372"/>
      <c r="J31" s="258">
        <f>SUMIF(101:101,I31,102:102)-SUMIF(101:101,C31,102:102)+100</f>
        <v>100</v>
      </c>
      <c r="K31" s="436"/>
      <c r="L31" s="885"/>
      <c r="M31" s="876"/>
      <c r="N31" s="876"/>
      <c r="O31" s="884"/>
      <c r="P31" s="3942"/>
      <c r="Q31" s="1412">
        <f t="shared" si="8"/>
        <v>111</v>
      </c>
      <c r="R31" s="556" t="s">
        <v>17</v>
      </c>
      <c r="S31" s="557">
        <f t="shared" si="10"/>
        <v>100</v>
      </c>
      <c r="T31" s="556" t="s">
        <v>17</v>
      </c>
      <c r="U31" s="557">
        <f t="shared" si="11"/>
        <v>100</v>
      </c>
      <c r="V31" s="556" t="s">
        <v>17</v>
      </c>
      <c r="W31" s="557">
        <f t="shared" si="12"/>
        <v>100</v>
      </c>
      <c r="X31" s="1415"/>
      <c r="Y31" s="3942"/>
      <c r="Z31" s="1416">
        <f t="shared" si="13"/>
        <v>111</v>
      </c>
      <c r="AA31" s="1413">
        <f t="shared" si="3"/>
        <v>1</v>
      </c>
      <c r="AB31" s="1413">
        <f t="shared" si="4"/>
        <v>1</v>
      </c>
      <c r="AC31" s="1413">
        <f t="shared" si="5"/>
        <v>1</v>
      </c>
    </row>
    <row r="32" spans="1:29" ht="15">
      <c r="A32" s="495"/>
      <c r="B32" s="1910">
        <v>111</v>
      </c>
      <c r="C32" s="494"/>
      <c r="D32" s="258">
        <v>100</v>
      </c>
      <c r="E32" s="300"/>
      <c r="F32" s="258">
        <f>SUMIF(103:103,E33,104:104)-SUMIF(103:103,C33,104:104)+100</f>
        <v>100</v>
      </c>
      <c r="G32" s="300"/>
      <c r="H32" s="258">
        <f>SUMIF(103:103,G32,104:104)-SUMIF(103:103,C32,104:104)+100</f>
        <v>100</v>
      </c>
      <c r="I32" s="494"/>
      <c r="J32" s="258">
        <f>SUMIF(103:103,I32,104:104)-SUMIF(103:103,C32,104:104)+100</f>
        <v>100</v>
      </c>
      <c r="K32" s="436"/>
      <c r="L32" s="885"/>
      <c r="M32" s="876"/>
      <c r="N32" s="876"/>
      <c r="O32" s="884"/>
      <c r="P32" s="3970" t="s">
        <v>2571</v>
      </c>
      <c r="Q32" s="1412">
        <f t="shared" si="8"/>
        <v>111</v>
      </c>
      <c r="R32" s="556" t="s">
        <v>17</v>
      </c>
      <c r="S32" s="557">
        <f t="shared" si="10"/>
        <v>100</v>
      </c>
      <c r="T32" s="556" t="s">
        <v>17</v>
      </c>
      <c r="U32" s="557">
        <f t="shared" si="11"/>
        <v>100</v>
      </c>
      <c r="V32" s="556" t="s">
        <v>17</v>
      </c>
      <c r="W32" s="557">
        <f t="shared" si="12"/>
        <v>100</v>
      </c>
      <c r="X32" s="1415"/>
      <c r="Y32" s="3946" t="s">
        <v>2571</v>
      </c>
      <c r="Z32" s="1416">
        <f t="shared" si="13"/>
        <v>111</v>
      </c>
      <c r="AA32" s="1413">
        <f t="shared" si="3"/>
        <v>1</v>
      </c>
      <c r="AB32" s="1413">
        <f t="shared" si="4"/>
        <v>1</v>
      </c>
      <c r="AC32" s="1413">
        <f t="shared" si="5"/>
        <v>1</v>
      </c>
    </row>
    <row r="33" spans="1:29" s="294" customFormat="1" ht="15.75" thickBot="1">
      <c r="A33" s="496"/>
      <c r="B33" s="1911">
        <v>111</v>
      </c>
      <c r="C33" s="498"/>
      <c r="D33" s="54">
        <v>100</v>
      </c>
      <c r="E33" s="521"/>
      <c r="F33" s="261">
        <f>SUMIF(105:105,E33,106:106)-SUMIF(105:105,C33,106:106)+100</f>
        <v>100</v>
      </c>
      <c r="G33" s="521"/>
      <c r="H33" s="261">
        <f>SUMIF(105:105,G33,106:106)-SUMIF(105:105,C33,106:106)+100</f>
        <v>100</v>
      </c>
      <c r="I33" s="498"/>
      <c r="J33" s="261">
        <f>SUMIF(105:105,I33,106:106)-SUMIF(105:105,C33,106:106)+100</f>
        <v>100</v>
      </c>
      <c r="K33" s="436"/>
      <c r="L33" s="883"/>
      <c r="M33" s="886"/>
      <c r="N33" s="886"/>
      <c r="O33" s="887"/>
      <c r="P33" s="3946"/>
      <c r="Q33" s="1412">
        <f t="shared" si="8"/>
        <v>111</v>
      </c>
      <c r="R33" s="559" t="s">
        <v>17</v>
      </c>
      <c r="S33" s="560">
        <f t="shared" si="10"/>
        <v>100</v>
      </c>
      <c r="T33" s="559" t="s">
        <v>17</v>
      </c>
      <c r="U33" s="560">
        <f t="shared" si="11"/>
        <v>100</v>
      </c>
      <c r="V33" s="559" t="s">
        <v>17</v>
      </c>
      <c r="W33" s="560">
        <f t="shared" si="12"/>
        <v>100</v>
      </c>
      <c r="X33" s="561"/>
      <c r="Y33" s="3946"/>
      <c r="Z33" s="562">
        <f t="shared" si="13"/>
        <v>111</v>
      </c>
      <c r="AA33" s="1413">
        <f t="shared" si="3"/>
        <v>1</v>
      </c>
      <c r="AB33" s="1413">
        <f t="shared" si="4"/>
        <v>1</v>
      </c>
      <c r="AC33" s="1413">
        <f t="shared" si="5"/>
        <v>1</v>
      </c>
    </row>
    <row r="34" spans="1:29" ht="15">
      <c r="A34" s="263" t="s">
        <v>2569</v>
      </c>
      <c r="B34" s="279" t="s">
        <v>2757</v>
      </c>
      <c r="C34" s="499"/>
      <c r="D34" s="290">
        <v>100</v>
      </c>
      <c r="E34" s="499"/>
      <c r="F34" s="290" t="e">
        <f>LOOKUP(E34,108:108,109:109)-LOOKUP(C34,108:108,109:109)+100</f>
        <v>#N/A</v>
      </c>
      <c r="G34" s="499"/>
      <c r="H34" s="290" t="e">
        <f>LOOKUP(G34,108:108,109:109)-LOOKUP(C34,108:108,109:109)+100</f>
        <v>#N/A</v>
      </c>
      <c r="I34" s="353"/>
      <c r="J34" s="290" t="e">
        <f>LOOKUP(I34,108:108,109:109)-LOOKUP(C34,108:108,109:109)+100</f>
        <v>#N/A</v>
      </c>
      <c r="K34" s="436"/>
      <c r="L34" s="885"/>
      <c r="M34" s="876"/>
      <c r="N34" s="876"/>
      <c r="O34" s="884"/>
      <c r="P34" s="3946"/>
      <c r="Q34" s="1412" t="str">
        <f>B34</f>
        <v>宗地面积</v>
      </c>
      <c r="R34" s="556" t="s">
        <v>17</v>
      </c>
      <c r="S34" s="557" t="e">
        <f t="shared" si="10"/>
        <v>#N/A</v>
      </c>
      <c r="T34" s="556" t="s">
        <v>17</v>
      </c>
      <c r="U34" s="557" t="e">
        <f t="shared" si="11"/>
        <v>#N/A</v>
      </c>
      <c r="V34" s="556" t="s">
        <v>17</v>
      </c>
      <c r="W34" s="557" t="e">
        <f t="shared" si="12"/>
        <v>#N/A</v>
      </c>
      <c r="X34" s="1415"/>
      <c r="Y34" s="3946"/>
      <c r="Z34" s="1416" t="str">
        <f t="shared" si="13"/>
        <v>宗地面积</v>
      </c>
      <c r="AA34" s="1413" t="e">
        <f t="shared" si="3"/>
        <v>#N/A</v>
      </c>
      <c r="AB34" s="1413" t="e">
        <f t="shared" si="4"/>
        <v>#N/A</v>
      </c>
      <c r="AC34" s="1413" t="e">
        <f t="shared" si="5"/>
        <v>#N/A</v>
      </c>
    </row>
    <row r="35" spans="1:29" ht="15">
      <c r="A35" s="295"/>
      <c r="B35" s="245" t="s">
        <v>2758</v>
      </c>
      <c r="C35" s="1818"/>
      <c r="D35" s="258">
        <v>100</v>
      </c>
      <c r="E35" s="1818"/>
      <c r="F35" s="258">
        <f>SUMIF(110:110,E35,111:111)-SUMIF(110:110,C35,111:111)+100</f>
        <v>100</v>
      </c>
      <c r="G35" s="1818"/>
      <c r="H35" s="258">
        <f>SUMIF(110:110,G35,111:111)-SUMIF(110:110,C35,111:111)+100</f>
        <v>100</v>
      </c>
      <c r="I35" s="1818"/>
      <c r="J35" s="258">
        <f>SUMIF(110:110,I35,111:111)-SUMIF(110:110,C35,111:111)+100</f>
        <v>100</v>
      </c>
      <c r="K35" s="435"/>
      <c r="L35" s="885"/>
      <c r="M35" s="876"/>
      <c r="N35" s="876"/>
      <c r="O35" s="884"/>
      <c r="P35" s="3946"/>
      <c r="Q35" s="1412" t="str">
        <f t="shared" ref="Q35:Q40" si="14">B35</f>
        <v>宗地形状</v>
      </c>
      <c r="R35" s="556" t="s">
        <v>17</v>
      </c>
      <c r="S35" s="557">
        <f t="shared" si="10"/>
        <v>100</v>
      </c>
      <c r="T35" s="556" t="s">
        <v>17</v>
      </c>
      <c r="U35" s="557">
        <f t="shared" si="11"/>
        <v>100</v>
      </c>
      <c r="V35" s="556" t="s">
        <v>17</v>
      </c>
      <c r="W35" s="557">
        <f t="shared" si="12"/>
        <v>100</v>
      </c>
      <c r="X35" s="1415"/>
      <c r="Y35" s="3946"/>
      <c r="Z35" s="1416" t="str">
        <f t="shared" si="13"/>
        <v>宗地形状</v>
      </c>
      <c r="AA35" s="1413">
        <f t="shared" si="3"/>
        <v>1</v>
      </c>
      <c r="AB35" s="1413">
        <f t="shared" si="4"/>
        <v>1</v>
      </c>
      <c r="AC35" s="1413">
        <f t="shared" si="5"/>
        <v>1</v>
      </c>
    </row>
    <row r="36" spans="1:29" s="51" customFormat="1" ht="15">
      <c r="A36" s="296"/>
      <c r="B36" s="245" t="s">
        <v>2760</v>
      </c>
      <c r="C36" s="1898"/>
      <c r="D36" s="53">
        <v>100</v>
      </c>
      <c r="E36" s="1898"/>
      <c r="F36" s="258">
        <f>SUMIF(112:112,E36,113:113)-SUMIF(112:112,C36,113:113)+100</f>
        <v>100</v>
      </c>
      <c r="G36" s="1898"/>
      <c r="H36" s="258">
        <f>SUMIF(112:112,G36,113:113)-SUMIF(112:112,C36,113:113)+100</f>
        <v>100</v>
      </c>
      <c r="I36" s="1898"/>
      <c r="J36" s="258">
        <f>SUMIF(112:112,I36,113:113)-SUMIF(112:112,C36,113:113)+100</f>
        <v>100</v>
      </c>
      <c r="K36" s="435"/>
      <c r="L36" s="877"/>
      <c r="M36" s="878"/>
      <c r="N36" s="878"/>
      <c r="O36" s="879"/>
      <c r="P36" s="3946"/>
      <c r="Q36" s="1412" t="str">
        <f t="shared" si="14"/>
        <v>宗地开发程度</v>
      </c>
      <c r="R36" s="552" t="s">
        <v>17</v>
      </c>
      <c r="S36" s="553">
        <f t="shared" si="10"/>
        <v>100</v>
      </c>
      <c r="T36" s="552" t="s">
        <v>17</v>
      </c>
      <c r="U36" s="553">
        <f t="shared" si="11"/>
        <v>100</v>
      </c>
      <c r="V36" s="552" t="s">
        <v>17</v>
      </c>
      <c r="W36" s="553">
        <f t="shared" si="12"/>
        <v>100</v>
      </c>
      <c r="X36" s="554"/>
      <c r="Y36" s="3946"/>
      <c r="Z36" s="40" t="str">
        <f t="shared" si="13"/>
        <v>宗地开发程度</v>
      </c>
      <c r="AA36" s="555">
        <f t="shared" si="3"/>
        <v>1</v>
      </c>
      <c r="AB36" s="555">
        <f t="shared" si="4"/>
        <v>1</v>
      </c>
      <c r="AC36" s="555">
        <f t="shared" si="5"/>
        <v>1</v>
      </c>
    </row>
    <row r="37" spans="1:29" ht="15">
      <c r="A37" s="295"/>
      <c r="B37" s="245" t="s">
        <v>2761</v>
      </c>
      <c r="C37" s="1818"/>
      <c r="D37" s="258">
        <v>100</v>
      </c>
      <c r="E37" s="1818"/>
      <c r="F37" s="258">
        <f>SUMIF(114:114,E37,115:115)-SUMIF(114:114,C37,115:115)+100</f>
        <v>100</v>
      </c>
      <c r="G37" s="1818"/>
      <c r="H37" s="258">
        <f>SUMIF(114:114,G37,115:115)-SUMIF(114:114,C37,115:115)+100</f>
        <v>100</v>
      </c>
      <c r="I37" s="1818"/>
      <c r="J37" s="258">
        <f>SUMIF(114:114,I37,115:115)-SUMIF(114:114,C37,115:115)+100</f>
        <v>100</v>
      </c>
      <c r="K37" s="435"/>
      <c r="L37" s="885"/>
      <c r="M37" s="876"/>
      <c r="N37" s="876"/>
      <c r="O37" s="884"/>
      <c r="P37" s="3946" t="s">
        <v>2571</v>
      </c>
      <c r="Q37" s="1412" t="str">
        <f t="shared" si="14"/>
        <v>工程地质条件</v>
      </c>
      <c r="R37" s="556" t="s">
        <v>17</v>
      </c>
      <c r="S37" s="557">
        <f t="shared" si="10"/>
        <v>100</v>
      </c>
      <c r="T37" s="556" t="s">
        <v>17</v>
      </c>
      <c r="U37" s="557">
        <f t="shared" si="11"/>
        <v>100</v>
      </c>
      <c r="V37" s="556" t="s">
        <v>17</v>
      </c>
      <c r="W37" s="557">
        <f t="shared" si="12"/>
        <v>100</v>
      </c>
      <c r="X37" s="1415"/>
      <c r="Y37" s="3946" t="s">
        <v>2571</v>
      </c>
      <c r="Z37" s="1416" t="str">
        <f t="shared" si="13"/>
        <v>工程地质条件</v>
      </c>
      <c r="AA37" s="1413">
        <f t="shared" si="3"/>
        <v>1</v>
      </c>
      <c r="AB37" s="1413">
        <f t="shared" si="4"/>
        <v>1</v>
      </c>
      <c r="AC37" s="1413">
        <f t="shared" si="5"/>
        <v>1</v>
      </c>
    </row>
    <row r="38" spans="1:29" ht="15">
      <c r="A38" s="295"/>
      <c r="B38" s="1064">
        <v>111</v>
      </c>
      <c r="C38" s="494"/>
      <c r="D38" s="258">
        <v>100</v>
      </c>
      <c r="E38" s="494"/>
      <c r="F38" s="258">
        <f>SUMIF(116:116,E38,117:117)-SUMIF(116:116,C38,117:117)+100</f>
        <v>100</v>
      </c>
      <c r="G38" s="494"/>
      <c r="H38" s="258">
        <f>SUMIF(116:116,G38,117:117)-SUMIF(116:116,C38,117:117)+100</f>
        <v>100</v>
      </c>
      <c r="I38" s="372"/>
      <c r="J38" s="258">
        <f>SUMIF(116:116,I38,117:117)-SUMIF(116:116,C38,117:117)+100</f>
        <v>100</v>
      </c>
      <c r="K38" s="436"/>
      <c r="L38" s="885"/>
      <c r="M38" s="876"/>
      <c r="N38" s="876"/>
      <c r="O38" s="884"/>
      <c r="P38" s="3946"/>
      <c r="Q38" s="1412">
        <f t="shared" si="14"/>
        <v>111</v>
      </c>
      <c r="R38" s="556" t="s">
        <v>17</v>
      </c>
      <c r="S38" s="557">
        <f t="shared" si="10"/>
        <v>100</v>
      </c>
      <c r="T38" s="556" t="s">
        <v>17</v>
      </c>
      <c r="U38" s="557">
        <f t="shared" si="11"/>
        <v>100</v>
      </c>
      <c r="V38" s="556" t="s">
        <v>17</v>
      </c>
      <c r="W38" s="557">
        <f t="shared" si="12"/>
        <v>100</v>
      </c>
      <c r="X38" s="1415"/>
      <c r="Y38" s="3946"/>
      <c r="Z38" s="1416">
        <f t="shared" si="13"/>
        <v>111</v>
      </c>
      <c r="AA38" s="1413">
        <f t="shared" si="3"/>
        <v>1</v>
      </c>
      <c r="AB38" s="1413">
        <f t="shared" si="4"/>
        <v>1</v>
      </c>
      <c r="AC38" s="1413">
        <f t="shared" si="5"/>
        <v>1</v>
      </c>
    </row>
    <row r="39" spans="1:29" ht="15">
      <c r="A39" s="295"/>
      <c r="B39" s="1064">
        <v>111</v>
      </c>
      <c r="C39" s="494"/>
      <c r="D39" s="258">
        <v>100</v>
      </c>
      <c r="E39" s="494"/>
      <c r="F39" s="258">
        <f>SUMIF(118:118,E39,119:119)-SUMIF(118:118,C39,119:119)+100</f>
        <v>100</v>
      </c>
      <c r="G39" s="494"/>
      <c r="H39" s="258">
        <f>SUMIF(118:118,G39,119:119)-SUMIF(118:118,C39,119:119)+100</f>
        <v>100</v>
      </c>
      <c r="I39" s="372"/>
      <c r="J39" s="258">
        <f>SUMIF(118:118,I39,119:119)-SUMIF(118:118,C39,119:119)+100</f>
        <v>100</v>
      </c>
      <c r="K39" s="436"/>
      <c r="L39" s="885"/>
      <c r="M39" s="876"/>
      <c r="N39" s="876"/>
      <c r="O39" s="884"/>
      <c r="P39" s="3946"/>
      <c r="Q39" s="1412">
        <f t="shared" si="14"/>
        <v>111</v>
      </c>
      <c r="R39" s="556" t="s">
        <v>17</v>
      </c>
      <c r="S39" s="557">
        <f t="shared" si="10"/>
        <v>100</v>
      </c>
      <c r="T39" s="556" t="s">
        <v>17</v>
      </c>
      <c r="U39" s="557">
        <f t="shared" si="11"/>
        <v>100</v>
      </c>
      <c r="V39" s="556" t="s">
        <v>17</v>
      </c>
      <c r="W39" s="557">
        <f t="shared" si="12"/>
        <v>100</v>
      </c>
      <c r="X39" s="1415"/>
      <c r="Y39" s="3946"/>
      <c r="Z39" s="1416">
        <f t="shared" si="13"/>
        <v>111</v>
      </c>
      <c r="AA39" s="1413">
        <f t="shared" si="3"/>
        <v>1</v>
      </c>
      <c r="AB39" s="1413">
        <f t="shared" si="4"/>
        <v>1</v>
      </c>
      <c r="AC39" s="1413">
        <f t="shared" si="5"/>
        <v>1</v>
      </c>
    </row>
    <row r="40" spans="1:29" s="294" customFormat="1" ht="15.75" thickBot="1">
      <c r="A40" s="291"/>
      <c r="B40" s="1064">
        <v>111</v>
      </c>
      <c r="C40" s="1899"/>
      <c r="D40" s="54">
        <v>100</v>
      </c>
      <c r="E40" s="494"/>
      <c r="F40" s="261">
        <f>SUMIF(120:120,E40,121:121)-SUMIF(120:120,C40,121:121)+100</f>
        <v>100</v>
      </c>
      <c r="G40" s="494"/>
      <c r="H40" s="261">
        <f>SUMIF(120:120,G40,121:121)-SUMIF(120:120,C40,121:121)+100</f>
        <v>100</v>
      </c>
      <c r="I40" s="372"/>
      <c r="J40" s="261">
        <f>SUMIF(120:120,I40,121:121)-SUMIF(120:120,C40,121:121)+100</f>
        <v>100</v>
      </c>
      <c r="K40" s="501"/>
      <c r="L40" s="883"/>
      <c r="M40" s="886"/>
      <c r="N40" s="886"/>
      <c r="O40" s="887"/>
      <c r="P40" s="3946"/>
      <c r="Q40" s="1412">
        <f t="shared" si="14"/>
        <v>111</v>
      </c>
      <c r="R40" s="559" t="s">
        <v>17</v>
      </c>
      <c r="S40" s="560">
        <f t="shared" si="10"/>
        <v>100</v>
      </c>
      <c r="T40" s="559" t="s">
        <v>17</v>
      </c>
      <c r="U40" s="560">
        <f t="shared" si="11"/>
        <v>100</v>
      </c>
      <c r="V40" s="559" t="s">
        <v>17</v>
      </c>
      <c r="W40" s="560">
        <f t="shared" si="12"/>
        <v>100</v>
      </c>
      <c r="X40" s="561"/>
      <c r="Y40" s="3946"/>
      <c r="Z40" s="562">
        <f t="shared" si="13"/>
        <v>111</v>
      </c>
      <c r="AA40" s="1413">
        <f t="shared" si="3"/>
        <v>1</v>
      </c>
      <c r="AB40" s="1413">
        <f t="shared" si="4"/>
        <v>1</v>
      </c>
      <c r="AC40" s="1413">
        <f t="shared" si="5"/>
        <v>1</v>
      </c>
    </row>
    <row r="41" spans="1:29" ht="15">
      <c r="A41" s="302" t="s">
        <v>2726</v>
      </c>
      <c r="B41" s="1900" t="s">
        <v>2806</v>
      </c>
      <c r="C41" s="502" t="s">
        <v>1</v>
      </c>
      <c r="D41" s="304"/>
      <c r="E41" s="305"/>
      <c r="F41" s="306"/>
      <c r="G41" s="307"/>
      <c r="H41" s="308"/>
      <c r="I41" s="305"/>
      <c r="J41" s="308"/>
      <c r="K41" s="565"/>
      <c r="L41" s="888"/>
      <c r="M41" s="876"/>
      <c r="N41" s="876"/>
      <c r="O41" s="889"/>
      <c r="P41" s="3939" t="str">
        <f>A41</f>
        <v>成交单价</v>
      </c>
      <c r="Q41" s="3939"/>
      <c r="R41" s="3934">
        <f>E41</f>
        <v>0</v>
      </c>
      <c r="S41" s="3934"/>
      <c r="T41" s="3934">
        <f>G41</f>
        <v>0</v>
      </c>
      <c r="U41" s="3934"/>
      <c r="V41" s="3934">
        <f>I41</f>
        <v>0</v>
      </c>
      <c r="W41" s="3934"/>
      <c r="X41" s="541"/>
      <c r="Y41" s="563"/>
      <c r="Z41" s="541"/>
      <c r="AA41" s="541"/>
      <c r="AB41" s="541"/>
      <c r="AC41" s="541"/>
    </row>
    <row r="42" spans="1:29" ht="15.75" thickBot="1">
      <c r="A42" s="309" t="s">
        <v>2675</v>
      </c>
      <c r="B42" s="503"/>
      <c r="C42" s="313" t="e">
        <f>R43</f>
        <v>#DIV/0!</v>
      </c>
      <c r="D42" s="312"/>
      <c r="E42" s="313" t="e">
        <f>R42</f>
        <v>#DIV/0!</v>
      </c>
      <c r="F42" s="314"/>
      <c r="G42" s="311" t="e">
        <f>T42</f>
        <v>#DIV/0!</v>
      </c>
      <c r="H42" s="312"/>
      <c r="I42" s="313" t="e">
        <f>V42</f>
        <v>#DIV/0!</v>
      </c>
      <c r="J42" s="312"/>
      <c r="K42" s="566"/>
      <c r="L42" s="888"/>
      <c r="M42" s="876"/>
      <c r="N42" s="876"/>
      <c r="O42" s="889"/>
      <c r="P42" s="3939" t="str">
        <f>A42</f>
        <v>比较价值（元/平方米）</v>
      </c>
      <c r="Q42" s="3939"/>
      <c r="R42" s="3971" t="e">
        <f>ROUND(PRODUCT(R41,AA7:AA40),0)</f>
        <v>#DIV/0!</v>
      </c>
      <c r="S42" s="3971"/>
      <c r="T42" s="3971" t="e">
        <f>ROUND(PRODUCT(T41,AB7:AB40),0)</f>
        <v>#DIV/0!</v>
      </c>
      <c r="U42" s="3971"/>
      <c r="V42" s="3971" t="e">
        <f>ROUND(PRODUCT(V41,AC7:AC40),0)</f>
        <v>#DIV/0!</v>
      </c>
      <c r="W42" s="3971"/>
      <c r="X42" s="541"/>
      <c r="Y42" s="541"/>
      <c r="Z42" s="541"/>
      <c r="AA42" s="541"/>
      <c r="AB42" s="541"/>
      <c r="AC42" s="541"/>
    </row>
    <row r="43" spans="1:29" ht="15.75" thickBot="1">
      <c r="A43" s="315" t="s">
        <v>2676</v>
      </c>
      <c r="B43" s="316"/>
      <c r="C43" s="317" t="e">
        <f>R43</f>
        <v>#DIV/0!</v>
      </c>
      <c r="D43" s="317"/>
      <c r="E43" s="317"/>
      <c r="F43" s="317"/>
      <c r="G43" s="317"/>
      <c r="H43" s="317"/>
      <c r="I43" s="317"/>
      <c r="J43" s="317"/>
      <c r="K43" s="567"/>
      <c r="L43" s="888"/>
      <c r="M43" s="876"/>
      <c r="N43" s="876"/>
      <c r="O43" s="889"/>
      <c r="P43" s="3936" t="str">
        <f>A43</f>
        <v>估价对象XX用房的比较价值（楼面单价，元/平方米）</v>
      </c>
      <c r="Q43" s="3937"/>
      <c r="R43" s="3972" t="e">
        <f>ROUND(AVERAGE(R42:V42),0)</f>
        <v>#DIV/0!</v>
      </c>
      <c r="S43" s="3972"/>
      <c r="T43" s="3972"/>
      <c r="U43" s="3972"/>
      <c r="V43" s="3972"/>
      <c r="W43" s="3972"/>
      <c r="X43" s="541"/>
      <c r="Y43" s="541"/>
      <c r="Z43" s="541"/>
      <c r="AA43" s="541"/>
      <c r="AB43" s="541"/>
      <c r="AC43" s="541"/>
    </row>
    <row r="44" spans="1:29">
      <c r="A44" s="889"/>
      <c r="B44" s="889"/>
      <c r="C44" s="889"/>
      <c r="D44" s="889"/>
      <c r="E44" s="889"/>
      <c r="F44" s="889"/>
      <c r="G44" s="892"/>
      <c r="H44" s="889"/>
      <c r="I44" s="889"/>
      <c r="J44" s="889"/>
      <c r="K44" s="858"/>
      <c r="L44" s="859"/>
      <c r="M44" s="876"/>
      <c r="N44" s="876"/>
      <c r="O44" s="889"/>
    </row>
    <row r="45" spans="1:29">
      <c r="A45" s="889"/>
      <c r="B45" s="889"/>
      <c r="C45" s="889"/>
      <c r="D45" s="889"/>
      <c r="E45" s="889"/>
      <c r="F45" s="889"/>
      <c r="G45" s="889"/>
      <c r="H45" s="889"/>
      <c r="I45" s="889"/>
      <c r="J45" s="889"/>
      <c r="K45" s="858"/>
      <c r="L45" s="859"/>
      <c r="M45" s="876"/>
      <c r="N45" s="876"/>
      <c r="O45" s="889"/>
    </row>
    <row r="46" spans="1:29" ht="13.5" customHeight="1">
      <c r="A46" s="889"/>
      <c r="B46" s="889"/>
      <c r="C46" s="320" t="s">
        <v>2677</v>
      </c>
      <c r="D46" s="321"/>
      <c r="E46" s="322" t="e">
        <f>IF(E41&lt;E42,E42/E41-1,E41/E42-1)</f>
        <v>#DIV/0!</v>
      </c>
      <c r="F46" s="323" t="e">
        <f>IF(OR(E46&gt;=0.3,E46&lt;=-0.3),"超过30%","")</f>
        <v>#DIV/0!</v>
      </c>
      <c r="G46" s="322" t="e">
        <f>IF(G41&lt;G42,G42/G41-1,G41/G42-1)</f>
        <v>#DIV/0!</v>
      </c>
      <c r="H46" s="323" t="e">
        <f>IF(OR(G46&gt;=0.3,G46&lt;=-0.3),"超过30%","")</f>
        <v>#DIV/0!</v>
      </c>
      <c r="I46" s="322" t="e">
        <f>IF(I41&lt;I42,I42/I41-1,I41/I42-1)</f>
        <v>#DIV/0!</v>
      </c>
      <c r="J46" s="323" t="e">
        <f>IF(OR(I46&gt;=0.3,I46&lt;=-0.3),"超过30%","")</f>
        <v>#DIV/0!</v>
      </c>
      <c r="K46" s="858"/>
      <c r="L46" s="859"/>
      <c r="M46" s="876"/>
      <c r="N46" s="876"/>
      <c r="O46" s="889"/>
    </row>
    <row r="47" spans="1:29" ht="13.5" customHeight="1">
      <c r="A47" s="889"/>
      <c r="B47" s="889"/>
      <c r="C47" s="320" t="s">
        <v>2678</v>
      </c>
      <c r="D47" s="324"/>
      <c r="E47" s="322" t="e">
        <f>IF(E42&lt;G42,G42/E42-1,E42/G42-1)</f>
        <v>#DIV/0!</v>
      </c>
      <c r="F47" s="323" t="e">
        <f>IF(OR(E47&gt;=0.2,E47&lt;=-0.2),"超过20%","")</f>
        <v>#DIV/0!</v>
      </c>
      <c r="G47" s="322" t="e">
        <f>IF(G42&lt;I42,I42/G42-1,G42/I42-1)</f>
        <v>#DIV/0!</v>
      </c>
      <c r="H47" s="323" t="e">
        <f>IF(OR(G47&gt;=0.2,G47&lt;=-0.2),"超过20%","")</f>
        <v>#DIV/0!</v>
      </c>
      <c r="I47" s="322" t="e">
        <f>IF(I42&lt;E42,E42/I42-1,I42/E42-1)</f>
        <v>#DIV/0!</v>
      </c>
      <c r="J47" s="323" t="e">
        <f>IF(OR(I47&gt;=0.2,I47&lt;=-0.2),"超过20%","")</f>
        <v>#DIV/0!</v>
      </c>
      <c r="K47" s="858"/>
      <c r="L47" s="859"/>
      <c r="M47" s="889"/>
      <c r="N47" s="889"/>
      <c r="O47" s="889"/>
    </row>
    <row r="48" spans="1:29" s="325" customFormat="1" ht="13.5" customHeight="1">
      <c r="A48" s="890"/>
      <c r="B48" s="890"/>
      <c r="C48" s="320" t="s">
        <v>2679</v>
      </c>
      <c r="D48" s="324"/>
      <c r="E48" s="322" t="e">
        <f>IF(E41&lt;G41,G41/E41-1,E41/G41-1)</f>
        <v>#DIV/0!</v>
      </c>
      <c r="F48" s="323" t="e">
        <f>IF(OR(E48&gt;=0.3,E48&lt;=-0.3),"超过30%","")</f>
        <v>#DIV/0!</v>
      </c>
      <c r="G48" s="322" t="e">
        <f>IF(G41&lt;I41,I41/G41-1,G41/I41-1)</f>
        <v>#DIV/0!</v>
      </c>
      <c r="H48" s="323" t="e">
        <f>IF(OR(G48&gt;=0.3,G48&lt;=-0.3),"超过30%","")</f>
        <v>#DIV/0!</v>
      </c>
      <c r="I48" s="322" t="e">
        <f>IF(I41&lt;E41,E41/I41-1,I41/E41-1)</f>
        <v>#DIV/0!</v>
      </c>
      <c r="J48" s="323" t="e">
        <f>IF(OR(I48&gt;=0.3,I48&lt;=-0.3),"超过30%","")</f>
        <v>#DIV/0!</v>
      </c>
      <c r="K48" s="893"/>
      <c r="L48" s="894"/>
      <c r="M48" s="890"/>
      <c r="N48" s="890"/>
      <c r="O48" s="890"/>
    </row>
    <row r="49" spans="1:17" s="325" customFormat="1" ht="15" thickBot="1">
      <c r="A49" s="890"/>
      <c r="B49" s="891"/>
      <c r="C49" s="544"/>
      <c r="D49" s="542"/>
      <c r="E49" s="542"/>
      <c r="F49" s="542"/>
      <c r="G49" s="542"/>
      <c r="H49" s="542"/>
      <c r="I49" s="542"/>
      <c r="J49" s="542"/>
      <c r="K49" s="893"/>
      <c r="L49" s="894"/>
      <c r="M49" s="890"/>
      <c r="N49" s="890"/>
      <c r="O49" s="890"/>
    </row>
    <row r="50" spans="1:17" ht="27">
      <c r="A50" s="504" t="s">
        <v>2764</v>
      </c>
      <c r="B50" s="505" t="s">
        <v>2765</v>
      </c>
      <c r="C50" s="1901" t="s">
        <v>2766</v>
      </c>
      <c r="D50" s="1902" t="s">
        <v>2767</v>
      </c>
      <c r="E50" s="506" t="s">
        <v>2768</v>
      </c>
      <c r="F50" s="507" t="s">
        <v>2769</v>
      </c>
      <c r="G50" s="3922" t="s">
        <v>2770</v>
      </c>
      <c r="H50" s="3973"/>
      <c r="I50" s="1416" t="s">
        <v>2807</v>
      </c>
      <c r="J50" s="1416" t="str">
        <f>项目基本情况!F35</f>
        <v>福建省福州市</v>
      </c>
      <c r="K50" s="1904" t="s">
        <v>2772</v>
      </c>
      <c r="L50" s="859"/>
      <c r="M50" s="889"/>
      <c r="N50" s="889"/>
      <c r="O50" s="889"/>
    </row>
    <row r="51" spans="1:17" s="512" customFormat="1">
      <c r="A51" s="508" t="s">
        <v>2773</v>
      </c>
      <c r="B51" s="509" t="e">
        <f>C43</f>
        <v>#DIV/0!</v>
      </c>
      <c r="C51" s="510">
        <v>1</v>
      </c>
      <c r="D51" s="908">
        <v>1</v>
      </c>
      <c r="E51" s="510">
        <f>'数据-汇总表'!E8+'数据-汇总表'!E9</f>
        <v>22765.390000000003</v>
      </c>
      <c r="F51" s="511" t="e">
        <f t="shared" ref="F51:F60" si="15">ROUND(B51*E51/10000,0)</f>
        <v>#DIV/0!</v>
      </c>
      <c r="G51" s="3920"/>
      <c r="H51" s="3939"/>
      <c r="I51" s="707">
        <v>1</v>
      </c>
      <c r="J51" s="707">
        <v>1</v>
      </c>
      <c r="K51" s="890"/>
      <c r="L51" s="706"/>
      <c r="M51" s="706"/>
      <c r="N51" s="706"/>
      <c r="O51" s="706"/>
    </row>
    <row r="52" spans="1:17" s="512" customFormat="1">
      <c r="A52" s="513" t="s">
        <v>2774</v>
      </c>
      <c r="B52" s="88" t="e">
        <f>ROUND($C$43*C52*D52,0)</f>
        <v>#DIV/0!</v>
      </c>
      <c r="C52" s="62">
        <f t="shared" ref="C52:C60" si="16">IF($C$50="北京市系数",I52,J52)</f>
        <v>0</v>
      </c>
      <c r="D52" s="909">
        <v>0.25</v>
      </c>
      <c r="E52" s="514"/>
      <c r="F52" s="511" t="e">
        <f t="shared" si="15"/>
        <v>#DIV/0!</v>
      </c>
      <c r="G52" s="3974" t="s">
        <v>2775</v>
      </c>
      <c r="H52" s="857">
        <f>项目基本情况!B37</f>
        <v>0</v>
      </c>
      <c r="I52" s="707">
        <f>SUMIF(修正!A45:A56,H52,修正!B45:B56)</f>
        <v>0</v>
      </c>
      <c r="J52" s="708"/>
      <c r="K52" s="889"/>
      <c r="L52" s="706"/>
      <c r="M52" s="706"/>
      <c r="N52" s="706"/>
      <c r="O52" s="706"/>
    </row>
    <row r="53" spans="1:17" s="512" customFormat="1">
      <c r="A53" s="513" t="s">
        <v>2776</v>
      </c>
      <c r="B53" s="88" t="e">
        <f t="shared" ref="B53:B60" si="17">ROUND($C$43*C53*D53,0)</f>
        <v>#DIV/0!</v>
      </c>
      <c r="C53" s="62">
        <f t="shared" si="16"/>
        <v>0</v>
      </c>
      <c r="D53" s="909">
        <v>0.25</v>
      </c>
      <c r="E53" s="514"/>
      <c r="F53" s="511" t="e">
        <f t="shared" si="15"/>
        <v>#DIV/0!</v>
      </c>
      <c r="G53" s="3974"/>
      <c r="H53" s="857">
        <f>项目基本情况!B37</f>
        <v>0</v>
      </c>
      <c r="I53" s="707">
        <f>SUMIF(修正!A45:A56,H53,修正!C45:C56)</f>
        <v>0</v>
      </c>
      <c r="J53" s="708"/>
      <c r="K53" s="890"/>
      <c r="L53" s="706"/>
      <c r="M53" s="706"/>
      <c r="N53" s="706"/>
      <c r="O53" s="706"/>
    </row>
    <row r="54" spans="1:17" s="512" customFormat="1">
      <c r="A54" s="513" t="s">
        <v>2777</v>
      </c>
      <c r="B54" s="88" t="e">
        <f t="shared" si="17"/>
        <v>#DIV/0!</v>
      </c>
      <c r="C54" s="62">
        <f t="shared" si="16"/>
        <v>0</v>
      </c>
      <c r="D54" s="909">
        <v>0.25</v>
      </c>
      <c r="E54" s="514"/>
      <c r="F54" s="511" t="e">
        <f t="shared" si="15"/>
        <v>#DIV/0!</v>
      </c>
      <c r="G54" s="3974"/>
      <c r="H54" s="857">
        <f>项目基本情况!B37</f>
        <v>0</v>
      </c>
      <c r="I54" s="707">
        <f>SUMIF(修正!A45:A56,H54,修正!D45:D56)</f>
        <v>0</v>
      </c>
      <c r="J54" s="708"/>
      <c r="K54" s="889"/>
      <c r="L54" s="706"/>
      <c r="M54" s="706"/>
      <c r="N54" s="706"/>
      <c r="O54" s="706"/>
    </row>
    <row r="55" spans="1:17" s="512" customFormat="1">
      <c r="A55" s="513" t="s">
        <v>2778</v>
      </c>
      <c r="B55" s="88" t="e">
        <f t="shared" si="17"/>
        <v>#DIV/0!</v>
      </c>
      <c r="C55" s="62">
        <f t="shared" si="16"/>
        <v>0</v>
      </c>
      <c r="D55" s="909">
        <v>0.25</v>
      </c>
      <c r="E55" s="514"/>
      <c r="F55" s="511" t="e">
        <f t="shared" si="15"/>
        <v>#DIV/0!</v>
      </c>
      <c r="G55" s="3974"/>
      <c r="H55" s="857">
        <f>项目基本情况!B37</f>
        <v>0</v>
      </c>
      <c r="I55" s="707">
        <f>SUMIF(修正!A45:A56,H55,修正!E45:E56)</f>
        <v>0</v>
      </c>
      <c r="J55" s="708"/>
      <c r="K55" s="890"/>
      <c r="L55" s="706"/>
      <c r="M55" s="706"/>
      <c r="N55" s="706"/>
      <c r="O55" s="706"/>
    </row>
    <row r="56" spans="1:17" s="512" customFormat="1">
      <c r="A56" s="513" t="s">
        <v>2779</v>
      </c>
      <c r="B56" s="88" t="e">
        <f t="shared" si="17"/>
        <v>#DIV/0!</v>
      </c>
      <c r="C56" s="62">
        <f t="shared" si="16"/>
        <v>0</v>
      </c>
      <c r="D56" s="909">
        <v>0.25</v>
      </c>
      <c r="E56" s="87">
        <f>'数据-汇总表'!E11</f>
        <v>0</v>
      </c>
      <c r="F56" s="511" t="e">
        <f t="shared" si="15"/>
        <v>#DIV/0!</v>
      </c>
      <c r="G56" s="1905" t="s">
        <v>2780</v>
      </c>
      <c r="H56" s="857">
        <f>项目基本情况!C37</f>
        <v>0</v>
      </c>
      <c r="I56" s="707">
        <f>SUMIF(修正!A45:A56,H56,修正!F45:F56)</f>
        <v>0</v>
      </c>
      <c r="J56" s="708"/>
      <c r="K56" s="889"/>
      <c r="L56" s="706"/>
      <c r="M56" s="706"/>
      <c r="N56" s="706"/>
      <c r="O56" s="706"/>
    </row>
    <row r="57" spans="1:17" s="512" customFormat="1">
      <c r="A57" s="513" t="s">
        <v>2781</v>
      </c>
      <c r="B57" s="88" t="e">
        <f t="shared" si="17"/>
        <v>#DIV/0!</v>
      </c>
      <c r="C57" s="62">
        <f t="shared" si="16"/>
        <v>0</v>
      </c>
      <c r="D57" s="909">
        <v>0.25</v>
      </c>
      <c r="E57" s="87">
        <f>'数据-汇总表'!E12</f>
        <v>0</v>
      </c>
      <c r="F57" s="511" t="e">
        <f t="shared" si="15"/>
        <v>#DIV/0!</v>
      </c>
      <c r="G57" s="862" t="s">
        <v>2782</v>
      </c>
      <c r="H57" s="857">
        <f>IF(G57="商业",项目基本情况!B37,IF(G57="办公",项目基本情况!C37,IF(G57="住宅",项目基本情况!D37,项目基本情况!E37)))</f>
        <v>0</v>
      </c>
      <c r="I57" s="707">
        <f>SUMIF(修正!A45:A56,H57,修正!G45:G56)</f>
        <v>0</v>
      </c>
      <c r="J57" s="708"/>
      <c r="K57" s="890"/>
      <c r="L57" s="706"/>
      <c r="M57" s="706"/>
      <c r="N57" s="706"/>
      <c r="O57" s="706"/>
    </row>
    <row r="58" spans="1:17" s="512" customFormat="1">
      <c r="A58" s="513" t="s">
        <v>2783</v>
      </c>
      <c r="B58" s="88" t="e">
        <f t="shared" si="17"/>
        <v>#DIV/0!</v>
      </c>
      <c r="C58" s="62">
        <f t="shared" si="16"/>
        <v>0</v>
      </c>
      <c r="D58" s="909">
        <v>0.25</v>
      </c>
      <c r="E58" s="87">
        <f>'数据-汇总表'!E13</f>
        <v>0</v>
      </c>
      <c r="F58" s="511" t="e">
        <f t="shared" si="15"/>
        <v>#DIV/0!</v>
      </c>
      <c r="G58" s="862" t="s">
        <v>2784</v>
      </c>
      <c r="H58" s="857">
        <f>IF(G58="商业",项目基本情况!B37,IF(G58="办公",项目基本情况!C37,IF(G58="住宅",项目基本情况!D37,项目基本情况!E37)))</f>
        <v>0</v>
      </c>
      <c r="I58" s="707">
        <f>SUMIF(修正!A45:A56,H58,修正!H45:H56)</f>
        <v>0</v>
      </c>
      <c r="J58" s="708"/>
      <c r="K58" s="889"/>
      <c r="L58" s="706"/>
      <c r="M58" s="706"/>
      <c r="N58" s="706"/>
      <c r="O58" s="706"/>
    </row>
    <row r="59" spans="1:17" s="512" customFormat="1">
      <c r="A59" s="513" t="s">
        <v>2785</v>
      </c>
      <c r="B59" s="88" t="e">
        <f t="shared" si="17"/>
        <v>#DIV/0!</v>
      </c>
      <c r="C59" s="62">
        <f t="shared" si="16"/>
        <v>0</v>
      </c>
      <c r="D59" s="909">
        <v>0.25</v>
      </c>
      <c r="E59" s="87">
        <f>'数据-汇总表'!E14</f>
        <v>0</v>
      </c>
      <c r="F59" s="511" t="e">
        <f t="shared" si="15"/>
        <v>#DIV/0!</v>
      </c>
      <c r="G59" s="1905" t="s">
        <v>2775</v>
      </c>
      <c r="H59" s="857">
        <f>项目基本情况!B37</f>
        <v>0</v>
      </c>
      <c r="I59" s="707">
        <f>SUMIF(修正!A45:A56,H59,修正!H45:H56)</f>
        <v>0</v>
      </c>
      <c r="J59" s="708"/>
      <c r="K59" s="890"/>
      <c r="L59" s="706"/>
      <c r="M59" s="706"/>
      <c r="N59" s="706"/>
      <c r="O59" s="706"/>
    </row>
    <row r="60" spans="1:17" s="512" customFormat="1" ht="15" thickBot="1">
      <c r="A60" s="513" t="s">
        <v>2786</v>
      </c>
      <c r="B60" s="88" t="e">
        <f t="shared" si="17"/>
        <v>#DIV/0!</v>
      </c>
      <c r="C60" s="62">
        <f t="shared" si="16"/>
        <v>0</v>
      </c>
      <c r="D60" s="909">
        <v>0.25</v>
      </c>
      <c r="E60" s="87">
        <f>'数据-汇总表'!E15</f>
        <v>0</v>
      </c>
      <c r="F60" s="511" t="e">
        <f t="shared" si="15"/>
        <v>#DIV/0!</v>
      </c>
      <c r="G60" s="1906" t="s">
        <v>2780</v>
      </c>
      <c r="H60" s="867">
        <f>项目基本情况!C37</f>
        <v>0</v>
      </c>
      <c r="I60" s="707">
        <f>SUMIF(修正!A45:A56,H60,修正!H45:H56)</f>
        <v>0</v>
      </c>
      <c r="J60" s="708"/>
      <c r="K60" s="889"/>
      <c r="L60" s="706"/>
      <c r="M60" s="706"/>
      <c r="N60" s="706"/>
      <c r="O60" s="706"/>
    </row>
    <row r="61" spans="1:17" s="512" customFormat="1" ht="15" thickBot="1">
      <c r="A61" s="515" t="s">
        <v>2787</v>
      </c>
      <c r="B61" s="516" t="s">
        <v>28</v>
      </c>
      <c r="C61" s="516" t="s">
        <v>29</v>
      </c>
      <c r="D61" s="516" t="s">
        <v>1029</v>
      </c>
      <c r="E61" s="516">
        <f>IF(B41="楼面地价",SUM(E51:E60),'数据-汇总表'!D3)</f>
        <v>13197.02</v>
      </c>
      <c r="F61" s="517" t="e">
        <f>IF(B41="楼面地价",SUM(F51:F60),ROUND(C43*E61/10000,0))</f>
        <v>#DIV/0!</v>
      </c>
      <c r="G61" s="903"/>
      <c r="H61" s="903"/>
      <c r="I61" s="903"/>
      <c r="J61" s="903"/>
      <c r="K61" s="858"/>
      <c r="L61" s="706"/>
      <c r="M61" s="706"/>
      <c r="N61" s="706"/>
      <c r="O61" s="706"/>
    </row>
    <row r="62" spans="1:17">
      <c r="A62" s="889"/>
      <c r="B62" s="891"/>
      <c r="C62" s="895"/>
      <c r="D62" s="889"/>
      <c r="E62" s="889"/>
      <c r="F62" s="889"/>
      <c r="G62" s="889"/>
      <c r="H62" s="889"/>
      <c r="I62" s="889"/>
      <c r="J62" s="889"/>
      <c r="K62" s="858"/>
      <c r="L62" s="859"/>
      <c r="M62" s="889"/>
      <c r="N62" s="889"/>
      <c r="O62" s="889"/>
    </row>
    <row r="63" spans="1:17">
      <c r="A63" s="889"/>
      <c r="B63" s="891"/>
      <c r="C63" s="543" t="str">
        <f>YEAR(C7)&amp;"-"&amp;MONTH(C7)&amp;"-1"</f>
        <v>2017-12-1</v>
      </c>
      <c r="D63" s="543">
        <f>EDATE(C63,-3)</f>
        <v>42979</v>
      </c>
      <c r="E63" s="543">
        <f>EDATE(D63,-3)</f>
        <v>42887</v>
      </c>
      <c r="F63" s="543">
        <f t="shared" ref="F63:O63" si="18">EDATE(E63,-3)</f>
        <v>42795</v>
      </c>
      <c r="G63" s="543">
        <f t="shared" si="18"/>
        <v>42705</v>
      </c>
      <c r="H63" s="543">
        <f t="shared" si="18"/>
        <v>42614</v>
      </c>
      <c r="I63" s="543">
        <f t="shared" si="18"/>
        <v>42522</v>
      </c>
      <c r="J63" s="543">
        <f t="shared" si="18"/>
        <v>42430</v>
      </c>
      <c r="K63" s="543">
        <f t="shared" si="18"/>
        <v>42339</v>
      </c>
      <c r="L63" s="543">
        <f t="shared" si="18"/>
        <v>42248</v>
      </c>
      <c r="M63" s="543">
        <f t="shared" si="18"/>
        <v>42156</v>
      </c>
      <c r="N63" s="543">
        <f t="shared" si="18"/>
        <v>42064</v>
      </c>
      <c r="O63" s="543">
        <f t="shared" si="18"/>
        <v>41974</v>
      </c>
    </row>
    <row r="64" spans="1:17" ht="21.75" thickBot="1">
      <c r="A64" s="545" t="s">
        <v>2680</v>
      </c>
      <c r="B64" s="541"/>
      <c r="C64" s="546"/>
      <c r="D64" s="546"/>
      <c r="E64" s="546"/>
      <c r="F64" s="547"/>
      <c r="G64" s="547"/>
      <c r="H64" s="546"/>
      <c r="I64" s="546"/>
      <c r="J64" s="546"/>
      <c r="K64" s="548"/>
      <c r="L64" s="549"/>
      <c r="M64" s="546"/>
      <c r="N64" s="546"/>
      <c r="O64" s="904"/>
      <c r="P64" s="326"/>
      <c r="Q64" s="327"/>
    </row>
    <row r="65" spans="1:17" s="331" customFormat="1" ht="15">
      <c r="A65" s="1907" t="s">
        <v>2788</v>
      </c>
      <c r="B65" s="1038"/>
      <c r="C65" s="1235" t="str">
        <f>YEAR(C63)&amp;"-"&amp;ROUNDUP(MONTH(C63)/3,0)</f>
        <v>2017-4</v>
      </c>
      <c r="D65" s="1235" t="str">
        <f t="shared" ref="D65:O65" si="19">YEAR(D63)&amp;"-"&amp;ROUNDUP(MONTH(D63)/3,0)</f>
        <v>2017-3</v>
      </c>
      <c r="E65" s="1235" t="str">
        <f t="shared" si="19"/>
        <v>2017-2</v>
      </c>
      <c r="F65" s="1235" t="str">
        <f t="shared" si="19"/>
        <v>2017-1</v>
      </c>
      <c r="G65" s="1235" t="str">
        <f t="shared" si="19"/>
        <v>2016-4</v>
      </c>
      <c r="H65" s="1235" t="str">
        <f t="shared" si="19"/>
        <v>2016-3</v>
      </c>
      <c r="I65" s="1235" t="str">
        <f t="shared" si="19"/>
        <v>2016-2</v>
      </c>
      <c r="J65" s="1235" t="str">
        <f t="shared" si="19"/>
        <v>2016-1</v>
      </c>
      <c r="K65" s="1235" t="str">
        <f t="shared" si="19"/>
        <v>2015-4</v>
      </c>
      <c r="L65" s="1235" t="str">
        <f t="shared" si="19"/>
        <v>2015-3</v>
      </c>
      <c r="M65" s="1235" t="str">
        <f t="shared" si="19"/>
        <v>2015-2</v>
      </c>
      <c r="N65" s="1235" t="str">
        <f t="shared" si="19"/>
        <v>2015-1</v>
      </c>
      <c r="O65" s="1235" t="str">
        <f t="shared" si="19"/>
        <v>2014-4</v>
      </c>
      <c r="P65" s="330"/>
    </row>
    <row r="66" spans="1:17" s="51" customFormat="1" ht="30.75" customHeight="1">
      <c r="A66" s="1912" t="s">
        <v>2808</v>
      </c>
      <c r="B66" s="158" t="str">
        <f>"北京市平均增长率"&amp;TEXT(基准地价修正!P24,"0.00%")</f>
        <v>北京市平均增长率1.39%</v>
      </c>
      <c r="C66" s="426">
        <v>100</v>
      </c>
      <c r="D66" s="418"/>
      <c r="E66" s="418"/>
      <c r="F66" s="418"/>
      <c r="G66" s="418"/>
      <c r="H66" s="418"/>
      <c r="I66" s="418"/>
      <c r="J66" s="418"/>
      <c r="K66" s="418"/>
      <c r="L66" s="418"/>
      <c r="M66" s="1230"/>
      <c r="N66" s="1230"/>
      <c r="O66" s="1232"/>
      <c r="P66" s="327"/>
    </row>
    <row r="67" spans="1:17" s="51" customFormat="1" ht="15.75" thickBot="1">
      <c r="A67" s="338" t="s">
        <v>2591</v>
      </c>
      <c r="B67" s="339"/>
      <c r="C67" s="340"/>
      <c r="D67" s="341"/>
      <c r="E67" s="341"/>
      <c r="F67" s="341"/>
      <c r="G67" s="341"/>
      <c r="H67" s="341"/>
      <c r="I67" s="341"/>
      <c r="J67" s="341"/>
      <c r="K67" s="341"/>
      <c r="L67" s="341"/>
      <c r="M67" s="342"/>
      <c r="N67" s="342"/>
      <c r="O67" s="343"/>
      <c r="P67" s="327"/>
      <c r="Q67" s="327"/>
    </row>
    <row r="68" spans="1:17" s="51" customFormat="1" ht="15">
      <c r="A68" s="344" t="s">
        <v>2556</v>
      </c>
      <c r="B68" s="333"/>
      <c r="C68" s="345" t="s">
        <v>2658</v>
      </c>
      <c r="D68" s="346"/>
      <c r="E68" s="346"/>
      <c r="F68" s="346"/>
      <c r="G68" s="346"/>
      <c r="H68" s="346"/>
      <c r="I68" s="346"/>
      <c r="J68" s="346"/>
      <c r="K68" s="346"/>
      <c r="L68" s="347"/>
      <c r="M68" s="348"/>
      <c r="N68" s="896"/>
      <c r="O68" s="896"/>
      <c r="P68" s="349"/>
      <c r="Q68" s="327"/>
    </row>
    <row r="69" spans="1:17" s="51" customFormat="1" ht="15.75" thickBot="1">
      <c r="A69" s="344"/>
      <c r="B69" s="333"/>
      <c r="C69" s="459">
        <v>100</v>
      </c>
      <c r="D69" s="335"/>
      <c r="E69" s="335"/>
      <c r="F69" s="335"/>
      <c r="G69" s="335"/>
      <c r="H69" s="335"/>
      <c r="I69" s="335"/>
      <c r="J69" s="335"/>
      <c r="K69" s="335"/>
      <c r="L69" s="335"/>
      <c r="M69" s="337"/>
      <c r="N69" s="896"/>
      <c r="O69" s="896"/>
      <c r="P69" s="327"/>
      <c r="Q69" s="327"/>
    </row>
    <row r="70" spans="1:17">
      <c r="A70" s="350" t="s">
        <v>2594</v>
      </c>
      <c r="B70" s="351" t="s">
        <v>2560</v>
      </c>
      <c r="C70" s="353"/>
      <c r="D70" s="353"/>
      <c r="E70" s="353"/>
      <c r="F70" s="353"/>
      <c r="G70" s="353"/>
      <c r="H70" s="353"/>
      <c r="I70" s="353"/>
      <c r="J70" s="353"/>
      <c r="K70" s="354"/>
      <c r="L70" s="355"/>
      <c r="M70" s="356"/>
      <c r="N70" s="897"/>
      <c r="O70" s="897"/>
      <c r="P70" s="38"/>
      <c r="Q70" s="327"/>
    </row>
    <row r="71" spans="1:17" ht="15.75" thickBot="1">
      <c r="A71" s="357"/>
      <c r="B71" s="358"/>
      <c r="C71" s="359"/>
      <c r="D71" s="359"/>
      <c r="E71" s="359"/>
      <c r="F71" s="359"/>
      <c r="G71" s="359"/>
      <c r="H71" s="359"/>
      <c r="I71" s="359"/>
      <c r="J71" s="359"/>
      <c r="K71" s="359"/>
      <c r="L71" s="359"/>
      <c r="M71" s="360"/>
      <c r="N71" s="898"/>
      <c r="O71" s="898"/>
      <c r="P71" s="38"/>
      <c r="Q71" s="327"/>
    </row>
    <row r="72" spans="1:17" ht="27.75" thickTop="1">
      <c r="A72" s="357"/>
      <c r="B72" s="361" t="s">
        <v>2563</v>
      </c>
      <c r="C72" s="362"/>
      <c r="D72" s="362"/>
      <c r="E72" s="362"/>
      <c r="F72" s="362"/>
      <c r="G72" s="362"/>
      <c r="H72" s="362"/>
      <c r="I72" s="362"/>
      <c r="J72" s="362"/>
      <c r="K72" s="363"/>
      <c r="L72" s="364"/>
      <c r="M72" s="365"/>
      <c r="N72" s="897"/>
      <c r="O72" s="897"/>
      <c r="P72" s="38"/>
      <c r="Q72" s="327"/>
    </row>
    <row r="73" spans="1:17" ht="15.75" thickBot="1">
      <c r="A73" s="357"/>
      <c r="B73" s="366"/>
      <c r="C73" s="367"/>
      <c r="D73" s="367"/>
      <c r="E73" s="367"/>
      <c r="F73" s="367"/>
      <c r="G73" s="367"/>
      <c r="H73" s="367"/>
      <c r="I73" s="367"/>
      <c r="J73" s="367"/>
      <c r="K73" s="367"/>
      <c r="L73" s="367"/>
      <c r="M73" s="368"/>
      <c r="N73" s="898"/>
      <c r="O73" s="898"/>
      <c r="P73" s="38"/>
      <c r="Q73" s="327"/>
    </row>
    <row r="74" spans="1:17" ht="15.75" thickTop="1">
      <c r="A74" s="357"/>
      <c r="B74" s="369" t="s">
        <v>2564</v>
      </c>
      <c r="C74" s="370" t="str">
        <f>C75&amp;"（含）"&amp;"-"&amp;D75</f>
        <v>（含）-</v>
      </c>
      <c r="D74" s="370" t="str">
        <f t="shared" ref="D74:L74" si="20">D75&amp;"（含）"&amp;"-"&amp;E75</f>
        <v>（含）-</v>
      </c>
      <c r="E74" s="370" t="str">
        <f t="shared" si="20"/>
        <v>（含）-</v>
      </c>
      <c r="F74" s="370" t="str">
        <f t="shared" si="20"/>
        <v>（含）-</v>
      </c>
      <c r="G74" s="370" t="str">
        <f t="shared" si="20"/>
        <v>（含）-</v>
      </c>
      <c r="H74" s="370" t="str">
        <f t="shared" si="20"/>
        <v>（含）-</v>
      </c>
      <c r="I74" s="370" t="str">
        <f t="shared" si="20"/>
        <v>（含）-</v>
      </c>
      <c r="J74" s="370" t="str">
        <f t="shared" si="20"/>
        <v>（含）-</v>
      </c>
      <c r="K74" s="370" t="str">
        <f t="shared" si="20"/>
        <v>（含）-</v>
      </c>
      <c r="L74" s="370" t="str">
        <f t="shared" si="20"/>
        <v>（含）-</v>
      </c>
      <c r="M74" s="271" t="str">
        <f>M75&amp;"（含）"&amp;"-"&amp;P75</f>
        <v>（含）-</v>
      </c>
      <c r="N74" s="898"/>
      <c r="O74" s="898"/>
      <c r="P74" s="38"/>
      <c r="Q74" s="327"/>
    </row>
    <row r="75" spans="1:17" ht="15">
      <c r="A75" s="357"/>
      <c r="B75" s="371"/>
      <c r="C75" s="372"/>
      <c r="D75" s="372"/>
      <c r="E75" s="372"/>
      <c r="F75" s="372"/>
      <c r="G75" s="372"/>
      <c r="H75" s="372"/>
      <c r="I75" s="372"/>
      <c r="J75" s="372"/>
      <c r="K75" s="373"/>
      <c r="L75" s="374"/>
      <c r="M75" s="375"/>
      <c r="N75" s="897"/>
      <c r="O75" s="897"/>
      <c r="P75" s="38"/>
      <c r="Q75" s="327"/>
    </row>
    <row r="76" spans="1:17" ht="15.75" thickBot="1">
      <c r="A76" s="357"/>
      <c r="B76" s="358"/>
      <c r="C76" s="367">
        <v>100</v>
      </c>
      <c r="D76" s="367">
        <f>IF($B$41="单位面积地价",C76+$K11,C76-$K11)</f>
        <v>100</v>
      </c>
      <c r="E76" s="367">
        <f t="shared" ref="E76:M76" si="21">IF($B$41="单位面积地价",D76+$K11,D76-$K11)</f>
        <v>100</v>
      </c>
      <c r="F76" s="367">
        <f t="shared" si="21"/>
        <v>100</v>
      </c>
      <c r="G76" s="367">
        <f t="shared" si="21"/>
        <v>100</v>
      </c>
      <c r="H76" s="367">
        <f t="shared" si="21"/>
        <v>100</v>
      </c>
      <c r="I76" s="367">
        <f t="shared" si="21"/>
        <v>100</v>
      </c>
      <c r="J76" s="367">
        <f t="shared" si="21"/>
        <v>100</v>
      </c>
      <c r="K76" s="367">
        <f t="shared" si="21"/>
        <v>100</v>
      </c>
      <c r="L76" s="367">
        <f t="shared" si="21"/>
        <v>100</v>
      </c>
      <c r="M76" s="367">
        <f t="shared" si="21"/>
        <v>100</v>
      </c>
      <c r="N76" s="898"/>
      <c r="O76" s="898"/>
      <c r="P76" s="38"/>
      <c r="Q76" s="327"/>
    </row>
    <row r="77" spans="1:17" s="294" customFormat="1" ht="15.75" thickTop="1">
      <c r="A77" s="376"/>
      <c r="B77" s="361">
        <f>B12</f>
        <v>111</v>
      </c>
      <c r="C77" s="377"/>
      <c r="D77" s="377"/>
      <c r="E77" s="377"/>
      <c r="F77" s="377"/>
      <c r="G77" s="377"/>
      <c r="H77" s="378"/>
      <c r="I77" s="378"/>
      <c r="J77" s="378"/>
      <c r="K77" s="378"/>
      <c r="L77" s="379"/>
      <c r="M77" s="380"/>
      <c r="N77" s="899"/>
      <c r="O77" s="899"/>
      <c r="P77" s="381"/>
      <c r="Q77" s="382"/>
    </row>
    <row r="78" spans="1:17" s="294" customFormat="1" ht="15.75" thickBot="1">
      <c r="A78" s="376"/>
      <c r="B78" s="366"/>
      <c r="C78" s="383"/>
      <c r="D78" s="359"/>
      <c r="E78" s="359"/>
      <c r="F78" s="359"/>
      <c r="G78" s="359"/>
      <c r="H78" s="359"/>
      <c r="I78" s="359"/>
      <c r="J78" s="359"/>
      <c r="K78" s="359"/>
      <c r="L78" s="359"/>
      <c r="M78" s="360"/>
      <c r="N78" s="898"/>
      <c r="O78" s="898"/>
      <c r="P78" s="381"/>
      <c r="Q78" s="382"/>
    </row>
    <row r="79" spans="1:17" s="294" customFormat="1" ht="15.75" thickTop="1">
      <c r="A79" s="376"/>
      <c r="B79" s="361">
        <f>B13</f>
        <v>111</v>
      </c>
      <c r="C79" s="377"/>
      <c r="D79" s="377"/>
      <c r="E79" s="377"/>
      <c r="F79" s="377"/>
      <c r="G79" s="377"/>
      <c r="H79" s="378"/>
      <c r="I79" s="378"/>
      <c r="J79" s="378"/>
      <c r="K79" s="378"/>
      <c r="L79" s="379"/>
      <c r="M79" s="380"/>
      <c r="N79" s="899"/>
      <c r="O79" s="899"/>
      <c r="P79" s="293"/>
      <c r="Q79" s="384"/>
    </row>
    <row r="80" spans="1:17" s="294" customFormat="1" ht="15.75" thickBot="1">
      <c r="A80" s="376"/>
      <c r="B80" s="366"/>
      <c r="C80" s="383"/>
      <c r="D80" s="383"/>
      <c r="E80" s="383"/>
      <c r="F80" s="383"/>
      <c r="G80" s="383"/>
      <c r="H80" s="385"/>
      <c r="I80" s="385"/>
      <c r="J80" s="385"/>
      <c r="K80" s="385"/>
      <c r="L80" s="385"/>
      <c r="M80" s="386"/>
      <c r="N80" s="899"/>
      <c r="O80" s="899"/>
      <c r="P80" s="381"/>
      <c r="Q80" s="382"/>
    </row>
    <row r="81" spans="1:17" s="294" customFormat="1" ht="15.75" thickTop="1">
      <c r="A81" s="376"/>
      <c r="B81" s="369">
        <f>B14</f>
        <v>111</v>
      </c>
      <c r="C81" s="346"/>
      <c r="D81" s="346"/>
      <c r="E81" s="346"/>
      <c r="F81" s="346"/>
      <c r="G81" s="346"/>
      <c r="H81" s="387"/>
      <c r="I81" s="387"/>
      <c r="J81" s="387"/>
      <c r="K81" s="387"/>
      <c r="L81" s="388"/>
      <c r="M81" s="389"/>
      <c r="N81" s="899"/>
      <c r="O81" s="899"/>
      <c r="P81" s="390"/>
      <c r="Q81" s="382"/>
    </row>
    <row r="82" spans="1:17" s="294" customFormat="1" ht="15.75" thickBot="1">
      <c r="A82" s="391"/>
      <c r="B82" s="392"/>
      <c r="C82" s="393"/>
      <c r="D82" s="393"/>
      <c r="E82" s="393"/>
      <c r="F82" s="393"/>
      <c r="G82" s="393"/>
      <c r="H82" s="394"/>
      <c r="I82" s="394"/>
      <c r="J82" s="394"/>
      <c r="K82" s="394"/>
      <c r="L82" s="394"/>
      <c r="M82" s="395"/>
      <c r="N82" s="899"/>
      <c r="O82" s="899"/>
      <c r="P82" s="381"/>
      <c r="Q82" s="382"/>
    </row>
    <row r="83" spans="1:17">
      <c r="A83" s="350" t="s">
        <v>2565</v>
      </c>
      <c r="B83" s="351" t="s">
        <v>2711</v>
      </c>
      <c r="C83" s="396" t="s">
        <v>2603</v>
      </c>
      <c r="D83" s="396" t="s">
        <v>2604</v>
      </c>
      <c r="E83" s="396" t="s">
        <v>2605</v>
      </c>
      <c r="F83" s="396" t="s">
        <v>2606</v>
      </c>
      <c r="G83" s="396" t="s">
        <v>2607</v>
      </c>
      <c r="H83" s="352"/>
      <c r="I83" s="352"/>
      <c r="J83" s="352"/>
      <c r="K83" s="397"/>
      <c r="L83" s="398"/>
      <c r="M83" s="399"/>
      <c r="N83" s="897"/>
      <c r="O83" s="897"/>
      <c r="P83" s="400"/>
      <c r="Q83" s="327"/>
    </row>
    <row r="84" spans="1:17" ht="15.75" thickBot="1">
      <c r="A84" s="357"/>
      <c r="B84" s="366"/>
      <c r="C84" s="367">
        <v>100</v>
      </c>
      <c r="D84" s="367">
        <f>C84-$K15</f>
        <v>100</v>
      </c>
      <c r="E84" s="367">
        <f>D84-$K15</f>
        <v>100</v>
      </c>
      <c r="F84" s="367">
        <f>E84-$K15</f>
        <v>100</v>
      </c>
      <c r="G84" s="367">
        <f>F84-$K15</f>
        <v>100</v>
      </c>
      <c r="H84" s="367"/>
      <c r="I84" s="367"/>
      <c r="J84" s="367"/>
      <c r="K84" s="367"/>
      <c r="L84" s="367"/>
      <c r="M84" s="368"/>
      <c r="N84" s="898"/>
      <c r="O84" s="898"/>
      <c r="P84" s="38"/>
      <c r="Q84" s="327"/>
    </row>
    <row r="85" spans="1:17" ht="15.75" thickTop="1">
      <c r="A85" s="357"/>
      <c r="B85" s="361" t="s">
        <v>2608</v>
      </c>
      <c r="C85" s="401" t="s">
        <v>2603</v>
      </c>
      <c r="D85" s="401" t="s">
        <v>2604</v>
      </c>
      <c r="E85" s="401" t="s">
        <v>2605</v>
      </c>
      <c r="F85" s="401" t="s">
        <v>2606</v>
      </c>
      <c r="G85" s="401" t="s">
        <v>2607</v>
      </c>
      <c r="H85" s="362"/>
      <c r="I85" s="362"/>
      <c r="J85" s="362"/>
      <c r="K85" s="363"/>
      <c r="L85" s="364"/>
      <c r="M85" s="365"/>
      <c r="N85" s="897"/>
      <c r="O85" s="897"/>
      <c r="P85" s="38"/>
      <c r="Q85" s="327"/>
    </row>
    <row r="86" spans="1:17" ht="15.75" thickBot="1">
      <c r="A86" s="357"/>
      <c r="B86" s="366"/>
      <c r="C86" s="367">
        <v>100</v>
      </c>
      <c r="D86" s="367">
        <f>C86-$K17</f>
        <v>100</v>
      </c>
      <c r="E86" s="367">
        <f>D86-$K17</f>
        <v>100</v>
      </c>
      <c r="F86" s="367">
        <f>E86-$K17</f>
        <v>100</v>
      </c>
      <c r="G86" s="367">
        <f>F86-$K17</f>
        <v>100</v>
      </c>
      <c r="H86" s="367"/>
      <c r="I86" s="367"/>
      <c r="J86" s="367"/>
      <c r="K86" s="367"/>
      <c r="L86" s="367"/>
      <c r="M86" s="368"/>
      <c r="N86" s="898"/>
      <c r="O86" s="898"/>
      <c r="P86" s="38"/>
      <c r="Q86" s="327"/>
    </row>
    <row r="87" spans="1:17" s="51" customFormat="1" ht="15.75" thickTop="1">
      <c r="A87" s="402"/>
      <c r="B87" s="361" t="s">
        <v>2791</v>
      </c>
      <c r="C87" s="396" t="s">
        <v>2603</v>
      </c>
      <c r="D87" s="396" t="s">
        <v>2604</v>
      </c>
      <c r="E87" s="396" t="s">
        <v>2605</v>
      </c>
      <c r="F87" s="396" t="s">
        <v>2606</v>
      </c>
      <c r="G87" s="396" t="s">
        <v>2607</v>
      </c>
      <c r="H87" s="401"/>
      <c r="I87" s="401"/>
      <c r="J87" s="401"/>
      <c r="K87" s="401"/>
      <c r="L87" s="518"/>
      <c r="M87" s="443"/>
      <c r="N87" s="896"/>
      <c r="O87" s="896"/>
      <c r="P87" s="38"/>
      <c r="Q87" s="327"/>
    </row>
    <row r="88" spans="1:17" s="51" customFormat="1" ht="15.75" thickBot="1">
      <c r="A88" s="402"/>
      <c r="B88" s="366"/>
      <c r="C88" s="405">
        <v>100</v>
      </c>
      <c r="D88" s="367">
        <f>C88-$K19</f>
        <v>100</v>
      </c>
      <c r="E88" s="367">
        <f>D88-$K19</f>
        <v>100</v>
      </c>
      <c r="F88" s="367">
        <f>E88-$K19</f>
        <v>100</v>
      </c>
      <c r="G88" s="367">
        <f>F88-$K19</f>
        <v>100</v>
      </c>
      <c r="H88" s="367"/>
      <c r="I88" s="367"/>
      <c r="J88" s="367"/>
      <c r="K88" s="367"/>
      <c r="L88" s="367"/>
      <c r="M88" s="368"/>
      <c r="N88" s="898"/>
      <c r="O88" s="898"/>
      <c r="P88" s="38"/>
      <c r="Q88" s="327"/>
    </row>
    <row r="89" spans="1:17" s="51" customFormat="1" ht="27.75" thickTop="1">
      <c r="A89" s="402"/>
      <c r="B89" s="361" t="s">
        <v>2792</v>
      </c>
      <c r="C89" s="396" t="s">
        <v>2603</v>
      </c>
      <c r="D89" s="396" t="s">
        <v>2604</v>
      </c>
      <c r="E89" s="396" t="s">
        <v>2605</v>
      </c>
      <c r="F89" s="396" t="s">
        <v>2606</v>
      </c>
      <c r="G89" s="396" t="s">
        <v>2607</v>
      </c>
      <c r="H89" s="401"/>
      <c r="I89" s="401"/>
      <c r="J89" s="401"/>
      <c r="K89" s="401"/>
      <c r="L89" s="401"/>
      <c r="M89" s="443"/>
      <c r="N89" s="896"/>
      <c r="O89" s="896"/>
      <c r="P89" s="38"/>
      <c r="Q89" s="327"/>
    </row>
    <row r="90" spans="1:17" s="51" customFormat="1" ht="15.75" thickBot="1">
      <c r="A90" s="402"/>
      <c r="B90" s="366"/>
      <c r="C90" s="367">
        <v>100</v>
      </c>
      <c r="D90" s="367">
        <f>C90-$K21</f>
        <v>100</v>
      </c>
      <c r="E90" s="367">
        <f>D90-$K21</f>
        <v>100</v>
      </c>
      <c r="F90" s="367">
        <f>E90-$K21</f>
        <v>100</v>
      </c>
      <c r="G90" s="367">
        <f>F90-$K21</f>
        <v>100</v>
      </c>
      <c r="H90" s="367"/>
      <c r="I90" s="367"/>
      <c r="J90" s="367"/>
      <c r="K90" s="367"/>
      <c r="L90" s="367"/>
      <c r="M90" s="368"/>
      <c r="N90" s="898"/>
      <c r="O90" s="898"/>
      <c r="P90" s="38"/>
      <c r="Q90" s="327"/>
    </row>
    <row r="91" spans="1:17" s="294" customFormat="1" ht="15.75" thickTop="1">
      <c r="A91" s="376"/>
      <c r="B91" s="361" t="s">
        <v>2660</v>
      </c>
      <c r="C91" s="396" t="s">
        <v>2603</v>
      </c>
      <c r="D91" s="396" t="s">
        <v>2604</v>
      </c>
      <c r="E91" s="396" t="s">
        <v>2605</v>
      </c>
      <c r="F91" s="396" t="s">
        <v>2606</v>
      </c>
      <c r="G91" s="396" t="s">
        <v>2607</v>
      </c>
      <c r="H91" s="423"/>
      <c r="I91" s="423"/>
      <c r="J91" s="423"/>
      <c r="K91" s="423"/>
      <c r="L91" s="424"/>
      <c r="M91" s="425"/>
      <c r="N91" s="899"/>
      <c r="O91" s="899"/>
      <c r="P91" s="381"/>
      <c r="Q91" s="382"/>
    </row>
    <row r="92" spans="1:17" s="294" customFormat="1" ht="15.75" thickBot="1">
      <c r="A92" s="376"/>
      <c r="B92" s="366"/>
      <c r="C92" s="367">
        <v>100</v>
      </c>
      <c r="D92" s="367">
        <f>C92-$K23</f>
        <v>100</v>
      </c>
      <c r="E92" s="367">
        <f>D92-$K23</f>
        <v>100</v>
      </c>
      <c r="F92" s="367">
        <f>E92-$K23</f>
        <v>100</v>
      </c>
      <c r="G92" s="367">
        <f>F92-$K23</f>
        <v>100</v>
      </c>
      <c r="H92" s="430"/>
      <c r="I92" s="430"/>
      <c r="J92" s="430"/>
      <c r="K92" s="430"/>
      <c r="L92" s="430"/>
      <c r="M92" s="431"/>
      <c r="N92" s="899"/>
      <c r="O92" s="899"/>
      <c r="P92" s="381"/>
      <c r="Q92" s="382"/>
    </row>
    <row r="93" spans="1:17" s="294" customFormat="1" ht="15.75" thickTop="1">
      <c r="A93" s="376"/>
      <c r="B93" s="369" t="s">
        <v>2809</v>
      </c>
      <c r="C93" s="480" t="s">
        <v>2681</v>
      </c>
      <c r="D93" s="480" t="s">
        <v>2682</v>
      </c>
      <c r="E93" s="480" t="s">
        <v>2683</v>
      </c>
      <c r="F93" s="480" t="s">
        <v>2684</v>
      </c>
      <c r="G93" s="480" t="s">
        <v>2685</v>
      </c>
      <c r="H93" s="423"/>
      <c r="I93" s="423"/>
      <c r="J93" s="423"/>
      <c r="K93" s="423"/>
      <c r="L93" s="423"/>
      <c r="M93" s="425"/>
      <c r="N93" s="899"/>
      <c r="O93" s="899"/>
      <c r="P93" s="381"/>
      <c r="Q93" s="382"/>
    </row>
    <row r="94" spans="1:17" s="294" customFormat="1" ht="15.75" thickBot="1">
      <c r="A94" s="376"/>
      <c r="B94" s="369"/>
      <c r="C94" s="367">
        <v>100</v>
      </c>
      <c r="D94" s="367">
        <f>C94-$K25</f>
        <v>100</v>
      </c>
      <c r="E94" s="367">
        <f>D94-$K25</f>
        <v>100</v>
      </c>
      <c r="F94" s="367">
        <f>E94-$K25</f>
        <v>100</v>
      </c>
      <c r="G94" s="367">
        <f>F94-$K25</f>
        <v>100</v>
      </c>
      <c r="H94" s="371"/>
      <c r="I94" s="371"/>
      <c r="J94" s="371"/>
      <c r="K94" s="371"/>
      <c r="L94" s="371"/>
      <c r="M94" s="1062"/>
      <c r="N94" s="899"/>
      <c r="O94" s="899"/>
      <c r="P94" s="381"/>
      <c r="Q94" s="382"/>
    </row>
    <row r="95" spans="1:17" ht="15.75" thickTop="1">
      <c r="A95" s="357"/>
      <c r="B95" s="361" t="str">
        <f>B27</f>
        <v>临街状况</v>
      </c>
      <c r="C95" s="362" t="s">
        <v>2793</v>
      </c>
      <c r="D95" s="362" t="s">
        <v>2794</v>
      </c>
      <c r="E95" s="362" t="s">
        <v>2795</v>
      </c>
      <c r="F95" s="362" t="s">
        <v>2796</v>
      </c>
      <c r="G95" s="362"/>
      <c r="H95" s="362"/>
      <c r="I95" s="362"/>
      <c r="J95" s="362"/>
      <c r="K95" s="363"/>
      <c r="L95" s="364"/>
      <c r="M95" s="365"/>
      <c r="N95" s="897"/>
      <c r="O95" s="897"/>
      <c r="P95" s="38"/>
      <c r="Q95" s="327"/>
    </row>
    <row r="96" spans="1:17" ht="15.75" thickBot="1">
      <c r="A96" s="357"/>
      <c r="B96" s="366"/>
      <c r="C96" s="367">
        <v>100</v>
      </c>
      <c r="D96" s="367">
        <f t="shared" ref="D96:M96" si="22">C96-$K27</f>
        <v>100</v>
      </c>
      <c r="E96" s="367">
        <f t="shared" si="22"/>
        <v>100</v>
      </c>
      <c r="F96" s="367">
        <f t="shared" si="22"/>
        <v>100</v>
      </c>
      <c r="G96" s="367">
        <f t="shared" si="22"/>
        <v>100</v>
      </c>
      <c r="H96" s="367">
        <f t="shared" si="22"/>
        <v>100</v>
      </c>
      <c r="I96" s="367">
        <f t="shared" si="22"/>
        <v>100</v>
      </c>
      <c r="J96" s="367">
        <f t="shared" si="22"/>
        <v>100</v>
      </c>
      <c r="K96" s="367">
        <f t="shared" si="22"/>
        <v>100</v>
      </c>
      <c r="L96" s="367">
        <f t="shared" si="22"/>
        <v>100</v>
      </c>
      <c r="M96" s="367">
        <f t="shared" si="22"/>
        <v>100</v>
      </c>
      <c r="N96" s="898"/>
      <c r="O96" s="898"/>
      <c r="P96" s="38"/>
      <c r="Q96" s="327"/>
    </row>
    <row r="97" spans="1:17" ht="27.75" thickTop="1">
      <c r="A97" s="357"/>
      <c r="B97" s="361" t="s">
        <v>2697</v>
      </c>
      <c r="C97" s="377"/>
      <c r="D97" s="377"/>
      <c r="E97" s="377"/>
      <c r="F97" s="377"/>
      <c r="G97" s="377"/>
      <c r="H97" s="406"/>
      <c r="I97" s="406"/>
      <c r="J97" s="406"/>
      <c r="K97" s="407"/>
      <c r="L97" s="408"/>
      <c r="M97" s="409"/>
      <c r="N97" s="897"/>
      <c r="O97" s="897"/>
      <c r="P97" s="38"/>
      <c r="Q97" s="327"/>
    </row>
    <row r="98" spans="1:17" ht="15.75" thickBot="1">
      <c r="A98" s="357"/>
      <c r="B98" s="366"/>
      <c r="C98" s="367">
        <v>100</v>
      </c>
      <c r="D98" s="367">
        <f t="shared" ref="D98:M98" si="23">C98-$K28</f>
        <v>100</v>
      </c>
      <c r="E98" s="367">
        <f t="shared" si="23"/>
        <v>100</v>
      </c>
      <c r="F98" s="367">
        <f t="shared" si="23"/>
        <v>100</v>
      </c>
      <c r="G98" s="367">
        <f t="shared" si="23"/>
        <v>100</v>
      </c>
      <c r="H98" s="367">
        <f t="shared" si="23"/>
        <v>100</v>
      </c>
      <c r="I98" s="367">
        <f t="shared" si="23"/>
        <v>100</v>
      </c>
      <c r="J98" s="367">
        <f t="shared" si="23"/>
        <v>100</v>
      </c>
      <c r="K98" s="367">
        <f t="shared" si="23"/>
        <v>100</v>
      </c>
      <c r="L98" s="367">
        <f t="shared" si="23"/>
        <v>100</v>
      </c>
      <c r="M98" s="367">
        <f t="shared" si="23"/>
        <v>100</v>
      </c>
      <c r="N98" s="898"/>
      <c r="O98" s="898"/>
      <c r="P98" s="38"/>
      <c r="Q98" s="327"/>
    </row>
    <row r="99" spans="1:17" ht="15.75" thickTop="1">
      <c r="A99" s="357"/>
      <c r="B99" s="361" t="s">
        <v>2756</v>
      </c>
      <c r="C99" s="406"/>
      <c r="D99" s="406"/>
      <c r="E99" s="406"/>
      <c r="F99" s="406"/>
      <c r="G99" s="406"/>
      <c r="H99" s="406"/>
      <c r="I99" s="406"/>
      <c r="J99" s="406"/>
      <c r="K99" s="407"/>
      <c r="L99" s="408"/>
      <c r="M99" s="409"/>
      <c r="N99" s="897"/>
      <c r="O99" s="897"/>
      <c r="P99" s="38"/>
      <c r="Q99" s="327"/>
    </row>
    <row r="100" spans="1:17" ht="15.75" thickBot="1">
      <c r="A100" s="357"/>
      <c r="B100" s="366"/>
      <c r="C100" s="367">
        <v>100</v>
      </c>
      <c r="D100" s="367">
        <f t="shared" ref="D100:M100" si="24">C100-$K30</f>
        <v>100</v>
      </c>
      <c r="E100" s="367">
        <f t="shared" si="24"/>
        <v>100</v>
      </c>
      <c r="F100" s="367">
        <f t="shared" si="24"/>
        <v>100</v>
      </c>
      <c r="G100" s="367">
        <f t="shared" si="24"/>
        <v>100</v>
      </c>
      <c r="H100" s="367">
        <f t="shared" si="24"/>
        <v>100</v>
      </c>
      <c r="I100" s="367">
        <f t="shared" si="24"/>
        <v>100</v>
      </c>
      <c r="J100" s="367">
        <f t="shared" si="24"/>
        <v>100</v>
      </c>
      <c r="K100" s="367">
        <f t="shared" si="24"/>
        <v>100</v>
      </c>
      <c r="L100" s="367">
        <f t="shared" si="24"/>
        <v>100</v>
      </c>
      <c r="M100" s="367">
        <f t="shared" si="24"/>
        <v>100</v>
      </c>
      <c r="N100" s="898"/>
      <c r="O100" s="898"/>
      <c r="P100" s="38"/>
      <c r="Q100" s="327"/>
    </row>
    <row r="101" spans="1:17" ht="15.75" thickTop="1">
      <c r="A101" s="357"/>
      <c r="B101" s="369">
        <f>B31</f>
        <v>111</v>
      </c>
      <c r="C101" s="377"/>
      <c r="D101" s="377"/>
      <c r="E101" s="377"/>
      <c r="F101" s="377"/>
      <c r="G101" s="410"/>
      <c r="H101" s="410"/>
      <c r="I101" s="410"/>
      <c r="J101" s="410"/>
      <c r="K101" s="411"/>
      <c r="L101" s="412"/>
      <c r="M101" s="413"/>
      <c r="N101" s="897"/>
      <c r="O101" s="897"/>
      <c r="P101" s="38"/>
      <c r="Q101" s="327"/>
    </row>
    <row r="102" spans="1:17" ht="15.75" thickBot="1">
      <c r="A102" s="357"/>
      <c r="B102" s="392"/>
      <c r="C102" s="383"/>
      <c r="D102" s="359"/>
      <c r="E102" s="359"/>
      <c r="F102" s="359"/>
      <c r="G102" s="414"/>
      <c r="H102" s="414"/>
      <c r="I102" s="414"/>
      <c r="J102" s="414"/>
      <c r="K102" s="414"/>
      <c r="L102" s="414"/>
      <c r="M102" s="415"/>
      <c r="N102" s="898"/>
      <c r="O102" s="898"/>
      <c r="P102" s="38"/>
      <c r="Q102" s="327"/>
    </row>
    <row r="103" spans="1:17" ht="15" thickTop="1">
      <c r="A103" s="495"/>
      <c r="B103" s="361">
        <f>B32</f>
        <v>111</v>
      </c>
      <c r="C103" s="377"/>
      <c r="D103" s="377"/>
      <c r="E103" s="377"/>
      <c r="F103" s="377"/>
      <c r="G103" s="406"/>
      <c r="H103" s="406"/>
      <c r="I103" s="406"/>
      <c r="J103" s="406"/>
      <c r="K103" s="407"/>
      <c r="L103" s="408"/>
      <c r="M103" s="409"/>
      <c r="N103" s="897"/>
      <c r="O103" s="897"/>
      <c r="P103" s="38"/>
      <c r="Q103" s="327"/>
    </row>
    <row r="104" spans="1:17" ht="15.75" thickBot="1">
      <c r="A104" s="357"/>
      <c r="B104" s="366"/>
      <c r="C104" s="383"/>
      <c r="D104" s="383"/>
      <c r="E104" s="383"/>
      <c r="F104" s="383"/>
      <c r="G104" s="359"/>
      <c r="H104" s="359"/>
      <c r="I104" s="359"/>
      <c r="J104" s="359"/>
      <c r="K104" s="359"/>
      <c r="L104" s="359"/>
      <c r="M104" s="360"/>
      <c r="N104" s="898"/>
      <c r="O104" s="898"/>
      <c r="P104" s="38"/>
      <c r="Q104" s="327"/>
    </row>
    <row r="105" spans="1:17" s="294" customFormat="1" ht="15" thickTop="1">
      <c r="A105" s="416"/>
      <c r="B105" s="417">
        <f>B33</f>
        <v>111</v>
      </c>
      <c r="C105" s="346"/>
      <c r="D105" s="346"/>
      <c r="E105" s="346"/>
      <c r="F105" s="346"/>
      <c r="G105" s="418"/>
      <c r="H105" s="418"/>
      <c r="I105" s="418"/>
      <c r="J105" s="419"/>
      <c r="K105" s="419"/>
      <c r="L105" s="420"/>
      <c r="M105" s="421"/>
      <c r="N105" s="899"/>
      <c r="O105" s="899"/>
      <c r="P105" s="381"/>
      <c r="Q105" s="382"/>
    </row>
    <row r="106" spans="1:17" s="294" customFormat="1" ht="15.75" thickBot="1">
      <c r="A106" s="376"/>
      <c r="B106" s="369"/>
      <c r="C106" s="393"/>
      <c r="D106" s="393"/>
      <c r="E106" s="393"/>
      <c r="F106" s="393"/>
      <c r="G106" s="497"/>
      <c r="H106" s="497"/>
      <c r="I106" s="497"/>
      <c r="J106" s="497"/>
      <c r="K106" s="497"/>
      <c r="L106" s="497"/>
      <c r="M106" s="519"/>
      <c r="N106" s="898"/>
      <c r="O106" s="898"/>
      <c r="P106" s="381"/>
      <c r="Q106" s="382"/>
    </row>
    <row r="107" spans="1:17">
      <c r="A107" s="350" t="s">
        <v>2569</v>
      </c>
      <c r="B107" s="351" t="s">
        <v>2797</v>
      </c>
      <c r="C107" s="352" t="str">
        <f t="shared" ref="C107:L107" si="25">C108&amp;"(含)"&amp;"-"&amp;D108</f>
        <v>(含)-</v>
      </c>
      <c r="D107" s="352" t="str">
        <f t="shared" si="25"/>
        <v>(含)-</v>
      </c>
      <c r="E107" s="352" t="str">
        <f t="shared" si="25"/>
        <v>(含)-</v>
      </c>
      <c r="F107" s="352" t="str">
        <f t="shared" si="25"/>
        <v>(含)-</v>
      </c>
      <c r="G107" s="352" t="str">
        <f t="shared" si="25"/>
        <v>(含)-</v>
      </c>
      <c r="H107" s="352" t="str">
        <f t="shared" si="25"/>
        <v>(含)-</v>
      </c>
      <c r="I107" s="352" t="str">
        <f t="shared" si="25"/>
        <v>(含)-</v>
      </c>
      <c r="J107" s="352" t="str">
        <f t="shared" si="25"/>
        <v>(含)-</v>
      </c>
      <c r="K107" s="1380" t="str">
        <f t="shared" si="25"/>
        <v>(含)-</v>
      </c>
      <c r="L107" s="1380" t="str">
        <f t="shared" si="25"/>
        <v>(含)-</v>
      </c>
      <c r="M107" s="1381" t="str">
        <f>M108&amp;"(含)"&amp;"-"&amp;P108</f>
        <v>(含)-</v>
      </c>
      <c r="N107" s="897"/>
      <c r="O107" s="897"/>
      <c r="P107" s="38"/>
      <c r="Q107" s="327"/>
    </row>
    <row r="108" spans="1:17" ht="15">
      <c r="A108" s="357"/>
      <c r="B108" s="369"/>
      <c r="C108" s="418"/>
      <c r="D108" s="418"/>
      <c r="E108" s="418"/>
      <c r="F108" s="418"/>
      <c r="G108" s="418"/>
      <c r="H108" s="418"/>
      <c r="I108" s="418"/>
      <c r="J108" s="419"/>
      <c r="K108" s="419"/>
      <c r="L108" s="420"/>
      <c r="M108" s="421"/>
      <c r="N108" s="897"/>
      <c r="O108" s="897"/>
      <c r="P108" s="38"/>
      <c r="Q108" s="327"/>
    </row>
    <row r="109" spans="1:17" ht="15.75" thickBot="1">
      <c r="A109" s="357"/>
      <c r="B109" s="366"/>
      <c r="C109" s="393"/>
      <c r="D109" s="414"/>
      <c r="E109" s="414"/>
      <c r="F109" s="414"/>
      <c r="G109" s="414"/>
      <c r="H109" s="414"/>
      <c r="I109" s="414"/>
      <c r="J109" s="414"/>
      <c r="K109" s="414"/>
      <c r="L109" s="414"/>
      <c r="M109" s="415"/>
      <c r="N109" s="898"/>
      <c r="O109" s="898"/>
      <c r="P109" s="38"/>
      <c r="Q109" s="327"/>
    </row>
    <row r="110" spans="1:17" ht="15" thickTop="1">
      <c r="A110" s="422"/>
      <c r="B110" s="361" t="s">
        <v>2798</v>
      </c>
      <c r="C110" s="406"/>
      <c r="D110" s="406"/>
      <c r="E110" s="406"/>
      <c r="F110" s="406"/>
      <c r="G110" s="406"/>
      <c r="H110" s="406"/>
      <c r="I110" s="406"/>
      <c r="J110" s="406"/>
      <c r="K110" s="407"/>
      <c r="L110" s="408"/>
      <c r="M110" s="409"/>
      <c r="N110" s="897"/>
      <c r="O110" s="897"/>
      <c r="P110" s="38"/>
      <c r="Q110" s="327"/>
    </row>
    <row r="111" spans="1:17" ht="15.75" thickBot="1">
      <c r="A111" s="357"/>
      <c r="B111" s="366"/>
      <c r="C111" s="367">
        <v>100</v>
      </c>
      <c r="D111" s="367">
        <f t="shared" ref="D111:M111" si="26">C111-$K35</f>
        <v>100</v>
      </c>
      <c r="E111" s="367">
        <f t="shared" si="26"/>
        <v>100</v>
      </c>
      <c r="F111" s="367">
        <f t="shared" si="26"/>
        <v>100</v>
      </c>
      <c r="G111" s="367">
        <f t="shared" si="26"/>
        <v>100</v>
      </c>
      <c r="H111" s="367">
        <f t="shared" si="26"/>
        <v>100</v>
      </c>
      <c r="I111" s="367">
        <f t="shared" si="26"/>
        <v>100</v>
      </c>
      <c r="J111" s="367">
        <f t="shared" si="26"/>
        <v>100</v>
      </c>
      <c r="K111" s="367">
        <f t="shared" si="26"/>
        <v>100</v>
      </c>
      <c r="L111" s="367">
        <f t="shared" si="26"/>
        <v>100</v>
      </c>
      <c r="M111" s="368">
        <f t="shared" si="26"/>
        <v>100</v>
      </c>
      <c r="N111" s="898"/>
      <c r="O111" s="898"/>
      <c r="P111" s="38"/>
      <c r="Q111" s="327"/>
    </row>
    <row r="112" spans="1:17" s="294" customFormat="1" ht="15" thickTop="1">
      <c r="A112" s="416"/>
      <c r="B112" s="361" t="s">
        <v>2800</v>
      </c>
      <c r="C112" s="377"/>
      <c r="D112" s="377"/>
      <c r="E112" s="377"/>
      <c r="F112" s="377"/>
      <c r="G112" s="377"/>
      <c r="H112" s="406"/>
      <c r="I112" s="406"/>
      <c r="J112" s="406"/>
      <c r="K112" s="407"/>
      <c r="L112" s="408"/>
      <c r="M112" s="409"/>
      <c r="N112" s="899"/>
      <c r="O112" s="899"/>
      <c r="P112" s="381"/>
      <c r="Q112" s="382"/>
    </row>
    <row r="113" spans="1:17" s="294" customFormat="1" ht="15.75" thickBot="1">
      <c r="A113" s="376"/>
      <c r="B113" s="366"/>
      <c r="C113" s="367">
        <v>100</v>
      </c>
      <c r="D113" s="367">
        <f t="shared" ref="D113:M113" si="27">C113-$K36</f>
        <v>100</v>
      </c>
      <c r="E113" s="367">
        <f t="shared" si="27"/>
        <v>100</v>
      </c>
      <c r="F113" s="367">
        <f t="shared" si="27"/>
        <v>100</v>
      </c>
      <c r="G113" s="367">
        <f t="shared" si="27"/>
        <v>100</v>
      </c>
      <c r="H113" s="367">
        <f t="shared" si="27"/>
        <v>100</v>
      </c>
      <c r="I113" s="367">
        <f t="shared" si="27"/>
        <v>100</v>
      </c>
      <c r="J113" s="367">
        <f t="shared" si="27"/>
        <v>100</v>
      </c>
      <c r="K113" s="367">
        <f t="shared" si="27"/>
        <v>100</v>
      </c>
      <c r="L113" s="367">
        <f t="shared" si="27"/>
        <v>100</v>
      </c>
      <c r="M113" s="368">
        <f t="shared" si="27"/>
        <v>100</v>
      </c>
      <c r="N113" s="899"/>
      <c r="O113" s="899"/>
      <c r="P113" s="381"/>
      <c r="Q113" s="382"/>
    </row>
    <row r="114" spans="1:17" ht="15" thickTop="1">
      <c r="A114" s="422"/>
      <c r="B114" s="361" t="s">
        <v>2801</v>
      </c>
      <c r="C114" s="377"/>
      <c r="D114" s="377"/>
      <c r="E114" s="406"/>
      <c r="F114" s="406"/>
      <c r="G114" s="406"/>
      <c r="H114" s="406"/>
      <c r="I114" s="406"/>
      <c r="J114" s="406"/>
      <c r="K114" s="407"/>
      <c r="L114" s="408"/>
      <c r="M114" s="409"/>
      <c r="N114" s="897"/>
      <c r="O114" s="897"/>
      <c r="P114" s="38"/>
      <c r="Q114" s="327"/>
    </row>
    <row r="115" spans="1:17" ht="15.75" thickBot="1">
      <c r="A115" s="357"/>
      <c r="B115" s="366"/>
      <c r="C115" s="367">
        <v>100</v>
      </c>
      <c r="D115" s="367">
        <f t="shared" ref="D115:M115" si="28">C115-$K37</f>
        <v>100</v>
      </c>
      <c r="E115" s="367">
        <f t="shared" si="28"/>
        <v>100</v>
      </c>
      <c r="F115" s="367">
        <f t="shared" si="28"/>
        <v>100</v>
      </c>
      <c r="G115" s="367">
        <f t="shared" si="28"/>
        <v>100</v>
      </c>
      <c r="H115" s="367">
        <f t="shared" si="28"/>
        <v>100</v>
      </c>
      <c r="I115" s="367">
        <f t="shared" si="28"/>
        <v>100</v>
      </c>
      <c r="J115" s="367">
        <f t="shared" si="28"/>
        <v>100</v>
      </c>
      <c r="K115" s="367">
        <f t="shared" si="28"/>
        <v>100</v>
      </c>
      <c r="L115" s="367">
        <f t="shared" si="28"/>
        <v>100</v>
      </c>
      <c r="M115" s="368">
        <f t="shared" si="28"/>
        <v>100</v>
      </c>
      <c r="N115" s="898"/>
      <c r="O115" s="898"/>
      <c r="P115" s="38"/>
      <c r="Q115" s="327"/>
    </row>
    <row r="116" spans="1:17" ht="15" thickTop="1">
      <c r="A116" s="422"/>
      <c r="B116" s="361">
        <f>B38</f>
        <v>111</v>
      </c>
      <c r="C116" s="377"/>
      <c r="D116" s="377"/>
      <c r="E116" s="377"/>
      <c r="F116" s="377"/>
      <c r="G116" s="377"/>
      <c r="H116" s="406"/>
      <c r="I116" s="406"/>
      <c r="J116" s="406"/>
      <c r="K116" s="407"/>
      <c r="L116" s="408"/>
      <c r="M116" s="409"/>
      <c r="N116" s="897"/>
      <c r="O116" s="897"/>
      <c r="P116" s="38"/>
      <c r="Q116" s="327"/>
    </row>
    <row r="117" spans="1:17" ht="15.75" thickBot="1">
      <c r="A117" s="357"/>
      <c r="B117" s="366"/>
      <c r="C117" s="383"/>
      <c r="D117" s="359"/>
      <c r="E117" s="359"/>
      <c r="F117" s="359"/>
      <c r="G117" s="359"/>
      <c r="H117" s="359"/>
      <c r="I117" s="359"/>
      <c r="J117" s="359"/>
      <c r="K117" s="359"/>
      <c r="L117" s="359"/>
      <c r="M117" s="360"/>
      <c r="N117" s="898"/>
      <c r="O117" s="898"/>
      <c r="P117" s="38"/>
      <c r="Q117" s="327"/>
    </row>
    <row r="118" spans="1:17" ht="15" thickTop="1">
      <c r="A118" s="422"/>
      <c r="B118" s="361">
        <f>B39</f>
        <v>111</v>
      </c>
      <c r="C118" s="377"/>
      <c r="D118" s="377"/>
      <c r="E118" s="377"/>
      <c r="F118" s="377"/>
      <c r="G118" s="406"/>
      <c r="H118" s="406"/>
      <c r="I118" s="406"/>
      <c r="J118" s="406"/>
      <c r="K118" s="407"/>
      <c r="L118" s="408"/>
      <c r="M118" s="409"/>
      <c r="N118" s="897"/>
      <c r="O118" s="897"/>
      <c r="P118" s="38"/>
      <c r="Q118" s="327"/>
    </row>
    <row r="119" spans="1:17" ht="15.75" thickBot="1">
      <c r="A119" s="357"/>
      <c r="B119" s="366"/>
      <c r="C119" s="383"/>
      <c r="D119" s="383"/>
      <c r="E119" s="383"/>
      <c r="F119" s="383"/>
      <c r="G119" s="359"/>
      <c r="H119" s="359"/>
      <c r="I119" s="359"/>
      <c r="J119" s="359"/>
      <c r="K119" s="359"/>
      <c r="L119" s="359"/>
      <c r="M119" s="360"/>
      <c r="N119" s="898"/>
      <c r="O119" s="898"/>
      <c r="P119" s="38"/>
      <c r="Q119" s="327"/>
    </row>
    <row r="120" spans="1:17" s="294" customFormat="1" ht="15" thickTop="1">
      <c r="A120" s="416"/>
      <c r="B120" s="361">
        <f>B40</f>
        <v>111</v>
      </c>
      <c r="C120" s="346"/>
      <c r="D120" s="346"/>
      <c r="E120" s="346"/>
      <c r="F120" s="346"/>
      <c r="G120" s="378"/>
      <c r="H120" s="378"/>
      <c r="I120" s="378"/>
      <c r="J120" s="378"/>
      <c r="K120" s="378"/>
      <c r="L120" s="379"/>
      <c r="M120" s="380"/>
      <c r="N120" s="899"/>
      <c r="O120" s="899"/>
      <c r="P120" s="381"/>
      <c r="Q120" s="382"/>
    </row>
    <row r="121" spans="1:17" s="294" customFormat="1" ht="15.75" thickBot="1">
      <c r="A121" s="391"/>
      <c r="B121" s="520"/>
      <c r="C121" s="393"/>
      <c r="D121" s="393"/>
      <c r="E121" s="393"/>
      <c r="F121" s="393"/>
      <c r="G121" s="414"/>
      <c r="H121" s="414"/>
      <c r="I121" s="414"/>
      <c r="J121" s="414"/>
      <c r="K121" s="414"/>
      <c r="L121" s="414"/>
      <c r="M121" s="415"/>
      <c r="N121" s="899"/>
      <c r="O121" s="899"/>
      <c r="P121" s="381"/>
      <c r="Q121" s="382"/>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C38" sqref="C38"/>
    </sheetView>
  </sheetViews>
  <sheetFormatPr defaultColWidth="12" defaultRowHeight="12.75"/>
  <cols>
    <col min="1" max="1" width="9.75" style="1992" customWidth="1"/>
    <col min="2" max="2" width="19.25" style="2098" customWidth="1"/>
    <col min="3" max="4" width="12" style="1916"/>
    <col min="5" max="5" width="14.625" style="1916" customWidth="1"/>
    <col min="6" max="8" width="12" style="1916"/>
    <col min="9" max="9" width="12.25" style="1916" bestFit="1" customWidth="1"/>
    <col min="10" max="10" width="12" style="1916"/>
    <col min="11" max="11" width="8.125" style="1984" customWidth="1"/>
    <col min="12" max="12" width="12" style="1916"/>
    <col min="13" max="13" width="8.5" style="1916" customWidth="1"/>
    <col min="14" max="14" width="9.75" style="1916" customWidth="1"/>
    <col min="15" max="25" width="12" style="1916"/>
    <col min="26" max="26" width="9.375" style="1992" customWidth="1"/>
    <col min="27" max="32" width="9.375" style="1049" customWidth="1"/>
    <col min="33" max="36" width="9.375" style="1992" customWidth="1"/>
    <col min="37" max="38" width="9.375" style="1916" customWidth="1"/>
    <col min="39" max="16384" width="12" style="1916"/>
  </cols>
  <sheetData>
    <row r="1" spans="1:36" ht="28.5">
      <c r="A1" s="66" t="s">
        <v>2810</v>
      </c>
      <c r="B1" s="67"/>
      <c r="C1" s="71" t="s">
        <v>2811</v>
      </c>
      <c r="D1" s="212">
        <f>SUM(D29:D30,D33:D39)</f>
        <v>0</v>
      </c>
      <c r="E1" s="1913"/>
      <c r="F1" s="1913"/>
      <c r="G1" s="1913"/>
      <c r="H1" s="1913"/>
      <c r="I1" s="1913"/>
      <c r="J1" s="1913"/>
      <c r="K1" s="1047"/>
      <c r="L1" s="1914" t="s">
        <v>2812</v>
      </c>
      <c r="M1" s="833">
        <f>SUMPRODUCT((区片价!B5:B9=I2)*(区片价!C3:F3=E2)*(区片价!C5:F9))</f>
        <v>0</v>
      </c>
      <c r="N1" s="836">
        <f>SUMPRODUCT((因素修正幅度!B5:B9=I2)*(因素修正幅度!C3:F3=E2)*(因素修正幅度!C5:F9))</f>
        <v>0</v>
      </c>
      <c r="O1" s="1915"/>
      <c r="P1" s="1915"/>
      <c r="Q1" s="1047"/>
      <c r="R1" s="1265" t="s">
        <v>2813</v>
      </c>
      <c r="S1" s="1265" t="s">
        <v>2814</v>
      </c>
      <c r="T1" s="1265" t="s">
        <v>2815</v>
      </c>
      <c r="U1" s="1265" t="s">
        <v>2816</v>
      </c>
      <c r="V1" s="1265" t="s">
        <v>2817</v>
      </c>
      <c r="W1" s="1269"/>
      <c r="X1" s="1269"/>
      <c r="Y1" s="1269"/>
      <c r="Z1" s="1269"/>
      <c r="AA1" s="1269"/>
      <c r="AB1" s="1269"/>
      <c r="AC1" s="1270"/>
      <c r="AD1" s="1271"/>
      <c r="AE1" s="1271"/>
      <c r="AF1" s="1271"/>
      <c r="AG1" s="1271"/>
      <c r="AH1" s="1271"/>
      <c r="AI1" s="1271"/>
      <c r="AJ1" s="1272"/>
    </row>
    <row r="2" spans="1:36" ht="15.75">
      <c r="A2" s="71" t="s">
        <v>2818</v>
      </c>
      <c r="B2" s="74" t="e">
        <f>C26</f>
        <v>#DIV/0!</v>
      </c>
      <c r="C2" s="1917" t="s">
        <v>2819</v>
      </c>
      <c r="D2" s="1918" t="s">
        <v>2820</v>
      </c>
      <c r="E2" s="1919"/>
      <c r="F2" s="1918" t="s">
        <v>2821</v>
      </c>
      <c r="G2" s="1920">
        <f>IF(E2="商业",项目基本情况!B37,IF(E2="办公",项目基本情况!C37,IF(E2="住宅",项目基本情况!D37,项目基本情况!E37)))</f>
        <v>0</v>
      </c>
      <c r="H2" s="1918" t="s">
        <v>2822</v>
      </c>
      <c r="I2" s="1920">
        <f>IF(E2="商业",项目基本情况!B38,IF(E2="办公",项目基本情况!C38,IF(E2="住宅",项目基本情况!D38,项目基本情况!E38)))</f>
        <v>0</v>
      </c>
      <c r="J2" s="1921"/>
      <c r="K2" s="1047"/>
      <c r="L2" s="1922" t="s">
        <v>2823</v>
      </c>
      <c r="M2" s="834">
        <f>SUMPRODUCT((区片价!B10:B28=I2)*(区片价!C3:F3=E2)*(区片价!C10:F28))</f>
        <v>0</v>
      </c>
      <c r="N2" s="836">
        <f>SUMPRODUCT((因素修正幅度!B10:B28=I2)*(因素修正幅度!C3:F3=E2)*(因素修正幅度!C10:F28))</f>
        <v>0</v>
      </c>
      <c r="O2" s="1047"/>
      <c r="P2" s="1047"/>
      <c r="Q2" s="1047"/>
      <c r="R2" s="1265">
        <v>1</v>
      </c>
      <c r="S2" s="1265">
        <f>ROUND(IF(G3&gt;1,IF(R2&lt;7,SUMPRODUCT((B93:B98=R2)*(C92:N92=G2)*(C93:N98)),SUMIF(C92:N92,G2,C100:N100)),IF(R2&lt;7,SUMPRODUCT((B102:B107=R2)*(C92:N92=G2)*(C102:N107)),SUMIF(C92:N92,G2,C109:N109))),4)</f>
        <v>0</v>
      </c>
      <c r="T2" s="1265" t="e">
        <f>ROUND($C$5*$C$18*$C$19*$C$20*S2*$C$24,0)</f>
        <v>#DIV/0!</v>
      </c>
      <c r="U2" s="1266"/>
      <c r="V2" s="1265" t="e">
        <f>ROUND(T2*U2/10000,0)</f>
        <v>#DIV/0!</v>
      </c>
      <c r="W2" s="1269"/>
      <c r="X2" s="1269"/>
      <c r="Y2" s="1269"/>
      <c r="Z2" s="1269"/>
      <c r="AA2" s="1269"/>
      <c r="AB2" s="1269"/>
      <c r="AC2" s="1270"/>
      <c r="AD2" s="1271"/>
      <c r="AE2" s="1271"/>
      <c r="AF2" s="1271"/>
      <c r="AG2" s="1271"/>
      <c r="AH2" s="1271"/>
      <c r="AI2" s="1271"/>
      <c r="AJ2" s="1272"/>
    </row>
    <row r="3" spans="1:36" ht="15.75">
      <c r="A3" s="73" t="s">
        <v>2824</v>
      </c>
      <c r="B3" s="74" t="e">
        <f>ROUND(B2*10000/D1,0)</f>
        <v>#DIV/0!</v>
      </c>
      <c r="C3" s="1917" t="s">
        <v>2825</v>
      </c>
      <c r="D3" s="1918" t="s">
        <v>2826</v>
      </c>
      <c r="E3" s="1923"/>
      <c r="F3" s="1924" t="s">
        <v>2827</v>
      </c>
      <c r="G3" s="679">
        <f>IF(F3="宗地容积率",'数据-汇总表'!I4,IF(F3="估价对象容积率",'数据-汇总表'!I6,'数据-汇总表'!I7))</f>
        <v>1.73</v>
      </c>
      <c r="H3" s="61" t="s">
        <v>2828</v>
      </c>
      <c r="I3" s="709"/>
      <c r="J3" s="1921" t="s">
        <v>2829</v>
      </c>
      <c r="K3" s="1047"/>
      <c r="L3" s="1922" t="s">
        <v>2830</v>
      </c>
      <c r="M3" s="834">
        <f>SUMPRODUCT((区片价!B29:B48=I2)*(区片价!C3:F3=E2)*(区片价!C29:F48))</f>
        <v>0</v>
      </c>
      <c r="N3" s="836">
        <f>SUMPRODUCT((因素修正幅度!B29:B48=I2)*(因素修正幅度!C3:F3=E2)*(因素修正幅度!C29:F48))</f>
        <v>0</v>
      </c>
      <c r="O3" s="1047"/>
      <c r="P3" s="1047"/>
      <c r="Q3" s="1047"/>
      <c r="R3" s="1265">
        <v>2</v>
      </c>
      <c r="S3" s="1265">
        <f>ROUND(IF(G3&gt;1,IF(R3&lt;7,SUMPRODUCT((B93:B98=R3)*(C92:N92=G2)*(C93:N98)),SUMIF(C92:N92,G2,C100:N100)),IF(R3&lt;7,SUMPRODUCT((B102:B107=R3)*(C92:N92=G2)*(C102:N107)),SUMIF(C92:N92,G2,C109:N109))),4)</f>
        <v>0</v>
      </c>
      <c r="T3" s="1265" t="e">
        <f t="shared" ref="T3:T16" si="0">ROUND($C$5*$C$18*$C$19*$C$20*S3*$C$24,0)</f>
        <v>#DIV/0!</v>
      </c>
      <c r="U3" s="1266"/>
      <c r="V3" s="1265" t="e">
        <f t="shared" ref="V3:V16" si="1">ROUND(T3*U3/10000,0)</f>
        <v>#DIV/0!</v>
      </c>
      <c r="W3" s="1269"/>
      <c r="X3" s="1269"/>
      <c r="Y3" s="1269"/>
      <c r="Z3" s="1269"/>
      <c r="AA3" s="1269"/>
      <c r="AB3" s="1269"/>
      <c r="AC3" s="1270"/>
      <c r="AD3" s="1271"/>
      <c r="AE3" s="1271"/>
      <c r="AF3" s="1271"/>
      <c r="AG3" s="1271"/>
      <c r="AH3" s="1271"/>
      <c r="AI3" s="1271"/>
      <c r="AJ3" s="1272"/>
    </row>
    <row r="4" spans="1:36" ht="15.75">
      <c r="A4" s="3995"/>
      <c r="B4" s="3996"/>
      <c r="C4" s="3996"/>
      <c r="D4" s="3997"/>
      <c r="E4" s="3997"/>
      <c r="F4" s="3997"/>
      <c r="G4" s="3997"/>
      <c r="H4" s="3997"/>
      <c r="I4" s="3997"/>
      <c r="J4" s="3998"/>
      <c r="K4" s="1047"/>
      <c r="L4" s="1922" t="s">
        <v>2831</v>
      </c>
      <c r="M4" s="834">
        <f>SUMPRODUCT((区片价!B49:B75=I2)*(区片价!C3:F3=E2)*(区片价!C49:F75))</f>
        <v>0</v>
      </c>
      <c r="N4" s="836">
        <f>SUMPRODUCT((因素修正幅度!B49:B75=I2)*(因素修正幅度!C3:F3=E2)*(因素修正幅度!C49:F75))</f>
        <v>0</v>
      </c>
      <c r="O4" s="1047"/>
      <c r="P4" s="1047"/>
      <c r="Q4" s="1047"/>
      <c r="R4" s="1265">
        <v>3</v>
      </c>
      <c r="S4" s="1265">
        <f>ROUND(IF(G3&gt;1,IF(R4&lt;7,SUMPRODUCT((B93:B98=R4)*(C92:N92=G2)*(C93:N98)),SUMIF(C92:N92,G2,C100:N100)),IF(R4&lt;7,SUMPRODUCT((B102:B107=R4)*(C92:N92=G2)*(C102:N107)),SUMIF(C92:N92,G2,C109:N109))),4)</f>
        <v>0</v>
      </c>
      <c r="T4" s="1265" t="e">
        <f t="shared" si="0"/>
        <v>#DIV/0!</v>
      </c>
      <c r="U4" s="1266"/>
      <c r="V4" s="1265" t="e">
        <f t="shared" si="1"/>
        <v>#DIV/0!</v>
      </c>
      <c r="W4" s="1269"/>
      <c r="X4" s="1269"/>
      <c r="Y4" s="1269"/>
      <c r="Z4" s="1269"/>
      <c r="AA4" s="1269"/>
      <c r="AB4" s="1269"/>
      <c r="AC4" s="1270"/>
      <c r="AD4" s="1271"/>
      <c r="AE4" s="1271"/>
      <c r="AF4" s="1271"/>
      <c r="AG4" s="1271"/>
      <c r="AH4" s="1271"/>
      <c r="AI4" s="1271"/>
      <c r="AJ4" s="1272"/>
    </row>
    <row r="5" spans="1:36" s="1934" customFormat="1" ht="15.75" thickBot="1">
      <c r="A5" s="1925" t="s">
        <v>807</v>
      </c>
      <c r="B5" s="1926" t="s">
        <v>2832</v>
      </c>
      <c r="C5" s="680" t="e">
        <f>ROUND(IF(E2="商业",IF(F16="增加",C6*C7+C16,C6*C7-C16),IF(E2="住宅",IF(F16="增加",C6*C12+C16,C6*C12-C16),IF(F16="增加",C6+C16,C6-C16))),0)</f>
        <v>#DIV/0!</v>
      </c>
      <c r="D5" s="1397">
        <f>ROUND(IF(E2="商业",IF(F16="增加",C6+C16,C6-C16)),0)</f>
        <v>0</v>
      </c>
      <c r="E5" s="1927"/>
      <c r="F5" s="1927"/>
      <c r="G5" s="1928"/>
      <c r="H5" s="1928"/>
      <c r="I5" s="1928"/>
      <c r="J5" s="1929"/>
      <c r="K5" s="1930"/>
      <c r="L5" s="1922" t="s">
        <v>2833</v>
      </c>
      <c r="M5" s="834">
        <f>SUMPRODUCT((区片价!B76:B109=I2)*(区片价!C3:F3=E2)*(区片价!C76:F109))</f>
        <v>0</v>
      </c>
      <c r="N5" s="836">
        <f>SUMPRODUCT((因素修正幅度!B76:B109=I2)*(因素修正幅度!C3:F3=E2)*(因素修正幅度!C76:F109))</f>
        <v>0</v>
      </c>
      <c r="O5" s="1047"/>
      <c r="P5" s="1047"/>
      <c r="Q5" s="1047"/>
      <c r="R5" s="1265">
        <v>4</v>
      </c>
      <c r="S5" s="1265">
        <f>ROUND(IF(G3&gt;1,IF(R5&lt;7,SUMPRODUCT((B93:B98=R5)*(C92:N92=G2)*(C93:N98)),SUMIF(C92:N92,G2,C100:N100)),IF(R5&lt;7,SUMPRODUCT((B102:B107=R5)*(C92:N92=G2)*(C102:N107)),SUMIF(C92:N92,G2,C109:N109))),4)</f>
        <v>0</v>
      </c>
      <c r="T5" s="1265" t="e">
        <f t="shared" si="0"/>
        <v>#DIV/0!</v>
      </c>
      <c r="U5" s="1266"/>
      <c r="V5" s="1265" t="e">
        <f t="shared" si="1"/>
        <v>#DIV/0!</v>
      </c>
      <c r="W5" s="1269"/>
      <c r="X5" s="1269"/>
      <c r="Y5" s="1269"/>
      <c r="Z5" s="1269"/>
      <c r="AA5" s="1269"/>
      <c r="AB5" s="1269"/>
      <c r="AC5" s="1931"/>
      <c r="AD5" s="1932"/>
      <c r="AE5" s="1932"/>
      <c r="AF5" s="1932"/>
      <c r="AG5" s="1932"/>
      <c r="AH5" s="1932"/>
      <c r="AI5" s="1932"/>
      <c r="AJ5" s="1933"/>
    </row>
    <row r="6" spans="1:36" ht="15.75" thickBot="1">
      <c r="A6" s="1935" t="s">
        <v>2834</v>
      </c>
      <c r="B6" s="1936" t="s">
        <v>2835</v>
      </c>
      <c r="C6" s="681">
        <f>SUMIF(L1:L12,G2,M1:M12)</f>
        <v>0</v>
      </c>
      <c r="D6" s="1937" t="s">
        <v>2836</v>
      </c>
      <c r="E6" s="1938"/>
      <c r="F6" s="1938"/>
      <c r="G6" s="1939"/>
      <c r="H6" s="1939"/>
      <c r="I6" s="1939"/>
      <c r="J6" s="1940"/>
      <c r="K6" s="1441"/>
      <c r="L6" s="1922" t="s">
        <v>2837</v>
      </c>
      <c r="M6" s="834">
        <f>SUMPRODUCT((区片价!B110:B157=I2)*(区片价!C3:F3=E2)*(区片价!C110:F157))</f>
        <v>0</v>
      </c>
      <c r="N6" s="836">
        <f>SUMPRODUCT((因素修正幅度!B110:B157=I2)*(因素修正幅度!C3:F3=E2)*(因素修正幅度!C110:F157))</f>
        <v>0</v>
      </c>
      <c r="O6" s="1047"/>
      <c r="P6" s="1047"/>
      <c r="Q6" s="1047"/>
      <c r="R6" s="1265">
        <v>5</v>
      </c>
      <c r="S6" s="1265">
        <f>ROUND(IF(G3&gt;1,IF(R6&lt;7,SUMPRODUCT((B93:B98=R6)*(C92:N92=G2)*(C93:N98)),SUMIF(C92:N92,G2,C100:N100)),IF(R6&lt;7,SUMPRODUCT((B102:B107=R6)*(C92:N92=G2)*(C102:N107)),SUMIF(C92:N92,G2,C109:N109))),4)</f>
        <v>0</v>
      </c>
      <c r="T6" s="1265" t="e">
        <f t="shared" si="0"/>
        <v>#DIV/0!</v>
      </c>
      <c r="U6" s="1266"/>
      <c r="V6" s="1265" t="e">
        <f t="shared" si="1"/>
        <v>#DIV/0!</v>
      </c>
      <c r="W6" s="1269"/>
      <c r="X6" s="1269"/>
      <c r="Y6" s="1269"/>
      <c r="Z6" s="1269"/>
      <c r="AA6" s="1269"/>
      <c r="AB6" s="1269"/>
      <c r="AC6" s="1931"/>
      <c r="AD6" s="1932"/>
      <c r="AE6" s="1932"/>
      <c r="AF6" s="1932"/>
      <c r="AG6" s="1932"/>
      <c r="AH6" s="1932"/>
      <c r="AI6" s="1932"/>
      <c r="AJ6" s="1933"/>
    </row>
    <row r="7" spans="1:36" ht="24">
      <c r="A7" s="3979" t="str">
        <f>IF(E2="商业",IF(C8="不临58条商业街","",2),"")</f>
        <v/>
      </c>
      <c r="B7" s="1941" t="s">
        <v>2838</v>
      </c>
      <c r="C7" s="682" t="e">
        <f>IF(C8="不临58条商业街",1,ROUND(1+(1.6*E8+1.2*E9+0.8*E10+0.4*E11)*C9,4))</f>
        <v>#DIV/0!</v>
      </c>
      <c r="D7" s="1942" t="s">
        <v>2839</v>
      </c>
      <c r="E7" s="710"/>
      <c r="F7" s="1943"/>
      <c r="G7" s="1944"/>
      <c r="H7" s="1944"/>
      <c r="I7" s="1944"/>
      <c r="J7" s="1945"/>
      <c r="K7" s="1441"/>
      <c r="L7" s="1922" t="s">
        <v>2840</v>
      </c>
      <c r="M7" s="834">
        <f>SUMPRODUCT((区片价!B158:B205=I2)*(区片价!C3:F3=E2)*(区片价!C158:F205))</f>
        <v>0</v>
      </c>
      <c r="N7" s="836">
        <f>SUMPRODUCT((因素修正幅度!B158:B205=I2)*(因素修正幅度!C3:F3=E2)*(因素修正幅度!C158:F205))</f>
        <v>0</v>
      </c>
      <c r="O7" s="1047"/>
      <c r="P7" s="1047"/>
      <c r="Q7" s="1047"/>
      <c r="R7" s="1265">
        <v>6</v>
      </c>
      <c r="S7" s="1265">
        <f>ROUND(IF(G3&gt;1,IF(R7&lt;7,SUMPRODUCT((B93:B98=R7)*(C92:N92=G2)*(C93:N98)),SUMIF(C92:N92,G2,C100:N100)),IF(R7&lt;7,SUMPRODUCT((B102:B107=R7)*(C92:N92=G2)*(C102:N107)),SUMIF(C92:N92,G2,C109:N109))),4)</f>
        <v>0</v>
      </c>
      <c r="T7" s="1265" t="e">
        <f t="shared" si="0"/>
        <v>#DIV/0!</v>
      </c>
      <c r="U7" s="1266"/>
      <c r="V7" s="1265" t="e">
        <f t="shared" si="1"/>
        <v>#DIV/0!</v>
      </c>
      <c r="W7" s="1417" t="s">
        <v>2841</v>
      </c>
      <c r="X7" s="1267">
        <f>G2</f>
        <v>0</v>
      </c>
      <c r="Y7" s="1267" t="s">
        <v>2842</v>
      </c>
      <c r="Z7" s="1268">
        <f>G3</f>
        <v>1.73</v>
      </c>
      <c r="AA7" s="1269"/>
      <c r="AB7" s="1269"/>
      <c r="AC7" s="1270"/>
      <c r="AD7" s="1271"/>
      <c r="AE7" s="1271"/>
      <c r="AF7" s="1271"/>
      <c r="AG7" s="1271"/>
      <c r="AH7" s="1271"/>
      <c r="AI7" s="1271"/>
      <c r="AJ7" s="1272"/>
    </row>
    <row r="8" spans="1:36" ht="15">
      <c r="A8" s="3980"/>
      <c r="B8" s="61" t="s">
        <v>2843</v>
      </c>
      <c r="C8" s="1946"/>
      <c r="D8" s="683" t="s">
        <v>139</v>
      </c>
      <c r="E8" s="684" t="e">
        <f>ROUND(C11/E7,4)</f>
        <v>#DIV/0!</v>
      </c>
      <c r="F8" s="1947" t="s">
        <v>2844</v>
      </c>
      <c r="G8" s="1948"/>
      <c r="H8" s="1948"/>
      <c r="I8" s="1948"/>
      <c r="J8" s="1949"/>
      <c r="K8" s="1047"/>
      <c r="L8" s="1922" t="s">
        <v>2845</v>
      </c>
      <c r="M8" s="834">
        <f>SUMPRODUCT((区片价!B206:B244=I2)*(区片价!C3:F3=E2)*(区片价!C206:F244))</f>
        <v>0</v>
      </c>
      <c r="N8" s="836">
        <f>SUMPRODUCT((因素修正幅度!B206:B244=I2)*(因素修正幅度!C3:F3=E2)*(因素修正幅度!C206:F244))</f>
        <v>0</v>
      </c>
      <c r="O8" s="1047"/>
      <c r="P8" s="1047"/>
      <c r="Q8" s="1047"/>
      <c r="R8" s="1265">
        <v>7</v>
      </c>
      <c r="S8" s="1266"/>
      <c r="T8" s="1265" t="e">
        <f t="shared" si="0"/>
        <v>#DIV/0!</v>
      </c>
      <c r="U8" s="1266"/>
      <c r="V8" s="1265" t="e">
        <f t="shared" si="1"/>
        <v>#DIV/0!</v>
      </c>
      <c r="W8" s="3992" t="s">
        <v>2846</v>
      </c>
      <c r="X8" s="3993"/>
      <c r="Y8" s="1273" t="s">
        <v>2847</v>
      </c>
      <c r="Z8" s="1273" t="s">
        <v>2848</v>
      </c>
      <c r="AA8" s="1273" t="s">
        <v>2849</v>
      </c>
      <c r="AB8" s="1273" t="s">
        <v>2850</v>
      </c>
      <c r="AC8" s="1273" t="s">
        <v>2851</v>
      </c>
      <c r="AD8" s="1273" t="s">
        <v>2852</v>
      </c>
      <c r="AE8" s="1273" t="s">
        <v>2853</v>
      </c>
      <c r="AF8" s="1273" t="s">
        <v>2854</v>
      </c>
      <c r="AG8" s="1273" t="s">
        <v>2855</v>
      </c>
      <c r="AH8" s="1273" t="s">
        <v>2856</v>
      </c>
      <c r="AI8" s="1273" t="s">
        <v>2857</v>
      </c>
      <c r="AJ8" s="1273" t="s">
        <v>2858</v>
      </c>
    </row>
    <row r="9" spans="1:36" ht="15">
      <c r="A9" s="3980"/>
      <c r="B9" s="61" t="s">
        <v>2859</v>
      </c>
      <c r="C9" s="685">
        <f>SUMIF(修正!C59:C119,C8,修正!E59:E119)</f>
        <v>0</v>
      </c>
      <c r="D9" s="62" t="s">
        <v>140</v>
      </c>
      <c r="E9" s="62" t="e">
        <f>ROUND(C11/E7,4)</f>
        <v>#DIV/0!</v>
      </c>
      <c r="F9" s="1947" t="s">
        <v>2860</v>
      </c>
      <c r="G9" s="1948"/>
      <c r="H9" s="1948"/>
      <c r="I9" s="1948"/>
      <c r="J9" s="1949"/>
      <c r="K9" s="1047"/>
      <c r="L9" s="1922" t="s">
        <v>2861</v>
      </c>
      <c r="M9" s="834">
        <f>SUMPRODUCT((区片价!B245:B289=I2)*(区片价!C3:F3=E2)*(区片价!C245:F289))</f>
        <v>0</v>
      </c>
      <c r="N9" s="836">
        <f>SUMPRODUCT((因素修正幅度!B245:B289=I2)*(因素修正幅度!C3:F3=E2)*(因素修正幅度!C245:F289))</f>
        <v>0</v>
      </c>
      <c r="O9" s="1047"/>
      <c r="P9" s="1047"/>
      <c r="Q9" s="1047"/>
      <c r="R9" s="1265">
        <v>8</v>
      </c>
      <c r="S9" s="1266"/>
      <c r="T9" s="1265" t="e">
        <f t="shared" si="0"/>
        <v>#DIV/0!</v>
      </c>
      <c r="U9" s="1266"/>
      <c r="V9" s="1265" t="e">
        <f t="shared" si="1"/>
        <v>#DIV/0!</v>
      </c>
      <c r="W9" s="3994" t="s">
        <v>2862</v>
      </c>
      <c r="X9" s="1274" t="s">
        <v>2863</v>
      </c>
      <c r="Y9" s="1383"/>
      <c r="Z9" s="1275">
        <f>$Y$9</f>
        <v>0</v>
      </c>
      <c r="AA9" s="1275">
        <f t="shared" ref="AA9:AJ9" si="2">$Y$9</f>
        <v>0</v>
      </c>
      <c r="AB9" s="1275">
        <f t="shared" si="2"/>
        <v>0</v>
      </c>
      <c r="AC9" s="1275">
        <f t="shared" si="2"/>
        <v>0</v>
      </c>
      <c r="AD9" s="1275">
        <f t="shared" si="2"/>
        <v>0</v>
      </c>
      <c r="AE9" s="1275">
        <f t="shared" si="2"/>
        <v>0</v>
      </c>
      <c r="AF9" s="1275">
        <f t="shared" si="2"/>
        <v>0</v>
      </c>
      <c r="AG9" s="1275">
        <f t="shared" si="2"/>
        <v>0</v>
      </c>
      <c r="AH9" s="1275">
        <f t="shared" si="2"/>
        <v>0</v>
      </c>
      <c r="AI9" s="1275">
        <f t="shared" si="2"/>
        <v>0</v>
      </c>
      <c r="AJ9" s="1275">
        <f t="shared" si="2"/>
        <v>0</v>
      </c>
    </row>
    <row r="10" spans="1:36" ht="15">
      <c r="A10" s="3980"/>
      <c r="B10" s="61" t="s">
        <v>2864</v>
      </c>
      <c r="C10" s="62">
        <f>SUMIF(修正!C59:C119,C8,修正!F59:F119)</f>
        <v>0</v>
      </c>
      <c r="D10" s="62" t="s">
        <v>141</v>
      </c>
      <c r="E10" s="62" t="e">
        <f>ROUND(C11/E7,4)</f>
        <v>#DIV/0!</v>
      </c>
      <c r="F10" s="1947" t="s">
        <v>2865</v>
      </c>
      <c r="G10" s="1948"/>
      <c r="H10" s="1948"/>
      <c r="I10" s="1948"/>
      <c r="J10" s="1949"/>
      <c r="K10" s="1047"/>
      <c r="L10" s="1922" t="s">
        <v>2866</v>
      </c>
      <c r="M10" s="834">
        <f>SUMPRODUCT((区片价!B290:B316=I2)*(区片价!C3:F3=E2)*(区片价!C290:F316))</f>
        <v>0</v>
      </c>
      <c r="N10" s="836">
        <f>SUMPRODUCT((因素修正幅度!B290:B316=I2)*(因素修正幅度!C3:F3=E2)*(因素修正幅度!C290:F316))</f>
        <v>0</v>
      </c>
      <c r="O10" s="1047"/>
      <c r="P10" s="1047"/>
      <c r="Q10" s="1047"/>
      <c r="R10" s="1265">
        <v>9</v>
      </c>
      <c r="S10" s="1266"/>
      <c r="T10" s="1265" t="e">
        <f t="shared" si="0"/>
        <v>#DIV/0!</v>
      </c>
      <c r="U10" s="1266"/>
      <c r="V10" s="1265" t="e">
        <f t="shared" si="1"/>
        <v>#DIV/0!</v>
      </c>
      <c r="W10" s="3994"/>
      <c r="X10" s="1274">
        <v>7</v>
      </c>
      <c r="Y10" s="1276">
        <f>(-0.163*(Y9^2)-0.59*Y9+7617)*(10^(-4))</f>
        <v>0.76170000000000004</v>
      </c>
      <c r="Z10" s="1276">
        <f>(-0.163*(Z9^2)-0.59*Z9+7617)*(10^(-4))</f>
        <v>0.76170000000000004</v>
      </c>
      <c r="AA10" s="1276">
        <f>(-0.161*(AA9^2)-7.509*AA9+6533)*(10^(-4))</f>
        <v>0.65329999999999999</v>
      </c>
      <c r="AB10" s="1276">
        <f>(-0.161*(AB9^2)-7.509*AB9+6533)*(10^(-4))</f>
        <v>0.65329999999999999</v>
      </c>
      <c r="AC10" s="1276">
        <f>(-0.161*(AC9^2)-7.509*AC9+6533)*(10^(-4))</f>
        <v>0.65329999999999999</v>
      </c>
      <c r="AD10" s="1276">
        <f>(-0.161*(AD9^2)-7.509*AD9+6533)*(10^(-4))</f>
        <v>0.65329999999999999</v>
      </c>
      <c r="AE10" s="1276">
        <f>(-0.161*(AE9^2)-7.509*AE9+6533)*(10^(-4))</f>
        <v>0.65329999999999999</v>
      </c>
      <c r="AF10" s="1276">
        <f>(-0.214*(AF9^2)-21.991*AF9+4665)*(10^(-4))</f>
        <v>0.46650000000000003</v>
      </c>
      <c r="AG10" s="1276">
        <f>(-0.214*(AG9^2)-21.991*AG9+4665)*(10^(-4))</f>
        <v>0.46650000000000003</v>
      </c>
      <c r="AH10" s="1276">
        <f>(-0.214*(AH9^2)-21.991*AH9+4665)*(10^(-4))</f>
        <v>0.46650000000000003</v>
      </c>
      <c r="AI10" s="1276">
        <f>(-0.214*(AI9^2)-21.991*AI9+4665)*(10^(-4))</f>
        <v>0.46650000000000003</v>
      </c>
      <c r="AJ10" s="1276">
        <f>(-0.214*(AJ9^2)-21.991*AJ9+4665)*(10^(-4))</f>
        <v>0.46650000000000003</v>
      </c>
    </row>
    <row r="11" spans="1:36" ht="15.75" thickBot="1">
      <c r="A11" s="3980"/>
      <c r="B11" s="1950" t="s">
        <v>2867</v>
      </c>
      <c r="C11" s="686">
        <f>C10/4</f>
        <v>0</v>
      </c>
      <c r="D11" s="686" t="s">
        <v>142</v>
      </c>
      <c r="E11" s="686" t="e">
        <f>ROUND(C11/E7,4)</f>
        <v>#DIV/0!</v>
      </c>
      <c r="F11" s="1951" t="s">
        <v>2868</v>
      </c>
      <c r="G11" s="1952"/>
      <c r="H11" s="1952"/>
      <c r="I11" s="1952"/>
      <c r="J11" s="1953"/>
      <c r="K11" s="1047"/>
      <c r="L11" s="1922" t="s">
        <v>2869</v>
      </c>
      <c r="M11" s="834">
        <f>SUMPRODUCT((区片价!B317:B337=I2)*(区片价!C3:F3=E2)*(区片价!C317:F337))</f>
        <v>0</v>
      </c>
      <c r="N11" s="836">
        <f>SUMPRODUCT((因素修正幅度!B317:B337=I2)*(因素修正幅度!C3:F3=E2)*(因素修正幅度!C317:F337))</f>
        <v>0</v>
      </c>
      <c r="O11" s="1047"/>
      <c r="P11" s="1047"/>
      <c r="Q11" s="1047"/>
      <c r="R11" s="1265">
        <v>10</v>
      </c>
      <c r="S11" s="1266"/>
      <c r="T11" s="1265" t="e">
        <f t="shared" si="0"/>
        <v>#DIV/0!</v>
      </c>
      <c r="U11" s="1266"/>
      <c r="V11" s="1265" t="e">
        <f t="shared" si="1"/>
        <v>#DIV/0!</v>
      </c>
      <c r="W11" s="3994" t="s">
        <v>2870</v>
      </c>
      <c r="X11" s="1277" t="s">
        <v>2871</v>
      </c>
      <c r="Y11" s="1278">
        <f>$G$3</f>
        <v>1.73</v>
      </c>
      <c r="Z11" s="1278">
        <f t="shared" ref="Z11:AJ11" si="3">$G$3</f>
        <v>1.73</v>
      </c>
      <c r="AA11" s="1278">
        <f t="shared" si="3"/>
        <v>1.73</v>
      </c>
      <c r="AB11" s="1278">
        <f t="shared" si="3"/>
        <v>1.73</v>
      </c>
      <c r="AC11" s="1278">
        <f t="shared" si="3"/>
        <v>1.73</v>
      </c>
      <c r="AD11" s="1278">
        <f t="shared" si="3"/>
        <v>1.73</v>
      </c>
      <c r="AE11" s="1278">
        <f t="shared" si="3"/>
        <v>1.73</v>
      </c>
      <c r="AF11" s="1278">
        <f t="shared" si="3"/>
        <v>1.73</v>
      </c>
      <c r="AG11" s="1278">
        <f t="shared" si="3"/>
        <v>1.73</v>
      </c>
      <c r="AH11" s="1278">
        <f t="shared" si="3"/>
        <v>1.73</v>
      </c>
      <c r="AI11" s="1278">
        <f t="shared" si="3"/>
        <v>1.73</v>
      </c>
      <c r="AJ11" s="1278">
        <f t="shared" si="3"/>
        <v>1.73</v>
      </c>
    </row>
    <row r="12" spans="1:36" ht="25.5" thickBot="1">
      <c r="A12" s="3979" t="s">
        <v>2872</v>
      </c>
      <c r="B12" s="1954" t="s">
        <v>2873</v>
      </c>
      <c r="C12" s="682">
        <f>ROUND(C15*D15*E15*F15*G15*H15*I15*J15,4)</f>
        <v>1</v>
      </c>
      <c r="D12" s="1955" t="s">
        <v>2874</v>
      </c>
      <c r="E12" s="1956"/>
      <c r="F12" s="1956"/>
      <c r="G12" s="1957"/>
      <c r="H12" s="1957"/>
      <c r="I12" s="1957"/>
      <c r="J12" s="1958"/>
      <c r="K12" s="1047"/>
      <c r="L12" s="1959" t="s">
        <v>2875</v>
      </c>
      <c r="M12" s="835">
        <f>SUMPRODUCT((区片价!B338:B344=I2)*(区片价!C3:F3=E2)*(区片价!C338:F344))</f>
        <v>0</v>
      </c>
      <c r="N12" s="836">
        <f>SUMPRODUCT((因素修正幅度!B338:B344=I2)*(因素修正幅度!C3:F3=E2)*(因素修正幅度!C338:F344))</f>
        <v>0</v>
      </c>
      <c r="O12" s="1047"/>
      <c r="P12" s="1047"/>
      <c r="Q12" s="1047"/>
      <c r="R12" s="1265">
        <v>11</v>
      </c>
      <c r="S12" s="1266"/>
      <c r="T12" s="1265" t="e">
        <f t="shared" si="0"/>
        <v>#DIV/0!</v>
      </c>
      <c r="U12" s="1266"/>
      <c r="V12" s="1265" t="e">
        <f t="shared" si="1"/>
        <v>#DIV/0!</v>
      </c>
      <c r="W12" s="3994"/>
      <c r="X12" s="1279" t="s">
        <v>2876</v>
      </c>
      <c r="Y12" s="1275">
        <f t="shared" ref="Y12:AJ12" si="4">Y9</f>
        <v>0</v>
      </c>
      <c r="Z12" s="1275">
        <f t="shared" si="4"/>
        <v>0</v>
      </c>
      <c r="AA12" s="1275">
        <f t="shared" si="4"/>
        <v>0</v>
      </c>
      <c r="AB12" s="1275">
        <f t="shared" si="4"/>
        <v>0</v>
      </c>
      <c r="AC12" s="1275">
        <f t="shared" si="4"/>
        <v>0</v>
      </c>
      <c r="AD12" s="1275">
        <f t="shared" si="4"/>
        <v>0</v>
      </c>
      <c r="AE12" s="1275">
        <f t="shared" si="4"/>
        <v>0</v>
      </c>
      <c r="AF12" s="1275">
        <f t="shared" si="4"/>
        <v>0</v>
      </c>
      <c r="AG12" s="1275">
        <f t="shared" si="4"/>
        <v>0</v>
      </c>
      <c r="AH12" s="1275">
        <f t="shared" si="4"/>
        <v>0</v>
      </c>
      <c r="AI12" s="1275">
        <f t="shared" si="4"/>
        <v>0</v>
      </c>
      <c r="AJ12" s="1275">
        <f t="shared" si="4"/>
        <v>0</v>
      </c>
    </row>
    <row r="13" spans="1:36" ht="24">
      <c r="A13" s="3999"/>
      <c r="B13" s="1960" t="s">
        <v>2877</v>
      </c>
      <c r="C13" s="1961" t="s">
        <v>2878</v>
      </c>
      <c r="D13" s="1410" t="s">
        <v>2879</v>
      </c>
      <c r="E13" s="1410" t="s">
        <v>2880</v>
      </c>
      <c r="F13" s="24" t="s">
        <v>2881</v>
      </c>
      <c r="G13" s="1962" t="s">
        <v>2882</v>
      </c>
      <c r="H13" s="1962" t="s">
        <v>2882</v>
      </c>
      <c r="I13" s="1962" t="s">
        <v>2882</v>
      </c>
      <c r="J13" s="1963" t="s">
        <v>2882</v>
      </c>
      <c r="K13" s="1047"/>
      <c r="L13" s="1047"/>
      <c r="M13" s="1047"/>
      <c r="N13" s="1047"/>
      <c r="O13" s="1047"/>
      <c r="P13" s="1047"/>
      <c r="Q13" s="1047"/>
      <c r="R13" s="1265">
        <v>12</v>
      </c>
      <c r="S13" s="1266"/>
      <c r="T13" s="1265" t="e">
        <f t="shared" si="0"/>
        <v>#DIV/0!</v>
      </c>
      <c r="U13" s="1266"/>
      <c r="V13" s="1265" t="e">
        <f t="shared" si="1"/>
        <v>#DIV/0!</v>
      </c>
      <c r="W13" s="3994"/>
      <c r="X13" s="1279"/>
      <c r="Y13" s="1276">
        <f>(-0.163*(Y12^2)-0.59*Y12+7617)*(10^(-4))/Y11</f>
        <v>0.44028901734104048</v>
      </c>
      <c r="Z13" s="1276">
        <f t="shared" ref="Z13:AJ13" si="5">(-0.163*(Z12^2)-0.59*Z12+7617)*(10^(-4))/Z11</f>
        <v>0.44028901734104048</v>
      </c>
      <c r="AA13" s="1276">
        <f t="shared" si="5"/>
        <v>0.44028901734104048</v>
      </c>
      <c r="AB13" s="1276">
        <f t="shared" si="5"/>
        <v>0.44028901734104048</v>
      </c>
      <c r="AC13" s="1276">
        <f t="shared" si="5"/>
        <v>0.44028901734104048</v>
      </c>
      <c r="AD13" s="1276">
        <f t="shared" si="5"/>
        <v>0.44028901734104048</v>
      </c>
      <c r="AE13" s="1276">
        <f t="shared" si="5"/>
        <v>0.44028901734104048</v>
      </c>
      <c r="AF13" s="1276">
        <f t="shared" si="5"/>
        <v>0.44028901734104048</v>
      </c>
      <c r="AG13" s="1276">
        <f t="shared" si="5"/>
        <v>0.44028901734104048</v>
      </c>
      <c r="AH13" s="1276">
        <f t="shared" si="5"/>
        <v>0.44028901734104048</v>
      </c>
      <c r="AI13" s="1276">
        <f t="shared" si="5"/>
        <v>0.44028901734104048</v>
      </c>
      <c r="AJ13" s="1276">
        <f t="shared" si="5"/>
        <v>0.44028901734104048</v>
      </c>
    </row>
    <row r="14" spans="1:36" ht="15">
      <c r="A14" s="3999"/>
      <c r="B14" s="1964"/>
      <c r="C14" s="1965"/>
      <c r="D14" s="1966"/>
      <c r="E14" s="1966"/>
      <c r="F14" s="1967"/>
      <c r="G14" s="1968" t="s">
        <v>2883</v>
      </c>
      <c r="H14" s="1969"/>
      <c r="I14" s="1970"/>
      <c r="J14" s="1971"/>
      <c r="K14" s="1047"/>
      <c r="L14" s="1047"/>
      <c r="M14" s="1047"/>
      <c r="N14" s="1047"/>
      <c r="O14" s="1047"/>
      <c r="P14" s="1047"/>
      <c r="Q14" s="1047"/>
      <c r="R14" s="1265">
        <v>13</v>
      </c>
      <c r="S14" s="1266"/>
      <c r="T14" s="1265" t="e">
        <f t="shared" si="0"/>
        <v>#DIV/0!</v>
      </c>
      <c r="U14" s="1266"/>
      <c r="V14" s="1265" t="e">
        <f t="shared" si="1"/>
        <v>#DIV/0!</v>
      </c>
      <c r="W14" s="1269"/>
      <c r="X14" s="1269"/>
      <c r="Y14" s="1269"/>
      <c r="Z14" s="1269"/>
      <c r="AA14" s="1269"/>
      <c r="AB14" s="1269"/>
      <c r="AC14" s="1270"/>
      <c r="AD14" s="1271"/>
      <c r="AE14" s="1271"/>
      <c r="AF14" s="1271"/>
      <c r="AG14" s="1271"/>
      <c r="AH14" s="1271"/>
      <c r="AI14" s="1271"/>
      <c r="AJ14" s="1272"/>
    </row>
    <row r="15" spans="1:36" ht="15.75" thickBot="1">
      <c r="A15" s="4000"/>
      <c r="B15" s="1972" t="s">
        <v>2884</v>
      </c>
      <c r="C15" s="65">
        <f>IF(C14="有",1.1,1)</f>
        <v>1</v>
      </c>
      <c r="D15" s="65">
        <f>IF(D14="有",1.1,1)</f>
        <v>1</v>
      </c>
      <c r="E15" s="65">
        <f>IF(E14="有",1.1,1)</f>
        <v>1</v>
      </c>
      <c r="F15" s="65">
        <f>IF(F14="500米范围内",1.2,IF(F14="500-1000米",1.1,1))</f>
        <v>1</v>
      </c>
      <c r="G15" s="711">
        <v>1</v>
      </c>
      <c r="H15" s="711">
        <v>1</v>
      </c>
      <c r="I15" s="711">
        <v>1</v>
      </c>
      <c r="J15" s="712">
        <v>1</v>
      </c>
      <c r="K15" s="1047"/>
      <c r="L15" s="1973" t="s">
        <v>2820</v>
      </c>
      <c r="M15" s="683" t="s">
        <v>2885</v>
      </c>
      <c r="N15" s="683" t="s">
        <v>2886</v>
      </c>
      <c r="O15" s="683" t="s">
        <v>2887</v>
      </c>
      <c r="P15" s="1974" t="s">
        <v>2888</v>
      </c>
      <c r="Q15" s="1047"/>
      <c r="R15" s="1265">
        <v>14</v>
      </c>
      <c r="S15" s="1266"/>
      <c r="T15" s="1265" t="e">
        <f t="shared" si="0"/>
        <v>#DIV/0!</v>
      </c>
      <c r="U15" s="1266"/>
      <c r="V15" s="1265" t="e">
        <f t="shared" si="1"/>
        <v>#DIV/0!</v>
      </c>
      <c r="W15" s="1269"/>
      <c r="X15" s="1269"/>
      <c r="Y15" s="1269"/>
      <c r="Z15" s="1269"/>
      <c r="AA15" s="1269"/>
      <c r="AB15" s="1269"/>
      <c r="AC15" s="1270"/>
      <c r="AD15" s="1271"/>
      <c r="AE15" s="1271"/>
      <c r="AF15" s="1271"/>
      <c r="AG15" s="1271"/>
      <c r="AH15" s="1271"/>
      <c r="AI15" s="1271"/>
      <c r="AJ15" s="1272"/>
    </row>
    <row r="16" spans="1:36" ht="24">
      <c r="A16" s="3979" t="s">
        <v>2889</v>
      </c>
      <c r="B16" s="1941" t="s">
        <v>2890</v>
      </c>
      <c r="C16" s="1406" t="e">
        <f>ROUND(SUM(G17:J17)/C17,0)</f>
        <v>#DIV/0!</v>
      </c>
      <c r="D16" s="1975" t="s">
        <v>2891</v>
      </c>
      <c r="E16" s="1976"/>
      <c r="F16" s="1977"/>
      <c r="G16" s="1978"/>
      <c r="H16" s="1978"/>
      <c r="I16" s="1978"/>
      <c r="J16" s="1979"/>
      <c r="K16" s="1047"/>
      <c r="L16" s="1980" t="s">
        <v>2892</v>
      </c>
      <c r="M16" s="685">
        <v>0.25</v>
      </c>
      <c r="N16" s="685">
        <v>0.2</v>
      </c>
      <c r="O16" s="685">
        <v>0.15</v>
      </c>
      <c r="P16" s="1046">
        <v>0.1</v>
      </c>
      <c r="Q16" s="1047"/>
      <c r="R16" s="1265">
        <v>15</v>
      </c>
      <c r="S16" s="1266"/>
      <c r="T16" s="1265" t="e">
        <f t="shared" si="0"/>
        <v>#DIV/0!</v>
      </c>
      <c r="U16" s="1266"/>
      <c r="V16" s="1265" t="e">
        <f t="shared" si="1"/>
        <v>#DIV/0!</v>
      </c>
      <c r="W16" s="1269"/>
      <c r="X16" s="1269"/>
      <c r="Y16" s="1269"/>
      <c r="Z16" s="1269"/>
      <c r="AA16" s="1269"/>
      <c r="AB16" s="1269"/>
      <c r="AC16" s="1270"/>
      <c r="AD16" s="1271"/>
      <c r="AE16" s="1271"/>
      <c r="AF16" s="1271"/>
      <c r="AG16" s="1271"/>
      <c r="AH16" s="1271"/>
      <c r="AI16" s="1271"/>
      <c r="AJ16" s="1272"/>
    </row>
    <row r="17" spans="1:37" ht="13.5" thickBot="1">
      <c r="A17" s="3980"/>
      <c r="B17" s="1981" t="s">
        <v>2893</v>
      </c>
      <c r="C17" s="687">
        <f>SUMPRODUCT((修正!A2:A5=E2)*(修正!B1:M1=G2)*(修正!B2:M5))</f>
        <v>0</v>
      </c>
      <c r="D17" s="1982" t="s">
        <v>2894</v>
      </c>
      <c r="E17" s="686" t="str">
        <f>IF(OR(G2="八级",G2="九级",G2="十级",G2="十一级",G2="十二级"),"五通一平","七通一平")</f>
        <v>七通一平</v>
      </c>
      <c r="F17" s="687" t="s">
        <v>2895</v>
      </c>
      <c r="G17" s="687">
        <f>SUMPRODUCT((七通一平=G16)*(修正!B1:M1=G2)*(修正!B6:M14))</f>
        <v>0</v>
      </c>
      <c r="H17" s="687">
        <f>SUMPRODUCT((七通一平=H16)*(修正!B1:M1=G2)*(修正!B6:M14))</f>
        <v>0</v>
      </c>
      <c r="I17" s="687">
        <f>SUMPRODUCT((七通一平=I16)*(修正!B1:M1=G2)*(修正!B6:M14))</f>
        <v>0</v>
      </c>
      <c r="J17" s="688">
        <f>SUMPRODUCT((七通一平=J16)*(修正!B1:M1=G2)*(修正!B6:M14))</f>
        <v>0</v>
      </c>
      <c r="K17" s="1047"/>
      <c r="L17" s="1983" t="s">
        <v>2896</v>
      </c>
      <c r="M17" s="64">
        <f ca="1">ROUND($E$20*(1+M16),3)</f>
        <v>5.3999999999999999E-2</v>
      </c>
      <c r="N17" s="64">
        <f ca="1">ROUND($E$20*(1+N16),3)</f>
        <v>5.1999999999999998E-2</v>
      </c>
      <c r="O17" s="64">
        <f ca="1">ROUND($E$20*(1+O16),3)</f>
        <v>0.05</v>
      </c>
      <c r="P17" s="1050">
        <f ca="1">ROUND($E$20*(1+P16),3)</f>
        <v>4.8000000000000001E-2</v>
      </c>
      <c r="Q17" s="1047"/>
      <c r="R17" s="1047"/>
      <c r="S17" s="1047"/>
      <c r="T17" s="1047"/>
      <c r="U17" s="1047"/>
      <c r="V17" s="1047"/>
      <c r="W17" s="1047"/>
      <c r="X17" s="1047"/>
      <c r="Y17" s="1047"/>
      <c r="Z17" s="1048"/>
      <c r="AE17" s="1984"/>
      <c r="AF17" s="1984"/>
      <c r="AG17" s="1916"/>
      <c r="AH17" s="1916"/>
      <c r="AI17" s="1916"/>
      <c r="AJ17" s="1916"/>
    </row>
    <row r="18" spans="1:37" s="1934" customFormat="1" ht="15.75" thickBot="1">
      <c r="A18" s="1985" t="s">
        <v>808</v>
      </c>
      <c r="B18" s="1986" t="s">
        <v>2897</v>
      </c>
      <c r="C18" s="689">
        <f>SUMIF(修正!C18:C39,E3,修正!E18:E39)</f>
        <v>0</v>
      </c>
      <c r="D18" s="1987"/>
      <c r="E18" s="1988"/>
      <c r="F18" s="1989"/>
      <c r="G18" s="1990"/>
      <c r="H18" s="1990"/>
      <c r="I18" s="1990"/>
      <c r="J18" s="1991"/>
      <c r="K18" s="1054"/>
      <c r="O18" s="1052"/>
      <c r="P18" s="1052"/>
      <c r="Q18" s="1053"/>
      <c r="R18" s="1053"/>
      <c r="S18" s="1053"/>
      <c r="T18" s="1048"/>
      <c r="U18" s="1048"/>
      <c r="V18" s="1048"/>
      <c r="W18" s="1047"/>
      <c r="X18" s="1047"/>
      <c r="Y18" s="1047"/>
      <c r="Z18" s="1054"/>
      <c r="AA18" s="1055"/>
      <c r="AB18" s="1055"/>
      <c r="AC18" s="1055"/>
      <c r="AD18" s="1055"/>
      <c r="AE18" s="1049"/>
      <c r="AF18" s="1049"/>
      <c r="AG18" s="1992"/>
      <c r="AH18" s="1992"/>
      <c r="AI18" s="1992"/>
    </row>
    <row r="19" spans="1:37" s="1934" customFormat="1" ht="27.75" thickBot="1">
      <c r="A19" s="1985" t="s">
        <v>809</v>
      </c>
      <c r="B19" s="1986" t="s">
        <v>2898</v>
      </c>
      <c r="C19" s="690" t="e">
        <f>ROUND(IF(H19="按公示增长率计算",SUMPRODUCT((地价!A3:A20=YEAR(G19)&amp;"-"&amp;ROUNDUP(MONTH(G19)/3,0))*(地价!X2:AB2=E2)*(地价!X3:AB20)),IF(H19="地价指数",M20/M19,(1+I19)^O19)),4)</f>
        <v>#DIV/0!</v>
      </c>
      <c r="D19" s="1993" t="s">
        <v>2899</v>
      </c>
      <c r="E19" s="691">
        <v>41640</v>
      </c>
      <c r="F19" s="1993" t="s">
        <v>2900</v>
      </c>
      <c r="G19" s="692">
        <f>'数据-取费表'!B2</f>
        <v>43071</v>
      </c>
      <c r="H19" s="1994" t="s">
        <v>2901</v>
      </c>
      <c r="I19" s="693" t="str">
        <f>IF(H19="季度增幅（自定义）",SUMIF(N21:N24,E2,O21:O24),"")</f>
        <v/>
      </c>
      <c r="J19" s="1991"/>
      <c r="K19" s="1054"/>
      <c r="L19" s="1995" t="s">
        <v>2902</v>
      </c>
      <c r="M19" s="1376">
        <f>ROUND(SUMIF(地价!B2:F2,E2,地价!B20:F20),0)</f>
        <v>0</v>
      </c>
      <c r="N19" s="1996" t="s">
        <v>2903</v>
      </c>
      <c r="O19" s="694">
        <f>ROUNDDOWN(DATEDIF(E19,G19,"M")/3,0)</f>
        <v>15</v>
      </c>
      <c r="P19" s="1051"/>
      <c r="Q19" s="1053"/>
      <c r="R19" s="1053"/>
      <c r="S19" s="1053"/>
      <c r="T19" s="1048"/>
      <c r="U19" s="1048"/>
      <c r="V19" s="1048"/>
      <c r="W19" s="1047"/>
      <c r="X19" s="1047"/>
      <c r="Y19" s="1047"/>
      <c r="Z19" s="1054"/>
      <c r="AA19" s="1055"/>
      <c r="AB19" s="1055"/>
      <c r="AC19" s="1055"/>
      <c r="AD19" s="1055"/>
      <c r="AE19" s="1055"/>
      <c r="AF19" s="1997"/>
      <c r="AG19" s="1998"/>
      <c r="AH19" s="1992"/>
      <c r="AI19" s="1999"/>
      <c r="AJ19" s="1999"/>
      <c r="AK19" s="1999"/>
    </row>
    <row r="20" spans="1:37" s="1934" customFormat="1" ht="27.75" thickBot="1">
      <c r="A20" s="2000" t="s">
        <v>810</v>
      </c>
      <c r="B20" s="2001" t="s">
        <v>2904</v>
      </c>
      <c r="C20" s="695" t="e">
        <f>ROUND(POWER(1+G20,J20-I20)*(POWER(1+G20,I20)-1)/(POWER(1+G20,J20)-1),4)</f>
        <v>#DIV/0!</v>
      </c>
      <c r="D20" s="2002" t="s">
        <v>2905</v>
      </c>
      <c r="E20" s="1382">
        <f ca="1">存贷款利率!D4/100</f>
        <v>4.3499999999999997E-2</v>
      </c>
      <c r="F20" s="2002" t="s">
        <v>2896</v>
      </c>
      <c r="G20" s="700">
        <f>SUMIF(M15:P15,E2,M17:P17)</f>
        <v>0</v>
      </c>
      <c r="H20" s="2002" t="s">
        <v>2906</v>
      </c>
      <c r="I20" s="701" t="e">
        <f>SUMIF('数据-取费表'!C6:C15,E2,'数据-取费表'!F6:F15)/COUNTIF('数据-取费表'!C6:C15,E2)</f>
        <v>#DIV/0!</v>
      </c>
      <c r="J20" s="702">
        <f>IF(E2="住宅",70,IF(E2="商业",40,50))</f>
        <v>50</v>
      </c>
      <c r="K20" s="1054"/>
      <c r="L20" s="2003" t="s">
        <v>2907</v>
      </c>
      <c r="M20" s="1377">
        <f>ROUND(SUMPRODUCT((地价!A5:A20=YEAR(G19)&amp;"-"&amp;ROUNDUP(MONTH(G19)/3,0))*(地价!B2:F2=E2)*(地价!B5:F20)),0)</f>
        <v>0</v>
      </c>
      <c r="N20" s="2004" t="s">
        <v>2908</v>
      </c>
      <c r="O20" s="2005" t="s">
        <v>2909</v>
      </c>
      <c r="P20" s="2006" t="s">
        <v>2910</v>
      </c>
      <c r="R20" s="1053"/>
      <c r="S20" s="1053"/>
      <c r="T20" s="1048"/>
      <c r="U20" s="1048"/>
      <c r="V20" s="1048"/>
      <c r="W20" s="1047"/>
      <c r="X20" s="1047"/>
      <c r="Y20" s="1047"/>
      <c r="Z20" s="1054"/>
      <c r="AA20" s="1055"/>
      <c r="AB20" s="1055"/>
      <c r="AC20" s="1055"/>
      <c r="AD20" s="1055"/>
      <c r="AE20" s="1055"/>
      <c r="AF20" s="1055"/>
    </row>
    <row r="21" spans="1:37" s="1934" customFormat="1" ht="15">
      <c r="A21" s="2007" t="s">
        <v>811</v>
      </c>
      <c r="B21" s="2008" t="s">
        <v>2911</v>
      </c>
      <c r="C21" s="703">
        <f>IF(B21="容积率修正",IF(G3&lt;=10,D22,J22),C23)</f>
        <v>0</v>
      </c>
      <c r="D21" s="2009"/>
      <c r="E21" s="2009"/>
      <c r="F21" s="2009"/>
      <c r="G21" s="2009"/>
      <c r="H21" s="2009"/>
      <c r="I21" s="2009"/>
      <c r="J21" s="2010"/>
      <c r="K21" s="1054"/>
      <c r="N21" s="2011" t="s">
        <v>2912</v>
      </c>
      <c r="O21" s="1224"/>
      <c r="P21" s="1225">
        <f>SUMPRODUCT((地价!A3:A20=YEAR(G19)&amp;"-"&amp;ROUNDUP(MONTH(G19)/3,0))*(地价!AD2:AH2=N21)*(地价!AD3:AH20))</f>
        <v>1.6400000000000001E-2</v>
      </c>
      <c r="R21" s="1053"/>
      <c r="S21" s="1053"/>
      <c r="T21" s="1048"/>
      <c r="U21" s="1048"/>
      <c r="V21" s="1048"/>
      <c r="W21" s="1047"/>
      <c r="X21" s="1047"/>
      <c r="Y21" s="1047"/>
      <c r="Z21" s="1054"/>
      <c r="AA21" s="1055"/>
      <c r="AB21" s="1055"/>
      <c r="AC21" s="1055"/>
      <c r="AD21" s="1055"/>
      <c r="AE21" s="1055"/>
      <c r="AF21" s="1055"/>
    </row>
    <row r="22" spans="1:37" s="1934" customFormat="1" ht="14.25">
      <c r="A22" s="1863" t="s">
        <v>2913</v>
      </c>
      <c r="B22" s="2012" t="s">
        <v>2914</v>
      </c>
      <c r="C22" s="1412" t="s">
        <v>2915</v>
      </c>
      <c r="D22" s="1412">
        <f>IF(E22=G22,F22,IF(G3&lt;=10,ROUND(F22+(H22-F22)*(G3-E22)/(G22-E22),4),"——"))</f>
        <v>0</v>
      </c>
      <c r="E22" s="679">
        <f>ROUNDDOWN(G3,1)</f>
        <v>1.7</v>
      </c>
      <c r="F22" s="1412"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679">
        <f>ROUNDUP(G3,1)</f>
        <v>1.8</v>
      </c>
      <c r="H22" s="141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412" t="s">
        <v>155</v>
      </c>
      <c r="J22" s="704" t="str">
        <f>IF(G3&gt;10,D113,"——")</f>
        <v>——</v>
      </c>
      <c r="K22" s="1054"/>
      <c r="N22" s="2011" t="s">
        <v>2916</v>
      </c>
      <c r="O22" s="1224"/>
      <c r="P22" s="1225">
        <f>SUMPRODUCT((地价!A3:A20=YEAR(G19)&amp;"-"&amp;ROUNDUP(MONTH(G19)/3,0))*(地价!AD2:AH2=N22)*(地价!AD3:AH20))</f>
        <v>1.6400000000000001E-2</v>
      </c>
      <c r="R22" s="1053"/>
      <c r="S22" s="1053"/>
      <c r="T22" s="1048"/>
      <c r="U22" s="1048"/>
      <c r="V22" s="1048"/>
      <c r="W22" s="1047"/>
      <c r="X22" s="1047"/>
      <c r="Y22" s="1047"/>
      <c r="Z22" s="1054"/>
      <c r="AA22" s="1055"/>
      <c r="AB22" s="1055"/>
      <c r="AC22" s="1055"/>
      <c r="AD22" s="1055"/>
      <c r="AE22" s="1055"/>
      <c r="AF22" s="1055"/>
    </row>
    <row r="23" spans="1:37" ht="27.75" thickBot="1">
      <c r="A23" s="1863" t="s">
        <v>2917</v>
      </c>
      <c r="B23" s="2013" t="s">
        <v>2918</v>
      </c>
      <c r="C23" s="778">
        <f>ROUND(IF(G3&gt;1,IF(I3&lt;7,SUMPRODUCT((B93:B98=I3)*(C92:N92=G2)*(C93:N98)),SUMIF(C92:N92,G2,C100:N100)),IF(I3&lt;7,SUMPRODUCT((B102:B107=I3)*(C92:N92=G2)*(C102:N107)),SUMIF(C92:N92,G2,C109:N109))),4)</f>
        <v>0</v>
      </c>
      <c r="D23" s="1969"/>
      <c r="E23" s="1969"/>
      <c r="F23" s="2014"/>
      <c r="G23" s="2015"/>
      <c r="H23" s="2016"/>
      <c r="I23" s="2017"/>
      <c r="J23" s="2018"/>
      <c r="K23" s="1047"/>
      <c r="N23" s="2011" t="s">
        <v>2919</v>
      </c>
      <c r="O23" s="1224"/>
      <c r="P23" s="1225">
        <f>SUMPRODUCT((地价!A3:A20=YEAR(G19)&amp;"-"&amp;ROUNDUP(MONTH(G19)/3,0))*(地价!AD2:AH2=N23)*(地价!AD3:AH20))</f>
        <v>2.7799999999999998E-2</v>
      </c>
      <c r="R23" s="1053"/>
      <c r="S23" s="1053"/>
      <c r="T23" s="1048"/>
      <c r="U23" s="1048"/>
      <c r="V23" s="1048"/>
      <c r="W23" s="1047"/>
      <c r="X23" s="1047"/>
      <c r="Y23" s="1047"/>
      <c r="Z23" s="1054"/>
      <c r="AA23" s="1055"/>
      <c r="AB23" s="1055"/>
      <c r="AC23" s="1055"/>
      <c r="AD23" s="1055"/>
      <c r="AK23" s="1992"/>
    </row>
    <row r="24" spans="1:37" s="1934" customFormat="1" ht="15.75" thickBot="1">
      <c r="A24" s="2000" t="s">
        <v>812</v>
      </c>
      <c r="B24" s="1986" t="s">
        <v>2920</v>
      </c>
      <c r="C24" s="690">
        <f>SUMIF(A45:A88,E2,B45:B88)</f>
        <v>0</v>
      </c>
      <c r="D24" s="1989"/>
      <c r="E24" s="2019"/>
      <c r="F24" s="2019"/>
      <c r="G24" s="2019"/>
      <c r="H24" s="2019"/>
      <c r="I24" s="2019"/>
      <c r="J24" s="2020"/>
      <c r="K24" s="1054"/>
      <c r="N24" s="2021" t="s">
        <v>2921</v>
      </c>
      <c r="O24" s="1226"/>
      <c r="P24" s="1227">
        <f>SUMPRODUCT((地价!A3:A20=YEAR(G19)&amp;"-"&amp;ROUNDUP(MONTH(G19)/3,0))*(地价!AD2:AH2=N24)*(地价!AD3:AH20))</f>
        <v>1.3899999999999999E-2</v>
      </c>
      <c r="R24" s="1053"/>
      <c r="S24" s="1053"/>
      <c r="T24" s="1048"/>
      <c r="U24" s="1048"/>
      <c r="V24" s="1048"/>
      <c r="W24" s="1047"/>
      <c r="X24" s="1047"/>
      <c r="Y24" s="1047"/>
      <c r="Z24" s="1054"/>
      <c r="AA24" s="1055"/>
      <c r="AB24" s="1055"/>
      <c r="AC24" s="1055"/>
      <c r="AD24" s="1055"/>
      <c r="AE24" s="1055"/>
      <c r="AF24" s="1055"/>
    </row>
    <row r="25" spans="1:37" ht="15.75" thickBot="1">
      <c r="A25" s="2000" t="s">
        <v>813</v>
      </c>
      <c r="B25" s="2022" t="s">
        <v>2922</v>
      </c>
      <c r="C25" s="696"/>
      <c r="D25" s="1944"/>
      <c r="E25" s="1944"/>
      <c r="F25" s="2023"/>
      <c r="G25" s="1944"/>
      <c r="H25" s="1944"/>
      <c r="I25" s="1944"/>
      <c r="J25" s="1945"/>
      <c r="K25" s="1047"/>
      <c r="N25" s="2024" t="s">
        <v>2923</v>
      </c>
      <c r="O25" s="1228"/>
      <c r="P25" s="1227">
        <f>SUMPRODUCT((地价!A3:A20=YEAR(G19)&amp;"-"&amp;ROUNDUP(MONTH(G19)/3,0))*(地价!AD2:AH2=N25)*(地价!AD3:AH20))</f>
        <v>2.4899999999999999E-2</v>
      </c>
      <c r="R25" s="1053"/>
      <c r="S25" s="1053"/>
      <c r="T25" s="1048"/>
      <c r="U25" s="1048"/>
      <c r="V25" s="1048"/>
      <c r="W25" s="1047"/>
      <c r="X25" s="1047"/>
      <c r="Y25" s="1047"/>
      <c r="Z25" s="1054"/>
      <c r="AA25" s="1055"/>
      <c r="AB25" s="1055"/>
      <c r="AC25" s="1055"/>
      <c r="AD25" s="1055"/>
    </row>
    <row r="26" spans="1:37" ht="15">
      <c r="A26" s="2025"/>
      <c r="B26" s="2012" t="s">
        <v>2924</v>
      </c>
      <c r="C26" s="63" t="e">
        <f>E29+SUM(E33:E39)</f>
        <v>#DIV/0!</v>
      </c>
      <c r="D26" s="2026"/>
      <c r="E26" s="1969"/>
      <c r="F26" s="2027"/>
      <c r="G26" s="1969"/>
      <c r="H26" s="1969"/>
      <c r="I26" s="1969"/>
      <c r="J26" s="2028"/>
      <c r="K26" s="1047"/>
      <c r="R26" s="1053"/>
      <c r="S26" s="1053"/>
      <c r="T26" s="1048"/>
      <c r="U26" s="1048"/>
      <c r="V26" s="1048"/>
      <c r="W26" s="1047"/>
      <c r="X26" s="1047"/>
      <c r="Y26" s="1047"/>
      <c r="Z26" s="1054"/>
      <c r="AA26" s="1055"/>
      <c r="AB26" s="1055"/>
      <c r="AC26" s="1055"/>
      <c r="AD26" s="1055"/>
    </row>
    <row r="27" spans="1:37" ht="15.75" thickBot="1">
      <c r="A27" s="2025"/>
      <c r="B27" s="2029" t="s">
        <v>2925</v>
      </c>
      <c r="C27" s="697" t="e">
        <f>E30+SUM(I33:I39)</f>
        <v>#DIV/0!</v>
      </c>
      <c r="D27" s="2030"/>
      <c r="E27" s="2031"/>
      <c r="F27" s="2032"/>
      <c r="G27" s="2031"/>
      <c r="H27" s="2031"/>
      <c r="I27" s="2031"/>
      <c r="J27" s="2033"/>
      <c r="K27" s="1047"/>
      <c r="L27" s="1047"/>
      <c r="M27" s="1047"/>
      <c r="N27" s="1047"/>
      <c r="O27" s="1052"/>
      <c r="P27" s="1052"/>
      <c r="Q27" s="1053"/>
      <c r="R27" s="1053"/>
      <c r="S27" s="1053"/>
      <c r="T27" s="1048"/>
      <c r="U27" s="1048"/>
      <c r="V27" s="1048"/>
      <c r="W27" s="1047"/>
      <c r="X27" s="1047"/>
      <c r="Y27" s="1047"/>
      <c r="Z27" s="1054"/>
      <c r="AA27" s="1055"/>
      <c r="AB27" s="1055"/>
      <c r="AC27" s="1055"/>
      <c r="AD27" s="1055"/>
    </row>
    <row r="28" spans="1:37" ht="15">
      <c r="A28" s="2034"/>
      <c r="B28" s="2035" t="s">
        <v>2926</v>
      </c>
      <c r="C28" s="2036" t="s">
        <v>2927</v>
      </c>
      <c r="D28" s="2036" t="s">
        <v>2928</v>
      </c>
      <c r="E28" s="2037" t="s">
        <v>2929</v>
      </c>
      <c r="F28" s="2038"/>
      <c r="G28" s="1957"/>
      <c r="H28" s="1957"/>
      <c r="I28" s="1957"/>
      <c r="J28" s="1958"/>
      <c r="K28" s="1047"/>
      <c r="L28" s="1047"/>
      <c r="M28" s="1047"/>
      <c r="N28" s="1047"/>
      <c r="O28" s="1052"/>
      <c r="P28" s="1052"/>
      <c r="Q28" s="1053"/>
      <c r="R28" s="1053"/>
      <c r="S28" s="1053"/>
      <c r="T28" s="1048"/>
      <c r="U28" s="1048"/>
      <c r="V28" s="1048"/>
      <c r="W28" s="1047"/>
      <c r="X28" s="1047"/>
      <c r="Y28" s="1047"/>
      <c r="Z28" s="1054"/>
      <c r="AA28" s="1055"/>
      <c r="AB28" s="1055"/>
      <c r="AC28" s="1055"/>
      <c r="AD28" s="1055"/>
    </row>
    <row r="29" spans="1:37" ht="22.5" customHeight="1">
      <c r="A29" s="2039"/>
      <c r="B29" s="2040" t="s">
        <v>2930</v>
      </c>
      <c r="C29" s="63" t="e">
        <f>ROUND(C5*C18*C19*C20*C21*C24,0)</f>
        <v>#DIV/0!</v>
      </c>
      <c r="D29" s="2041"/>
      <c r="E29" s="707" t="e">
        <f>ROUND(C29*D29/10000,0)</f>
        <v>#DIV/0!</v>
      </c>
      <c r="F29" s="2042" t="s">
        <v>2931</v>
      </c>
      <c r="G29" s="2043"/>
      <c r="H29" s="2043"/>
      <c r="I29" s="2043"/>
      <c r="J29" s="2044"/>
      <c r="K29" s="1047"/>
      <c r="L29" s="1047"/>
      <c r="M29" s="1047"/>
      <c r="N29" s="1047"/>
      <c r="O29" s="1052"/>
      <c r="P29" s="1052"/>
      <c r="Q29" s="1053"/>
      <c r="R29" s="1053"/>
      <c r="S29" s="1053"/>
      <c r="T29" s="1048"/>
      <c r="U29" s="1048"/>
      <c r="V29" s="1048"/>
      <c r="W29" s="1047"/>
      <c r="X29" s="1047"/>
      <c r="Y29" s="1047"/>
      <c r="Z29" s="1054"/>
      <c r="AA29" s="1055"/>
      <c r="AB29" s="1055"/>
      <c r="AC29" s="1055"/>
      <c r="AD29" s="1055"/>
      <c r="AE29" s="1984"/>
      <c r="AF29" s="1984"/>
      <c r="AG29" s="1916"/>
      <c r="AH29" s="1916"/>
      <c r="AI29" s="1916"/>
      <c r="AJ29" s="1916"/>
    </row>
    <row r="30" spans="1:37" ht="25.5" thickBot="1">
      <c r="A30" s="2045"/>
      <c r="B30" s="2046" t="s">
        <v>2932</v>
      </c>
      <c r="C30" s="65" t="e">
        <f>ROUND(IF(E2="工业",C29*M39,C29*M38),0)</f>
        <v>#DIV/0!</v>
      </c>
      <c r="D30" s="2047"/>
      <c r="E30" s="707" t="e">
        <f>ROUND(C30*D30/10000,0)</f>
        <v>#DIV/0!</v>
      </c>
      <c r="F30" s="2048" t="s">
        <v>2933</v>
      </c>
      <c r="G30" s="2049"/>
      <c r="H30" s="2049"/>
      <c r="I30" s="2049"/>
      <c r="J30" s="2050"/>
      <c r="K30" s="1047"/>
      <c r="L30" s="1047"/>
      <c r="M30" s="1047"/>
      <c r="N30" s="1047"/>
      <c r="O30" s="1052"/>
      <c r="P30" s="1052"/>
      <c r="Q30" s="1053"/>
      <c r="R30" s="1053"/>
      <c r="S30" s="1053"/>
      <c r="T30" s="1048"/>
      <c r="U30" s="1048"/>
      <c r="V30" s="1048"/>
      <c r="W30" s="1047"/>
      <c r="X30" s="1047"/>
      <c r="Y30" s="1047"/>
      <c r="Z30" s="1054"/>
      <c r="AA30" s="1055"/>
      <c r="AB30" s="1055"/>
      <c r="AC30" s="1055"/>
      <c r="AD30" s="1055"/>
      <c r="AE30" s="1984"/>
      <c r="AF30" s="1984"/>
      <c r="AG30" s="1916"/>
      <c r="AH30" s="1916"/>
      <c r="AI30" s="1916"/>
      <c r="AJ30" s="1916"/>
    </row>
    <row r="31" spans="1:37" ht="14.25">
      <c r="A31" s="2051"/>
      <c r="B31" s="2052" t="s">
        <v>2934</v>
      </c>
      <c r="C31" s="2053" t="s">
        <v>2935</v>
      </c>
      <c r="D31" s="1957"/>
      <c r="E31" s="2053"/>
      <c r="F31" s="2053"/>
      <c r="G31" s="1955" t="s">
        <v>2936</v>
      </c>
      <c r="H31" s="1957"/>
      <c r="I31" s="2054"/>
      <c r="J31" s="1958"/>
      <c r="K31" s="1047"/>
      <c r="L31" s="1047"/>
      <c r="M31" s="1047"/>
      <c r="N31" s="1047"/>
      <c r="O31" s="1052"/>
      <c r="P31" s="1052"/>
      <c r="Q31" s="1053"/>
      <c r="R31" s="1053"/>
      <c r="S31" s="1053"/>
      <c r="T31" s="1048"/>
      <c r="U31" s="1048"/>
      <c r="V31" s="1048"/>
      <c r="W31" s="1047"/>
      <c r="X31" s="1047"/>
      <c r="Y31" s="1047"/>
      <c r="Z31" s="1054"/>
      <c r="AA31" s="1055"/>
      <c r="AB31" s="1055"/>
      <c r="AC31" s="1055"/>
      <c r="AD31" s="1055"/>
      <c r="AE31" s="1984"/>
      <c r="AF31" s="1984"/>
      <c r="AG31" s="1916"/>
      <c r="AH31" s="1916"/>
      <c r="AI31" s="1916"/>
      <c r="AJ31" s="1916"/>
    </row>
    <row r="32" spans="1:37" ht="24">
      <c r="A32" s="2039"/>
      <c r="B32" s="2055"/>
      <c r="C32" s="324" t="s">
        <v>2927</v>
      </c>
      <c r="D32" s="321" t="s">
        <v>2928</v>
      </c>
      <c r="E32" s="321" t="s">
        <v>2929</v>
      </c>
      <c r="F32" s="212" t="s">
        <v>2937</v>
      </c>
      <c r="G32" s="2056" t="s">
        <v>2927</v>
      </c>
      <c r="H32" s="2056" t="s">
        <v>2928</v>
      </c>
      <c r="I32" s="2056" t="s">
        <v>2929</v>
      </c>
      <c r="J32" s="113"/>
      <c r="K32" s="1047"/>
      <c r="L32" s="1047"/>
      <c r="M32" s="1047"/>
      <c r="N32" s="1047"/>
      <c r="O32" s="1052"/>
      <c r="P32" s="1052"/>
      <c r="Q32" s="1053"/>
      <c r="R32" s="1053"/>
      <c r="S32" s="1053"/>
      <c r="T32" s="1048"/>
      <c r="U32" s="1048"/>
      <c r="V32" s="1048"/>
      <c r="W32" s="1047"/>
      <c r="X32" s="1047"/>
      <c r="Y32" s="1047"/>
      <c r="Z32" s="1054"/>
      <c r="AA32" s="1055"/>
      <c r="AB32" s="1055"/>
      <c r="AC32" s="1055"/>
      <c r="AD32" s="1055"/>
      <c r="AE32" s="1984"/>
      <c r="AF32" s="1984"/>
      <c r="AG32" s="1916"/>
      <c r="AH32" s="1916"/>
      <c r="AI32" s="1916"/>
      <c r="AJ32" s="1916"/>
    </row>
    <row r="33" spans="1:37" ht="36" customHeight="1">
      <c r="A33" s="3989" t="s">
        <v>2938</v>
      </c>
      <c r="B33" s="2057" t="s">
        <v>2939</v>
      </c>
      <c r="C33" s="63" t="e">
        <f>ROUND(D5*C19*C20*C24*F33,0)</f>
        <v>#DIV/0!</v>
      </c>
      <c r="D33" s="2041"/>
      <c r="E33" s="62" t="e">
        <f>ROUND(C33*D33/10000,0)</f>
        <v>#DIV/0!</v>
      </c>
      <c r="F33" s="62">
        <f>SUMIF(修正!A45:A56,G2,修正!B45:B56)</f>
        <v>0</v>
      </c>
      <c r="G33" s="62" t="e">
        <f t="shared" ref="G33:G39" si="6">ROUND(IF(E2="工业",C33*$M$39,C33*$M$38),0)</f>
        <v>#DIV/0!</v>
      </c>
      <c r="H33" s="62">
        <f>D33</f>
        <v>0</v>
      </c>
      <c r="I33" s="62" t="e">
        <f>ROUND(G33*H33/10000,0)</f>
        <v>#DIV/0!</v>
      </c>
      <c r="J33" s="2058"/>
      <c r="K33" s="1047"/>
      <c r="L33" s="1047"/>
      <c r="M33" s="1047"/>
      <c r="N33" s="1047"/>
      <c r="O33" s="1052"/>
      <c r="P33" s="1052"/>
      <c r="Q33" s="1053"/>
      <c r="R33" s="1053"/>
      <c r="S33" s="1053"/>
      <c r="T33" s="1048"/>
      <c r="U33" s="1048"/>
      <c r="V33" s="1048"/>
      <c r="W33" s="1047"/>
      <c r="X33" s="1047"/>
      <c r="Y33" s="1047"/>
      <c r="Z33" s="1054"/>
      <c r="AA33" s="1055"/>
      <c r="AB33" s="1055"/>
      <c r="AC33" s="1055"/>
      <c r="AD33" s="1055"/>
    </row>
    <row r="34" spans="1:37" ht="14.25">
      <c r="A34" s="3990"/>
      <c r="B34" s="1961" t="s">
        <v>2940</v>
      </c>
      <c r="C34" s="63" t="e">
        <f>ROUND(D5*C19*C20*C24*F34,0)</f>
        <v>#DIV/0!</v>
      </c>
      <c r="D34" s="2041"/>
      <c r="E34" s="62" t="e">
        <f t="shared" ref="E34:E39" si="7">ROUND(C34*D34/10000,0)</f>
        <v>#DIV/0!</v>
      </c>
      <c r="F34" s="62">
        <f>SUMIF(修正!A45:A56,G2,修正!C45:C56)</f>
        <v>0</v>
      </c>
      <c r="G34" s="62" t="e">
        <f t="shared" si="6"/>
        <v>#DIV/0!</v>
      </c>
      <c r="H34" s="62">
        <f t="shared" ref="H34:H39" si="8">D34</f>
        <v>0</v>
      </c>
      <c r="I34" s="62" t="e">
        <f t="shared" ref="I34:I39" si="9">ROUND(G34*H34/10000,0)</f>
        <v>#DIV/0!</v>
      </c>
      <c r="J34" s="2058"/>
      <c r="K34" s="1047"/>
      <c r="L34" s="1047"/>
      <c r="M34" s="1047"/>
      <c r="N34" s="1047"/>
      <c r="O34" s="1052"/>
      <c r="P34" s="1052"/>
      <c r="Q34" s="1053"/>
      <c r="R34" s="1053"/>
      <c r="S34" s="1053"/>
      <c r="T34" s="1048"/>
      <c r="U34" s="1048"/>
      <c r="V34" s="1048"/>
      <c r="W34" s="1047"/>
      <c r="X34" s="1047"/>
      <c r="Y34" s="1047"/>
      <c r="Z34" s="1054"/>
      <c r="AA34" s="1055"/>
      <c r="AB34" s="1055"/>
      <c r="AC34" s="1055"/>
      <c r="AD34" s="1055"/>
    </row>
    <row r="35" spans="1:37">
      <c r="A35" s="3990"/>
      <c r="B35" s="1961" t="s">
        <v>2941</v>
      </c>
      <c r="C35" s="63" t="e">
        <f>ROUND(D5*C19*C20*C24*F35,0)</f>
        <v>#DIV/0!</v>
      </c>
      <c r="D35" s="2041"/>
      <c r="E35" s="62" t="e">
        <f t="shared" si="7"/>
        <v>#DIV/0!</v>
      </c>
      <c r="F35" s="62">
        <f>SUMIF(修正!A45:A56,G2,修正!D45:D56)</f>
        <v>0</v>
      </c>
      <c r="G35" s="62" t="e">
        <f t="shared" si="6"/>
        <v>#DIV/0!</v>
      </c>
      <c r="H35" s="62">
        <f t="shared" si="8"/>
        <v>0</v>
      </c>
      <c r="I35" s="62" t="e">
        <f t="shared" si="9"/>
        <v>#DIV/0!</v>
      </c>
      <c r="J35" s="2058"/>
      <c r="K35" s="1047"/>
      <c r="L35" s="1047"/>
      <c r="M35" s="1047"/>
      <c r="N35" s="1047"/>
      <c r="O35" s="1047"/>
      <c r="P35" s="1047"/>
      <c r="Q35" s="1047"/>
      <c r="R35" s="1047"/>
      <c r="S35" s="1047"/>
      <c r="T35" s="1047"/>
      <c r="U35" s="1047"/>
      <c r="V35" s="1047"/>
      <c r="W35" s="1047"/>
      <c r="X35" s="1047"/>
      <c r="Y35" s="1047"/>
      <c r="Z35" s="1048"/>
    </row>
    <row r="36" spans="1:37" ht="13.5" thickBot="1">
      <c r="A36" s="3991"/>
      <c r="B36" s="1961" t="s">
        <v>2942</v>
      </c>
      <c r="C36" s="63" t="e">
        <f>ROUND(D5*C19*C20*C24*F36,0)</f>
        <v>#DIV/0!</v>
      </c>
      <c r="D36" s="2041"/>
      <c r="E36" s="62" t="e">
        <f t="shared" si="7"/>
        <v>#DIV/0!</v>
      </c>
      <c r="F36" s="62">
        <f>SUMIF(修正!A45:A56,G2,修正!E45:E56)</f>
        <v>0</v>
      </c>
      <c r="G36" s="62" t="e">
        <f t="shared" si="6"/>
        <v>#DIV/0!</v>
      </c>
      <c r="H36" s="62">
        <f t="shared" si="8"/>
        <v>0</v>
      </c>
      <c r="I36" s="62" t="e">
        <f t="shared" si="9"/>
        <v>#DIV/0!</v>
      </c>
      <c r="J36" s="2058"/>
      <c r="K36" s="1047"/>
      <c r="L36" s="1915"/>
      <c r="M36" s="1915"/>
      <c r="N36" s="1047"/>
      <c r="O36" s="1047"/>
      <c r="P36" s="1047"/>
      <c r="Q36" s="1047"/>
      <c r="R36" s="1047"/>
      <c r="S36" s="1047"/>
      <c r="T36" s="1047"/>
      <c r="U36" s="1047"/>
      <c r="V36" s="1047"/>
      <c r="W36" s="1047"/>
      <c r="X36" s="1047"/>
      <c r="Y36" s="1047"/>
      <c r="Z36" s="1048"/>
    </row>
    <row r="37" spans="1:37">
      <c r="A37" s="2059"/>
      <c r="B37" s="1961" t="s">
        <v>2943</v>
      </c>
      <c r="C37" s="62" t="e">
        <f>ROUND(C5*C19*C20*C24*F37,0)</f>
        <v>#DIV/0!</v>
      </c>
      <c r="D37" s="2041"/>
      <c r="E37" s="62" t="e">
        <f t="shared" si="7"/>
        <v>#DIV/0!</v>
      </c>
      <c r="F37" s="63">
        <f>SUMIF(修正!A45:A56,G2,修正!F45:F56)</f>
        <v>0</v>
      </c>
      <c r="G37" s="62" t="e">
        <f t="shared" si="6"/>
        <v>#DIV/0!</v>
      </c>
      <c r="H37" s="62">
        <f t="shared" si="8"/>
        <v>0</v>
      </c>
      <c r="I37" s="62" t="e">
        <f t="shared" si="9"/>
        <v>#DIV/0!</v>
      </c>
      <c r="J37" s="2058"/>
      <c r="K37" s="1047"/>
      <c r="L37" s="2060" t="s">
        <v>2944</v>
      </c>
      <c r="M37" s="2061"/>
      <c r="N37" s="1047"/>
      <c r="O37" s="1047"/>
      <c r="P37" s="1047"/>
      <c r="Q37" s="1047"/>
      <c r="R37" s="1047"/>
      <c r="S37" s="1047"/>
      <c r="T37" s="1047"/>
      <c r="U37" s="1047"/>
      <c r="V37" s="1047"/>
      <c r="W37" s="1047"/>
      <c r="X37" s="1047"/>
      <c r="Y37" s="1047"/>
      <c r="Z37" s="1048"/>
    </row>
    <row r="38" spans="1:37">
      <c r="A38" s="2059"/>
      <c r="B38" s="1961" t="s">
        <v>2945</v>
      </c>
      <c r="C38" s="62" t="e">
        <f>ROUND(C5*C19*C20*C24*F38,0)</f>
        <v>#DIV/0!</v>
      </c>
      <c r="D38" s="2041"/>
      <c r="E38" s="62" t="e">
        <f t="shared" si="7"/>
        <v>#DIV/0!</v>
      </c>
      <c r="F38" s="63">
        <f>SUMIF(修正!A45:A56,G2,修正!G45:G56)</f>
        <v>0</v>
      </c>
      <c r="G38" s="62" t="e">
        <f t="shared" si="6"/>
        <v>#DIV/0!</v>
      </c>
      <c r="H38" s="62">
        <f t="shared" si="8"/>
        <v>0</v>
      </c>
      <c r="I38" s="62" t="e">
        <f t="shared" si="9"/>
        <v>#DIV/0!</v>
      </c>
      <c r="J38" s="2058"/>
      <c r="K38" s="1047"/>
      <c r="L38" s="1486" t="s">
        <v>2946</v>
      </c>
      <c r="M38" s="2062">
        <v>0.25</v>
      </c>
      <c r="N38" s="1047"/>
      <c r="O38" s="1047"/>
      <c r="P38" s="1047"/>
      <c r="Q38" s="1047"/>
      <c r="R38" s="1047"/>
      <c r="S38" s="1047"/>
      <c r="T38" s="1047"/>
      <c r="U38" s="1047"/>
      <c r="V38" s="1047"/>
      <c r="W38" s="1047"/>
      <c r="X38" s="1047"/>
      <c r="Y38" s="1047"/>
      <c r="Z38" s="1048"/>
    </row>
    <row r="39" spans="1:37" ht="13.5" thickBot="1">
      <c r="A39" s="2045"/>
      <c r="B39" s="2063" t="s">
        <v>2947</v>
      </c>
      <c r="C39" s="65" t="e">
        <f>ROUND(C5*C19*C20*C24*F39,0)</f>
        <v>#DIV/0!</v>
      </c>
      <c r="D39" s="2047"/>
      <c r="E39" s="65" t="e">
        <f t="shared" si="7"/>
        <v>#DIV/0!</v>
      </c>
      <c r="F39" s="698">
        <f>SUMIF(修正!A45:A56,G2,修正!H45:H56)</f>
        <v>0</v>
      </c>
      <c r="G39" s="65" t="e">
        <f t="shared" si="6"/>
        <v>#DIV/0!</v>
      </c>
      <c r="H39" s="65">
        <f t="shared" si="8"/>
        <v>0</v>
      </c>
      <c r="I39" s="65" t="e">
        <f t="shared" si="9"/>
        <v>#DIV/0!</v>
      </c>
      <c r="J39" s="2064"/>
      <c r="K39" s="1047"/>
      <c r="L39" s="2065" t="s">
        <v>2888</v>
      </c>
      <c r="M39" s="2066">
        <v>0.15</v>
      </c>
      <c r="N39" s="1047"/>
      <c r="O39" s="1047"/>
      <c r="P39" s="1047"/>
      <c r="Q39" s="1047"/>
      <c r="R39" s="1047"/>
      <c r="S39" s="1047"/>
      <c r="T39" s="1047"/>
      <c r="U39" s="1047"/>
      <c r="V39" s="1047"/>
      <c r="W39" s="1047"/>
      <c r="X39" s="1047"/>
      <c r="Y39" s="1047"/>
      <c r="Z39" s="1048"/>
    </row>
    <row r="40" spans="1:37" s="1047" customFormat="1">
      <c r="Z40" s="1048"/>
      <c r="AA40" s="1048"/>
      <c r="AB40" s="1048"/>
      <c r="AC40" s="1048"/>
      <c r="AD40" s="1048"/>
      <c r="AE40" s="1048"/>
      <c r="AF40" s="1048"/>
      <c r="AG40" s="1048"/>
      <c r="AH40" s="1048"/>
      <c r="AI40" s="1048"/>
      <c r="AJ40" s="1048"/>
    </row>
    <row r="41" spans="1:37" s="1047" customFormat="1">
      <c r="A41" s="1048"/>
      <c r="B41" s="2067"/>
      <c r="Z41" s="1048"/>
      <c r="AA41" s="1048"/>
      <c r="AB41" s="1048"/>
      <c r="AC41" s="1048"/>
      <c r="AD41" s="1048"/>
      <c r="AE41" s="1048"/>
      <c r="AF41" s="1048"/>
      <c r="AG41" s="1048"/>
      <c r="AH41" s="1048"/>
      <c r="AI41" s="1048"/>
      <c r="AJ41" s="1048"/>
    </row>
    <row r="42" spans="1:37" s="1047" customFormat="1">
      <c r="A42" s="1048"/>
      <c r="B42" s="2067"/>
      <c r="Z42" s="1048"/>
      <c r="AA42" s="1048"/>
      <c r="AB42" s="1048"/>
      <c r="AC42" s="1048"/>
      <c r="AD42" s="1048"/>
      <c r="AE42" s="1048"/>
      <c r="AF42" s="1048"/>
      <c r="AG42" s="1048"/>
      <c r="AH42" s="1048"/>
      <c r="AI42" s="1048"/>
      <c r="AJ42" s="1048"/>
    </row>
    <row r="43" spans="1:37" s="1047" customFormat="1">
      <c r="A43" s="1048"/>
      <c r="B43" s="2067"/>
      <c r="Z43" s="1048"/>
      <c r="AA43" s="1048"/>
      <c r="AB43" s="1048"/>
      <c r="AC43" s="1048"/>
      <c r="AD43" s="1048"/>
      <c r="AE43" s="1048"/>
      <c r="AF43" s="1048"/>
      <c r="AG43" s="1048"/>
      <c r="AH43" s="1048"/>
      <c r="AI43" s="1048"/>
      <c r="AJ43" s="1048"/>
    </row>
    <row r="44" spans="1:37" s="1047" customFormat="1">
      <c r="A44" s="1048"/>
      <c r="B44" s="2067"/>
      <c r="Z44" s="1048"/>
      <c r="AA44" s="1048"/>
      <c r="AB44" s="1048"/>
      <c r="AC44" s="1048"/>
      <c r="AD44" s="1048"/>
      <c r="AE44" s="1048"/>
      <c r="AF44" s="1048"/>
      <c r="AG44" s="1048"/>
      <c r="AH44" s="1048"/>
      <c r="AI44" s="1048"/>
      <c r="AJ44" s="1048"/>
    </row>
    <row r="45" spans="1:37" s="1047" customFormat="1" ht="15.75" thickBot="1">
      <c r="A45" s="2068" t="s">
        <v>2948</v>
      </c>
      <c r="B45" s="2069"/>
      <c r="C45" s="7"/>
      <c r="D45" s="7"/>
      <c r="E45" s="7"/>
      <c r="F45" s="6"/>
      <c r="G45" s="6"/>
      <c r="H45" s="6"/>
      <c r="I45" s="7"/>
      <c r="J45" s="7"/>
      <c r="K45" s="7"/>
      <c r="L45" s="7"/>
      <c r="M45" s="7"/>
      <c r="N45" s="1984"/>
      <c r="Z45" s="1048"/>
      <c r="AA45" s="1048"/>
      <c r="AB45" s="1048"/>
      <c r="AC45" s="1048"/>
      <c r="AD45" s="1048"/>
      <c r="AE45" s="1048"/>
      <c r="AF45" s="1048"/>
      <c r="AG45" s="1048"/>
      <c r="AH45" s="1048"/>
      <c r="AI45" s="1048"/>
      <c r="AJ45" s="1048"/>
    </row>
    <row r="46" spans="1:37" s="1047" customFormat="1" ht="15">
      <c r="A46" s="2070" t="s">
        <v>2949</v>
      </c>
      <c r="B46" s="2071">
        <f>1+E48</f>
        <v>1</v>
      </c>
      <c r="C46" s="2072"/>
      <c r="D46" s="577"/>
      <c r="E46" s="578"/>
      <c r="F46" s="2073"/>
      <c r="G46" s="6"/>
      <c r="H46" s="7"/>
      <c r="I46" s="7"/>
      <c r="J46" s="7"/>
      <c r="K46" s="7"/>
      <c r="L46" s="7"/>
      <c r="M46" s="7"/>
      <c r="N46" s="1984"/>
      <c r="Z46" s="1048"/>
      <c r="AA46" s="1048"/>
      <c r="AB46" s="1048"/>
      <c r="AC46" s="1048"/>
      <c r="AD46" s="1048"/>
      <c r="AE46" s="1048"/>
      <c r="AF46" s="1048"/>
      <c r="AG46" s="1048"/>
      <c r="AH46" s="1048"/>
      <c r="AI46" s="1048"/>
      <c r="AJ46" s="1048"/>
    </row>
    <row r="47" spans="1:37" s="1047" customFormat="1" ht="24.75">
      <c r="A47" s="2074" t="s">
        <v>2950</v>
      </c>
      <c r="B47" s="1411" t="s">
        <v>2951</v>
      </c>
      <c r="C47" s="1411" t="s">
        <v>2952</v>
      </c>
      <c r="D47" s="1411" t="s">
        <v>2953</v>
      </c>
      <c r="E47" s="582" t="s">
        <v>2954</v>
      </c>
      <c r="F47" s="2075" t="s">
        <v>2955</v>
      </c>
      <c r="G47" s="1411" t="s">
        <v>754</v>
      </c>
      <c r="H47" s="2076" t="s">
        <v>2956</v>
      </c>
      <c r="I47" s="1411" t="s">
        <v>2957</v>
      </c>
      <c r="J47" s="426" t="s">
        <v>2603</v>
      </c>
      <c r="K47" s="426" t="s">
        <v>2604</v>
      </c>
      <c r="L47" s="426" t="s">
        <v>2605</v>
      </c>
      <c r="M47" s="426" t="s">
        <v>2606</v>
      </c>
      <c r="N47" s="426" t="s">
        <v>2607</v>
      </c>
      <c r="AA47" s="1048"/>
      <c r="AB47" s="1048"/>
      <c r="AC47" s="1048"/>
      <c r="AD47" s="1048"/>
      <c r="AE47" s="1048"/>
      <c r="AF47" s="1048"/>
      <c r="AG47" s="1048"/>
      <c r="AH47" s="1048"/>
      <c r="AI47" s="1048"/>
      <c r="AJ47" s="1048"/>
      <c r="AK47" s="1048"/>
    </row>
    <row r="48" spans="1:37" s="1047" customFormat="1" ht="38.25">
      <c r="A48" s="2074" t="s">
        <v>2958</v>
      </c>
      <c r="B48" s="2077" t="str">
        <f>估价对象房地状况!C4</f>
        <v>估价对象位于XX商圈，周边商业氛围成熟，人流量大，商业繁华度好</v>
      </c>
      <c r="C48" s="1966"/>
      <c r="D48" s="966">
        <f t="shared" ref="D48:D56" si="10">SUMIF($J$47:$N$47,C48,J48:N48)</f>
        <v>0</v>
      </c>
      <c r="E48" s="584">
        <f>ROUND(SUM(D48:D56),4)</f>
        <v>0</v>
      </c>
      <c r="F48" s="1770" t="str">
        <f>IF(E2="商业",SUMIF(L1:L12,G2,N1:N12),"——")</f>
        <v>——</v>
      </c>
      <c r="G48" s="964"/>
      <c r="H48" s="968" t="str">
        <f t="shared" ref="H48:H56" si="11">IFERROR(ROUNDDOWN($F$48*I48/2,4),"——")</f>
        <v>——</v>
      </c>
      <c r="I48" s="583">
        <v>0.33</v>
      </c>
      <c r="J48" s="965">
        <f t="shared" ref="J48:J56" si="12">K48+$G48</f>
        <v>0</v>
      </c>
      <c r="K48" s="965">
        <f t="shared" ref="K48:K56" si="13">$L48+$G48</f>
        <v>0</v>
      </c>
      <c r="L48" s="965">
        <v>0</v>
      </c>
      <c r="M48" s="965">
        <f t="shared" ref="M48:N56" si="14">L48-$G48</f>
        <v>0</v>
      </c>
      <c r="N48" s="965">
        <f t="shared" si="14"/>
        <v>0</v>
      </c>
      <c r="AA48" s="1048"/>
      <c r="AB48" s="1048"/>
      <c r="AC48" s="1048"/>
      <c r="AD48" s="1048"/>
      <c r="AE48" s="1048"/>
      <c r="AF48" s="1048"/>
      <c r="AG48" s="1048"/>
      <c r="AH48" s="1048"/>
      <c r="AI48" s="1048"/>
      <c r="AJ48" s="1048"/>
      <c r="AK48" s="1048"/>
    </row>
    <row r="49" spans="1:37" s="1047" customFormat="1" ht="51">
      <c r="A49" s="2074" t="s">
        <v>2959</v>
      </c>
      <c r="B49" s="2078" t="str">
        <f>估价对象房地状况!C18</f>
        <v>估价对象周边道路状况、公共交通通达情况、停车便捷程度，综合评价交通便捷度较好</v>
      </c>
      <c r="C49" s="1966"/>
      <c r="D49" s="966">
        <f t="shared" si="10"/>
        <v>0</v>
      </c>
      <c r="E49" s="585"/>
      <c r="F49" s="1770"/>
      <c r="G49" s="964"/>
      <c r="H49" s="968" t="str">
        <f t="shared" si="11"/>
        <v>——</v>
      </c>
      <c r="I49" s="583">
        <v>0.25</v>
      </c>
      <c r="J49" s="965">
        <f t="shared" si="12"/>
        <v>0</v>
      </c>
      <c r="K49" s="965">
        <f t="shared" si="13"/>
        <v>0</v>
      </c>
      <c r="L49" s="965">
        <v>0</v>
      </c>
      <c r="M49" s="965">
        <f t="shared" si="14"/>
        <v>0</v>
      </c>
      <c r="N49" s="965">
        <f t="shared" si="14"/>
        <v>0</v>
      </c>
      <c r="AA49" s="1048"/>
      <c r="AB49" s="1048"/>
      <c r="AC49" s="1048"/>
      <c r="AD49" s="1048"/>
      <c r="AE49" s="1048"/>
      <c r="AF49" s="1048"/>
      <c r="AG49" s="1048"/>
      <c r="AH49" s="1048"/>
      <c r="AI49" s="1048"/>
      <c r="AJ49" s="1048"/>
      <c r="AK49" s="1048"/>
    </row>
    <row r="50" spans="1:37" s="1047" customFormat="1" ht="24">
      <c r="A50" s="2074" t="s">
        <v>2960</v>
      </c>
      <c r="B50" s="2078">
        <f>估价对象房地状况!C19</f>
        <v>0</v>
      </c>
      <c r="C50" s="1966"/>
      <c r="D50" s="966">
        <f t="shared" si="10"/>
        <v>0</v>
      </c>
      <c r="E50" s="585"/>
      <c r="F50" s="1770"/>
      <c r="G50" s="964"/>
      <c r="H50" s="968" t="str">
        <f t="shared" si="11"/>
        <v>——</v>
      </c>
      <c r="I50" s="583">
        <v>0.05</v>
      </c>
      <c r="J50" s="965">
        <f t="shared" si="12"/>
        <v>0</v>
      </c>
      <c r="K50" s="965">
        <f t="shared" si="13"/>
        <v>0</v>
      </c>
      <c r="L50" s="965">
        <v>0</v>
      </c>
      <c r="M50" s="965">
        <f t="shared" si="14"/>
        <v>0</v>
      </c>
      <c r="N50" s="965">
        <f t="shared" si="14"/>
        <v>0</v>
      </c>
      <c r="AA50" s="1048"/>
      <c r="AB50" s="1048"/>
      <c r="AC50" s="1048"/>
      <c r="AD50" s="1048"/>
      <c r="AE50" s="1048"/>
      <c r="AF50" s="1048"/>
      <c r="AG50" s="1048"/>
      <c r="AH50" s="1048"/>
      <c r="AI50" s="1048"/>
      <c r="AJ50" s="1048"/>
      <c r="AK50" s="1048"/>
    </row>
    <row r="51" spans="1:37" s="1047" customFormat="1" ht="36.75">
      <c r="A51" s="2074" t="s">
        <v>2961</v>
      </c>
      <c r="B51" s="2079" t="s">
        <v>2962</v>
      </c>
      <c r="C51" s="1966"/>
      <c r="D51" s="966">
        <f t="shared" si="10"/>
        <v>0</v>
      </c>
      <c r="E51" s="585"/>
      <c r="F51" s="1770"/>
      <c r="G51" s="964"/>
      <c r="H51" s="968" t="str">
        <f t="shared" si="11"/>
        <v>——</v>
      </c>
      <c r="I51" s="583">
        <v>0.05</v>
      </c>
      <c r="J51" s="965">
        <f t="shared" si="12"/>
        <v>0</v>
      </c>
      <c r="K51" s="965">
        <f t="shared" si="13"/>
        <v>0</v>
      </c>
      <c r="L51" s="965">
        <v>0</v>
      </c>
      <c r="M51" s="965">
        <f t="shared" si="14"/>
        <v>0</v>
      </c>
      <c r="N51" s="965">
        <f t="shared" si="14"/>
        <v>0</v>
      </c>
      <c r="AA51" s="1048"/>
      <c r="AB51" s="1048"/>
      <c r="AC51" s="1048"/>
      <c r="AD51" s="1048"/>
      <c r="AE51" s="1048"/>
      <c r="AF51" s="1048"/>
      <c r="AG51" s="1048"/>
      <c r="AH51" s="1048"/>
      <c r="AI51" s="1048"/>
      <c r="AJ51" s="1048"/>
      <c r="AK51" s="1048"/>
    </row>
    <row r="52" spans="1:37" s="1047" customFormat="1" ht="24">
      <c r="A52" s="2074" t="s">
        <v>2963</v>
      </c>
      <c r="B52" s="2078">
        <f>估价对象房地状况!C24</f>
        <v>0</v>
      </c>
      <c r="C52" s="1966"/>
      <c r="D52" s="966">
        <f t="shared" si="10"/>
        <v>0</v>
      </c>
      <c r="E52" s="585"/>
      <c r="F52" s="1770"/>
      <c r="G52" s="964"/>
      <c r="H52" s="968" t="str">
        <f t="shared" si="11"/>
        <v>——</v>
      </c>
      <c r="I52" s="583">
        <v>0.08</v>
      </c>
      <c r="J52" s="965">
        <f t="shared" si="12"/>
        <v>0</v>
      </c>
      <c r="K52" s="965">
        <f t="shared" si="13"/>
        <v>0</v>
      </c>
      <c r="L52" s="965">
        <v>0</v>
      </c>
      <c r="M52" s="965">
        <f t="shared" si="14"/>
        <v>0</v>
      </c>
      <c r="N52" s="965">
        <f t="shared" si="14"/>
        <v>0</v>
      </c>
      <c r="AA52" s="1048"/>
      <c r="AB52" s="1048"/>
      <c r="AC52" s="1048"/>
      <c r="AD52" s="1048"/>
      <c r="AE52" s="1048"/>
      <c r="AF52" s="1048"/>
      <c r="AG52" s="1048"/>
      <c r="AH52" s="1048"/>
      <c r="AI52" s="1048"/>
      <c r="AJ52" s="1048"/>
      <c r="AK52" s="1048"/>
    </row>
    <row r="53" spans="1:37" s="1047" customFormat="1" ht="24">
      <c r="A53" s="2074" t="s">
        <v>2964</v>
      </c>
      <c r="B53" s="2080" t="s">
        <v>2965</v>
      </c>
      <c r="C53" s="1966"/>
      <c r="D53" s="966">
        <f t="shared" si="10"/>
        <v>0</v>
      </c>
      <c r="E53" s="585"/>
      <c r="F53" s="1770"/>
      <c r="G53" s="964"/>
      <c r="H53" s="968" t="str">
        <f t="shared" si="11"/>
        <v>——</v>
      </c>
      <c r="I53" s="583">
        <v>0.03</v>
      </c>
      <c r="J53" s="965">
        <f t="shared" si="12"/>
        <v>0</v>
      </c>
      <c r="K53" s="965">
        <f t="shared" si="13"/>
        <v>0</v>
      </c>
      <c r="L53" s="965">
        <v>0</v>
      </c>
      <c r="M53" s="965">
        <f t="shared" si="14"/>
        <v>0</v>
      </c>
      <c r="N53" s="965">
        <f t="shared" si="14"/>
        <v>0</v>
      </c>
      <c r="AA53" s="1048"/>
      <c r="AB53" s="1048"/>
      <c r="AC53" s="1048"/>
      <c r="AD53" s="1048"/>
      <c r="AE53" s="1048"/>
      <c r="AF53" s="1048"/>
      <c r="AG53" s="1048"/>
      <c r="AH53" s="1048"/>
      <c r="AI53" s="1048"/>
      <c r="AJ53" s="1048"/>
      <c r="AK53" s="1048"/>
    </row>
    <row r="54" spans="1:37" s="1047" customFormat="1" ht="25.5">
      <c r="A54" s="2081" t="s">
        <v>2966</v>
      </c>
      <c r="B54" s="1367" t="str">
        <f>估价对象房地状况!C21</f>
        <v>估价对象所在区域公共配套设施齐备情况</v>
      </c>
      <c r="C54" s="1966"/>
      <c r="D54" s="966">
        <f t="shared" si="10"/>
        <v>0</v>
      </c>
      <c r="E54" s="585"/>
      <c r="F54" s="1770"/>
      <c r="G54" s="964"/>
      <c r="H54" s="968" t="str">
        <f t="shared" si="11"/>
        <v>——</v>
      </c>
      <c r="I54" s="583">
        <v>0.05</v>
      </c>
      <c r="J54" s="965">
        <f t="shared" si="12"/>
        <v>0</v>
      </c>
      <c r="K54" s="965">
        <f t="shared" si="13"/>
        <v>0</v>
      </c>
      <c r="L54" s="965">
        <v>0</v>
      </c>
      <c r="M54" s="965">
        <f t="shared" si="14"/>
        <v>0</v>
      </c>
      <c r="N54" s="965">
        <f t="shared" si="14"/>
        <v>0</v>
      </c>
      <c r="AA54" s="1048"/>
      <c r="AB54" s="1048"/>
      <c r="AC54" s="1048"/>
      <c r="AD54" s="1048"/>
      <c r="AE54" s="1048"/>
      <c r="AF54" s="1048"/>
      <c r="AG54" s="1048"/>
      <c r="AH54" s="1048"/>
      <c r="AI54" s="1048"/>
      <c r="AJ54" s="1048"/>
      <c r="AK54" s="1048"/>
    </row>
    <row r="55" spans="1:37" s="1047" customFormat="1" ht="25.5">
      <c r="A55" s="2081" t="s">
        <v>2967</v>
      </c>
      <c r="B55" s="2078" t="str">
        <f>估价对象房地状况!C22</f>
        <v>估价对象所在区域基础设施水平</v>
      </c>
      <c r="C55" s="1966"/>
      <c r="D55" s="966">
        <f t="shared" si="10"/>
        <v>0</v>
      </c>
      <c r="E55" s="585"/>
      <c r="F55" s="1770"/>
      <c r="G55" s="964"/>
      <c r="H55" s="968" t="str">
        <f t="shared" si="11"/>
        <v>——</v>
      </c>
      <c r="I55" s="583">
        <v>0.1</v>
      </c>
      <c r="J55" s="965">
        <f t="shared" si="12"/>
        <v>0</v>
      </c>
      <c r="K55" s="965">
        <f t="shared" si="13"/>
        <v>0</v>
      </c>
      <c r="L55" s="965">
        <v>0</v>
      </c>
      <c r="M55" s="965">
        <f t="shared" si="14"/>
        <v>0</v>
      </c>
      <c r="N55" s="965">
        <f t="shared" si="14"/>
        <v>0</v>
      </c>
      <c r="AA55" s="1048"/>
      <c r="AB55" s="1048"/>
      <c r="AC55" s="1048"/>
      <c r="AD55" s="1048"/>
      <c r="AE55" s="1048"/>
      <c r="AF55" s="1048"/>
      <c r="AG55" s="1048"/>
      <c r="AH55" s="1048"/>
      <c r="AI55" s="1048"/>
      <c r="AJ55" s="1048"/>
      <c r="AK55" s="1048"/>
    </row>
    <row r="56" spans="1:37" s="1047" customFormat="1" ht="39" thickBot="1">
      <c r="A56" s="2082" t="s">
        <v>2968</v>
      </c>
      <c r="B56" s="2083" t="str">
        <f>估价对象房地状况!C20</f>
        <v>区域自然环境：；人文环境；综合评价环境状况一般</v>
      </c>
      <c r="C56" s="1966"/>
      <c r="D56" s="966">
        <f t="shared" si="10"/>
        <v>0</v>
      </c>
      <c r="E56" s="588"/>
      <c r="F56" s="1770"/>
      <c r="G56" s="964"/>
      <c r="H56" s="968" t="str">
        <f t="shared" si="11"/>
        <v>——</v>
      </c>
      <c r="I56" s="587">
        <v>0.06</v>
      </c>
      <c r="J56" s="965">
        <f t="shared" si="12"/>
        <v>0</v>
      </c>
      <c r="K56" s="965">
        <f t="shared" si="13"/>
        <v>0</v>
      </c>
      <c r="L56" s="965">
        <v>0</v>
      </c>
      <c r="M56" s="965">
        <f t="shared" si="14"/>
        <v>0</v>
      </c>
      <c r="N56" s="965">
        <f t="shared" si="14"/>
        <v>0</v>
      </c>
      <c r="AA56" s="1048"/>
      <c r="AB56" s="1048"/>
      <c r="AC56" s="1048"/>
      <c r="AD56" s="1048"/>
      <c r="AE56" s="1048"/>
      <c r="AF56" s="1048"/>
      <c r="AG56" s="1048"/>
      <c r="AH56" s="1048"/>
      <c r="AI56" s="1048"/>
      <c r="AJ56" s="1048"/>
      <c r="AK56" s="1048"/>
    </row>
    <row r="57" spans="1:37" s="1047" customFormat="1" ht="15">
      <c r="A57" s="2070" t="s">
        <v>2969</v>
      </c>
      <c r="B57" s="2071">
        <f>1+E59</f>
        <v>1</v>
      </c>
      <c r="C57" s="577"/>
      <c r="D57" s="577"/>
      <c r="E57" s="578"/>
      <c r="F57" s="2073"/>
      <c r="G57" s="6"/>
      <c r="H57" s="6"/>
      <c r="I57" s="6"/>
      <c r="J57" s="7"/>
      <c r="K57" s="7"/>
      <c r="L57" s="7"/>
      <c r="M57" s="7"/>
      <c r="N57" s="7"/>
      <c r="AA57" s="1048"/>
      <c r="AB57" s="1048"/>
      <c r="AC57" s="1048"/>
      <c r="AD57" s="1048"/>
      <c r="AE57" s="1048"/>
      <c r="AF57" s="1048"/>
      <c r="AG57" s="1048"/>
      <c r="AH57" s="1048"/>
      <c r="AI57" s="1048"/>
      <c r="AJ57" s="1048"/>
      <c r="AK57" s="1048"/>
    </row>
    <row r="58" spans="1:37" s="1047" customFormat="1" ht="24.75">
      <c r="A58" s="2074" t="s">
        <v>2950</v>
      </c>
      <c r="B58" s="1411"/>
      <c r="C58" s="1411" t="s">
        <v>2952</v>
      </c>
      <c r="D58" s="1411" t="s">
        <v>2953</v>
      </c>
      <c r="E58" s="582" t="s">
        <v>2954</v>
      </c>
      <c r="F58" s="2075" t="s">
        <v>2970</v>
      </c>
      <c r="G58" s="1411" t="s">
        <v>754</v>
      </c>
      <c r="H58" s="2076" t="s">
        <v>2956</v>
      </c>
      <c r="I58" s="1411" t="s">
        <v>2957</v>
      </c>
      <c r="J58" s="426" t="s">
        <v>2603</v>
      </c>
      <c r="K58" s="426" t="s">
        <v>2604</v>
      </c>
      <c r="L58" s="426" t="s">
        <v>2605</v>
      </c>
      <c r="M58" s="426" t="s">
        <v>2606</v>
      </c>
      <c r="N58" s="426" t="s">
        <v>2607</v>
      </c>
      <c r="AA58" s="1048"/>
      <c r="AB58" s="1048"/>
      <c r="AC58" s="1048"/>
      <c r="AD58" s="1048"/>
      <c r="AE58" s="1048"/>
      <c r="AF58" s="1048"/>
      <c r="AG58" s="1048"/>
      <c r="AH58" s="1048"/>
      <c r="AI58" s="1048"/>
      <c r="AJ58" s="1048"/>
      <c r="AK58" s="1048"/>
    </row>
    <row r="59" spans="1:37" s="1047" customFormat="1" ht="38.25">
      <c r="A59" s="2074" t="s">
        <v>2971</v>
      </c>
      <c r="B59" s="2077" t="str">
        <f>估价对象房地状况!C17</f>
        <v>估价对象位于XX商圈，周边办公楼项目较多，入驻率高，办公集聚程度较好</v>
      </c>
      <c r="C59" s="1966"/>
      <c r="D59" s="966">
        <f t="shared" ref="D59:D67" si="15">SUMIF($J$58:$N$58,C59,J59:N59)</f>
        <v>0</v>
      </c>
      <c r="E59" s="584">
        <f>ROUND(SUM(D59:D67),4)</f>
        <v>0</v>
      </c>
      <c r="F59" s="1770" t="str">
        <f>IF(E2="办公",SUMIF(L1:L12,G2,N1:N12),"——")</f>
        <v>——</v>
      </c>
      <c r="G59" s="964"/>
      <c r="H59" s="968" t="str">
        <f t="shared" ref="H59:H67" si="16">IFERROR(ROUNDDOWN($F$59*I59/2,4),"——")</f>
        <v>——</v>
      </c>
      <c r="I59" s="583">
        <v>0.24</v>
      </c>
      <c r="J59" s="965">
        <f t="shared" ref="J59:J67" si="17">K59+$G59</f>
        <v>0</v>
      </c>
      <c r="K59" s="965">
        <f t="shared" ref="K59:K67" si="18">$L59+$G59</f>
        <v>0</v>
      </c>
      <c r="L59" s="965">
        <v>0</v>
      </c>
      <c r="M59" s="965">
        <f t="shared" ref="M59:N67" si="19">L59-$G59</f>
        <v>0</v>
      </c>
      <c r="N59" s="965">
        <f t="shared" si="19"/>
        <v>0</v>
      </c>
      <c r="AA59" s="1048"/>
      <c r="AB59" s="1048"/>
      <c r="AC59" s="1048"/>
      <c r="AD59" s="1048"/>
      <c r="AE59" s="1048"/>
      <c r="AF59" s="1048"/>
      <c r="AG59" s="1048"/>
      <c r="AH59" s="1048"/>
      <c r="AI59" s="1048"/>
      <c r="AJ59" s="1048"/>
      <c r="AK59" s="1048"/>
    </row>
    <row r="60" spans="1:37" s="1047" customFormat="1" ht="51">
      <c r="A60" s="2074" t="s">
        <v>2959</v>
      </c>
      <c r="B60" s="2078" t="str">
        <f>估价对象房地状况!C18</f>
        <v>估价对象周边道路状况、公共交通通达情况、停车便捷程度，综合评价交通便捷度较好</v>
      </c>
      <c r="C60" s="1966"/>
      <c r="D60" s="966">
        <f t="shared" si="15"/>
        <v>0</v>
      </c>
      <c r="E60" s="585"/>
      <c r="F60" s="1770"/>
      <c r="G60" s="964"/>
      <c r="H60" s="968" t="str">
        <f t="shared" si="16"/>
        <v>——</v>
      </c>
      <c r="I60" s="583">
        <v>0.3</v>
      </c>
      <c r="J60" s="965">
        <f t="shared" si="17"/>
        <v>0</v>
      </c>
      <c r="K60" s="965">
        <f t="shared" si="18"/>
        <v>0</v>
      </c>
      <c r="L60" s="965">
        <v>0</v>
      </c>
      <c r="M60" s="965">
        <f t="shared" si="19"/>
        <v>0</v>
      </c>
      <c r="N60" s="965">
        <f t="shared" si="19"/>
        <v>0</v>
      </c>
      <c r="AA60" s="1048"/>
      <c r="AB60" s="1048"/>
      <c r="AC60" s="1048"/>
      <c r="AD60" s="1048"/>
      <c r="AE60" s="1048"/>
      <c r="AF60" s="1048"/>
      <c r="AG60" s="1048"/>
      <c r="AH60" s="1048"/>
      <c r="AI60" s="1048"/>
      <c r="AJ60" s="1048"/>
      <c r="AK60" s="1048"/>
    </row>
    <row r="61" spans="1:37" s="1047" customFormat="1" ht="24">
      <c r="A61" s="2074" t="s">
        <v>2960</v>
      </c>
      <c r="B61" s="2078">
        <f>估价对象房地状况!C19</f>
        <v>0</v>
      </c>
      <c r="C61" s="1966"/>
      <c r="D61" s="966">
        <f t="shared" si="15"/>
        <v>0</v>
      </c>
      <c r="E61" s="585"/>
      <c r="F61" s="1770"/>
      <c r="G61" s="964"/>
      <c r="H61" s="968" t="str">
        <f t="shared" si="16"/>
        <v>——</v>
      </c>
      <c r="I61" s="583">
        <v>0.08</v>
      </c>
      <c r="J61" s="965">
        <f t="shared" si="17"/>
        <v>0</v>
      </c>
      <c r="K61" s="965">
        <f t="shared" si="18"/>
        <v>0</v>
      </c>
      <c r="L61" s="965">
        <v>0</v>
      </c>
      <c r="M61" s="965">
        <f t="shared" si="19"/>
        <v>0</v>
      </c>
      <c r="N61" s="965">
        <f t="shared" si="19"/>
        <v>0</v>
      </c>
      <c r="AA61" s="1048"/>
      <c r="AB61" s="1048"/>
      <c r="AC61" s="1048"/>
      <c r="AD61" s="1048"/>
      <c r="AE61" s="1048"/>
      <c r="AF61" s="1048"/>
      <c r="AG61" s="1048"/>
      <c r="AH61" s="1048"/>
      <c r="AI61" s="1048"/>
      <c r="AJ61" s="1048"/>
      <c r="AK61" s="1048"/>
    </row>
    <row r="62" spans="1:37" s="1047" customFormat="1" ht="36.75">
      <c r="A62" s="2074" t="s">
        <v>2961</v>
      </c>
      <c r="B62" s="2079" t="s">
        <v>2962</v>
      </c>
      <c r="C62" s="1966"/>
      <c r="D62" s="966">
        <f t="shared" si="15"/>
        <v>0</v>
      </c>
      <c r="E62" s="585"/>
      <c r="F62" s="1770"/>
      <c r="G62" s="964"/>
      <c r="H62" s="968" t="str">
        <f t="shared" si="16"/>
        <v>——</v>
      </c>
      <c r="I62" s="583">
        <v>0.04</v>
      </c>
      <c r="J62" s="965">
        <f t="shared" si="17"/>
        <v>0</v>
      </c>
      <c r="K62" s="965">
        <f t="shared" si="18"/>
        <v>0</v>
      </c>
      <c r="L62" s="965">
        <v>0</v>
      </c>
      <c r="M62" s="965">
        <f t="shared" si="19"/>
        <v>0</v>
      </c>
      <c r="N62" s="965">
        <f t="shared" si="19"/>
        <v>0</v>
      </c>
      <c r="AA62" s="1048"/>
      <c r="AB62" s="1048"/>
      <c r="AC62" s="1048"/>
      <c r="AD62" s="1048"/>
      <c r="AE62" s="1048"/>
      <c r="AF62" s="1048"/>
      <c r="AG62" s="1048"/>
      <c r="AH62" s="1048"/>
      <c r="AI62" s="1048"/>
      <c r="AJ62" s="1048"/>
      <c r="AK62" s="1048"/>
    </row>
    <row r="63" spans="1:37" s="1047" customFormat="1" ht="24">
      <c r="A63" s="2074" t="s">
        <v>2963</v>
      </c>
      <c r="B63" s="2078">
        <f>估价对象房地状况!C24</f>
        <v>0</v>
      </c>
      <c r="C63" s="1966"/>
      <c r="D63" s="966">
        <f t="shared" si="15"/>
        <v>0</v>
      </c>
      <c r="E63" s="585"/>
      <c r="F63" s="1770"/>
      <c r="G63" s="964"/>
      <c r="H63" s="968" t="str">
        <f t="shared" si="16"/>
        <v>——</v>
      </c>
      <c r="I63" s="583">
        <v>0.05</v>
      </c>
      <c r="J63" s="965">
        <f t="shared" si="17"/>
        <v>0</v>
      </c>
      <c r="K63" s="965">
        <f t="shared" si="18"/>
        <v>0</v>
      </c>
      <c r="L63" s="965">
        <v>0</v>
      </c>
      <c r="M63" s="965">
        <f t="shared" si="19"/>
        <v>0</v>
      </c>
      <c r="N63" s="965">
        <f t="shared" si="19"/>
        <v>0</v>
      </c>
      <c r="AA63" s="1048"/>
      <c r="AB63" s="1048"/>
      <c r="AC63" s="1048"/>
      <c r="AD63" s="1048"/>
      <c r="AE63" s="1048"/>
      <c r="AF63" s="1048"/>
      <c r="AG63" s="1048"/>
      <c r="AH63" s="1048"/>
      <c r="AI63" s="1048"/>
      <c r="AJ63" s="1048"/>
      <c r="AK63" s="1048"/>
    </row>
    <row r="64" spans="1:37" s="1047" customFormat="1" ht="24">
      <c r="A64" s="2074" t="s">
        <v>2964</v>
      </c>
      <c r="B64" s="2080" t="s">
        <v>2965</v>
      </c>
      <c r="C64" s="1966"/>
      <c r="D64" s="966">
        <f t="shared" si="15"/>
        <v>0</v>
      </c>
      <c r="E64" s="585"/>
      <c r="F64" s="1770"/>
      <c r="G64" s="964"/>
      <c r="H64" s="968" t="str">
        <f t="shared" si="16"/>
        <v>——</v>
      </c>
      <c r="I64" s="583">
        <v>0.05</v>
      </c>
      <c r="J64" s="965">
        <f t="shared" si="17"/>
        <v>0</v>
      </c>
      <c r="K64" s="965">
        <f t="shared" si="18"/>
        <v>0</v>
      </c>
      <c r="L64" s="965">
        <v>0</v>
      </c>
      <c r="M64" s="965">
        <f t="shared" si="19"/>
        <v>0</v>
      </c>
      <c r="N64" s="965">
        <f t="shared" si="19"/>
        <v>0</v>
      </c>
      <c r="AA64" s="1048"/>
      <c r="AB64" s="1048"/>
      <c r="AC64" s="1048"/>
      <c r="AD64" s="1048"/>
      <c r="AE64" s="1048"/>
      <c r="AF64" s="1048"/>
      <c r="AG64" s="1048"/>
      <c r="AH64" s="1048"/>
      <c r="AI64" s="1048"/>
      <c r="AJ64" s="1048"/>
      <c r="AK64" s="1048"/>
    </row>
    <row r="65" spans="1:37" s="1047" customFormat="1" ht="25.5">
      <c r="A65" s="2074" t="s">
        <v>2966</v>
      </c>
      <c r="B65" s="1367" t="str">
        <f>估价对象房地状况!C21</f>
        <v>估价对象所在区域公共配套设施齐备情况</v>
      </c>
      <c r="C65" s="1966"/>
      <c r="D65" s="966">
        <f t="shared" si="15"/>
        <v>0</v>
      </c>
      <c r="E65" s="585"/>
      <c r="F65" s="1770"/>
      <c r="G65" s="964"/>
      <c r="H65" s="968" t="str">
        <f t="shared" si="16"/>
        <v>——</v>
      </c>
      <c r="I65" s="583">
        <v>0.06</v>
      </c>
      <c r="J65" s="965">
        <f t="shared" si="17"/>
        <v>0</v>
      </c>
      <c r="K65" s="965">
        <f t="shared" si="18"/>
        <v>0</v>
      </c>
      <c r="L65" s="965">
        <v>0</v>
      </c>
      <c r="M65" s="965">
        <f t="shared" si="19"/>
        <v>0</v>
      </c>
      <c r="N65" s="965">
        <f t="shared" si="19"/>
        <v>0</v>
      </c>
      <c r="AA65" s="1048"/>
      <c r="AB65" s="1048"/>
      <c r="AC65" s="1048"/>
      <c r="AD65" s="1048"/>
      <c r="AE65" s="1048"/>
      <c r="AF65" s="1048"/>
      <c r="AG65" s="1048"/>
      <c r="AH65" s="1048"/>
      <c r="AI65" s="1048"/>
      <c r="AJ65" s="1048"/>
      <c r="AK65" s="1048"/>
    </row>
    <row r="66" spans="1:37" s="1047" customFormat="1" ht="25.5">
      <c r="A66" s="2074" t="s">
        <v>2967</v>
      </c>
      <c r="B66" s="1367" t="str">
        <f>估价对象房地状况!C22</f>
        <v>估价对象所在区域基础设施水平</v>
      </c>
      <c r="C66" s="1966"/>
      <c r="D66" s="966">
        <f t="shared" si="15"/>
        <v>0</v>
      </c>
      <c r="E66" s="585"/>
      <c r="F66" s="1770"/>
      <c r="G66" s="964"/>
      <c r="H66" s="968" t="str">
        <f t="shared" si="16"/>
        <v>——</v>
      </c>
      <c r="I66" s="583">
        <v>0.12</v>
      </c>
      <c r="J66" s="965">
        <f t="shared" si="17"/>
        <v>0</v>
      </c>
      <c r="K66" s="965">
        <f t="shared" si="18"/>
        <v>0</v>
      </c>
      <c r="L66" s="965">
        <v>0</v>
      </c>
      <c r="M66" s="965">
        <f t="shared" si="19"/>
        <v>0</v>
      </c>
      <c r="N66" s="965">
        <f t="shared" si="19"/>
        <v>0</v>
      </c>
      <c r="AA66" s="1048"/>
      <c r="AB66" s="1048"/>
      <c r="AC66" s="1048"/>
      <c r="AD66" s="1048"/>
      <c r="AE66" s="1048"/>
      <c r="AF66" s="1048"/>
      <c r="AG66" s="1048"/>
      <c r="AH66" s="1048"/>
      <c r="AI66" s="1048"/>
      <c r="AJ66" s="1048"/>
      <c r="AK66" s="1048"/>
    </row>
    <row r="67" spans="1:37" s="1047" customFormat="1" ht="39" thickBot="1">
      <c r="A67" s="2082" t="s">
        <v>2968</v>
      </c>
      <c r="B67" s="2084" t="str">
        <f>估价对象房地状况!C20</f>
        <v>区域自然环境：；人文环境；综合评价环境状况一般</v>
      </c>
      <c r="C67" s="1966"/>
      <c r="D67" s="966">
        <f t="shared" si="15"/>
        <v>0</v>
      </c>
      <c r="E67" s="588"/>
      <c r="F67" s="1770"/>
      <c r="G67" s="964"/>
      <c r="H67" s="968" t="str">
        <f t="shared" si="16"/>
        <v>——</v>
      </c>
      <c r="I67" s="587">
        <v>0.06</v>
      </c>
      <c r="J67" s="965">
        <f t="shared" si="17"/>
        <v>0</v>
      </c>
      <c r="K67" s="965">
        <f t="shared" si="18"/>
        <v>0</v>
      </c>
      <c r="L67" s="965">
        <v>0</v>
      </c>
      <c r="M67" s="965">
        <f t="shared" si="19"/>
        <v>0</v>
      </c>
      <c r="N67" s="965">
        <f t="shared" si="19"/>
        <v>0</v>
      </c>
      <c r="AA67" s="1048"/>
      <c r="AB67" s="1048"/>
      <c r="AC67" s="1048"/>
      <c r="AD67" s="1048"/>
      <c r="AE67" s="1048"/>
      <c r="AF67" s="1048"/>
      <c r="AG67" s="1048"/>
      <c r="AH67" s="1048"/>
      <c r="AI67" s="1048"/>
      <c r="AJ67" s="1048"/>
      <c r="AK67" s="1048"/>
    </row>
    <row r="68" spans="1:37" s="1047" customFormat="1" ht="15">
      <c r="A68" s="2070" t="s">
        <v>2972</v>
      </c>
      <c r="B68" s="2071">
        <f>1+E70</f>
        <v>1</v>
      </c>
      <c r="C68" s="577"/>
      <c r="D68" s="577"/>
      <c r="E68" s="578"/>
      <c r="F68" s="2073"/>
      <c r="G68" s="6"/>
      <c r="H68" s="6"/>
      <c r="I68" s="6"/>
      <c r="J68" s="7"/>
      <c r="K68" s="7"/>
      <c r="L68" s="7"/>
      <c r="M68" s="7"/>
      <c r="N68" s="7"/>
      <c r="AA68" s="1048"/>
      <c r="AB68" s="1048"/>
      <c r="AC68" s="1048"/>
      <c r="AD68" s="1048"/>
      <c r="AE68" s="1048"/>
      <c r="AF68" s="1048"/>
      <c r="AG68" s="1048"/>
      <c r="AH68" s="1048"/>
      <c r="AI68" s="1048"/>
      <c r="AJ68" s="1048"/>
      <c r="AK68" s="1048"/>
    </row>
    <row r="69" spans="1:37" s="1047" customFormat="1" ht="24.75">
      <c r="A69" s="2074" t="s">
        <v>2950</v>
      </c>
      <c r="B69" s="1411"/>
      <c r="C69" s="1411" t="s">
        <v>2952</v>
      </c>
      <c r="D69" s="1411" t="s">
        <v>2953</v>
      </c>
      <c r="E69" s="582" t="s">
        <v>2954</v>
      </c>
      <c r="F69" s="2075" t="s">
        <v>2970</v>
      </c>
      <c r="G69" s="1411" t="s">
        <v>754</v>
      </c>
      <c r="H69" s="2076" t="s">
        <v>2956</v>
      </c>
      <c r="I69" s="1411" t="s">
        <v>2957</v>
      </c>
      <c r="J69" s="426" t="s">
        <v>2603</v>
      </c>
      <c r="K69" s="426" t="s">
        <v>2604</v>
      </c>
      <c r="L69" s="426" t="s">
        <v>2605</v>
      </c>
      <c r="M69" s="426" t="s">
        <v>2606</v>
      </c>
      <c r="N69" s="426" t="s">
        <v>2607</v>
      </c>
      <c r="AA69" s="1048"/>
      <c r="AB69" s="1048"/>
      <c r="AC69" s="1048"/>
      <c r="AD69" s="1048"/>
      <c r="AE69" s="1048"/>
      <c r="AF69" s="1048"/>
      <c r="AG69" s="1048"/>
      <c r="AH69" s="1048"/>
      <c r="AI69" s="1048"/>
      <c r="AJ69" s="1048"/>
      <c r="AK69" s="1048"/>
    </row>
    <row r="70" spans="1:37" s="1047" customFormat="1" ht="51">
      <c r="A70" s="2074" t="s">
        <v>2973</v>
      </c>
      <c r="B70" s="2077" t="str">
        <f>估价对象房地状况!C15</f>
        <v>估价对象周边居住用地比例、居住小区规模和社区发展完善程度，综合评价居住社区成熟度一般</v>
      </c>
      <c r="C70" s="1966"/>
      <c r="D70" s="966">
        <f t="shared" ref="D70:D78" si="20">SUMIF($J$69:$N$69,C70,J70:N70)</f>
        <v>0</v>
      </c>
      <c r="E70" s="584">
        <f>ROUND(SUM(D70:D78),4)</f>
        <v>0</v>
      </c>
      <c r="F70" s="1770" t="str">
        <f>IF(E2="住宅",SUMIF(L1:L12,G2,N1:N12),"——")</f>
        <v>——</v>
      </c>
      <c r="G70" s="964"/>
      <c r="H70" s="968" t="str">
        <f t="shared" ref="H70:H78" si="21">IFERROR(ROUNDDOWN($F$70*I70/2,4),"——")</f>
        <v>——</v>
      </c>
      <c r="I70" s="583">
        <v>0.14000000000000001</v>
      </c>
      <c r="J70" s="965">
        <f t="shared" ref="J70:J78" si="22">K70+$G70</f>
        <v>0</v>
      </c>
      <c r="K70" s="965">
        <f t="shared" ref="K70:K78" si="23">$L70+$G70</f>
        <v>0</v>
      </c>
      <c r="L70" s="965">
        <v>0</v>
      </c>
      <c r="M70" s="965">
        <f t="shared" ref="M70:N78" si="24">L70-$G70</f>
        <v>0</v>
      </c>
      <c r="N70" s="965">
        <f t="shared" si="24"/>
        <v>0</v>
      </c>
      <c r="AA70" s="1048"/>
      <c r="AB70" s="1048"/>
      <c r="AC70" s="1048"/>
      <c r="AD70" s="1048"/>
      <c r="AE70" s="1048"/>
      <c r="AF70" s="1048"/>
      <c r="AG70" s="1048"/>
      <c r="AH70" s="1048"/>
      <c r="AI70" s="1048"/>
      <c r="AJ70" s="1048"/>
      <c r="AK70" s="1048"/>
    </row>
    <row r="71" spans="1:37" s="1047" customFormat="1" ht="51">
      <c r="A71" s="2074" t="s">
        <v>2959</v>
      </c>
      <c r="B71" s="2078" t="str">
        <f>估价对象房地状况!C18</f>
        <v>估价对象周边道路状况、公共交通通达情况、停车便捷程度，综合评价交通便捷度较好</v>
      </c>
      <c r="C71" s="1966"/>
      <c r="D71" s="966">
        <f t="shared" si="20"/>
        <v>0</v>
      </c>
      <c r="E71" s="589"/>
      <c r="F71" s="1770"/>
      <c r="G71" s="964"/>
      <c r="H71" s="968" t="str">
        <f t="shared" si="21"/>
        <v>——</v>
      </c>
      <c r="I71" s="583">
        <v>0.3</v>
      </c>
      <c r="J71" s="965">
        <f t="shared" si="22"/>
        <v>0</v>
      </c>
      <c r="K71" s="965">
        <f t="shared" si="23"/>
        <v>0</v>
      </c>
      <c r="L71" s="965">
        <v>0</v>
      </c>
      <c r="M71" s="965">
        <f t="shared" si="24"/>
        <v>0</v>
      </c>
      <c r="N71" s="965">
        <f t="shared" si="24"/>
        <v>0</v>
      </c>
      <c r="AA71" s="1048"/>
      <c r="AB71" s="1048"/>
      <c r="AC71" s="1048"/>
      <c r="AD71" s="1048"/>
      <c r="AE71" s="1048"/>
      <c r="AF71" s="1048"/>
      <c r="AG71" s="1048"/>
      <c r="AH71" s="1048"/>
      <c r="AI71" s="1048"/>
      <c r="AJ71" s="1048"/>
      <c r="AK71" s="1048"/>
    </row>
    <row r="72" spans="1:37" s="1047" customFormat="1" ht="24">
      <c r="A72" s="2074" t="s">
        <v>2960</v>
      </c>
      <c r="B72" s="2078">
        <f>估价对象房地状况!C19</f>
        <v>0</v>
      </c>
      <c r="C72" s="1966"/>
      <c r="D72" s="966">
        <f t="shared" si="20"/>
        <v>0</v>
      </c>
      <c r="E72" s="589"/>
      <c r="F72" s="1770"/>
      <c r="G72" s="964"/>
      <c r="H72" s="968" t="str">
        <f t="shared" si="21"/>
        <v>——</v>
      </c>
      <c r="I72" s="583">
        <v>0.08</v>
      </c>
      <c r="J72" s="965">
        <f t="shared" si="22"/>
        <v>0</v>
      </c>
      <c r="K72" s="965">
        <f t="shared" si="23"/>
        <v>0</v>
      </c>
      <c r="L72" s="965">
        <v>0</v>
      </c>
      <c r="M72" s="965">
        <f t="shared" si="24"/>
        <v>0</v>
      </c>
      <c r="N72" s="965">
        <f t="shared" si="24"/>
        <v>0</v>
      </c>
      <c r="AA72" s="1048"/>
      <c r="AB72" s="1048"/>
      <c r="AC72" s="1048"/>
      <c r="AD72" s="1048"/>
      <c r="AE72" s="1048"/>
      <c r="AF72" s="1048"/>
      <c r="AG72" s="1048"/>
      <c r="AH72" s="1048"/>
      <c r="AI72" s="1048"/>
      <c r="AJ72" s="1048"/>
      <c r="AK72" s="1048"/>
    </row>
    <row r="73" spans="1:37" s="1047" customFormat="1" ht="14.25">
      <c r="A73" s="2074" t="s">
        <v>2974</v>
      </c>
      <c r="B73" s="2078">
        <f>估价对象房地状况!C24</f>
        <v>0</v>
      </c>
      <c r="C73" s="1966"/>
      <c r="D73" s="966">
        <f t="shared" si="20"/>
        <v>0</v>
      </c>
      <c r="E73" s="589"/>
      <c r="F73" s="1770"/>
      <c r="G73" s="964"/>
      <c r="H73" s="968" t="str">
        <f t="shared" si="21"/>
        <v>——</v>
      </c>
      <c r="I73" s="583">
        <v>0.04</v>
      </c>
      <c r="J73" s="965">
        <f t="shared" si="22"/>
        <v>0</v>
      </c>
      <c r="K73" s="965">
        <f t="shared" si="23"/>
        <v>0</v>
      </c>
      <c r="L73" s="965">
        <v>0</v>
      </c>
      <c r="M73" s="965">
        <f t="shared" si="24"/>
        <v>0</v>
      </c>
      <c r="N73" s="965">
        <f t="shared" si="24"/>
        <v>0</v>
      </c>
      <c r="AA73" s="1048"/>
      <c r="AB73" s="1048"/>
      <c r="AC73" s="1048"/>
      <c r="AD73" s="1048"/>
      <c r="AE73" s="1048"/>
      <c r="AF73" s="1048"/>
      <c r="AG73" s="1048"/>
      <c r="AH73" s="1048"/>
      <c r="AI73" s="1048"/>
      <c r="AJ73" s="1048"/>
      <c r="AK73" s="1048"/>
    </row>
    <row r="74" spans="1:37" s="1047" customFormat="1" ht="25.5">
      <c r="A74" s="2074" t="s">
        <v>2966</v>
      </c>
      <c r="B74" s="1367" t="str">
        <f>估价对象房地状况!C21</f>
        <v>估价对象所在区域公共配套设施齐备情况</v>
      </c>
      <c r="C74" s="1966"/>
      <c r="D74" s="966">
        <f t="shared" si="20"/>
        <v>0</v>
      </c>
      <c r="E74" s="589"/>
      <c r="F74" s="1770"/>
      <c r="G74" s="964"/>
      <c r="H74" s="968" t="str">
        <f t="shared" si="21"/>
        <v>——</v>
      </c>
      <c r="I74" s="583">
        <v>0.08</v>
      </c>
      <c r="J74" s="965">
        <f t="shared" si="22"/>
        <v>0</v>
      </c>
      <c r="K74" s="965">
        <f t="shared" si="23"/>
        <v>0</v>
      </c>
      <c r="L74" s="965">
        <v>0</v>
      </c>
      <c r="M74" s="965">
        <f t="shared" si="24"/>
        <v>0</v>
      </c>
      <c r="N74" s="965">
        <f t="shared" si="24"/>
        <v>0</v>
      </c>
      <c r="AA74" s="1048"/>
      <c r="AB74" s="1048"/>
      <c r="AC74" s="1048"/>
      <c r="AD74" s="1048"/>
      <c r="AE74" s="1048"/>
      <c r="AF74" s="1048"/>
      <c r="AG74" s="1048"/>
      <c r="AH74" s="1048"/>
      <c r="AI74" s="1048"/>
      <c r="AJ74" s="1048"/>
      <c r="AK74" s="1048"/>
    </row>
    <row r="75" spans="1:37" s="1047" customFormat="1" ht="25.5">
      <c r="A75" s="2074" t="s">
        <v>2967</v>
      </c>
      <c r="B75" s="1367" t="str">
        <f>估价对象房地状况!C22</f>
        <v>估价对象所在区域基础设施水平</v>
      </c>
      <c r="C75" s="1966"/>
      <c r="D75" s="966">
        <f t="shared" si="20"/>
        <v>0</v>
      </c>
      <c r="E75" s="589"/>
      <c r="F75" s="1770"/>
      <c r="G75" s="964"/>
      <c r="H75" s="968" t="str">
        <f t="shared" si="21"/>
        <v>——</v>
      </c>
      <c r="I75" s="583">
        <v>0.12</v>
      </c>
      <c r="J75" s="965">
        <f t="shared" si="22"/>
        <v>0</v>
      </c>
      <c r="K75" s="965">
        <f t="shared" si="23"/>
        <v>0</v>
      </c>
      <c r="L75" s="965">
        <v>0</v>
      </c>
      <c r="M75" s="965">
        <f t="shared" si="24"/>
        <v>0</v>
      </c>
      <c r="N75" s="965">
        <f t="shared" si="24"/>
        <v>0</v>
      </c>
      <c r="AA75" s="1048"/>
      <c r="AB75" s="1048"/>
      <c r="AC75" s="1048"/>
      <c r="AD75" s="1048"/>
      <c r="AE75" s="1048"/>
      <c r="AF75" s="1048"/>
      <c r="AG75" s="1048"/>
      <c r="AH75" s="1048"/>
      <c r="AI75" s="1048"/>
      <c r="AJ75" s="1048"/>
      <c r="AK75" s="1048"/>
    </row>
    <row r="76" spans="1:37" s="1915" customFormat="1" ht="24">
      <c r="A76" s="2074" t="s">
        <v>2964</v>
      </c>
      <c r="B76" s="2080" t="s">
        <v>2965</v>
      </c>
      <c r="C76" s="1966"/>
      <c r="D76" s="966">
        <f t="shared" si="20"/>
        <v>0</v>
      </c>
      <c r="E76" s="589"/>
      <c r="F76" s="1770"/>
      <c r="G76" s="964"/>
      <c r="H76" s="968" t="str">
        <f t="shared" si="21"/>
        <v>——</v>
      </c>
      <c r="I76" s="583">
        <v>0.05</v>
      </c>
      <c r="J76" s="965">
        <f t="shared" si="22"/>
        <v>0</v>
      </c>
      <c r="K76" s="965">
        <f t="shared" si="23"/>
        <v>0</v>
      </c>
      <c r="L76" s="965">
        <v>0</v>
      </c>
      <c r="M76" s="965">
        <f t="shared" si="24"/>
        <v>0</v>
      </c>
      <c r="N76" s="965">
        <f t="shared" si="24"/>
        <v>0</v>
      </c>
      <c r="AA76" s="2085"/>
      <c r="AB76" s="1048"/>
      <c r="AC76" s="1048"/>
      <c r="AD76" s="1048"/>
      <c r="AE76" s="1048"/>
      <c r="AF76" s="1048"/>
      <c r="AG76" s="1048"/>
      <c r="AH76" s="2085"/>
      <c r="AI76" s="2085"/>
      <c r="AJ76" s="2085"/>
      <c r="AK76" s="2085"/>
    </row>
    <row r="77" spans="1:37" ht="38.25">
      <c r="A77" s="2074" t="s">
        <v>2968</v>
      </c>
      <c r="B77" s="2077" t="str">
        <f>估价对象房地状况!C20</f>
        <v>区域自然环境：；人文环境；综合评价环境状况一般</v>
      </c>
      <c r="C77" s="1966"/>
      <c r="D77" s="966">
        <f t="shared" si="20"/>
        <v>0</v>
      </c>
      <c r="E77" s="589"/>
      <c r="F77" s="1770"/>
      <c r="G77" s="964"/>
      <c r="H77" s="968" t="str">
        <f t="shared" si="21"/>
        <v>——</v>
      </c>
      <c r="I77" s="583">
        <v>0.15</v>
      </c>
      <c r="J77" s="965">
        <f t="shared" si="22"/>
        <v>0</v>
      </c>
      <c r="K77" s="965">
        <f t="shared" si="23"/>
        <v>0</v>
      </c>
      <c r="L77" s="965">
        <v>0</v>
      </c>
      <c r="M77" s="965">
        <f t="shared" si="24"/>
        <v>0</v>
      </c>
      <c r="N77" s="965">
        <f t="shared" si="24"/>
        <v>0</v>
      </c>
      <c r="Z77" s="1916"/>
      <c r="AA77" s="1992"/>
      <c r="AG77" s="1049"/>
      <c r="AK77" s="1992"/>
    </row>
    <row r="78" spans="1:37" ht="24.75" thickBot="1">
      <c r="A78" s="2082" t="s">
        <v>2975</v>
      </c>
      <c r="B78" s="2086"/>
      <c r="C78" s="1966"/>
      <c r="D78" s="966">
        <f t="shared" si="20"/>
        <v>0</v>
      </c>
      <c r="E78" s="590"/>
      <c r="F78" s="1770"/>
      <c r="G78" s="964"/>
      <c r="H78" s="968" t="str">
        <f t="shared" si="21"/>
        <v>——</v>
      </c>
      <c r="I78" s="587">
        <v>0.04</v>
      </c>
      <c r="J78" s="965">
        <f t="shared" si="22"/>
        <v>0</v>
      </c>
      <c r="K78" s="965">
        <f t="shared" si="23"/>
        <v>0</v>
      </c>
      <c r="L78" s="965">
        <v>0</v>
      </c>
      <c r="M78" s="965">
        <f t="shared" si="24"/>
        <v>0</v>
      </c>
      <c r="N78" s="965">
        <f t="shared" si="24"/>
        <v>0</v>
      </c>
      <c r="Z78" s="1916"/>
      <c r="AA78" s="1992"/>
      <c r="AG78" s="1049"/>
      <c r="AK78" s="1992"/>
    </row>
    <row r="79" spans="1:37" ht="15">
      <c r="A79" s="2070" t="s">
        <v>2976</v>
      </c>
      <c r="B79" s="2071">
        <f>1+E81</f>
        <v>1</v>
      </c>
      <c r="C79" s="577"/>
      <c r="D79" s="577"/>
      <c r="E79" s="578"/>
      <c r="F79" s="2073"/>
      <c r="G79" s="6"/>
      <c r="H79" s="6"/>
      <c r="I79" s="6"/>
      <c r="J79" s="7"/>
      <c r="K79" s="7"/>
      <c r="L79" s="7"/>
      <c r="M79" s="7"/>
      <c r="N79" s="7"/>
      <c r="Z79" s="1916"/>
      <c r="AA79" s="1992"/>
      <c r="AG79" s="1049"/>
      <c r="AK79" s="1992"/>
    </row>
    <row r="80" spans="1:37" ht="24.75">
      <c r="A80" s="2074" t="s">
        <v>2950</v>
      </c>
      <c r="B80" s="1411"/>
      <c r="C80" s="1411" t="s">
        <v>2952</v>
      </c>
      <c r="D80" s="1411" t="s">
        <v>2953</v>
      </c>
      <c r="E80" s="582" t="s">
        <v>2954</v>
      </c>
      <c r="F80" s="2075" t="s">
        <v>2970</v>
      </c>
      <c r="G80" s="1411" t="s">
        <v>754</v>
      </c>
      <c r="H80" s="2076" t="s">
        <v>2956</v>
      </c>
      <c r="I80" s="1411" t="s">
        <v>2957</v>
      </c>
      <c r="J80" s="426" t="s">
        <v>2603</v>
      </c>
      <c r="K80" s="426" t="s">
        <v>2604</v>
      </c>
      <c r="L80" s="426" t="s">
        <v>2605</v>
      </c>
      <c r="M80" s="426" t="s">
        <v>2606</v>
      </c>
      <c r="N80" s="426" t="s">
        <v>2607</v>
      </c>
      <c r="Z80" s="1916"/>
      <c r="AA80" s="1992"/>
      <c r="AG80" s="1049"/>
      <c r="AK80" s="1992"/>
    </row>
    <row r="81" spans="1:37" ht="38.25">
      <c r="A81" s="2074" t="s">
        <v>2977</v>
      </c>
      <c r="B81" s="2078" t="str">
        <f>估价对象房地状况!G15</f>
        <v>估价对象位于XX开发区，园区建设成熟度XX，产业集聚程度XX</v>
      </c>
      <c r="C81" s="1966"/>
      <c r="D81" s="966">
        <f t="shared" ref="D81:D88" si="25">SUMIF($J$80:$N$80,C81,J81:N81)</f>
        <v>0</v>
      </c>
      <c r="E81" s="584">
        <f>ROUND(SUM(D81:D88),4)</f>
        <v>0</v>
      </c>
      <c r="F81" s="1770" t="str">
        <f>IF(E2="工业",SUMIF(L1:L12,G2,N1:N12),"——")</f>
        <v>——</v>
      </c>
      <c r="G81" s="964"/>
      <c r="H81" s="968" t="str">
        <f t="shared" ref="H81:H88" si="26">IFERROR(ROUNDDOWN($F$81*I81/2,4),"——")</f>
        <v>——</v>
      </c>
      <c r="I81" s="583">
        <v>0.26</v>
      </c>
      <c r="J81" s="965">
        <f t="shared" ref="J81:J88" si="27">K81+$G81</f>
        <v>0</v>
      </c>
      <c r="K81" s="965">
        <f t="shared" ref="K81:K88" si="28">$L81+$G81</f>
        <v>0</v>
      </c>
      <c r="L81" s="965">
        <v>0</v>
      </c>
      <c r="M81" s="965">
        <f t="shared" ref="M81:N88" si="29">L81-$G81</f>
        <v>0</v>
      </c>
      <c r="N81" s="965">
        <f t="shared" si="29"/>
        <v>0</v>
      </c>
      <c r="Z81" s="1916"/>
      <c r="AA81" s="1992"/>
      <c r="AG81" s="1049"/>
      <c r="AK81" s="1992"/>
    </row>
    <row r="82" spans="1:37" ht="51">
      <c r="A82" s="2074" t="s">
        <v>2959</v>
      </c>
      <c r="B82" s="2078" t="str">
        <f>估价对象房地状况!G16</f>
        <v>估价对象周边道路状况、公共交通通达情况、停车便捷程度，综合评价交通便捷度较好</v>
      </c>
      <c r="C82" s="1966"/>
      <c r="D82" s="966">
        <f t="shared" si="25"/>
        <v>0</v>
      </c>
      <c r="E82" s="589"/>
      <c r="F82" s="1770"/>
      <c r="G82" s="964"/>
      <c r="H82" s="968" t="str">
        <f t="shared" si="26"/>
        <v>——</v>
      </c>
      <c r="I82" s="583">
        <v>0.33</v>
      </c>
      <c r="J82" s="965">
        <f t="shared" si="27"/>
        <v>0</v>
      </c>
      <c r="K82" s="965">
        <f t="shared" si="28"/>
        <v>0</v>
      </c>
      <c r="L82" s="965">
        <v>0</v>
      </c>
      <c r="M82" s="965">
        <f t="shared" si="29"/>
        <v>0</v>
      </c>
      <c r="N82" s="965">
        <f t="shared" si="29"/>
        <v>0</v>
      </c>
      <c r="Z82" s="1916"/>
      <c r="AA82" s="1992"/>
      <c r="AG82" s="1049"/>
      <c r="AK82" s="1992"/>
    </row>
    <row r="83" spans="1:37" ht="24">
      <c r="A83" s="2074" t="s">
        <v>2960</v>
      </c>
      <c r="B83" s="2078">
        <f>估价对象房地状况!G17</f>
        <v>0</v>
      </c>
      <c r="C83" s="1966"/>
      <c r="D83" s="966">
        <f t="shared" si="25"/>
        <v>0</v>
      </c>
      <c r="E83" s="589"/>
      <c r="F83" s="1770"/>
      <c r="G83" s="964"/>
      <c r="H83" s="968" t="str">
        <f t="shared" si="26"/>
        <v>——</v>
      </c>
      <c r="I83" s="583">
        <v>0.05</v>
      </c>
      <c r="J83" s="965">
        <f t="shared" si="27"/>
        <v>0</v>
      </c>
      <c r="K83" s="965">
        <f t="shared" si="28"/>
        <v>0</v>
      </c>
      <c r="L83" s="965">
        <v>0</v>
      </c>
      <c r="M83" s="965">
        <f t="shared" si="29"/>
        <v>0</v>
      </c>
      <c r="N83" s="965">
        <f t="shared" si="29"/>
        <v>0</v>
      </c>
      <c r="Z83" s="1916"/>
      <c r="AA83" s="1992"/>
      <c r="AG83" s="1049"/>
      <c r="AK83" s="1992"/>
    </row>
    <row r="84" spans="1:37" ht="14.25">
      <c r="A84" s="2074" t="s">
        <v>2974</v>
      </c>
      <c r="B84" s="2078">
        <f>估价对象房地状况!G22</f>
        <v>0</v>
      </c>
      <c r="C84" s="1966"/>
      <c r="D84" s="966">
        <f t="shared" si="25"/>
        <v>0</v>
      </c>
      <c r="E84" s="589"/>
      <c r="F84" s="1770"/>
      <c r="G84" s="964"/>
      <c r="H84" s="968" t="str">
        <f t="shared" si="26"/>
        <v>——</v>
      </c>
      <c r="I84" s="583">
        <v>0.04</v>
      </c>
      <c r="J84" s="965">
        <f t="shared" si="27"/>
        <v>0</v>
      </c>
      <c r="K84" s="965">
        <f t="shared" si="28"/>
        <v>0</v>
      </c>
      <c r="L84" s="965">
        <v>0</v>
      </c>
      <c r="M84" s="965">
        <f t="shared" si="29"/>
        <v>0</v>
      </c>
      <c r="N84" s="965">
        <f t="shared" si="29"/>
        <v>0</v>
      </c>
      <c r="Z84" s="1916"/>
      <c r="AA84" s="1992"/>
      <c r="AG84" s="1049"/>
      <c r="AK84" s="1992"/>
    </row>
    <row r="85" spans="1:37" ht="25.5">
      <c r="A85" s="2074" t="s">
        <v>2966</v>
      </c>
      <c r="B85" s="1367" t="str">
        <f>估价对象房地状况!G19</f>
        <v>估价对象所在区域公共配套设施齐备情况</v>
      </c>
      <c r="C85" s="1966"/>
      <c r="D85" s="966">
        <f t="shared" si="25"/>
        <v>0</v>
      </c>
      <c r="E85" s="589"/>
      <c r="F85" s="1770"/>
      <c r="G85" s="964"/>
      <c r="H85" s="968" t="str">
        <f t="shared" si="26"/>
        <v>——</v>
      </c>
      <c r="I85" s="583">
        <v>0.06</v>
      </c>
      <c r="J85" s="965">
        <f t="shared" si="27"/>
        <v>0</v>
      </c>
      <c r="K85" s="965">
        <f t="shared" si="28"/>
        <v>0</v>
      </c>
      <c r="L85" s="965">
        <v>0</v>
      </c>
      <c r="M85" s="965">
        <f t="shared" si="29"/>
        <v>0</v>
      </c>
      <c r="N85" s="965">
        <f t="shared" si="29"/>
        <v>0</v>
      </c>
      <c r="Z85" s="1916"/>
      <c r="AA85" s="1992"/>
      <c r="AG85" s="1049"/>
      <c r="AK85" s="1992"/>
    </row>
    <row r="86" spans="1:37" ht="25.5">
      <c r="A86" s="2074" t="s">
        <v>2967</v>
      </c>
      <c r="B86" s="1367" t="str">
        <f>估价对象房地状况!G20</f>
        <v>估价对象所在区域基础设施水平</v>
      </c>
      <c r="C86" s="1966"/>
      <c r="D86" s="966">
        <f t="shared" si="25"/>
        <v>0</v>
      </c>
      <c r="E86" s="589"/>
      <c r="F86" s="1770"/>
      <c r="G86" s="964"/>
      <c r="H86" s="968" t="str">
        <f t="shared" si="26"/>
        <v>——</v>
      </c>
      <c r="I86" s="583">
        <v>0.15</v>
      </c>
      <c r="J86" s="965">
        <f t="shared" si="27"/>
        <v>0</v>
      </c>
      <c r="K86" s="965">
        <f t="shared" si="28"/>
        <v>0</v>
      </c>
      <c r="L86" s="965">
        <v>0</v>
      </c>
      <c r="M86" s="965">
        <f t="shared" si="29"/>
        <v>0</v>
      </c>
      <c r="N86" s="965">
        <f t="shared" si="29"/>
        <v>0</v>
      </c>
      <c r="Z86" s="1916"/>
      <c r="AA86" s="1992"/>
      <c r="AG86" s="1049"/>
      <c r="AK86" s="1992"/>
    </row>
    <row r="87" spans="1:37" ht="24">
      <c r="A87" s="2074" t="s">
        <v>2964</v>
      </c>
      <c r="B87" s="2080" t="s">
        <v>2978</v>
      </c>
      <c r="C87" s="1966"/>
      <c r="D87" s="966">
        <f t="shared" si="25"/>
        <v>0</v>
      </c>
      <c r="E87" s="589"/>
      <c r="F87" s="1770"/>
      <c r="G87" s="964"/>
      <c r="H87" s="968" t="str">
        <f t="shared" si="26"/>
        <v>——</v>
      </c>
      <c r="I87" s="583">
        <v>0.05</v>
      </c>
      <c r="J87" s="965">
        <f t="shared" si="27"/>
        <v>0</v>
      </c>
      <c r="K87" s="965">
        <f t="shared" si="28"/>
        <v>0</v>
      </c>
      <c r="L87" s="965">
        <v>0</v>
      </c>
      <c r="M87" s="965">
        <f t="shared" si="29"/>
        <v>0</v>
      </c>
      <c r="N87" s="965">
        <f t="shared" si="29"/>
        <v>0</v>
      </c>
      <c r="Z87" s="1916"/>
      <c r="AA87" s="1992"/>
      <c r="AG87" s="1049"/>
      <c r="AK87" s="1992"/>
    </row>
    <row r="88" spans="1:37" ht="39" thickBot="1">
      <c r="A88" s="2082" t="s">
        <v>2979</v>
      </c>
      <c r="B88" s="2087" t="str">
        <f>估价对象房地状况!G18</f>
        <v>该园区内是否有污染型企业，绿化情况，卫生条件，整体环境状况判断</v>
      </c>
      <c r="C88" s="1966"/>
      <c r="D88" s="966">
        <f t="shared" si="25"/>
        <v>0</v>
      </c>
      <c r="E88" s="590"/>
      <c r="F88" s="1770"/>
      <c r="G88" s="964"/>
      <c r="H88" s="968" t="str">
        <f t="shared" si="26"/>
        <v>——</v>
      </c>
      <c r="I88" s="587">
        <v>0.06</v>
      </c>
      <c r="J88" s="965">
        <f t="shared" si="27"/>
        <v>0</v>
      </c>
      <c r="K88" s="965">
        <f t="shared" si="28"/>
        <v>0</v>
      </c>
      <c r="L88" s="965">
        <v>0</v>
      </c>
      <c r="M88" s="965">
        <f t="shared" si="29"/>
        <v>0</v>
      </c>
      <c r="N88" s="965">
        <f t="shared" si="29"/>
        <v>0</v>
      </c>
      <c r="Z88" s="1916"/>
      <c r="AA88" s="1992"/>
      <c r="AG88" s="1049"/>
      <c r="AK88" s="1992"/>
    </row>
    <row r="90" spans="1:37">
      <c r="A90" s="3981" t="s">
        <v>2980</v>
      </c>
      <c r="B90" s="3981"/>
      <c r="C90" s="3981"/>
      <c r="D90" s="3981"/>
      <c r="E90" s="3981"/>
      <c r="F90" s="3981"/>
      <c r="G90" s="3981"/>
      <c r="H90" s="3981"/>
      <c r="I90" s="3981"/>
      <c r="J90" s="3981"/>
      <c r="K90" s="2088"/>
      <c r="L90" s="2088"/>
      <c r="M90" s="2088"/>
      <c r="N90" s="2088"/>
    </row>
    <row r="91" spans="1:37">
      <c r="A91" s="3983" t="s">
        <v>2981</v>
      </c>
      <c r="B91" s="3983" t="s">
        <v>2982</v>
      </c>
      <c r="C91" s="2042" t="s">
        <v>2983</v>
      </c>
      <c r="D91" s="2043"/>
      <c r="E91" s="2043"/>
      <c r="F91" s="2043"/>
      <c r="G91" s="2043"/>
      <c r="H91" s="2043"/>
      <c r="I91" s="2043"/>
      <c r="J91" s="2089"/>
      <c r="K91" s="2090"/>
      <c r="L91" s="2090"/>
      <c r="M91" s="2090"/>
      <c r="N91" s="2090"/>
    </row>
    <row r="92" spans="1:37">
      <c r="A92" s="3983"/>
      <c r="B92" s="3983"/>
      <c r="C92" s="707" t="s">
        <v>2847</v>
      </c>
      <c r="D92" s="707" t="s">
        <v>2848</v>
      </c>
      <c r="E92" s="707" t="s">
        <v>2849</v>
      </c>
      <c r="F92" s="707" t="s">
        <v>2850</v>
      </c>
      <c r="G92" s="707" t="s">
        <v>2851</v>
      </c>
      <c r="H92" s="707" t="s">
        <v>2852</v>
      </c>
      <c r="I92" s="707" t="s">
        <v>2853</v>
      </c>
      <c r="J92" s="707" t="s">
        <v>2854</v>
      </c>
      <c r="K92" s="707" t="s">
        <v>2855</v>
      </c>
      <c r="L92" s="707" t="s">
        <v>2856</v>
      </c>
      <c r="M92" s="707" t="s">
        <v>2857</v>
      </c>
      <c r="N92" s="707" t="s">
        <v>2858</v>
      </c>
    </row>
    <row r="93" spans="1:37">
      <c r="A93" s="3984" t="s">
        <v>2984</v>
      </c>
      <c r="B93" s="2091">
        <v>1</v>
      </c>
      <c r="C93" s="2092">
        <v>1.9361999999999999</v>
      </c>
      <c r="D93" s="2092">
        <v>1.9361999999999999</v>
      </c>
      <c r="E93" s="2092">
        <v>1.8629</v>
      </c>
      <c r="F93" s="2092">
        <v>1.8629</v>
      </c>
      <c r="G93" s="2092">
        <v>1.8629</v>
      </c>
      <c r="H93" s="2092">
        <v>1.8629</v>
      </c>
      <c r="I93" s="2092">
        <v>1.8629</v>
      </c>
      <c r="J93" s="2092">
        <v>1.9419999999999999</v>
      </c>
      <c r="K93" s="2092">
        <v>1.9419999999999999</v>
      </c>
      <c r="L93" s="2092">
        <v>1.9419999999999999</v>
      </c>
      <c r="M93" s="2092">
        <v>1.9419999999999999</v>
      </c>
      <c r="N93" s="2092">
        <v>1.9419999999999999</v>
      </c>
    </row>
    <row r="94" spans="1:37">
      <c r="A94" s="3985"/>
      <c r="B94" s="2091">
        <v>2</v>
      </c>
      <c r="C94" s="2092">
        <v>1.4198</v>
      </c>
      <c r="D94" s="2092">
        <v>1.4198</v>
      </c>
      <c r="E94" s="2092">
        <v>1.3371999999999999</v>
      </c>
      <c r="F94" s="2092">
        <v>1.3371999999999999</v>
      </c>
      <c r="G94" s="2092">
        <v>1.3371999999999999</v>
      </c>
      <c r="H94" s="2092">
        <v>1.3371999999999999</v>
      </c>
      <c r="I94" s="2092">
        <v>1.3371999999999999</v>
      </c>
      <c r="J94" s="2092">
        <v>1.2799</v>
      </c>
      <c r="K94" s="2092">
        <v>1.2799</v>
      </c>
      <c r="L94" s="2092">
        <v>1.2799</v>
      </c>
      <c r="M94" s="2092">
        <v>1.2799</v>
      </c>
      <c r="N94" s="2092">
        <v>1.2799</v>
      </c>
    </row>
    <row r="95" spans="1:37">
      <c r="A95" s="3985"/>
      <c r="B95" s="2091">
        <v>3</v>
      </c>
      <c r="C95" s="2092">
        <v>1.1594</v>
      </c>
      <c r="D95" s="2092">
        <v>1.1594</v>
      </c>
      <c r="E95" s="2092">
        <v>1.0788</v>
      </c>
      <c r="F95" s="2092">
        <v>1.0788</v>
      </c>
      <c r="G95" s="2092">
        <v>1.0788</v>
      </c>
      <c r="H95" s="2092">
        <v>1.0788</v>
      </c>
      <c r="I95" s="2092">
        <v>1.0788</v>
      </c>
      <c r="J95" s="2092">
        <v>1.0072000000000001</v>
      </c>
      <c r="K95" s="2092">
        <v>1.0072000000000001</v>
      </c>
      <c r="L95" s="2092">
        <v>1.0072000000000001</v>
      </c>
      <c r="M95" s="2092">
        <v>1.0072000000000001</v>
      </c>
      <c r="N95" s="2092">
        <v>1.0072000000000001</v>
      </c>
    </row>
    <row r="96" spans="1:37">
      <c r="A96" s="3985"/>
      <c r="B96" s="2091">
        <v>4</v>
      </c>
      <c r="C96" s="2092">
        <v>0.96220000000000006</v>
      </c>
      <c r="D96" s="2092">
        <v>0.96220000000000006</v>
      </c>
      <c r="E96" s="2092">
        <v>0.86560000000000004</v>
      </c>
      <c r="F96" s="2092">
        <v>0.86560000000000004</v>
      </c>
      <c r="G96" s="2092">
        <v>0.86560000000000004</v>
      </c>
      <c r="H96" s="2092">
        <v>0.86560000000000004</v>
      </c>
      <c r="I96" s="2092">
        <v>0.86560000000000004</v>
      </c>
      <c r="J96" s="2092">
        <v>0.75249999999999995</v>
      </c>
      <c r="K96" s="2092">
        <v>0.75249999999999995</v>
      </c>
      <c r="L96" s="2092">
        <v>0.75249999999999995</v>
      </c>
      <c r="M96" s="2092">
        <v>0.75249999999999995</v>
      </c>
      <c r="N96" s="2092">
        <v>0.75249999999999995</v>
      </c>
    </row>
    <row r="97" spans="1:14">
      <c r="A97" s="3985"/>
      <c r="B97" s="2091">
        <v>5</v>
      </c>
      <c r="C97" s="2092">
        <v>0.8417</v>
      </c>
      <c r="D97" s="2092">
        <v>0.8417</v>
      </c>
      <c r="E97" s="2092">
        <v>0.73709999999999998</v>
      </c>
      <c r="F97" s="2092">
        <v>0.73709999999999998</v>
      </c>
      <c r="G97" s="2092">
        <v>0.73709999999999998</v>
      </c>
      <c r="H97" s="2092">
        <v>0.73709999999999998</v>
      </c>
      <c r="I97" s="2092">
        <v>0.73709999999999998</v>
      </c>
      <c r="J97" s="2092">
        <v>0.56589999999999996</v>
      </c>
      <c r="K97" s="2092">
        <v>0.56589999999999996</v>
      </c>
      <c r="L97" s="2092">
        <v>0.56589999999999996</v>
      </c>
      <c r="M97" s="2092">
        <v>0.56589999999999996</v>
      </c>
      <c r="N97" s="2092">
        <v>0.56589999999999996</v>
      </c>
    </row>
    <row r="98" spans="1:14">
      <c r="A98" s="3985"/>
      <c r="B98" s="2091">
        <v>6</v>
      </c>
      <c r="C98" s="2092">
        <v>0.76080000000000003</v>
      </c>
      <c r="D98" s="2092">
        <v>0.76080000000000003</v>
      </c>
      <c r="E98" s="2092">
        <v>0.6482</v>
      </c>
      <c r="F98" s="2092">
        <v>0.6482</v>
      </c>
      <c r="G98" s="2092">
        <v>0.6482</v>
      </c>
      <c r="H98" s="2092">
        <v>0.6482</v>
      </c>
      <c r="I98" s="2092">
        <v>0.6482</v>
      </c>
      <c r="J98" s="2092">
        <v>0.45250000000000001</v>
      </c>
      <c r="K98" s="2092">
        <v>0.45250000000000001</v>
      </c>
      <c r="L98" s="2092">
        <v>0.45250000000000001</v>
      </c>
      <c r="M98" s="2092">
        <v>0.45250000000000001</v>
      </c>
      <c r="N98" s="2092">
        <v>0.45250000000000001</v>
      </c>
    </row>
    <row r="99" spans="1:14">
      <c r="A99" s="3985"/>
      <c r="B99" s="2091" t="s">
        <v>2863</v>
      </c>
      <c r="C99" s="2093">
        <f>$I$3</f>
        <v>0</v>
      </c>
      <c r="D99" s="2093">
        <f t="shared" ref="D99:M99" si="30">$I$3</f>
        <v>0</v>
      </c>
      <c r="E99" s="2093">
        <f t="shared" si="30"/>
        <v>0</v>
      </c>
      <c r="F99" s="2093">
        <f t="shared" si="30"/>
        <v>0</v>
      </c>
      <c r="G99" s="2093">
        <f t="shared" si="30"/>
        <v>0</v>
      </c>
      <c r="H99" s="2093">
        <f t="shared" si="30"/>
        <v>0</v>
      </c>
      <c r="I99" s="2093">
        <f t="shared" si="30"/>
        <v>0</v>
      </c>
      <c r="J99" s="2093">
        <f t="shared" si="30"/>
        <v>0</v>
      </c>
      <c r="K99" s="2093">
        <f t="shared" si="30"/>
        <v>0</v>
      </c>
      <c r="L99" s="2093">
        <f t="shared" si="30"/>
        <v>0</v>
      </c>
      <c r="M99" s="2093">
        <f t="shared" si="30"/>
        <v>0</v>
      </c>
      <c r="N99" s="2093">
        <f>$I$3</f>
        <v>0</v>
      </c>
    </row>
    <row r="100" spans="1:14">
      <c r="A100" s="3986"/>
      <c r="B100" s="2091">
        <v>7</v>
      </c>
      <c r="C100" s="2094">
        <f>(-0.163*(C99^2)-0.59*C99+7617)*(10^(-4))</f>
        <v>0.76170000000000004</v>
      </c>
      <c r="D100" s="2094">
        <f>(-0.163*(D99^2)-0.59*D99+7617)*(10^(-4))</f>
        <v>0.76170000000000004</v>
      </c>
      <c r="E100" s="2094">
        <f>(-0.161*(E99^2)-7.509*E99+6533)*(10^(-4))</f>
        <v>0.65329999999999999</v>
      </c>
      <c r="F100" s="2094">
        <f>(-0.161*(F99^2)-7.509*F99+6533)*(10^(-4))</f>
        <v>0.65329999999999999</v>
      </c>
      <c r="G100" s="2094">
        <f>(-0.161*(G99^2)-7.509*G99+6533)*(10^(-4))</f>
        <v>0.65329999999999999</v>
      </c>
      <c r="H100" s="2094">
        <f>(-0.161*(H99^2)-7.509*H99+6533)*(10^(-4))</f>
        <v>0.65329999999999999</v>
      </c>
      <c r="I100" s="2094">
        <f>(-0.161*(I99^2)-7.509*I99+6533)*(10^(-4))</f>
        <v>0.65329999999999999</v>
      </c>
      <c r="J100" s="2094">
        <f>(-0.214*(J99^2)-21.991*J99+4665)*(10^(-4))</f>
        <v>0.46650000000000003</v>
      </c>
      <c r="K100" s="2094">
        <f>(-0.214*(K99^2)-21.991*K99+4665)*(10^(-4))</f>
        <v>0.46650000000000003</v>
      </c>
      <c r="L100" s="2094">
        <f>(-0.214*(L99^2)-21.991*L99+4665)*(10^(-4))</f>
        <v>0.46650000000000003</v>
      </c>
      <c r="M100" s="2094">
        <f>(-0.214*(M99^2)-21.991*M99+4665)*(10^(-4))</f>
        <v>0.46650000000000003</v>
      </c>
      <c r="N100" s="2094">
        <f>(-0.214*(N99^2)-21.991*N99+4665)*(10^(-4))</f>
        <v>0.46650000000000003</v>
      </c>
    </row>
    <row r="101" spans="1:14">
      <c r="A101" s="3984" t="s">
        <v>2985</v>
      </c>
      <c r="B101" s="2095" t="s">
        <v>2986</v>
      </c>
      <c r="C101" s="2096">
        <f>$G$3</f>
        <v>1.73</v>
      </c>
      <c r="D101" s="2096">
        <f t="shared" ref="D101:N101" si="31">$G$3</f>
        <v>1.73</v>
      </c>
      <c r="E101" s="2096">
        <f t="shared" si="31"/>
        <v>1.73</v>
      </c>
      <c r="F101" s="2096">
        <f t="shared" si="31"/>
        <v>1.73</v>
      </c>
      <c r="G101" s="2096">
        <f t="shared" si="31"/>
        <v>1.73</v>
      </c>
      <c r="H101" s="2096">
        <f t="shared" si="31"/>
        <v>1.73</v>
      </c>
      <c r="I101" s="2096">
        <f t="shared" si="31"/>
        <v>1.73</v>
      </c>
      <c r="J101" s="2096">
        <f t="shared" si="31"/>
        <v>1.73</v>
      </c>
      <c r="K101" s="2096">
        <f t="shared" si="31"/>
        <v>1.73</v>
      </c>
      <c r="L101" s="2096">
        <f t="shared" si="31"/>
        <v>1.73</v>
      </c>
      <c r="M101" s="2096">
        <f t="shared" si="31"/>
        <v>1.73</v>
      </c>
      <c r="N101" s="2096">
        <f t="shared" si="31"/>
        <v>1.73</v>
      </c>
    </row>
    <row r="102" spans="1:14">
      <c r="A102" s="3985"/>
      <c r="B102" s="2091">
        <v>1</v>
      </c>
      <c r="C102" s="2092">
        <f>1.9362/C101</f>
        <v>1.1191907514450867</v>
      </c>
      <c r="D102" s="2092">
        <f>1.9362/D101</f>
        <v>1.1191907514450867</v>
      </c>
      <c r="E102" s="2092">
        <f>1.8629/E101</f>
        <v>1.0768208092485549</v>
      </c>
      <c r="F102" s="2092">
        <f>1.8629/F101</f>
        <v>1.0768208092485549</v>
      </c>
      <c r="G102" s="2092">
        <f>1.8629/G101</f>
        <v>1.0768208092485549</v>
      </c>
      <c r="H102" s="2092">
        <f>1.8629/H101</f>
        <v>1.0768208092485549</v>
      </c>
      <c r="I102" s="2092">
        <f>1.8629/I101</f>
        <v>1.0768208092485549</v>
      </c>
      <c r="J102" s="2092">
        <f>1.942/J101</f>
        <v>1.1225433526011561</v>
      </c>
      <c r="K102" s="2092">
        <f>1.942/K101</f>
        <v>1.1225433526011561</v>
      </c>
      <c r="L102" s="2092">
        <f>1.942/L101</f>
        <v>1.1225433526011561</v>
      </c>
      <c r="M102" s="2092">
        <f>1.942/M101</f>
        <v>1.1225433526011561</v>
      </c>
      <c r="N102" s="2092">
        <f>1.942/N101</f>
        <v>1.1225433526011561</v>
      </c>
    </row>
    <row r="103" spans="1:14">
      <c r="A103" s="3985"/>
      <c r="B103" s="2091">
        <v>2</v>
      </c>
      <c r="C103" s="2092">
        <f>1.4198/C101</f>
        <v>0.82069364161849712</v>
      </c>
      <c r="D103" s="2092">
        <f>1.4198/D101</f>
        <v>0.82069364161849712</v>
      </c>
      <c r="E103" s="2092">
        <f>1.3372/E101</f>
        <v>0.77294797687861272</v>
      </c>
      <c r="F103" s="2092">
        <f>1.3372/F101</f>
        <v>0.77294797687861272</v>
      </c>
      <c r="G103" s="2092">
        <f>1.3372/G101</f>
        <v>0.77294797687861272</v>
      </c>
      <c r="H103" s="2092">
        <f>1.3372/H101</f>
        <v>0.77294797687861272</v>
      </c>
      <c r="I103" s="2092">
        <f>1.3372/I101</f>
        <v>0.77294797687861272</v>
      </c>
      <c r="J103" s="2092">
        <f>1.2799/J101</f>
        <v>0.73982658959537573</v>
      </c>
      <c r="K103" s="2092">
        <f>1.2799/K101</f>
        <v>0.73982658959537573</v>
      </c>
      <c r="L103" s="2092">
        <f>1.2799/L101</f>
        <v>0.73982658959537573</v>
      </c>
      <c r="M103" s="2092">
        <f>1.2799/M101</f>
        <v>0.73982658959537573</v>
      </c>
      <c r="N103" s="2092">
        <f>1.2799/N101</f>
        <v>0.73982658959537573</v>
      </c>
    </row>
    <row r="104" spans="1:14">
      <c r="A104" s="3985"/>
      <c r="B104" s="2091">
        <v>3</v>
      </c>
      <c r="C104" s="2092">
        <f>1.1594/C101</f>
        <v>0.6701734104046243</v>
      </c>
      <c r="D104" s="2092">
        <f>1.1594/D101</f>
        <v>0.6701734104046243</v>
      </c>
      <c r="E104" s="2092">
        <f>1.0788/E101</f>
        <v>0.6235838150289017</v>
      </c>
      <c r="F104" s="2092">
        <f>1.0788/F101</f>
        <v>0.6235838150289017</v>
      </c>
      <c r="G104" s="2092">
        <f>1.0788/G101</f>
        <v>0.6235838150289017</v>
      </c>
      <c r="H104" s="2092">
        <f>1.0788/H101</f>
        <v>0.6235838150289017</v>
      </c>
      <c r="I104" s="2092">
        <f>1.0788/I101</f>
        <v>0.6235838150289017</v>
      </c>
      <c r="J104" s="2092">
        <f>1.0072/J101</f>
        <v>0.58219653179190756</v>
      </c>
      <c r="K104" s="2092">
        <f>1.0072/K101</f>
        <v>0.58219653179190756</v>
      </c>
      <c r="L104" s="2092">
        <f>1.0072/L101</f>
        <v>0.58219653179190756</v>
      </c>
      <c r="M104" s="2092">
        <f>1.0072/M101</f>
        <v>0.58219653179190756</v>
      </c>
      <c r="N104" s="2092">
        <f>1.0072/N101</f>
        <v>0.58219653179190756</v>
      </c>
    </row>
    <row r="105" spans="1:14">
      <c r="A105" s="3985"/>
      <c r="B105" s="2091">
        <v>4</v>
      </c>
      <c r="C105" s="2092">
        <f>0.9622/C101</f>
        <v>0.55618497109826592</v>
      </c>
      <c r="D105" s="2092">
        <f>0.9622/D101</f>
        <v>0.55618497109826592</v>
      </c>
      <c r="E105" s="2092">
        <f>0.8656/E101</f>
        <v>0.50034682080924853</v>
      </c>
      <c r="F105" s="2092">
        <f>0.8656/F101</f>
        <v>0.50034682080924853</v>
      </c>
      <c r="G105" s="2092">
        <f>0.8656/G101</f>
        <v>0.50034682080924853</v>
      </c>
      <c r="H105" s="2092">
        <f>0.8656/H101</f>
        <v>0.50034682080924853</v>
      </c>
      <c r="I105" s="2092">
        <f>0.8656/I101</f>
        <v>0.50034682080924853</v>
      </c>
      <c r="J105" s="2092">
        <f>0.7525/J101</f>
        <v>0.43497109826589592</v>
      </c>
      <c r="K105" s="2092">
        <f>0.7525/K101</f>
        <v>0.43497109826589592</v>
      </c>
      <c r="L105" s="2092">
        <f>0.7525/L101</f>
        <v>0.43497109826589592</v>
      </c>
      <c r="M105" s="2092">
        <f>0.7525/M101</f>
        <v>0.43497109826589592</v>
      </c>
      <c r="N105" s="2092">
        <f>0.7525/N101</f>
        <v>0.43497109826589592</v>
      </c>
    </row>
    <row r="106" spans="1:14">
      <c r="A106" s="3985"/>
      <c r="B106" s="2091">
        <v>5</v>
      </c>
      <c r="C106" s="2092">
        <f>0.8417/C101</f>
        <v>0.48653179190751444</v>
      </c>
      <c r="D106" s="2092">
        <f>0.8417/D101</f>
        <v>0.48653179190751444</v>
      </c>
      <c r="E106" s="2092">
        <f>0.7371/E101</f>
        <v>0.42606936416184971</v>
      </c>
      <c r="F106" s="2092">
        <f>0.7371/F101</f>
        <v>0.42606936416184971</v>
      </c>
      <c r="G106" s="2092">
        <f>0.7371/G101</f>
        <v>0.42606936416184971</v>
      </c>
      <c r="H106" s="2092">
        <f>0.7371/H101</f>
        <v>0.42606936416184971</v>
      </c>
      <c r="I106" s="2092">
        <f>0.7371/I101</f>
        <v>0.42606936416184971</v>
      </c>
      <c r="J106" s="2092">
        <f>0.5659/J101</f>
        <v>0.32710982658959536</v>
      </c>
      <c r="K106" s="2092">
        <f>0.5659/K101</f>
        <v>0.32710982658959536</v>
      </c>
      <c r="L106" s="2092">
        <f>0.5659/L101</f>
        <v>0.32710982658959536</v>
      </c>
      <c r="M106" s="2092">
        <f>0.5659/M101</f>
        <v>0.32710982658959536</v>
      </c>
      <c r="N106" s="2092">
        <f>0.5659/N101</f>
        <v>0.32710982658959536</v>
      </c>
    </row>
    <row r="107" spans="1:14">
      <c r="A107" s="3985"/>
      <c r="B107" s="2091">
        <v>6</v>
      </c>
      <c r="C107" s="2092">
        <f>0.7608/C101</f>
        <v>0.43976878612716763</v>
      </c>
      <c r="D107" s="2092">
        <f>0.7608/D101</f>
        <v>0.43976878612716763</v>
      </c>
      <c r="E107" s="2092">
        <f>0.6482/E101</f>
        <v>0.3746820809248555</v>
      </c>
      <c r="F107" s="2092">
        <f>0.6482/F101</f>
        <v>0.3746820809248555</v>
      </c>
      <c r="G107" s="2092">
        <f>0.6482/G101</f>
        <v>0.3746820809248555</v>
      </c>
      <c r="H107" s="2092">
        <f>0.6482/H101</f>
        <v>0.3746820809248555</v>
      </c>
      <c r="I107" s="2092">
        <f>0.6482/I101</f>
        <v>0.3746820809248555</v>
      </c>
      <c r="J107" s="2092">
        <f>0.4525/J101</f>
        <v>0.26156069364161849</v>
      </c>
      <c r="K107" s="2092">
        <f>0.4525/K101</f>
        <v>0.26156069364161849</v>
      </c>
      <c r="L107" s="2092">
        <f>0.4525/L101</f>
        <v>0.26156069364161849</v>
      </c>
      <c r="M107" s="2092">
        <f>0.4525/M101</f>
        <v>0.26156069364161849</v>
      </c>
      <c r="N107" s="2092">
        <f>0.4525/N101</f>
        <v>0.26156069364161849</v>
      </c>
    </row>
    <row r="108" spans="1:14">
      <c r="A108" s="3985"/>
      <c r="B108" s="3987" t="s">
        <v>2987</v>
      </c>
      <c r="C108" s="2093">
        <f>C99</f>
        <v>0</v>
      </c>
      <c r="D108" s="2093">
        <f t="shared" ref="D108:N108" si="32">D99</f>
        <v>0</v>
      </c>
      <c r="E108" s="2093">
        <f t="shared" si="32"/>
        <v>0</v>
      </c>
      <c r="F108" s="2093">
        <f t="shared" si="32"/>
        <v>0</v>
      </c>
      <c r="G108" s="2093">
        <f t="shared" si="32"/>
        <v>0</v>
      </c>
      <c r="H108" s="2093">
        <f t="shared" si="32"/>
        <v>0</v>
      </c>
      <c r="I108" s="2093">
        <f t="shared" si="32"/>
        <v>0</v>
      </c>
      <c r="J108" s="2093">
        <f t="shared" si="32"/>
        <v>0</v>
      </c>
      <c r="K108" s="2093">
        <f t="shared" si="32"/>
        <v>0</v>
      </c>
      <c r="L108" s="2093">
        <f t="shared" si="32"/>
        <v>0</v>
      </c>
      <c r="M108" s="2093">
        <f t="shared" si="32"/>
        <v>0</v>
      </c>
      <c r="N108" s="2093">
        <f t="shared" si="32"/>
        <v>0</v>
      </c>
    </row>
    <row r="109" spans="1:14">
      <c r="A109" s="3986"/>
      <c r="B109" s="3988"/>
      <c r="C109" s="2094">
        <f>(-0.163*(C108^2)-0.59*C108+7617)*(10^(-4))/C101</f>
        <v>0.44028901734104048</v>
      </c>
      <c r="D109" s="2094">
        <f>(-0.163*(D108^2)-0.59*D108+7617)*(10^(-4))/D101</f>
        <v>0.44028901734104048</v>
      </c>
      <c r="E109" s="2094">
        <f>(-0.161*(E108^2)-7.509*E108+6533)*(10^(-4))/E101</f>
        <v>0.3776300578034682</v>
      </c>
      <c r="F109" s="2094">
        <f>(-0.161*(F108^2)-7.509*F108+6533)*(10^(-4))/F101</f>
        <v>0.3776300578034682</v>
      </c>
      <c r="G109" s="2094">
        <f>(-0.161*(G108^2)-7.509*G108+6533)*(10^(-4))/G101</f>
        <v>0.3776300578034682</v>
      </c>
      <c r="H109" s="2094">
        <f>(-0.161*(H108^2)-7.509*H108+6533)*(10^(-4))/H101</f>
        <v>0.3776300578034682</v>
      </c>
      <c r="I109" s="2094">
        <f>(-0.161*(I108^2)-7.509*I108+6533)*(10^(-4))/I101</f>
        <v>0.3776300578034682</v>
      </c>
      <c r="J109" s="2094">
        <f>(-0.214*(J108^2)-21.991*J108+4665)*(10^(-4))/J101</f>
        <v>0.26965317919075144</v>
      </c>
      <c r="K109" s="2094">
        <f>(-0.214*(K108^2)-21.991*K108+4665)*(10^(-4))/K101</f>
        <v>0.26965317919075144</v>
      </c>
      <c r="L109" s="2094">
        <f>(-0.214*(L108^2)-21.991*L108+4665)*(10^(-4))/L101</f>
        <v>0.26965317919075144</v>
      </c>
      <c r="M109" s="2094">
        <f>(-0.214*(M108^2)-21.991*M108+4665)*(10^(-4))/M101</f>
        <v>0.26965317919075144</v>
      </c>
      <c r="N109" s="2094">
        <f>(-0.214*(N108^2)-21.991*N108+4665)*(10^(-4))/N101</f>
        <v>0.26965317919075144</v>
      </c>
    </row>
    <row r="110" spans="1:14">
      <c r="A110" s="3982" t="s">
        <v>2988</v>
      </c>
      <c r="B110" s="3982"/>
      <c r="C110" s="3982"/>
      <c r="D110" s="3982"/>
      <c r="E110" s="3982"/>
      <c r="F110" s="3982"/>
      <c r="G110" s="3982"/>
      <c r="H110" s="3982"/>
      <c r="I110" s="3982"/>
      <c r="J110" s="3982"/>
      <c r="K110" s="2097"/>
      <c r="L110" s="2097"/>
      <c r="M110" s="2097"/>
      <c r="N110" s="2097"/>
    </row>
    <row r="112" spans="1:14" ht="13.5" thickBot="1"/>
    <row r="113" spans="1:13" ht="25.5" thickBot="1">
      <c r="A113" s="666" t="s">
        <v>2989</v>
      </c>
      <c r="B113" s="967">
        <f>G3</f>
        <v>1.73</v>
      </c>
      <c r="C113" s="667" t="s">
        <v>2990</v>
      </c>
      <c r="D113" s="668">
        <f>SUMPRODUCT((A115:A118=F113)*(B114:M114=H113)*B115:M118)</f>
        <v>0</v>
      </c>
      <c r="E113" s="1920" t="s">
        <v>2820</v>
      </c>
      <c r="F113" s="2099">
        <f>E2</f>
        <v>0</v>
      </c>
      <c r="G113" s="1920" t="s">
        <v>2821</v>
      </c>
      <c r="H113" s="2099">
        <f>G2</f>
        <v>0</v>
      </c>
      <c r="I113" s="1920"/>
      <c r="J113" s="2100"/>
      <c r="K113" s="2100"/>
      <c r="L113" s="2100"/>
      <c r="M113" s="2100"/>
    </row>
    <row r="114" spans="1:13">
      <c r="A114" s="671"/>
      <c r="B114" s="2101" t="s">
        <v>2991</v>
      </c>
      <c r="C114" s="2101" t="s">
        <v>2992</v>
      </c>
      <c r="D114" s="2101" t="s">
        <v>2993</v>
      </c>
      <c r="E114" s="2102" t="s">
        <v>2994</v>
      </c>
      <c r="F114" s="2102" t="s">
        <v>2995</v>
      </c>
      <c r="G114" s="2102" t="s">
        <v>2996</v>
      </c>
      <c r="H114" s="2103" t="s">
        <v>2997</v>
      </c>
      <c r="I114" s="2103" t="s">
        <v>2998</v>
      </c>
      <c r="J114" s="2104" t="s">
        <v>2999</v>
      </c>
      <c r="K114" s="2104" t="s">
        <v>3000</v>
      </c>
      <c r="L114" s="2104" t="s">
        <v>3001</v>
      </c>
      <c r="M114" s="2105" t="s">
        <v>3002</v>
      </c>
    </row>
    <row r="115" spans="1:13">
      <c r="A115" s="672" t="s">
        <v>2885</v>
      </c>
      <c r="B115" s="673">
        <f>ROUND(0.9335-0.0094*B113,4)</f>
        <v>0.91720000000000002</v>
      </c>
      <c r="C115" s="673">
        <f>B115</f>
        <v>0.91720000000000002</v>
      </c>
      <c r="D115" s="673">
        <f>ROUND(0.8331-0.0109*B113,4)</f>
        <v>0.81420000000000003</v>
      </c>
      <c r="E115" s="673">
        <f>D115</f>
        <v>0.81420000000000003</v>
      </c>
      <c r="F115" s="673">
        <f>E115</f>
        <v>0.81420000000000003</v>
      </c>
      <c r="G115" s="673">
        <f>F115</f>
        <v>0.81420000000000003</v>
      </c>
      <c r="H115" s="673">
        <f>G115</f>
        <v>0.81420000000000003</v>
      </c>
      <c r="I115" s="673">
        <f>ROUND(0.689-0.0155*B113,4)</f>
        <v>0.66220000000000001</v>
      </c>
      <c r="J115" s="673">
        <f t="shared" ref="J115:M118" si="33">I115</f>
        <v>0.66220000000000001</v>
      </c>
      <c r="K115" s="673">
        <f t="shared" si="33"/>
        <v>0.66220000000000001</v>
      </c>
      <c r="L115" s="673">
        <f t="shared" si="33"/>
        <v>0.66220000000000001</v>
      </c>
      <c r="M115" s="674">
        <f t="shared" si="33"/>
        <v>0.66220000000000001</v>
      </c>
    </row>
    <row r="116" spans="1:13">
      <c r="A116" s="672" t="s">
        <v>2886</v>
      </c>
      <c r="B116" s="673">
        <f>ROUND(0.949-0.012*B113,4)</f>
        <v>0.92820000000000003</v>
      </c>
      <c r="C116" s="673">
        <f>B116</f>
        <v>0.92820000000000003</v>
      </c>
      <c r="D116" s="673">
        <f>ROUND(0.8567-0.013*B113,4)</f>
        <v>0.83420000000000005</v>
      </c>
      <c r="E116" s="673">
        <f t="shared" ref="E116:H117" si="34">D116</f>
        <v>0.83420000000000005</v>
      </c>
      <c r="F116" s="673">
        <f t="shared" si="34"/>
        <v>0.83420000000000005</v>
      </c>
      <c r="G116" s="673">
        <f t="shared" si="34"/>
        <v>0.83420000000000005</v>
      </c>
      <c r="H116" s="673">
        <f t="shared" si="34"/>
        <v>0.83420000000000005</v>
      </c>
      <c r="I116" s="673">
        <f>ROUND(0.7694-0.014*B113,4)</f>
        <v>0.74519999999999997</v>
      </c>
      <c r="J116" s="673">
        <f t="shared" si="33"/>
        <v>0.74519999999999997</v>
      </c>
      <c r="K116" s="673">
        <f t="shared" si="33"/>
        <v>0.74519999999999997</v>
      </c>
      <c r="L116" s="673">
        <f t="shared" si="33"/>
        <v>0.74519999999999997</v>
      </c>
      <c r="M116" s="674">
        <f t="shared" si="33"/>
        <v>0.74519999999999997</v>
      </c>
    </row>
    <row r="117" spans="1:13">
      <c r="A117" s="672" t="s">
        <v>2887</v>
      </c>
      <c r="B117" s="673">
        <f>ROUND(0.8808-0.006*B113,4)</f>
        <v>0.87039999999999995</v>
      </c>
      <c r="C117" s="673">
        <f>B117</f>
        <v>0.87039999999999995</v>
      </c>
      <c r="D117" s="673">
        <f>ROUND(0.8748-0.008*B113,4)</f>
        <v>0.86099999999999999</v>
      </c>
      <c r="E117" s="673">
        <f t="shared" si="34"/>
        <v>0.86099999999999999</v>
      </c>
      <c r="F117" s="673">
        <f t="shared" si="34"/>
        <v>0.86099999999999999</v>
      </c>
      <c r="G117" s="673">
        <f t="shared" si="34"/>
        <v>0.86099999999999999</v>
      </c>
      <c r="H117" s="673">
        <f t="shared" si="34"/>
        <v>0.86099999999999999</v>
      </c>
      <c r="I117" s="673">
        <f>ROUND(0.7412-0.0095*B113,4)</f>
        <v>0.7248</v>
      </c>
      <c r="J117" s="673">
        <f t="shared" si="33"/>
        <v>0.7248</v>
      </c>
      <c r="K117" s="673">
        <f t="shared" si="33"/>
        <v>0.7248</v>
      </c>
      <c r="L117" s="673">
        <f t="shared" si="33"/>
        <v>0.7248</v>
      </c>
      <c r="M117" s="674">
        <f t="shared" si="33"/>
        <v>0.7248</v>
      </c>
    </row>
    <row r="118" spans="1:13" ht="13.5" thickBot="1">
      <c r="A118" s="523" t="s">
        <v>2888</v>
      </c>
      <c r="B118" s="675">
        <f>ROUND(0.7275-0.01*B113,4)</f>
        <v>0.71020000000000005</v>
      </c>
      <c r="C118" s="675">
        <f>B118</f>
        <v>0.71020000000000005</v>
      </c>
      <c r="D118" s="675">
        <f>ROUND(0.7043-0.012*B113,4)</f>
        <v>0.6835</v>
      </c>
      <c r="E118" s="675">
        <f>D118</f>
        <v>0.6835</v>
      </c>
      <c r="F118" s="675">
        <f>E118</f>
        <v>0.6835</v>
      </c>
      <c r="G118" s="675">
        <f>ROUND(0.6299-0.0122*B113,4)</f>
        <v>0.60880000000000001</v>
      </c>
      <c r="H118" s="675">
        <f>G118</f>
        <v>0.60880000000000001</v>
      </c>
      <c r="I118" s="675">
        <f>ROUND(0.5667-0.0136*B113,4)</f>
        <v>0.54320000000000002</v>
      </c>
      <c r="J118" s="675">
        <f t="shared" si="33"/>
        <v>0.54320000000000002</v>
      </c>
      <c r="K118" s="675">
        <f t="shared" si="33"/>
        <v>0.54320000000000002</v>
      </c>
      <c r="L118" s="675">
        <f t="shared" si="33"/>
        <v>0.54320000000000002</v>
      </c>
      <c r="M118" s="676">
        <f t="shared" si="33"/>
        <v>0.54320000000000002</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579" customWidth="1"/>
    <col min="2" max="9" width="8.25" style="641" customWidth="1"/>
    <col min="10" max="13" width="8.25" style="579"/>
    <col min="14" max="14" width="10" style="579" customWidth="1"/>
    <col min="15" max="16" width="8.25" style="579"/>
    <col min="17" max="17" width="34.125" style="579" customWidth="1"/>
    <col min="18" max="18" width="8.25" style="579" customWidth="1"/>
    <col min="19" max="19" width="8.25" style="579"/>
    <col min="20" max="20" width="11.625" style="579" customWidth="1"/>
    <col min="21" max="16384" width="8.25" style="579"/>
  </cols>
  <sheetData>
    <row r="1" spans="1:13" ht="19.5" customHeight="1" thickBot="1">
      <c r="A1" s="619" t="s">
        <v>546</v>
      </c>
      <c r="B1" s="594" t="s">
        <v>157</v>
      </c>
      <c r="C1" s="594" t="s">
        <v>158</v>
      </c>
      <c r="D1" s="594" t="s">
        <v>159</v>
      </c>
      <c r="E1" s="594" t="s">
        <v>160</v>
      </c>
      <c r="F1" s="594" t="s">
        <v>161</v>
      </c>
      <c r="G1" s="594" t="s">
        <v>162</v>
      </c>
      <c r="H1" s="594" t="s">
        <v>163</v>
      </c>
      <c r="I1" s="594" t="s">
        <v>164</v>
      </c>
      <c r="J1" s="594" t="s">
        <v>165</v>
      </c>
      <c r="K1" s="594" t="s">
        <v>166</v>
      </c>
      <c r="L1" s="594" t="s">
        <v>167</v>
      </c>
      <c r="M1" s="595" t="s">
        <v>168</v>
      </c>
    </row>
    <row r="2" spans="1:13" ht="19.5" customHeight="1">
      <c r="A2" s="620" t="s">
        <v>183</v>
      </c>
      <c r="B2" s="621">
        <v>3.5</v>
      </c>
      <c r="C2" s="621">
        <v>3.5</v>
      </c>
      <c r="D2" s="622">
        <v>2.5</v>
      </c>
      <c r="E2" s="622">
        <v>2.5</v>
      </c>
      <c r="F2" s="622">
        <v>2.5</v>
      </c>
      <c r="G2" s="622">
        <v>2.5</v>
      </c>
      <c r="H2" s="622">
        <v>2.5</v>
      </c>
      <c r="I2" s="621">
        <v>2</v>
      </c>
      <c r="J2" s="621">
        <v>2</v>
      </c>
      <c r="K2" s="621">
        <v>2</v>
      </c>
      <c r="L2" s="621">
        <v>2</v>
      </c>
      <c r="M2" s="623">
        <v>2</v>
      </c>
    </row>
    <row r="3" spans="1:13" ht="19.5" customHeight="1">
      <c r="A3" s="624" t="s">
        <v>184</v>
      </c>
      <c r="B3" s="625">
        <v>3.5</v>
      </c>
      <c r="C3" s="625">
        <v>3.5</v>
      </c>
      <c r="D3" s="626">
        <v>2.5</v>
      </c>
      <c r="E3" s="626">
        <v>2.5</v>
      </c>
      <c r="F3" s="626">
        <v>2.5</v>
      </c>
      <c r="G3" s="626">
        <v>2.5</v>
      </c>
      <c r="H3" s="626">
        <v>2.5</v>
      </c>
      <c r="I3" s="625">
        <v>2</v>
      </c>
      <c r="J3" s="625">
        <v>2</v>
      </c>
      <c r="K3" s="625">
        <v>2</v>
      </c>
      <c r="L3" s="625">
        <v>2</v>
      </c>
      <c r="M3" s="627">
        <v>2</v>
      </c>
    </row>
    <row r="4" spans="1:13" ht="19.5" customHeight="1">
      <c r="A4" s="624" t="s">
        <v>752</v>
      </c>
      <c r="B4" s="626">
        <v>2.5</v>
      </c>
      <c r="C4" s="626">
        <v>2.5</v>
      </c>
      <c r="D4" s="626">
        <v>2.5</v>
      </c>
      <c r="E4" s="626">
        <v>2.5</v>
      </c>
      <c r="F4" s="626">
        <v>2.5</v>
      </c>
      <c r="G4" s="626">
        <v>2.5</v>
      </c>
      <c r="H4" s="626">
        <v>2.5</v>
      </c>
      <c r="I4" s="625">
        <v>1.5</v>
      </c>
      <c r="J4" s="625">
        <v>1.5</v>
      </c>
      <c r="K4" s="625">
        <v>1.5</v>
      </c>
      <c r="L4" s="625">
        <v>1.5</v>
      </c>
      <c r="M4" s="627">
        <v>1.5</v>
      </c>
    </row>
    <row r="5" spans="1:13" ht="19.5" customHeight="1" thickBot="1">
      <c r="A5" s="628" t="s">
        <v>186</v>
      </c>
      <c r="B5" s="629">
        <v>1.5</v>
      </c>
      <c r="C5" s="629">
        <v>1.5</v>
      </c>
      <c r="D5" s="629">
        <v>1.5</v>
      </c>
      <c r="E5" s="629">
        <v>1.5</v>
      </c>
      <c r="F5" s="629">
        <v>1.5</v>
      </c>
      <c r="G5" s="630">
        <v>1.2</v>
      </c>
      <c r="H5" s="630">
        <v>1.2</v>
      </c>
      <c r="I5" s="630">
        <v>1</v>
      </c>
      <c r="J5" s="630">
        <v>1</v>
      </c>
      <c r="K5" s="630">
        <v>1</v>
      </c>
      <c r="L5" s="630">
        <v>1</v>
      </c>
      <c r="M5" s="631">
        <v>1</v>
      </c>
    </row>
    <row r="6" spans="1:13" ht="19.5" customHeight="1">
      <c r="A6" s="632" t="s">
        <v>547</v>
      </c>
      <c r="B6" s="633">
        <v>80</v>
      </c>
      <c r="C6" s="633">
        <v>80</v>
      </c>
      <c r="D6" s="633">
        <v>65</v>
      </c>
      <c r="E6" s="633">
        <v>65</v>
      </c>
      <c r="F6" s="633">
        <v>65</v>
      </c>
      <c r="G6" s="633">
        <v>65</v>
      </c>
      <c r="H6" s="633">
        <v>65</v>
      </c>
      <c r="I6" s="633">
        <v>50</v>
      </c>
      <c r="J6" s="633">
        <v>50</v>
      </c>
      <c r="K6" s="633">
        <v>50</v>
      </c>
      <c r="L6" s="633">
        <v>50</v>
      </c>
      <c r="M6" s="634">
        <v>50</v>
      </c>
    </row>
    <row r="7" spans="1:13" ht="19.5" customHeight="1">
      <c r="A7" s="580" t="s">
        <v>548</v>
      </c>
      <c r="B7" s="581">
        <v>70</v>
      </c>
      <c r="C7" s="581">
        <v>70</v>
      </c>
      <c r="D7" s="581">
        <v>55</v>
      </c>
      <c r="E7" s="581">
        <v>55</v>
      </c>
      <c r="F7" s="581">
        <v>55</v>
      </c>
      <c r="G7" s="581">
        <v>55</v>
      </c>
      <c r="H7" s="581">
        <v>55</v>
      </c>
      <c r="I7" s="581">
        <v>40</v>
      </c>
      <c r="J7" s="581">
        <v>40</v>
      </c>
      <c r="K7" s="581">
        <v>40</v>
      </c>
      <c r="L7" s="581">
        <v>40</v>
      </c>
      <c r="M7" s="635">
        <v>40</v>
      </c>
    </row>
    <row r="8" spans="1:13" ht="19.5" customHeight="1">
      <c r="A8" s="580" t="s">
        <v>549</v>
      </c>
      <c r="B8" s="581">
        <v>20</v>
      </c>
      <c r="C8" s="581">
        <v>20</v>
      </c>
      <c r="D8" s="581">
        <v>15</v>
      </c>
      <c r="E8" s="581">
        <v>15</v>
      </c>
      <c r="F8" s="581">
        <v>15</v>
      </c>
      <c r="G8" s="581">
        <v>15</v>
      </c>
      <c r="H8" s="581">
        <v>15</v>
      </c>
      <c r="I8" s="581">
        <v>10</v>
      </c>
      <c r="J8" s="581">
        <v>10</v>
      </c>
      <c r="K8" s="581">
        <v>10</v>
      </c>
      <c r="L8" s="581">
        <v>10</v>
      </c>
      <c r="M8" s="635">
        <v>10</v>
      </c>
    </row>
    <row r="9" spans="1:13" ht="19.5" customHeight="1">
      <c r="A9" s="580" t="s">
        <v>550</v>
      </c>
      <c r="B9" s="581">
        <v>30</v>
      </c>
      <c r="C9" s="581">
        <v>30</v>
      </c>
      <c r="D9" s="581">
        <v>25</v>
      </c>
      <c r="E9" s="581">
        <v>25</v>
      </c>
      <c r="F9" s="581">
        <v>25</v>
      </c>
      <c r="G9" s="581">
        <v>25</v>
      </c>
      <c r="H9" s="581">
        <v>25</v>
      </c>
      <c r="I9" s="581">
        <v>20</v>
      </c>
      <c r="J9" s="581">
        <v>20</v>
      </c>
      <c r="K9" s="581">
        <v>20</v>
      </c>
      <c r="L9" s="581">
        <v>20</v>
      </c>
      <c r="M9" s="635">
        <v>20</v>
      </c>
    </row>
    <row r="10" spans="1:13" ht="19.5" customHeight="1">
      <c r="A10" s="580" t="s">
        <v>551</v>
      </c>
      <c r="B10" s="581">
        <v>45</v>
      </c>
      <c r="C10" s="581">
        <v>45</v>
      </c>
      <c r="D10" s="581">
        <v>35</v>
      </c>
      <c r="E10" s="581">
        <v>35</v>
      </c>
      <c r="F10" s="581">
        <v>35</v>
      </c>
      <c r="G10" s="581">
        <v>35</v>
      </c>
      <c r="H10" s="581">
        <v>35</v>
      </c>
      <c r="I10" s="581">
        <v>25</v>
      </c>
      <c r="J10" s="581">
        <v>25</v>
      </c>
      <c r="K10" s="581">
        <v>25</v>
      </c>
      <c r="L10" s="581">
        <v>25</v>
      </c>
      <c r="M10" s="635">
        <v>25</v>
      </c>
    </row>
    <row r="11" spans="1:13" ht="19.5" customHeight="1">
      <c r="A11" s="580" t="s">
        <v>552</v>
      </c>
      <c r="B11" s="581">
        <v>60</v>
      </c>
      <c r="C11" s="581">
        <v>60</v>
      </c>
      <c r="D11" s="581">
        <v>50</v>
      </c>
      <c r="E11" s="581">
        <v>50</v>
      </c>
      <c r="F11" s="581">
        <v>50</v>
      </c>
      <c r="G11" s="581">
        <v>50</v>
      </c>
      <c r="H11" s="581">
        <v>50</v>
      </c>
      <c r="I11" s="581">
        <v>40</v>
      </c>
      <c r="J11" s="581">
        <v>40</v>
      </c>
      <c r="K11" s="581">
        <v>40</v>
      </c>
      <c r="L11" s="581">
        <v>40</v>
      </c>
      <c r="M11" s="635">
        <v>40</v>
      </c>
    </row>
    <row r="12" spans="1:13" ht="19.5" customHeight="1">
      <c r="A12" s="580" t="s">
        <v>553</v>
      </c>
      <c r="B12" s="581">
        <v>50</v>
      </c>
      <c r="C12" s="581">
        <v>50</v>
      </c>
      <c r="D12" s="581">
        <v>40</v>
      </c>
      <c r="E12" s="581">
        <v>40</v>
      </c>
      <c r="F12" s="581">
        <v>40</v>
      </c>
      <c r="G12" s="581">
        <v>40</v>
      </c>
      <c r="H12" s="581">
        <v>40</v>
      </c>
      <c r="I12" s="581">
        <v>30</v>
      </c>
      <c r="J12" s="581">
        <v>30</v>
      </c>
      <c r="K12" s="581">
        <v>30</v>
      </c>
      <c r="L12" s="581">
        <v>30</v>
      </c>
      <c r="M12" s="635">
        <v>30</v>
      </c>
    </row>
    <row r="13" spans="1:13" ht="19.5" customHeight="1">
      <c r="A13" s="636" t="s">
        <v>554</v>
      </c>
      <c r="B13" s="586">
        <v>20</v>
      </c>
      <c r="C13" s="586">
        <v>20</v>
      </c>
      <c r="D13" s="586">
        <v>15</v>
      </c>
      <c r="E13" s="586">
        <v>15</v>
      </c>
      <c r="F13" s="586">
        <v>15</v>
      </c>
      <c r="G13" s="586">
        <v>15</v>
      </c>
      <c r="H13" s="586">
        <v>15</v>
      </c>
      <c r="I13" s="586">
        <v>10</v>
      </c>
      <c r="J13" s="586">
        <v>10</v>
      </c>
      <c r="K13" s="586">
        <v>10</v>
      </c>
      <c r="L13" s="586">
        <v>10</v>
      </c>
      <c r="M13" s="637">
        <v>10</v>
      </c>
    </row>
    <row r="14" spans="1:13" ht="19.5" customHeight="1">
      <c r="A14" s="581" t="s">
        <v>555</v>
      </c>
      <c r="B14" s="638">
        <v>0</v>
      </c>
      <c r="C14" s="638">
        <v>0</v>
      </c>
      <c r="D14" s="638">
        <v>0</v>
      </c>
      <c r="E14" s="638">
        <v>0</v>
      </c>
      <c r="F14" s="638">
        <v>0</v>
      </c>
      <c r="G14" s="638">
        <v>0</v>
      </c>
      <c r="H14" s="638">
        <v>0</v>
      </c>
      <c r="I14" s="638">
        <v>0</v>
      </c>
      <c r="J14" s="638">
        <v>0</v>
      </c>
      <c r="K14" s="638">
        <v>0</v>
      </c>
      <c r="L14" s="638">
        <v>0</v>
      </c>
      <c r="M14" s="638">
        <v>0</v>
      </c>
    </row>
    <row r="16" spans="1:13" ht="19.5" customHeight="1">
      <c r="A16" s="639" t="s">
        <v>556</v>
      </c>
      <c r="B16" s="639"/>
      <c r="C16" s="640"/>
      <c r="D16" s="640"/>
      <c r="E16" s="639"/>
      <c r="F16" s="640"/>
      <c r="G16" s="640"/>
    </row>
    <row r="17" spans="1:9" ht="19.5" customHeight="1">
      <c r="A17" s="581" t="s">
        <v>557</v>
      </c>
      <c r="B17" s="642" t="s">
        <v>558</v>
      </c>
      <c r="C17" s="699" t="s">
        <v>758</v>
      </c>
      <c r="D17" s="643"/>
      <c r="E17" s="581" t="s">
        <v>559</v>
      </c>
      <c r="F17" s="644"/>
      <c r="G17" s="644"/>
    </row>
    <row r="18" spans="1:9" s="650" customFormat="1" ht="19.5" customHeight="1">
      <c r="A18" s="4001" t="s">
        <v>183</v>
      </c>
      <c r="B18" s="645" t="s">
        <v>560</v>
      </c>
      <c r="C18" s="646" t="s">
        <v>561</v>
      </c>
      <c r="D18" s="647"/>
      <c r="E18" s="645">
        <v>1</v>
      </c>
      <c r="F18" s="648" t="s">
        <v>562</v>
      </c>
      <c r="G18" s="649"/>
      <c r="H18" s="641"/>
      <c r="I18" s="641"/>
    </row>
    <row r="19" spans="1:9" s="650" customFormat="1" ht="19.5" customHeight="1">
      <c r="A19" s="4001"/>
      <c r="B19" s="4001" t="s">
        <v>563</v>
      </c>
      <c r="C19" s="646" t="s">
        <v>564</v>
      </c>
      <c r="D19" s="647"/>
      <c r="E19" s="645">
        <v>0.9</v>
      </c>
      <c r="F19" s="648" t="s">
        <v>565</v>
      </c>
      <c r="G19" s="649"/>
      <c r="H19" s="641"/>
      <c r="I19" s="641"/>
    </row>
    <row r="20" spans="1:9" s="650" customFormat="1" ht="19.5" customHeight="1">
      <c r="A20" s="4001"/>
      <c r="B20" s="4001"/>
      <c r="C20" s="646" t="s">
        <v>566</v>
      </c>
      <c r="D20" s="647"/>
      <c r="E20" s="645">
        <v>1.1000000000000001</v>
      </c>
      <c r="F20" s="648" t="s">
        <v>567</v>
      </c>
      <c r="G20" s="649"/>
      <c r="H20" s="641"/>
      <c r="I20" s="641"/>
    </row>
    <row r="21" spans="1:9" s="650" customFormat="1" ht="19.5" customHeight="1">
      <c r="A21" s="4001"/>
      <c r="B21" s="4001"/>
      <c r="C21" s="646" t="s">
        <v>568</v>
      </c>
      <c r="D21" s="647"/>
      <c r="E21" s="645">
        <v>0.8</v>
      </c>
      <c r="F21" s="648" t="s">
        <v>569</v>
      </c>
      <c r="G21" s="649"/>
      <c r="H21" s="641"/>
      <c r="I21" s="641"/>
    </row>
    <row r="22" spans="1:9" s="650" customFormat="1" ht="19.5" customHeight="1">
      <c r="A22" s="4001"/>
      <c r="B22" s="4001"/>
      <c r="C22" s="646" t="s">
        <v>570</v>
      </c>
      <c r="D22" s="647"/>
      <c r="E22" s="645">
        <v>0.5</v>
      </c>
      <c r="F22" s="648"/>
      <c r="G22" s="649"/>
      <c r="H22" s="641"/>
      <c r="I22" s="641"/>
    </row>
    <row r="23" spans="1:9" s="650" customFormat="1" ht="19.5" customHeight="1">
      <c r="A23" s="4001" t="s">
        <v>184</v>
      </c>
      <c r="B23" s="645" t="s">
        <v>560</v>
      </c>
      <c r="C23" s="646" t="s">
        <v>571</v>
      </c>
      <c r="D23" s="647"/>
      <c r="E23" s="645">
        <v>1</v>
      </c>
      <c r="F23" s="648" t="s">
        <v>572</v>
      </c>
      <c r="G23" s="649"/>
      <c r="H23" s="641"/>
      <c r="I23" s="641"/>
    </row>
    <row r="24" spans="1:9" s="650" customFormat="1" ht="19.5" customHeight="1">
      <c r="A24" s="4001"/>
      <c r="B24" s="4001" t="s">
        <v>563</v>
      </c>
      <c r="C24" s="646" t="s">
        <v>573</v>
      </c>
      <c r="D24" s="647"/>
      <c r="E24" s="645">
        <v>0.5</v>
      </c>
      <c r="F24" s="648"/>
      <c r="G24" s="649"/>
      <c r="H24" s="641"/>
      <c r="I24" s="641"/>
    </row>
    <row r="25" spans="1:9" s="650" customFormat="1" ht="19.5" customHeight="1">
      <c r="A25" s="4001"/>
      <c r="B25" s="4001"/>
      <c r="C25" s="646" t="s">
        <v>574</v>
      </c>
      <c r="D25" s="647"/>
      <c r="E25" s="645">
        <v>1.1000000000000001</v>
      </c>
      <c r="F25" s="648"/>
      <c r="G25" s="649"/>
      <c r="H25" s="641"/>
      <c r="I25" s="641"/>
    </row>
    <row r="26" spans="1:9" s="650" customFormat="1" ht="19.5" customHeight="1">
      <c r="A26" s="4001"/>
      <c r="B26" s="4001"/>
      <c r="C26" s="646" t="s">
        <v>575</v>
      </c>
      <c r="D26" s="647"/>
      <c r="E26" s="645">
        <v>1.1000000000000001</v>
      </c>
      <c r="F26" s="648"/>
      <c r="G26" s="649"/>
      <c r="H26" s="641"/>
      <c r="I26" s="641"/>
    </row>
    <row r="27" spans="1:9" s="650" customFormat="1" ht="19.5" customHeight="1">
      <c r="A27" s="4001"/>
      <c r="B27" s="4001"/>
      <c r="C27" s="646" t="s">
        <v>576</v>
      </c>
      <c r="D27" s="647"/>
      <c r="E27" s="645">
        <v>0.9</v>
      </c>
      <c r="F27" s="648" t="s">
        <v>577</v>
      </c>
      <c r="G27" s="649"/>
      <c r="H27" s="641"/>
      <c r="I27" s="641"/>
    </row>
    <row r="28" spans="1:9" s="650" customFormat="1" ht="19.5" customHeight="1">
      <c r="A28" s="4001"/>
      <c r="B28" s="4001"/>
      <c r="C28" s="646" t="s">
        <v>578</v>
      </c>
      <c r="D28" s="647"/>
      <c r="E28" s="645">
        <v>0.9</v>
      </c>
      <c r="F28" s="648" t="s">
        <v>579</v>
      </c>
      <c r="G28" s="649"/>
      <c r="H28" s="641"/>
      <c r="I28" s="641"/>
    </row>
    <row r="29" spans="1:9" s="650" customFormat="1" ht="19.5" customHeight="1">
      <c r="A29" s="4001"/>
      <c r="B29" s="4001"/>
      <c r="C29" s="646" t="s">
        <v>580</v>
      </c>
      <c r="D29" s="647"/>
      <c r="E29" s="645">
        <v>0.9</v>
      </c>
      <c r="F29" s="648" t="s">
        <v>581</v>
      </c>
      <c r="G29" s="649"/>
      <c r="H29" s="641"/>
      <c r="I29" s="641"/>
    </row>
    <row r="30" spans="1:9" s="650" customFormat="1" ht="19.5" customHeight="1">
      <c r="A30" s="4001"/>
      <c r="B30" s="4001"/>
      <c r="C30" s="646" t="s">
        <v>582</v>
      </c>
      <c r="D30" s="647"/>
      <c r="E30" s="645">
        <v>0.9</v>
      </c>
      <c r="F30" s="648" t="s">
        <v>583</v>
      </c>
      <c r="G30" s="649"/>
      <c r="H30" s="641"/>
      <c r="I30" s="641"/>
    </row>
    <row r="31" spans="1:9" s="650" customFormat="1" ht="19.5" customHeight="1">
      <c r="A31" s="4001"/>
      <c r="B31" s="4001"/>
      <c r="C31" s="646" t="s">
        <v>584</v>
      </c>
      <c r="D31" s="647"/>
      <c r="E31" s="645">
        <v>0.8</v>
      </c>
      <c r="F31" s="648" t="s">
        <v>585</v>
      </c>
      <c r="G31" s="649"/>
      <c r="H31" s="641"/>
      <c r="I31" s="641"/>
    </row>
    <row r="32" spans="1:9" s="650" customFormat="1" ht="19.5" customHeight="1">
      <c r="A32" s="4001"/>
      <c r="B32" s="4001"/>
      <c r="C32" s="646" t="s">
        <v>586</v>
      </c>
      <c r="D32" s="647"/>
      <c r="E32" s="645">
        <v>0.8</v>
      </c>
      <c r="F32" s="648" t="s">
        <v>587</v>
      </c>
      <c r="G32" s="649"/>
      <c r="H32" s="641"/>
      <c r="I32" s="641"/>
    </row>
    <row r="33" spans="1:9" s="650" customFormat="1" ht="19.5" customHeight="1">
      <c r="A33" s="4001" t="s">
        <v>185</v>
      </c>
      <c r="B33" s="645" t="s">
        <v>560</v>
      </c>
      <c r="C33" s="646" t="s">
        <v>588</v>
      </c>
      <c r="D33" s="647"/>
      <c r="E33" s="645">
        <v>1</v>
      </c>
      <c r="F33" s="648" t="s">
        <v>589</v>
      </c>
      <c r="G33" s="649"/>
      <c r="H33" s="641"/>
      <c r="I33" s="641"/>
    </row>
    <row r="34" spans="1:9" s="650" customFormat="1" ht="19.5" customHeight="1">
      <c r="A34" s="4001"/>
      <c r="B34" s="645" t="s">
        <v>563</v>
      </c>
      <c r="C34" s="646" t="s">
        <v>590</v>
      </c>
      <c r="D34" s="647"/>
      <c r="E34" s="645">
        <v>1.5</v>
      </c>
      <c r="F34" s="648" t="s">
        <v>591</v>
      </c>
      <c r="G34" s="649"/>
      <c r="H34" s="641"/>
      <c r="I34" s="641"/>
    </row>
    <row r="35" spans="1:9" s="650" customFormat="1" ht="19.5" customHeight="1">
      <c r="A35" s="4001" t="s">
        <v>186</v>
      </c>
      <c r="B35" s="645" t="s">
        <v>560</v>
      </c>
      <c r="C35" s="646" t="s">
        <v>592</v>
      </c>
      <c r="D35" s="647"/>
      <c r="E35" s="645">
        <v>1</v>
      </c>
      <c r="F35" s="648" t="s">
        <v>593</v>
      </c>
      <c r="G35" s="649"/>
      <c r="H35" s="641"/>
      <c r="I35" s="641"/>
    </row>
    <row r="36" spans="1:9" s="650" customFormat="1" ht="19.5" customHeight="1">
      <c r="A36" s="4001"/>
      <c r="B36" s="4001" t="s">
        <v>563</v>
      </c>
      <c r="C36" s="646" t="s">
        <v>594</v>
      </c>
      <c r="D36" s="647"/>
      <c r="E36" s="645">
        <v>1</v>
      </c>
      <c r="F36" s="648" t="s">
        <v>595</v>
      </c>
      <c r="G36" s="649"/>
      <c r="H36" s="641"/>
      <c r="I36" s="641"/>
    </row>
    <row r="37" spans="1:9" s="650" customFormat="1" ht="19.5" customHeight="1">
      <c r="A37" s="4001"/>
      <c r="B37" s="4001"/>
      <c r="C37" s="646" t="s">
        <v>596</v>
      </c>
      <c r="D37" s="647"/>
      <c r="E37" s="645">
        <v>1.5</v>
      </c>
      <c r="F37" s="648" t="s">
        <v>597</v>
      </c>
      <c r="G37" s="649"/>
      <c r="H37" s="641"/>
      <c r="I37" s="641"/>
    </row>
    <row r="38" spans="1:9" s="650" customFormat="1" ht="19.5" customHeight="1">
      <c r="A38" s="4001"/>
      <c r="B38" s="4001"/>
      <c r="C38" s="646" t="s">
        <v>598</v>
      </c>
      <c r="D38" s="647"/>
      <c r="E38" s="645">
        <v>1</v>
      </c>
      <c r="F38" s="648" t="s">
        <v>599</v>
      </c>
      <c r="G38" s="649"/>
      <c r="H38" s="641"/>
      <c r="I38" s="641"/>
    </row>
    <row r="39" spans="1:9" s="650" customFormat="1" ht="19.5" customHeight="1">
      <c r="A39" s="4001"/>
      <c r="B39" s="4001"/>
      <c r="C39" s="646" t="s">
        <v>600</v>
      </c>
      <c r="D39" s="647"/>
      <c r="E39" s="645">
        <v>1</v>
      </c>
      <c r="F39" s="648" t="s">
        <v>601</v>
      </c>
      <c r="G39" s="649"/>
      <c r="H39" s="641"/>
      <c r="I39" s="641"/>
    </row>
    <row r="40" spans="1:9" s="650" customFormat="1" ht="19.5" customHeight="1">
      <c r="A40" s="651" t="s">
        <v>602</v>
      </c>
      <c r="B40" s="651"/>
      <c r="C40" s="651"/>
      <c r="D40" s="651"/>
      <c r="E40" s="651"/>
      <c r="F40" s="652"/>
      <c r="G40" s="652"/>
      <c r="H40" s="641"/>
      <c r="I40" s="641"/>
    </row>
    <row r="42" spans="1:9" ht="19.5" customHeight="1">
      <c r="A42" s="653"/>
      <c r="B42" s="581" t="s">
        <v>603</v>
      </c>
      <c r="C42" s="581" t="s">
        <v>603</v>
      </c>
      <c r="D42" s="581" t="s">
        <v>603</v>
      </c>
      <c r="E42" s="586" t="s">
        <v>603</v>
      </c>
      <c r="F42" s="586" t="s">
        <v>603</v>
      </c>
      <c r="G42" s="586" t="s">
        <v>604</v>
      </c>
      <c r="H42" s="586" t="s">
        <v>603</v>
      </c>
    </row>
    <row r="43" spans="1:9" ht="19.5" customHeight="1">
      <c r="A43" s="654"/>
      <c r="B43" s="586" t="s">
        <v>183</v>
      </c>
      <c r="C43" s="586" t="s">
        <v>183</v>
      </c>
      <c r="D43" s="586" t="s">
        <v>183</v>
      </c>
      <c r="E43" s="586" t="s">
        <v>183</v>
      </c>
      <c r="F43" s="581" t="s">
        <v>184</v>
      </c>
      <c r="G43" s="581" t="s">
        <v>186</v>
      </c>
      <c r="H43" s="581" t="s">
        <v>605</v>
      </c>
    </row>
    <row r="44" spans="1:9" ht="19.5" customHeight="1">
      <c r="A44" s="655"/>
      <c r="B44" s="581">
        <v>1</v>
      </c>
      <c r="C44" s="581">
        <v>2</v>
      </c>
      <c r="D44" s="581">
        <v>3</v>
      </c>
      <c r="E44" s="586">
        <v>4</v>
      </c>
      <c r="F44" s="643" t="s">
        <v>606</v>
      </c>
      <c r="G44" s="643" t="s">
        <v>606</v>
      </c>
      <c r="H44" s="643" t="s">
        <v>606</v>
      </c>
    </row>
    <row r="45" spans="1:9" ht="19.5" customHeight="1">
      <c r="A45" s="656" t="s">
        <v>157</v>
      </c>
      <c r="B45" s="581">
        <v>0.8</v>
      </c>
      <c r="C45" s="581">
        <v>0.5</v>
      </c>
      <c r="D45" s="581">
        <v>0.36</v>
      </c>
      <c r="E45" s="581">
        <v>0.3</v>
      </c>
      <c r="F45" s="643">
        <v>0.3</v>
      </c>
      <c r="G45" s="581">
        <v>0.3</v>
      </c>
      <c r="H45" s="581">
        <v>0.25</v>
      </c>
    </row>
    <row r="46" spans="1:9" ht="19.5" customHeight="1">
      <c r="A46" s="656" t="s">
        <v>158</v>
      </c>
      <c r="B46" s="581">
        <v>0.8</v>
      </c>
      <c r="C46" s="581">
        <v>0.5</v>
      </c>
      <c r="D46" s="581">
        <v>0.36</v>
      </c>
      <c r="E46" s="581">
        <v>0.3</v>
      </c>
      <c r="F46" s="581">
        <v>0.3</v>
      </c>
      <c r="G46" s="581">
        <v>0.3</v>
      </c>
      <c r="H46" s="581">
        <v>0.25</v>
      </c>
    </row>
    <row r="47" spans="1:9" ht="19.5" customHeight="1">
      <c r="A47" s="656" t="s">
        <v>159</v>
      </c>
      <c r="B47" s="581">
        <v>0.7</v>
      </c>
      <c r="C47" s="581">
        <v>0.4</v>
      </c>
      <c r="D47" s="581">
        <v>0.28000000000000003</v>
      </c>
      <c r="E47" s="581">
        <v>0.25</v>
      </c>
      <c r="F47" s="581">
        <v>0.25</v>
      </c>
      <c r="G47" s="581">
        <v>0.25</v>
      </c>
      <c r="H47" s="581">
        <v>0.2</v>
      </c>
    </row>
    <row r="48" spans="1:9" ht="19.5" customHeight="1">
      <c r="A48" s="656" t="s">
        <v>160</v>
      </c>
      <c r="B48" s="581">
        <v>0.7</v>
      </c>
      <c r="C48" s="581">
        <v>0.4</v>
      </c>
      <c r="D48" s="581">
        <v>0.28000000000000003</v>
      </c>
      <c r="E48" s="581">
        <v>0.25</v>
      </c>
      <c r="F48" s="581">
        <v>0.25</v>
      </c>
      <c r="G48" s="581">
        <v>0.25</v>
      </c>
      <c r="H48" s="581">
        <v>0.2</v>
      </c>
    </row>
    <row r="49" spans="1:8" s="641" customFormat="1" ht="19.5" customHeight="1">
      <c r="A49" s="656" t="s">
        <v>161</v>
      </c>
      <c r="B49" s="581">
        <v>0.7</v>
      </c>
      <c r="C49" s="581">
        <v>0.4</v>
      </c>
      <c r="D49" s="581">
        <v>0.28000000000000003</v>
      </c>
      <c r="E49" s="581">
        <v>0.25</v>
      </c>
      <c r="F49" s="581">
        <v>0.25</v>
      </c>
      <c r="G49" s="581">
        <v>0.25</v>
      </c>
      <c r="H49" s="581">
        <v>0.2</v>
      </c>
    </row>
    <row r="50" spans="1:8" s="641" customFormat="1" ht="19.5" customHeight="1">
      <c r="A50" s="656" t="s">
        <v>162</v>
      </c>
      <c r="B50" s="581">
        <v>0.7</v>
      </c>
      <c r="C50" s="581">
        <v>0.4</v>
      </c>
      <c r="D50" s="581">
        <v>0.28000000000000003</v>
      </c>
      <c r="E50" s="581">
        <v>0.25</v>
      </c>
      <c r="F50" s="581">
        <v>0.25</v>
      </c>
      <c r="G50" s="581">
        <v>0.25</v>
      </c>
      <c r="H50" s="581">
        <v>0.2</v>
      </c>
    </row>
    <row r="51" spans="1:8" s="641" customFormat="1" ht="19.5" customHeight="1">
      <c r="A51" s="656" t="s">
        <v>163</v>
      </c>
      <c r="B51" s="581">
        <v>0.7</v>
      </c>
      <c r="C51" s="581">
        <v>0.4</v>
      </c>
      <c r="D51" s="581">
        <v>0.28000000000000003</v>
      </c>
      <c r="E51" s="581">
        <v>0.25</v>
      </c>
      <c r="F51" s="581">
        <v>0.25</v>
      </c>
      <c r="G51" s="581">
        <v>0.25</v>
      </c>
      <c r="H51" s="581">
        <v>0.2</v>
      </c>
    </row>
    <row r="52" spans="1:8" s="641" customFormat="1" ht="19.5" customHeight="1">
      <c r="A52" s="656" t="s">
        <v>164</v>
      </c>
      <c r="B52" s="581">
        <v>0.6</v>
      </c>
      <c r="C52" s="581">
        <v>0.3</v>
      </c>
      <c r="D52" s="581">
        <v>0.2</v>
      </c>
      <c r="E52" s="581">
        <v>0.2</v>
      </c>
      <c r="F52" s="581">
        <v>0.2</v>
      </c>
      <c r="G52" s="581">
        <v>0.2</v>
      </c>
      <c r="H52" s="581">
        <v>0.15</v>
      </c>
    </row>
    <row r="53" spans="1:8" s="641" customFormat="1" ht="19.5" customHeight="1">
      <c r="A53" s="656" t="s">
        <v>165</v>
      </c>
      <c r="B53" s="581">
        <v>0.6</v>
      </c>
      <c r="C53" s="581">
        <v>0.3</v>
      </c>
      <c r="D53" s="581">
        <v>0.2</v>
      </c>
      <c r="E53" s="581">
        <v>0.2</v>
      </c>
      <c r="F53" s="581">
        <v>0.2</v>
      </c>
      <c r="G53" s="581">
        <v>0.2</v>
      </c>
      <c r="H53" s="581">
        <v>0.15</v>
      </c>
    </row>
    <row r="54" spans="1:8" s="641" customFormat="1" ht="19.5" customHeight="1">
      <c r="A54" s="656" t="s">
        <v>166</v>
      </c>
      <c r="B54" s="581">
        <v>0.6</v>
      </c>
      <c r="C54" s="581">
        <v>0.3</v>
      </c>
      <c r="D54" s="581">
        <v>0.2</v>
      </c>
      <c r="E54" s="581">
        <v>0.2</v>
      </c>
      <c r="F54" s="581">
        <v>0.2</v>
      </c>
      <c r="G54" s="581">
        <v>0.2</v>
      </c>
      <c r="H54" s="581">
        <v>0.15</v>
      </c>
    </row>
    <row r="55" spans="1:8" s="641" customFormat="1" ht="19.5" customHeight="1">
      <c r="A55" s="656" t="s">
        <v>167</v>
      </c>
      <c r="B55" s="581">
        <v>0.6</v>
      </c>
      <c r="C55" s="581">
        <v>0.3</v>
      </c>
      <c r="D55" s="581">
        <v>0.2</v>
      </c>
      <c r="E55" s="581">
        <v>0.2</v>
      </c>
      <c r="F55" s="581">
        <v>0.2</v>
      </c>
      <c r="G55" s="581">
        <v>0.2</v>
      </c>
      <c r="H55" s="581">
        <v>0.15</v>
      </c>
    </row>
    <row r="56" spans="1:8" s="641" customFormat="1" ht="19.5" customHeight="1">
      <c r="A56" s="656" t="s">
        <v>168</v>
      </c>
      <c r="B56" s="581">
        <v>0.6</v>
      </c>
      <c r="C56" s="581">
        <v>0.3</v>
      </c>
      <c r="D56" s="581">
        <v>0.2</v>
      </c>
      <c r="E56" s="581">
        <v>0.2</v>
      </c>
      <c r="F56" s="581">
        <v>0.2</v>
      </c>
      <c r="G56" s="581">
        <v>0.2</v>
      </c>
      <c r="H56" s="581">
        <v>0.15</v>
      </c>
    </row>
    <row r="58" spans="1:8" s="641" customFormat="1" ht="19.5" customHeight="1">
      <c r="A58" s="657"/>
      <c r="B58" s="639"/>
      <c r="C58" s="639"/>
      <c r="D58" s="639" t="s">
        <v>607</v>
      </c>
      <c r="E58" s="639"/>
      <c r="F58" s="639"/>
    </row>
    <row r="59" spans="1:8" s="641" customFormat="1" ht="19.5" customHeight="1">
      <c r="A59" s="645" t="s">
        <v>608</v>
      </c>
      <c r="B59" s="645" t="s">
        <v>609</v>
      </c>
      <c r="C59" s="645" t="s">
        <v>610</v>
      </c>
      <c r="D59" s="645" t="s">
        <v>611</v>
      </c>
      <c r="E59" s="645" t="s">
        <v>612</v>
      </c>
      <c r="F59" s="645" t="s">
        <v>613</v>
      </c>
    </row>
    <row r="60" spans="1:8" ht="13.5">
      <c r="A60" s="705"/>
      <c r="B60" s="705"/>
      <c r="C60" s="705" t="s">
        <v>745</v>
      </c>
      <c r="D60" s="705"/>
      <c r="E60" s="658" t="s">
        <v>1</v>
      </c>
      <c r="F60" s="705" t="s">
        <v>1</v>
      </c>
    </row>
    <row r="61" spans="1:8" s="641" customFormat="1" ht="24">
      <c r="A61" s="645">
        <v>1</v>
      </c>
      <c r="B61" s="4001" t="s">
        <v>614</v>
      </c>
      <c r="C61" s="581" t="s">
        <v>615</v>
      </c>
      <c r="D61" s="581" t="s">
        <v>616</v>
      </c>
      <c r="E61" s="658">
        <v>0.5</v>
      </c>
      <c r="F61" s="645">
        <v>80</v>
      </c>
    </row>
    <row r="62" spans="1:8" s="641" customFormat="1" ht="24">
      <c r="A62" s="645">
        <v>2</v>
      </c>
      <c r="B62" s="4001"/>
      <c r="C62" s="581" t="s">
        <v>617</v>
      </c>
      <c r="D62" s="581" t="s">
        <v>618</v>
      </c>
      <c r="E62" s="658">
        <v>0.5</v>
      </c>
      <c r="F62" s="645">
        <v>80</v>
      </c>
    </row>
    <row r="63" spans="1:8" s="641" customFormat="1" ht="36">
      <c r="A63" s="645">
        <v>3</v>
      </c>
      <c r="B63" s="4001"/>
      <c r="C63" s="581" t="s">
        <v>619</v>
      </c>
      <c r="D63" s="581" t="s">
        <v>620</v>
      </c>
      <c r="E63" s="658">
        <v>0.5</v>
      </c>
      <c r="F63" s="645">
        <v>80</v>
      </c>
    </row>
    <row r="64" spans="1:8" s="641" customFormat="1" ht="36">
      <c r="A64" s="645">
        <v>4</v>
      </c>
      <c r="B64" s="4001"/>
      <c r="C64" s="581" t="s">
        <v>621</v>
      </c>
      <c r="D64" s="581" t="s">
        <v>622</v>
      </c>
      <c r="E64" s="658">
        <v>0.4</v>
      </c>
      <c r="F64" s="645">
        <v>60</v>
      </c>
    </row>
    <row r="65" spans="1:6" s="641" customFormat="1" ht="36">
      <c r="A65" s="645">
        <v>5</v>
      </c>
      <c r="B65" s="4001"/>
      <c r="C65" s="581" t="s">
        <v>623</v>
      </c>
      <c r="D65" s="581" t="s">
        <v>624</v>
      </c>
      <c r="E65" s="658">
        <v>0.2</v>
      </c>
      <c r="F65" s="645">
        <v>30</v>
      </c>
    </row>
    <row r="66" spans="1:6" s="641" customFormat="1" ht="36">
      <c r="A66" s="645">
        <v>6</v>
      </c>
      <c r="B66" s="4001"/>
      <c r="C66" s="581" t="s">
        <v>625</v>
      </c>
      <c r="D66" s="581" t="s">
        <v>626</v>
      </c>
      <c r="E66" s="658">
        <v>0.3</v>
      </c>
      <c r="F66" s="645">
        <v>50</v>
      </c>
    </row>
    <row r="67" spans="1:6" s="641" customFormat="1" ht="36">
      <c r="A67" s="645">
        <v>7</v>
      </c>
      <c r="B67" s="4001"/>
      <c r="C67" s="581" t="s">
        <v>627</v>
      </c>
      <c r="D67" s="581" t="s">
        <v>628</v>
      </c>
      <c r="E67" s="658">
        <v>0.2</v>
      </c>
      <c r="F67" s="645">
        <v>30</v>
      </c>
    </row>
    <row r="68" spans="1:6" s="641" customFormat="1" ht="36">
      <c r="A68" s="645">
        <v>8</v>
      </c>
      <c r="B68" s="4001"/>
      <c r="C68" s="581" t="s">
        <v>629</v>
      </c>
      <c r="D68" s="581" t="s">
        <v>630</v>
      </c>
      <c r="E68" s="658">
        <v>0.2</v>
      </c>
      <c r="F68" s="645">
        <v>30</v>
      </c>
    </row>
    <row r="69" spans="1:6" s="641" customFormat="1" ht="36">
      <c r="A69" s="645">
        <v>9</v>
      </c>
      <c r="B69" s="4001"/>
      <c r="C69" s="581" t="s">
        <v>631</v>
      </c>
      <c r="D69" s="581" t="s">
        <v>632</v>
      </c>
      <c r="E69" s="658">
        <v>0.2</v>
      </c>
      <c r="F69" s="645">
        <v>30</v>
      </c>
    </row>
    <row r="70" spans="1:6" s="641" customFormat="1" ht="48">
      <c r="A70" s="645">
        <v>10</v>
      </c>
      <c r="B70" s="4001"/>
      <c r="C70" s="581" t="s">
        <v>633</v>
      </c>
      <c r="D70" s="581" t="s">
        <v>634</v>
      </c>
      <c r="E70" s="658">
        <v>0.2</v>
      </c>
      <c r="F70" s="645">
        <v>30</v>
      </c>
    </row>
    <row r="71" spans="1:6" s="641" customFormat="1" ht="48">
      <c r="A71" s="645">
        <v>11</v>
      </c>
      <c r="B71" s="4001"/>
      <c r="C71" s="581" t="s">
        <v>635</v>
      </c>
      <c r="D71" s="581" t="s">
        <v>636</v>
      </c>
      <c r="E71" s="658">
        <v>0.2</v>
      </c>
      <c r="F71" s="645">
        <v>30</v>
      </c>
    </row>
    <row r="72" spans="1:6" s="641" customFormat="1" ht="36">
      <c r="A72" s="645">
        <v>12</v>
      </c>
      <c r="B72" s="4001"/>
      <c r="C72" s="581" t="s">
        <v>637</v>
      </c>
      <c r="D72" s="581" t="s">
        <v>638</v>
      </c>
      <c r="E72" s="658">
        <v>0.5</v>
      </c>
      <c r="F72" s="645">
        <v>80</v>
      </c>
    </row>
    <row r="73" spans="1:6" s="641" customFormat="1" ht="24">
      <c r="A73" s="645">
        <v>13</v>
      </c>
      <c r="B73" s="4001"/>
      <c r="C73" s="581" t="s">
        <v>639</v>
      </c>
      <c r="D73" s="581" t="s">
        <v>640</v>
      </c>
      <c r="E73" s="658">
        <v>0.4</v>
      </c>
      <c r="F73" s="645">
        <v>60</v>
      </c>
    </row>
    <row r="74" spans="1:6" s="641" customFormat="1" ht="24">
      <c r="A74" s="645">
        <v>14</v>
      </c>
      <c r="B74" s="4001"/>
      <c r="C74" s="581" t="s">
        <v>641</v>
      </c>
      <c r="D74" s="581" t="s">
        <v>642</v>
      </c>
      <c r="E74" s="658">
        <v>0.2</v>
      </c>
      <c r="F74" s="645">
        <v>30</v>
      </c>
    </row>
    <row r="75" spans="1:6" s="641" customFormat="1" ht="24">
      <c r="A75" s="645">
        <v>15</v>
      </c>
      <c r="B75" s="4001"/>
      <c r="C75" s="581" t="s">
        <v>643</v>
      </c>
      <c r="D75" s="581" t="s">
        <v>644</v>
      </c>
      <c r="E75" s="658">
        <v>0.2</v>
      </c>
      <c r="F75" s="645">
        <v>30</v>
      </c>
    </row>
    <row r="76" spans="1:6" s="641" customFormat="1" ht="24">
      <c r="A76" s="645">
        <v>16</v>
      </c>
      <c r="B76" s="4001" t="s">
        <v>645</v>
      </c>
      <c r="C76" s="581" t="s">
        <v>646</v>
      </c>
      <c r="D76" s="581" t="s">
        <v>647</v>
      </c>
      <c r="E76" s="658">
        <v>0.5</v>
      </c>
      <c r="F76" s="645">
        <v>80</v>
      </c>
    </row>
    <row r="77" spans="1:6" s="641" customFormat="1" ht="24">
      <c r="A77" s="645">
        <v>17</v>
      </c>
      <c r="B77" s="4001"/>
      <c r="C77" s="581" t="s">
        <v>648</v>
      </c>
      <c r="D77" s="581" t="s">
        <v>649</v>
      </c>
      <c r="E77" s="658">
        <v>0.5</v>
      </c>
      <c r="F77" s="645">
        <v>80</v>
      </c>
    </row>
    <row r="78" spans="1:6" s="641" customFormat="1" ht="24">
      <c r="A78" s="645">
        <v>18</v>
      </c>
      <c r="B78" s="4001"/>
      <c r="C78" s="581" t="s">
        <v>650</v>
      </c>
      <c r="D78" s="581" t="s">
        <v>651</v>
      </c>
      <c r="E78" s="658">
        <v>0.2</v>
      </c>
      <c r="F78" s="645">
        <v>30</v>
      </c>
    </row>
    <row r="79" spans="1:6" s="641" customFormat="1" ht="24">
      <c r="A79" s="645">
        <v>19</v>
      </c>
      <c r="B79" s="4001"/>
      <c r="C79" s="581" t="s">
        <v>652</v>
      </c>
      <c r="D79" s="581" t="s">
        <v>653</v>
      </c>
      <c r="E79" s="658">
        <v>0.5</v>
      </c>
      <c r="F79" s="645">
        <v>80</v>
      </c>
    </row>
    <row r="80" spans="1:6" s="641" customFormat="1" ht="36">
      <c r="A80" s="645">
        <v>20</v>
      </c>
      <c r="B80" s="4001"/>
      <c r="C80" s="581" t="s">
        <v>654</v>
      </c>
      <c r="D80" s="581" t="s">
        <v>655</v>
      </c>
      <c r="E80" s="658">
        <v>0.2</v>
      </c>
      <c r="F80" s="645">
        <v>30</v>
      </c>
    </row>
    <row r="81" spans="1:6" s="641" customFormat="1" ht="36">
      <c r="A81" s="645">
        <v>21</v>
      </c>
      <c r="B81" s="4001"/>
      <c r="C81" s="581" t="s">
        <v>656</v>
      </c>
      <c r="D81" s="581" t="s">
        <v>657</v>
      </c>
      <c r="E81" s="658">
        <v>0.2</v>
      </c>
      <c r="F81" s="645">
        <v>30</v>
      </c>
    </row>
    <row r="82" spans="1:6" s="641" customFormat="1" ht="48">
      <c r="A82" s="645">
        <v>22</v>
      </c>
      <c r="B82" s="4001"/>
      <c r="C82" s="581" t="s">
        <v>658</v>
      </c>
      <c r="D82" s="581" t="s">
        <v>659</v>
      </c>
      <c r="E82" s="658">
        <v>0.2</v>
      </c>
      <c r="F82" s="645">
        <v>30</v>
      </c>
    </row>
    <row r="83" spans="1:6" s="641" customFormat="1" ht="48">
      <c r="A83" s="645">
        <v>23</v>
      </c>
      <c r="B83" s="4001"/>
      <c r="C83" s="581" t="s">
        <v>660</v>
      </c>
      <c r="D83" s="581" t="s">
        <v>661</v>
      </c>
      <c r="E83" s="658">
        <v>0.2</v>
      </c>
      <c r="F83" s="645">
        <v>30</v>
      </c>
    </row>
    <row r="84" spans="1:6" s="641" customFormat="1" ht="36">
      <c r="A84" s="645">
        <v>24</v>
      </c>
      <c r="B84" s="4001"/>
      <c r="C84" s="581" t="s">
        <v>662</v>
      </c>
      <c r="D84" s="581" t="s">
        <v>663</v>
      </c>
      <c r="E84" s="658">
        <v>0.2</v>
      </c>
      <c r="F84" s="645">
        <v>30</v>
      </c>
    </row>
    <row r="85" spans="1:6" s="641" customFormat="1" ht="36">
      <c r="A85" s="645">
        <v>25</v>
      </c>
      <c r="B85" s="4001"/>
      <c r="C85" s="581" t="s">
        <v>664</v>
      </c>
      <c r="D85" s="581" t="s">
        <v>665</v>
      </c>
      <c r="E85" s="658">
        <v>0.5</v>
      </c>
      <c r="F85" s="645">
        <v>80</v>
      </c>
    </row>
    <row r="86" spans="1:6" s="641" customFormat="1" ht="36">
      <c r="A86" s="645">
        <v>26</v>
      </c>
      <c r="B86" s="4001"/>
      <c r="C86" s="581" t="s">
        <v>666</v>
      </c>
      <c r="D86" s="581" t="s">
        <v>667</v>
      </c>
      <c r="E86" s="658">
        <v>0.2</v>
      </c>
      <c r="F86" s="645">
        <v>30</v>
      </c>
    </row>
    <row r="87" spans="1:6" s="641" customFormat="1" ht="36">
      <c r="A87" s="645">
        <v>27</v>
      </c>
      <c r="B87" s="4001"/>
      <c r="C87" s="581" t="s">
        <v>668</v>
      </c>
      <c r="D87" s="581" t="s">
        <v>669</v>
      </c>
      <c r="E87" s="658">
        <v>0.2</v>
      </c>
      <c r="F87" s="645">
        <v>30</v>
      </c>
    </row>
    <row r="88" spans="1:6" s="641" customFormat="1" ht="36">
      <c r="A88" s="645">
        <v>28</v>
      </c>
      <c r="B88" s="4001"/>
      <c r="C88" s="581" t="s">
        <v>670</v>
      </c>
      <c r="D88" s="581" t="s">
        <v>671</v>
      </c>
      <c r="E88" s="658">
        <v>0.2</v>
      </c>
      <c r="F88" s="645">
        <v>30</v>
      </c>
    </row>
    <row r="89" spans="1:6" s="641" customFormat="1" ht="24">
      <c r="A89" s="645">
        <v>29</v>
      </c>
      <c r="B89" s="4001"/>
      <c r="C89" s="581" t="s">
        <v>672</v>
      </c>
      <c r="D89" s="581" t="s">
        <v>673</v>
      </c>
      <c r="E89" s="658">
        <v>0.2</v>
      </c>
      <c r="F89" s="645">
        <v>30</v>
      </c>
    </row>
    <row r="90" spans="1:6" s="641" customFormat="1" ht="24">
      <c r="A90" s="645">
        <v>30</v>
      </c>
      <c r="B90" s="4001"/>
      <c r="C90" s="581" t="s">
        <v>674</v>
      </c>
      <c r="D90" s="581" t="s">
        <v>675</v>
      </c>
      <c r="E90" s="658">
        <v>0.2</v>
      </c>
      <c r="F90" s="645">
        <v>30</v>
      </c>
    </row>
    <row r="91" spans="1:6" s="641" customFormat="1" ht="36">
      <c r="A91" s="645">
        <v>31</v>
      </c>
      <c r="B91" s="4001"/>
      <c r="C91" s="581" t="s">
        <v>676</v>
      </c>
      <c r="D91" s="581" t="s">
        <v>677</v>
      </c>
      <c r="E91" s="658">
        <v>0.2</v>
      </c>
      <c r="F91" s="645">
        <v>30</v>
      </c>
    </row>
    <row r="92" spans="1:6" s="641" customFormat="1" ht="24">
      <c r="A92" s="645">
        <v>32</v>
      </c>
      <c r="B92" s="4001" t="s">
        <v>678</v>
      </c>
      <c r="C92" s="645" t="s">
        <v>679</v>
      </c>
      <c r="D92" s="581" t="s">
        <v>680</v>
      </c>
      <c r="E92" s="658">
        <v>0.2</v>
      </c>
      <c r="F92" s="645">
        <v>30</v>
      </c>
    </row>
    <row r="93" spans="1:6" s="641" customFormat="1" ht="36">
      <c r="A93" s="645">
        <v>33</v>
      </c>
      <c r="B93" s="4001"/>
      <c r="C93" s="645" t="s">
        <v>681</v>
      </c>
      <c r="D93" s="581" t="s">
        <v>682</v>
      </c>
      <c r="E93" s="658">
        <v>0.2</v>
      </c>
      <c r="F93" s="645">
        <v>30</v>
      </c>
    </row>
    <row r="94" spans="1:6" s="641" customFormat="1" ht="48">
      <c r="A94" s="645">
        <v>34</v>
      </c>
      <c r="B94" s="4001"/>
      <c r="C94" s="645" t="s">
        <v>683</v>
      </c>
      <c r="D94" s="581" t="s">
        <v>684</v>
      </c>
      <c r="E94" s="658">
        <v>0.2</v>
      </c>
      <c r="F94" s="645">
        <v>30</v>
      </c>
    </row>
    <row r="95" spans="1:6" s="641" customFormat="1" ht="36">
      <c r="A95" s="645">
        <v>35</v>
      </c>
      <c r="B95" s="4001"/>
      <c r="C95" s="645" t="s">
        <v>685</v>
      </c>
      <c r="D95" s="581" t="s">
        <v>686</v>
      </c>
      <c r="E95" s="658">
        <v>0.2</v>
      </c>
      <c r="F95" s="645">
        <v>30</v>
      </c>
    </row>
    <row r="96" spans="1:6" s="641" customFormat="1" ht="48">
      <c r="A96" s="645">
        <v>36</v>
      </c>
      <c r="B96" s="4001"/>
      <c r="C96" s="581" t="s">
        <v>687</v>
      </c>
      <c r="D96" s="581" t="s">
        <v>688</v>
      </c>
      <c r="E96" s="658">
        <v>0.2</v>
      </c>
      <c r="F96" s="645">
        <v>30</v>
      </c>
    </row>
    <row r="97" spans="1:6" s="641" customFormat="1" ht="36">
      <c r="A97" s="645">
        <v>37</v>
      </c>
      <c r="B97" s="4001"/>
      <c r="C97" s="645" t="s">
        <v>689</v>
      </c>
      <c r="D97" s="581" t="s">
        <v>690</v>
      </c>
      <c r="E97" s="658">
        <v>0.2</v>
      </c>
      <c r="F97" s="645">
        <v>30</v>
      </c>
    </row>
    <row r="98" spans="1:6" s="641" customFormat="1" ht="36">
      <c r="A98" s="645">
        <v>38</v>
      </c>
      <c r="B98" s="4001"/>
      <c r="C98" s="645" t="s">
        <v>691</v>
      </c>
      <c r="D98" s="581" t="s">
        <v>692</v>
      </c>
      <c r="E98" s="658">
        <v>0.2</v>
      </c>
      <c r="F98" s="645">
        <v>30</v>
      </c>
    </row>
    <row r="99" spans="1:6" s="641" customFormat="1" ht="36">
      <c r="A99" s="645">
        <v>39</v>
      </c>
      <c r="B99" s="4001" t="s">
        <v>693</v>
      </c>
      <c r="C99" s="645" t="s">
        <v>694</v>
      </c>
      <c r="D99" s="581" t="s">
        <v>695</v>
      </c>
      <c r="E99" s="658">
        <v>0.3</v>
      </c>
      <c r="F99" s="645">
        <v>50</v>
      </c>
    </row>
    <row r="100" spans="1:6" s="641" customFormat="1" ht="24">
      <c r="A100" s="645">
        <v>40</v>
      </c>
      <c r="B100" s="4001"/>
      <c r="C100" s="645" t="s">
        <v>696</v>
      </c>
      <c r="D100" s="581" t="s">
        <v>697</v>
      </c>
      <c r="E100" s="658">
        <v>0.2</v>
      </c>
      <c r="F100" s="645">
        <v>30</v>
      </c>
    </row>
    <row r="101" spans="1:6" s="641" customFormat="1" ht="36">
      <c r="A101" s="645">
        <v>41</v>
      </c>
      <c r="B101" s="4001"/>
      <c r="C101" s="645" t="s">
        <v>698</v>
      </c>
      <c r="D101" s="581" t="s">
        <v>695</v>
      </c>
      <c r="E101" s="658">
        <v>0.2</v>
      </c>
      <c r="F101" s="645">
        <v>30</v>
      </c>
    </row>
    <row r="102" spans="1:6" s="641" customFormat="1" ht="48">
      <c r="A102" s="645">
        <v>42</v>
      </c>
      <c r="B102" s="645" t="s">
        <v>699</v>
      </c>
      <c r="C102" s="581" t="s">
        <v>700</v>
      </c>
      <c r="D102" s="581" t="s">
        <v>701</v>
      </c>
      <c r="E102" s="658">
        <v>0.2</v>
      </c>
      <c r="F102" s="645">
        <v>30</v>
      </c>
    </row>
    <row r="103" spans="1:6" s="641" customFormat="1" ht="24">
      <c r="A103" s="645">
        <v>43</v>
      </c>
      <c r="B103" s="645" t="s">
        <v>702</v>
      </c>
      <c r="C103" s="645" t="s">
        <v>703</v>
      </c>
      <c r="D103" s="581" t="s">
        <v>704</v>
      </c>
      <c r="E103" s="658">
        <v>0.2</v>
      </c>
      <c r="F103" s="645">
        <v>30</v>
      </c>
    </row>
    <row r="104" spans="1:6" s="641" customFormat="1" ht="36">
      <c r="A104" s="645">
        <v>44</v>
      </c>
      <c r="B104" s="645" t="s">
        <v>705</v>
      </c>
      <c r="C104" s="645" t="s">
        <v>706</v>
      </c>
      <c r="D104" s="581" t="s">
        <v>707</v>
      </c>
      <c r="E104" s="658">
        <v>0.2</v>
      </c>
      <c r="F104" s="645">
        <v>30</v>
      </c>
    </row>
    <row r="105" spans="1:6" s="641" customFormat="1" ht="36">
      <c r="A105" s="645">
        <v>45</v>
      </c>
      <c r="B105" s="4001" t="s">
        <v>708</v>
      </c>
      <c r="C105" s="645" t="s">
        <v>709</v>
      </c>
      <c r="D105" s="581" t="s">
        <v>710</v>
      </c>
      <c r="E105" s="658">
        <v>0.2</v>
      </c>
      <c r="F105" s="645">
        <v>30</v>
      </c>
    </row>
    <row r="106" spans="1:6" s="641" customFormat="1" ht="36">
      <c r="A106" s="645">
        <v>46</v>
      </c>
      <c r="B106" s="4001"/>
      <c r="C106" s="645" t="s">
        <v>711</v>
      </c>
      <c r="D106" s="581" t="s">
        <v>712</v>
      </c>
      <c r="E106" s="658">
        <v>0.2</v>
      </c>
      <c r="F106" s="645">
        <v>30</v>
      </c>
    </row>
    <row r="107" spans="1:6" s="641" customFormat="1" ht="36">
      <c r="A107" s="645">
        <v>47</v>
      </c>
      <c r="B107" s="4001" t="s">
        <v>713</v>
      </c>
      <c r="C107" s="645" t="s">
        <v>714</v>
      </c>
      <c r="D107" s="581" t="s">
        <v>715</v>
      </c>
      <c r="E107" s="658">
        <v>0.3</v>
      </c>
      <c r="F107" s="645">
        <v>50</v>
      </c>
    </row>
    <row r="108" spans="1:6" s="641" customFormat="1" ht="36">
      <c r="A108" s="645">
        <v>48</v>
      </c>
      <c r="B108" s="4001"/>
      <c r="C108" s="645" t="s">
        <v>716</v>
      </c>
      <c r="D108" s="581" t="s">
        <v>717</v>
      </c>
      <c r="E108" s="658">
        <v>0.2</v>
      </c>
      <c r="F108" s="645">
        <v>30</v>
      </c>
    </row>
    <row r="109" spans="1:6" s="641" customFormat="1" ht="36">
      <c r="A109" s="645">
        <v>49</v>
      </c>
      <c r="B109" s="645" t="s">
        <v>718</v>
      </c>
      <c r="C109" s="645" t="s">
        <v>719</v>
      </c>
      <c r="D109" s="581" t="s">
        <v>720</v>
      </c>
      <c r="E109" s="658">
        <v>0.2</v>
      </c>
      <c r="F109" s="645">
        <v>30</v>
      </c>
    </row>
    <row r="110" spans="1:6" s="641" customFormat="1" ht="36">
      <c r="A110" s="645">
        <v>50</v>
      </c>
      <c r="B110" s="645" t="s">
        <v>721</v>
      </c>
      <c r="C110" s="645" t="s">
        <v>722</v>
      </c>
      <c r="D110" s="581" t="s">
        <v>723</v>
      </c>
      <c r="E110" s="658">
        <v>0.2</v>
      </c>
      <c r="F110" s="645">
        <v>30</v>
      </c>
    </row>
    <row r="111" spans="1:6" s="641" customFormat="1" ht="36">
      <c r="A111" s="645">
        <v>51</v>
      </c>
      <c r="B111" s="4001" t="s">
        <v>724</v>
      </c>
      <c r="C111" s="645" t="s">
        <v>725</v>
      </c>
      <c r="D111" s="581" t="s">
        <v>726</v>
      </c>
      <c r="E111" s="658">
        <v>0.2</v>
      </c>
      <c r="F111" s="645">
        <v>30</v>
      </c>
    </row>
    <row r="112" spans="1:6" s="641" customFormat="1" ht="24">
      <c r="A112" s="645">
        <v>52</v>
      </c>
      <c r="B112" s="4001"/>
      <c r="C112" s="645" t="s">
        <v>727</v>
      </c>
      <c r="D112" s="581" t="s">
        <v>728</v>
      </c>
      <c r="E112" s="658">
        <v>0.2</v>
      </c>
      <c r="F112" s="645">
        <v>30</v>
      </c>
    </row>
    <row r="113" spans="1:6" s="641" customFormat="1" ht="24">
      <c r="A113" s="645">
        <v>53</v>
      </c>
      <c r="B113" s="4001"/>
      <c r="C113" s="645" t="s">
        <v>729</v>
      </c>
      <c r="D113" s="581" t="s">
        <v>730</v>
      </c>
      <c r="E113" s="658">
        <v>0.2</v>
      </c>
      <c r="F113" s="645">
        <v>30</v>
      </c>
    </row>
    <row r="114" spans="1:6" ht="36">
      <c r="A114" s="645">
        <v>54</v>
      </c>
      <c r="B114" s="645" t="s">
        <v>731</v>
      </c>
      <c r="C114" s="645" t="s">
        <v>732</v>
      </c>
      <c r="D114" s="581" t="s">
        <v>733</v>
      </c>
      <c r="E114" s="658">
        <v>0.2</v>
      </c>
      <c r="F114" s="645">
        <v>30</v>
      </c>
    </row>
    <row r="115" spans="1:6" ht="24">
      <c r="A115" s="645">
        <v>55</v>
      </c>
      <c r="B115" s="645" t="s">
        <v>734</v>
      </c>
      <c r="C115" s="645" t="s">
        <v>735</v>
      </c>
      <c r="D115" s="581" t="s">
        <v>736</v>
      </c>
      <c r="E115" s="658">
        <v>0.2</v>
      </c>
      <c r="F115" s="645">
        <v>30</v>
      </c>
    </row>
    <row r="116" spans="1:6" ht="24">
      <c r="A116" s="645">
        <v>56</v>
      </c>
      <c r="B116" s="4001" t="s">
        <v>737</v>
      </c>
      <c r="C116" s="645" t="s">
        <v>738</v>
      </c>
      <c r="D116" s="581" t="s">
        <v>739</v>
      </c>
      <c r="E116" s="658">
        <v>0.2</v>
      </c>
      <c r="F116" s="645">
        <v>30</v>
      </c>
    </row>
    <row r="117" spans="1:6" ht="36">
      <c r="A117" s="645">
        <v>57</v>
      </c>
      <c r="B117" s="4001"/>
      <c r="C117" s="645" t="s">
        <v>740</v>
      </c>
      <c r="D117" s="581" t="s">
        <v>741</v>
      </c>
      <c r="E117" s="658">
        <v>0.2</v>
      </c>
      <c r="F117" s="645">
        <v>30</v>
      </c>
    </row>
    <row r="118" spans="1:6" ht="36">
      <c r="A118" s="645">
        <v>58</v>
      </c>
      <c r="B118" s="645" t="s">
        <v>742</v>
      </c>
      <c r="C118" s="645" t="s">
        <v>743</v>
      </c>
      <c r="D118" s="581" t="s">
        <v>744</v>
      </c>
      <c r="E118" s="658">
        <v>0.2</v>
      </c>
      <c r="F118" s="645">
        <v>30</v>
      </c>
    </row>
    <row r="119" spans="1:6" ht="13.5">
      <c r="A119" s="645"/>
      <c r="B119" s="645"/>
      <c r="C119" s="645" t="s">
        <v>745</v>
      </c>
      <c r="D119" s="645"/>
      <c r="E119" s="658" t="s">
        <v>555</v>
      </c>
      <c r="F119" s="645"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678"/>
    <col min="2" max="16384" width="9" style="661"/>
  </cols>
  <sheetData>
    <row r="1" spans="1:14" ht="14.25">
      <c r="A1" s="659" t="s">
        <v>747</v>
      </c>
      <c r="B1" s="660"/>
      <c r="C1" s="660"/>
      <c r="D1" s="660"/>
      <c r="E1" s="660"/>
      <c r="F1" s="660"/>
      <c r="G1" s="660"/>
      <c r="H1" s="660"/>
      <c r="I1" s="660"/>
      <c r="J1" s="660"/>
      <c r="K1" s="660"/>
      <c r="L1" s="660"/>
      <c r="M1" s="660"/>
      <c r="N1" s="660"/>
    </row>
    <row r="2" spans="1:14">
      <c r="A2" s="662" t="s">
        <v>746</v>
      </c>
      <c r="B2" s="663" t="s">
        <v>157</v>
      </c>
      <c r="C2" s="663" t="s">
        <v>158</v>
      </c>
      <c r="D2" s="663" t="s">
        <v>159</v>
      </c>
      <c r="E2" s="663" t="s">
        <v>160</v>
      </c>
      <c r="F2" s="663" t="s">
        <v>161</v>
      </c>
      <c r="G2" s="663" t="s">
        <v>162</v>
      </c>
      <c r="H2" s="664" t="s">
        <v>163</v>
      </c>
      <c r="I2" s="664" t="s">
        <v>164</v>
      </c>
      <c r="J2" s="665" t="s">
        <v>165</v>
      </c>
      <c r="K2" s="665" t="s">
        <v>166</v>
      </c>
      <c r="L2" s="665" t="s">
        <v>167</v>
      </c>
      <c r="M2" s="665" t="s">
        <v>168</v>
      </c>
    </row>
    <row r="3" spans="1:14">
      <c r="A3" s="662">
        <v>0.1</v>
      </c>
      <c r="B3" s="669">
        <v>15.052</v>
      </c>
      <c r="C3" s="669">
        <v>15.052</v>
      </c>
      <c r="D3" s="669">
        <v>14.263</v>
      </c>
      <c r="E3" s="669">
        <v>14.263</v>
      </c>
      <c r="F3" s="669">
        <v>14.263</v>
      </c>
      <c r="G3" s="669">
        <v>14.263</v>
      </c>
      <c r="H3" s="669">
        <v>14.263</v>
      </c>
      <c r="I3" s="669">
        <v>14.097</v>
      </c>
      <c r="J3" s="669">
        <v>14.097</v>
      </c>
      <c r="K3" s="669">
        <v>14.097</v>
      </c>
      <c r="L3" s="669">
        <v>14.097</v>
      </c>
      <c r="M3" s="669">
        <v>14.097</v>
      </c>
      <c r="N3" s="670"/>
    </row>
    <row r="4" spans="1:14">
      <c r="A4" s="662">
        <v>0.2</v>
      </c>
      <c r="B4" s="669">
        <v>7.5259999999999998</v>
      </c>
      <c r="C4" s="669">
        <v>7.5259999999999998</v>
      </c>
      <c r="D4" s="669">
        <v>7.1315</v>
      </c>
      <c r="E4" s="669">
        <v>7.1315</v>
      </c>
      <c r="F4" s="669">
        <v>7.1315</v>
      </c>
      <c r="G4" s="669">
        <v>7.1315</v>
      </c>
      <c r="H4" s="669">
        <v>7.1315</v>
      </c>
      <c r="I4" s="669">
        <v>7.0484999999999998</v>
      </c>
      <c r="J4" s="669">
        <v>7.0484999999999998</v>
      </c>
      <c r="K4" s="669">
        <v>7.0484999999999998</v>
      </c>
      <c r="L4" s="669">
        <v>7.0484999999999998</v>
      </c>
      <c r="M4" s="669">
        <v>7.0484999999999998</v>
      </c>
    </row>
    <row r="5" spans="1:14">
      <c r="A5" s="662">
        <v>0.3</v>
      </c>
      <c r="B5" s="669">
        <v>5.0172999999999996</v>
      </c>
      <c r="C5" s="669">
        <v>5.0172999999999996</v>
      </c>
      <c r="D5" s="669">
        <v>4.7542999999999997</v>
      </c>
      <c r="E5" s="669">
        <v>4.7542999999999997</v>
      </c>
      <c r="F5" s="669">
        <v>4.7542999999999997</v>
      </c>
      <c r="G5" s="669">
        <v>4.7542999999999997</v>
      </c>
      <c r="H5" s="669">
        <v>4.7542999999999997</v>
      </c>
      <c r="I5" s="669">
        <v>4.6989999999999998</v>
      </c>
      <c r="J5" s="669">
        <v>4.6989999999999998</v>
      </c>
      <c r="K5" s="669">
        <v>4.6989999999999998</v>
      </c>
      <c r="L5" s="669">
        <v>4.6989999999999998</v>
      </c>
      <c r="M5" s="669">
        <v>4.6989999999999998</v>
      </c>
    </row>
    <row r="6" spans="1:14">
      <c r="A6" s="662">
        <v>0.4</v>
      </c>
      <c r="B6" s="669">
        <v>3.7629999999999999</v>
      </c>
      <c r="C6" s="669">
        <v>3.7629999999999999</v>
      </c>
      <c r="D6" s="669">
        <v>3.5657999999999999</v>
      </c>
      <c r="E6" s="669">
        <v>3.5657999999999999</v>
      </c>
      <c r="F6" s="669">
        <v>3.5657999999999999</v>
      </c>
      <c r="G6" s="669">
        <v>3.5657999999999999</v>
      </c>
      <c r="H6" s="669">
        <v>3.5657999999999999</v>
      </c>
      <c r="I6" s="669">
        <v>3.5243000000000002</v>
      </c>
      <c r="J6" s="669">
        <v>3.5243000000000002</v>
      </c>
      <c r="K6" s="669">
        <v>3.5243000000000002</v>
      </c>
      <c r="L6" s="669">
        <v>3.5243000000000002</v>
      </c>
      <c r="M6" s="669">
        <v>3.5243000000000002</v>
      </c>
    </row>
    <row r="7" spans="1:14">
      <c r="A7" s="662">
        <v>0.5</v>
      </c>
      <c r="B7" s="669">
        <v>3.0104000000000002</v>
      </c>
      <c r="C7" s="669">
        <v>3.0104000000000002</v>
      </c>
      <c r="D7" s="669">
        <v>2.8525999999999998</v>
      </c>
      <c r="E7" s="669">
        <v>2.8525999999999998</v>
      </c>
      <c r="F7" s="669">
        <v>2.8525999999999998</v>
      </c>
      <c r="G7" s="669">
        <v>2.8525999999999998</v>
      </c>
      <c r="H7" s="669">
        <v>2.8525999999999998</v>
      </c>
      <c r="I7" s="669">
        <v>2.8193999999999999</v>
      </c>
      <c r="J7" s="669">
        <v>2.8193999999999999</v>
      </c>
      <c r="K7" s="669">
        <v>2.8193999999999999</v>
      </c>
      <c r="L7" s="669">
        <v>2.8193999999999999</v>
      </c>
      <c r="M7" s="669">
        <v>2.8193999999999999</v>
      </c>
    </row>
    <row r="8" spans="1:14">
      <c r="A8" s="662">
        <v>0.6</v>
      </c>
      <c r="B8" s="669">
        <v>2.5087000000000002</v>
      </c>
      <c r="C8" s="669">
        <v>2.5087000000000002</v>
      </c>
      <c r="D8" s="669">
        <v>2.3772000000000002</v>
      </c>
      <c r="E8" s="669">
        <v>2.3772000000000002</v>
      </c>
      <c r="F8" s="669">
        <v>2.3772000000000002</v>
      </c>
      <c r="G8" s="669">
        <v>2.3772000000000002</v>
      </c>
      <c r="H8" s="669">
        <v>2.3772000000000002</v>
      </c>
      <c r="I8" s="669">
        <v>2.3494999999999999</v>
      </c>
      <c r="J8" s="669">
        <v>2.3494999999999999</v>
      </c>
      <c r="K8" s="669">
        <v>2.3494999999999999</v>
      </c>
      <c r="L8" s="669">
        <v>2.3494999999999999</v>
      </c>
      <c r="M8" s="669">
        <v>2.3494999999999999</v>
      </c>
    </row>
    <row r="9" spans="1:14">
      <c r="A9" s="662">
        <v>0.7</v>
      </c>
      <c r="B9" s="669">
        <v>2.1503000000000001</v>
      </c>
      <c r="C9" s="669">
        <v>2.1503000000000001</v>
      </c>
      <c r="D9" s="669">
        <v>2.0375999999999999</v>
      </c>
      <c r="E9" s="669">
        <v>2.0375999999999999</v>
      </c>
      <c r="F9" s="669">
        <v>2.0375999999999999</v>
      </c>
      <c r="G9" s="669">
        <v>2.0375999999999999</v>
      </c>
      <c r="H9" s="669">
        <v>2.0375999999999999</v>
      </c>
      <c r="I9" s="669">
        <v>2.0139</v>
      </c>
      <c r="J9" s="669">
        <v>2.0139</v>
      </c>
      <c r="K9" s="669">
        <v>2.0139</v>
      </c>
      <c r="L9" s="669">
        <v>2.0139</v>
      </c>
      <c r="M9" s="669">
        <v>2.0139</v>
      </c>
    </row>
    <row r="10" spans="1:14">
      <c r="A10" s="662">
        <v>0.8</v>
      </c>
      <c r="B10" s="669">
        <v>1.8815</v>
      </c>
      <c r="C10" s="669">
        <v>1.8815</v>
      </c>
      <c r="D10" s="669">
        <v>1.7828999999999999</v>
      </c>
      <c r="E10" s="669">
        <v>1.7828999999999999</v>
      </c>
      <c r="F10" s="669">
        <v>1.7828999999999999</v>
      </c>
      <c r="G10" s="669">
        <v>1.7828999999999999</v>
      </c>
      <c r="H10" s="669">
        <v>1.7828999999999999</v>
      </c>
      <c r="I10" s="669">
        <v>1.7621</v>
      </c>
      <c r="J10" s="669">
        <v>1.7621</v>
      </c>
      <c r="K10" s="669">
        <v>1.7621</v>
      </c>
      <c r="L10" s="669">
        <v>1.7621</v>
      </c>
      <c r="M10" s="669">
        <v>1.7621</v>
      </c>
    </row>
    <row r="11" spans="1:14">
      <c r="A11" s="662">
        <v>0.9</v>
      </c>
      <c r="B11" s="669">
        <v>1.6724000000000001</v>
      </c>
      <c r="C11" s="669">
        <v>1.6724000000000001</v>
      </c>
      <c r="D11" s="669">
        <v>1.5848</v>
      </c>
      <c r="E11" s="669">
        <v>1.5848</v>
      </c>
      <c r="F11" s="669">
        <v>1.5848</v>
      </c>
      <c r="G11" s="669">
        <v>1.5848</v>
      </c>
      <c r="H11" s="669">
        <v>1.5848</v>
      </c>
      <c r="I11" s="669">
        <v>1.5663</v>
      </c>
      <c r="J11" s="669">
        <v>1.5663</v>
      </c>
      <c r="K11" s="669">
        <v>1.5663</v>
      </c>
      <c r="L11" s="669">
        <v>1.5663</v>
      </c>
      <c r="M11" s="669">
        <v>1.5663</v>
      </c>
    </row>
    <row r="12" spans="1:14">
      <c r="A12" s="662">
        <v>1</v>
      </c>
      <c r="B12" s="669">
        <v>1.5052000000000001</v>
      </c>
      <c r="C12" s="669">
        <v>1.5052000000000001</v>
      </c>
      <c r="D12" s="669">
        <v>1.4262999999999999</v>
      </c>
      <c r="E12" s="669">
        <v>1.4262999999999999</v>
      </c>
      <c r="F12" s="669">
        <v>1.4262999999999999</v>
      </c>
      <c r="G12" s="669">
        <v>1.4262999999999999</v>
      </c>
      <c r="H12" s="669">
        <v>1.4262999999999999</v>
      </c>
      <c r="I12" s="669">
        <v>1.4097</v>
      </c>
      <c r="J12" s="669">
        <v>1.4097</v>
      </c>
      <c r="K12" s="669">
        <v>1.4097</v>
      </c>
      <c r="L12" s="669">
        <v>1.4097</v>
      </c>
      <c r="M12" s="669">
        <v>1.4097</v>
      </c>
    </row>
    <row r="13" spans="1:14">
      <c r="A13" s="662">
        <v>1.1000000000000001</v>
      </c>
      <c r="B13" s="669">
        <v>1.4509000000000001</v>
      </c>
      <c r="C13" s="669">
        <v>1.4509000000000001</v>
      </c>
      <c r="D13" s="669">
        <v>1.3697999999999999</v>
      </c>
      <c r="E13" s="669">
        <v>1.3697999999999999</v>
      </c>
      <c r="F13" s="669">
        <v>1.3697999999999999</v>
      </c>
      <c r="G13" s="669">
        <v>1.3697999999999999</v>
      </c>
      <c r="H13" s="669">
        <v>1.3697999999999999</v>
      </c>
      <c r="I13" s="669">
        <v>1.343</v>
      </c>
      <c r="J13" s="669">
        <v>1.343</v>
      </c>
      <c r="K13" s="669">
        <v>1.343</v>
      </c>
      <c r="L13" s="669">
        <v>1.343</v>
      </c>
      <c r="M13" s="669">
        <v>1.343</v>
      </c>
    </row>
    <row r="14" spans="1:14">
      <c r="A14" s="662">
        <v>1.2</v>
      </c>
      <c r="B14" s="669">
        <v>1.4035</v>
      </c>
      <c r="C14" s="669">
        <v>1.4035</v>
      </c>
      <c r="D14" s="669">
        <v>1.3205</v>
      </c>
      <c r="E14" s="669">
        <v>1.3205</v>
      </c>
      <c r="F14" s="669">
        <v>1.3205</v>
      </c>
      <c r="G14" s="669">
        <v>1.3205</v>
      </c>
      <c r="H14" s="669">
        <v>1.3205</v>
      </c>
      <c r="I14" s="669">
        <v>1.2845</v>
      </c>
      <c r="J14" s="669">
        <v>1.2845</v>
      </c>
      <c r="K14" s="669">
        <v>1.2845</v>
      </c>
      <c r="L14" s="669">
        <v>1.2845</v>
      </c>
      <c r="M14" s="669">
        <v>1.2845</v>
      </c>
    </row>
    <row r="15" spans="1:14">
      <c r="A15" s="662">
        <v>1.3</v>
      </c>
      <c r="B15" s="669">
        <v>1.3622000000000001</v>
      </c>
      <c r="C15" s="669">
        <v>1.3622000000000001</v>
      </c>
      <c r="D15" s="669">
        <v>1.2775000000000001</v>
      </c>
      <c r="E15" s="669">
        <v>1.2775000000000001</v>
      </c>
      <c r="F15" s="669">
        <v>1.2775000000000001</v>
      </c>
      <c r="G15" s="669">
        <v>1.2775000000000001</v>
      </c>
      <c r="H15" s="669">
        <v>1.2775000000000001</v>
      </c>
      <c r="I15" s="669">
        <v>1.2332000000000001</v>
      </c>
      <c r="J15" s="669">
        <v>1.2332000000000001</v>
      </c>
      <c r="K15" s="669">
        <v>1.2332000000000001</v>
      </c>
      <c r="L15" s="669">
        <v>1.2332000000000001</v>
      </c>
      <c r="M15" s="669">
        <v>1.2332000000000001</v>
      </c>
    </row>
    <row r="16" spans="1:14">
      <c r="A16" s="662">
        <v>1.4</v>
      </c>
      <c r="B16" s="669">
        <v>1.3262</v>
      </c>
      <c r="C16" s="669">
        <v>1.3262</v>
      </c>
      <c r="D16" s="669">
        <v>1.2402</v>
      </c>
      <c r="E16" s="669">
        <v>1.2402</v>
      </c>
      <c r="F16" s="669">
        <v>1.2402</v>
      </c>
      <c r="G16" s="669">
        <v>1.2402</v>
      </c>
      <c r="H16" s="669">
        <v>1.2402</v>
      </c>
      <c r="I16" s="669">
        <v>1.1881999999999999</v>
      </c>
      <c r="J16" s="669">
        <v>1.1881999999999999</v>
      </c>
      <c r="K16" s="669">
        <v>1.1881999999999999</v>
      </c>
      <c r="L16" s="669">
        <v>1.1881999999999999</v>
      </c>
      <c r="M16" s="669">
        <v>1.1881999999999999</v>
      </c>
      <c r="N16" s="670"/>
    </row>
    <row r="17" spans="1:14">
      <c r="A17" s="662">
        <v>1.5</v>
      </c>
      <c r="B17" s="669">
        <v>1.2948</v>
      </c>
      <c r="C17" s="669">
        <v>1.2948</v>
      </c>
      <c r="D17" s="669">
        <v>1.2075</v>
      </c>
      <c r="E17" s="669">
        <v>1.2075</v>
      </c>
      <c r="F17" s="669">
        <v>1.2075</v>
      </c>
      <c r="G17" s="669">
        <v>1.2075</v>
      </c>
      <c r="H17" s="669">
        <v>1.2075</v>
      </c>
      <c r="I17" s="669">
        <v>1.1486000000000001</v>
      </c>
      <c r="J17" s="669">
        <v>1.1486000000000001</v>
      </c>
      <c r="K17" s="669">
        <v>1.1486000000000001</v>
      </c>
      <c r="L17" s="669">
        <v>1.1486000000000001</v>
      </c>
      <c r="M17" s="669">
        <v>1.1486000000000001</v>
      </c>
      <c r="N17" s="670"/>
    </row>
    <row r="18" spans="1:14">
      <c r="A18" s="662">
        <v>1.6</v>
      </c>
      <c r="B18" s="669">
        <v>1.2673000000000001</v>
      </c>
      <c r="C18" s="669">
        <v>1.2673000000000001</v>
      </c>
      <c r="D18" s="669">
        <v>1.1789000000000001</v>
      </c>
      <c r="E18" s="669">
        <v>1.1789000000000001</v>
      </c>
      <c r="F18" s="669">
        <v>1.1789000000000001</v>
      </c>
      <c r="G18" s="669">
        <v>1.1789000000000001</v>
      </c>
      <c r="H18" s="669">
        <v>1.1789000000000001</v>
      </c>
      <c r="I18" s="669">
        <v>1.1134999999999999</v>
      </c>
      <c r="J18" s="669">
        <v>1.1134999999999999</v>
      </c>
      <c r="K18" s="669">
        <v>1.1134999999999999</v>
      </c>
      <c r="L18" s="669">
        <v>1.1134999999999999</v>
      </c>
      <c r="M18" s="669">
        <v>1.1134999999999999</v>
      </c>
    </row>
    <row r="19" spans="1:14">
      <c r="A19" s="662">
        <v>1.7</v>
      </c>
      <c r="B19" s="669">
        <v>1.2428999999999999</v>
      </c>
      <c r="C19" s="669">
        <v>1.2428999999999999</v>
      </c>
      <c r="D19" s="669">
        <v>1.1534</v>
      </c>
      <c r="E19" s="669">
        <v>1.1534</v>
      </c>
      <c r="F19" s="669">
        <v>1.1534</v>
      </c>
      <c r="G19" s="669">
        <v>1.1534</v>
      </c>
      <c r="H19" s="669">
        <v>1.1534</v>
      </c>
      <c r="I19" s="669">
        <v>1.0820000000000001</v>
      </c>
      <c r="J19" s="669">
        <v>1.0820000000000001</v>
      </c>
      <c r="K19" s="669">
        <v>1.0820000000000001</v>
      </c>
      <c r="L19" s="669">
        <v>1.0820000000000001</v>
      </c>
      <c r="M19" s="669">
        <v>1.0820000000000001</v>
      </c>
    </row>
    <row r="20" spans="1:14">
      <c r="A20" s="662">
        <v>1.8</v>
      </c>
      <c r="B20" s="669">
        <v>1.2206999999999999</v>
      </c>
      <c r="C20" s="669">
        <v>1.2206999999999999</v>
      </c>
      <c r="D20" s="669">
        <v>1.1304000000000001</v>
      </c>
      <c r="E20" s="669">
        <v>1.1304000000000001</v>
      </c>
      <c r="F20" s="669">
        <v>1.1304000000000001</v>
      </c>
      <c r="G20" s="669">
        <v>1.1304000000000001</v>
      </c>
      <c r="H20" s="669">
        <v>1.1304000000000001</v>
      </c>
      <c r="I20" s="669">
        <v>1.0531999999999999</v>
      </c>
      <c r="J20" s="669">
        <v>1.0531999999999999</v>
      </c>
      <c r="K20" s="669">
        <v>1.0531999999999999</v>
      </c>
      <c r="L20" s="669">
        <v>1.0531999999999999</v>
      </c>
      <c r="M20" s="669">
        <v>1.0531999999999999</v>
      </c>
    </row>
    <row r="21" spans="1:14">
      <c r="A21" s="662">
        <v>1.9</v>
      </c>
      <c r="B21" s="669">
        <v>1.2</v>
      </c>
      <c r="C21" s="669">
        <v>1.2</v>
      </c>
      <c r="D21" s="669">
        <v>1.1089</v>
      </c>
      <c r="E21" s="669">
        <v>1.1089</v>
      </c>
      <c r="F21" s="669">
        <v>1.1089</v>
      </c>
      <c r="G21" s="669">
        <v>1.1089</v>
      </c>
      <c r="H21" s="669">
        <v>1.1089</v>
      </c>
      <c r="I21" s="669">
        <v>1.0261</v>
      </c>
      <c r="J21" s="669">
        <v>1.0261</v>
      </c>
      <c r="K21" s="669">
        <v>1.0261</v>
      </c>
      <c r="L21" s="669">
        <v>1.0261</v>
      </c>
      <c r="M21" s="669">
        <v>1.0261</v>
      </c>
    </row>
    <row r="22" spans="1:14">
      <c r="A22" s="662">
        <v>2</v>
      </c>
      <c r="B22" s="669">
        <v>1.1800999999999999</v>
      </c>
      <c r="C22" s="669">
        <v>1.1800999999999999</v>
      </c>
      <c r="D22" s="669">
        <v>1.0883</v>
      </c>
      <c r="E22" s="669">
        <v>1.0883</v>
      </c>
      <c r="F22" s="669">
        <v>1.0883</v>
      </c>
      <c r="G22" s="669">
        <v>1.0883</v>
      </c>
      <c r="H22" s="669">
        <v>1.0883</v>
      </c>
      <c r="I22" s="669">
        <v>1</v>
      </c>
      <c r="J22" s="669">
        <v>1</v>
      </c>
      <c r="K22" s="669">
        <v>1</v>
      </c>
      <c r="L22" s="669">
        <v>1</v>
      </c>
      <c r="M22" s="669">
        <v>1</v>
      </c>
    </row>
    <row r="23" spans="1:14">
      <c r="A23" s="677">
        <v>2.1</v>
      </c>
      <c r="B23" s="669">
        <v>1.1616</v>
      </c>
      <c r="C23" s="669">
        <v>1.1616</v>
      </c>
      <c r="D23" s="669">
        <v>1.0685</v>
      </c>
      <c r="E23" s="669">
        <v>1.0685</v>
      </c>
      <c r="F23" s="669">
        <v>1.0685</v>
      </c>
      <c r="G23" s="669">
        <v>1.0685</v>
      </c>
      <c r="H23" s="669">
        <v>1.0685</v>
      </c>
      <c r="I23" s="669">
        <v>0.97550000000000003</v>
      </c>
      <c r="J23" s="669">
        <v>0.97550000000000003</v>
      </c>
      <c r="K23" s="669">
        <v>0.97550000000000003</v>
      </c>
      <c r="L23" s="669">
        <v>0.97550000000000003</v>
      </c>
      <c r="M23" s="669">
        <v>0.97550000000000003</v>
      </c>
    </row>
    <row r="24" spans="1:14">
      <c r="A24" s="677">
        <v>2.2000000000000002</v>
      </c>
      <c r="B24" s="669">
        <v>1.1440999999999999</v>
      </c>
      <c r="C24" s="669">
        <v>1.1440999999999999</v>
      </c>
      <c r="D24" s="669">
        <v>1.0497000000000001</v>
      </c>
      <c r="E24" s="669">
        <v>1.0497000000000001</v>
      </c>
      <c r="F24" s="669">
        <v>1.0497000000000001</v>
      </c>
      <c r="G24" s="669">
        <v>1.0497000000000001</v>
      </c>
      <c r="H24" s="669">
        <v>1.0497000000000001</v>
      </c>
      <c r="I24" s="669">
        <v>0.95230000000000004</v>
      </c>
      <c r="J24" s="669">
        <v>0.95230000000000004</v>
      </c>
      <c r="K24" s="669">
        <v>0.95230000000000004</v>
      </c>
      <c r="L24" s="669">
        <v>0.95230000000000004</v>
      </c>
      <c r="M24" s="669">
        <v>0.95230000000000004</v>
      </c>
    </row>
    <row r="25" spans="1:14">
      <c r="A25" s="677">
        <v>2.2999999999999998</v>
      </c>
      <c r="B25" s="669">
        <v>1.1275999999999999</v>
      </c>
      <c r="C25" s="669">
        <v>1.1275999999999999</v>
      </c>
      <c r="D25" s="669">
        <v>1.032</v>
      </c>
      <c r="E25" s="669">
        <v>1.032</v>
      </c>
      <c r="F25" s="669">
        <v>1.032</v>
      </c>
      <c r="G25" s="669">
        <v>1.032</v>
      </c>
      <c r="H25" s="669">
        <v>1.032</v>
      </c>
      <c r="I25" s="669">
        <v>0.9304</v>
      </c>
      <c r="J25" s="669">
        <v>0.9304</v>
      </c>
      <c r="K25" s="669">
        <v>0.9304</v>
      </c>
      <c r="L25" s="669">
        <v>0.9304</v>
      </c>
      <c r="M25" s="669">
        <v>0.9304</v>
      </c>
    </row>
    <row r="26" spans="1:14">
      <c r="A26" s="677">
        <v>2.4</v>
      </c>
      <c r="B26" s="669">
        <v>1.1121000000000001</v>
      </c>
      <c r="C26" s="669">
        <v>1.1121000000000001</v>
      </c>
      <c r="D26" s="669">
        <v>1.0155000000000001</v>
      </c>
      <c r="E26" s="669">
        <v>1.0155000000000001</v>
      </c>
      <c r="F26" s="669">
        <v>1.0155000000000001</v>
      </c>
      <c r="G26" s="669">
        <v>1.0155000000000001</v>
      </c>
      <c r="H26" s="669">
        <v>1.0155000000000001</v>
      </c>
      <c r="I26" s="669">
        <v>0.91</v>
      </c>
      <c r="J26" s="669">
        <v>0.91</v>
      </c>
      <c r="K26" s="669">
        <v>0.91</v>
      </c>
      <c r="L26" s="669">
        <v>0.91</v>
      </c>
      <c r="M26" s="669">
        <v>0.91</v>
      </c>
    </row>
    <row r="27" spans="1:14">
      <c r="A27" s="677">
        <v>2.5</v>
      </c>
      <c r="B27" s="669">
        <v>1.0975999999999999</v>
      </c>
      <c r="C27" s="669">
        <v>1.0975999999999999</v>
      </c>
      <c r="D27" s="669">
        <v>1</v>
      </c>
      <c r="E27" s="669">
        <v>1</v>
      </c>
      <c r="F27" s="669">
        <v>1</v>
      </c>
      <c r="G27" s="669">
        <v>1</v>
      </c>
      <c r="H27" s="669">
        <v>1</v>
      </c>
      <c r="I27" s="669">
        <v>0.89080000000000004</v>
      </c>
      <c r="J27" s="669">
        <v>0.89080000000000004</v>
      </c>
      <c r="K27" s="669">
        <v>0.89080000000000004</v>
      </c>
      <c r="L27" s="669">
        <v>0.89080000000000004</v>
      </c>
      <c r="M27" s="669">
        <v>0.89080000000000004</v>
      </c>
    </row>
    <row r="28" spans="1:14">
      <c r="A28" s="677">
        <v>2.6</v>
      </c>
      <c r="B28" s="669">
        <v>1.0841000000000001</v>
      </c>
      <c r="C28" s="669">
        <v>1.0841000000000001</v>
      </c>
      <c r="D28" s="669">
        <v>0.98619999999999997</v>
      </c>
      <c r="E28" s="669">
        <v>0.98619999999999997</v>
      </c>
      <c r="F28" s="669">
        <v>0.98619999999999997</v>
      </c>
      <c r="G28" s="669">
        <v>0.98619999999999997</v>
      </c>
      <c r="H28" s="669">
        <v>0.98619999999999997</v>
      </c>
      <c r="I28" s="669">
        <v>0.873</v>
      </c>
      <c r="J28" s="669">
        <v>0.873</v>
      </c>
      <c r="K28" s="669">
        <v>0.873</v>
      </c>
      <c r="L28" s="669">
        <v>0.873</v>
      </c>
      <c r="M28" s="669">
        <v>0.873</v>
      </c>
    </row>
    <row r="29" spans="1:14">
      <c r="A29" s="677">
        <v>2.7</v>
      </c>
      <c r="B29" s="669">
        <v>1.0716000000000001</v>
      </c>
      <c r="C29" s="669">
        <v>1.0716000000000001</v>
      </c>
      <c r="D29" s="669">
        <v>0.97330000000000005</v>
      </c>
      <c r="E29" s="669">
        <v>0.97330000000000005</v>
      </c>
      <c r="F29" s="669">
        <v>0.97330000000000005</v>
      </c>
      <c r="G29" s="669">
        <v>0.97330000000000005</v>
      </c>
      <c r="H29" s="669">
        <v>0.97330000000000005</v>
      </c>
      <c r="I29" s="669">
        <v>0.85670000000000002</v>
      </c>
      <c r="J29" s="669">
        <v>0.85670000000000002</v>
      </c>
      <c r="K29" s="669">
        <v>0.85670000000000002</v>
      </c>
      <c r="L29" s="669">
        <v>0.85670000000000002</v>
      </c>
      <c r="M29" s="669">
        <v>0.85670000000000002</v>
      </c>
    </row>
    <row r="30" spans="1:14">
      <c r="A30" s="677">
        <v>2.8</v>
      </c>
      <c r="B30" s="669">
        <v>1.0602</v>
      </c>
      <c r="C30" s="669">
        <v>1.0602</v>
      </c>
      <c r="D30" s="669">
        <v>0.96160000000000001</v>
      </c>
      <c r="E30" s="669">
        <v>0.96160000000000001</v>
      </c>
      <c r="F30" s="669">
        <v>0.96160000000000001</v>
      </c>
      <c r="G30" s="669">
        <v>0.96160000000000001</v>
      </c>
      <c r="H30" s="669">
        <v>0.96160000000000001</v>
      </c>
      <c r="I30" s="669">
        <v>0.8417</v>
      </c>
      <c r="J30" s="669">
        <v>0.8417</v>
      </c>
      <c r="K30" s="669">
        <v>0.8417</v>
      </c>
      <c r="L30" s="669">
        <v>0.8417</v>
      </c>
      <c r="M30" s="669">
        <v>0.8417</v>
      </c>
    </row>
    <row r="31" spans="1:14">
      <c r="A31" s="677">
        <v>2.9</v>
      </c>
      <c r="B31" s="669">
        <v>1.0497000000000001</v>
      </c>
      <c r="C31" s="669">
        <v>1.0497000000000001</v>
      </c>
      <c r="D31" s="669">
        <v>0.95089999999999997</v>
      </c>
      <c r="E31" s="669">
        <v>0.95089999999999997</v>
      </c>
      <c r="F31" s="669">
        <v>0.95089999999999997</v>
      </c>
      <c r="G31" s="669">
        <v>0.95089999999999997</v>
      </c>
      <c r="H31" s="669">
        <v>0.95089999999999997</v>
      </c>
      <c r="I31" s="669">
        <v>0.82809999999999995</v>
      </c>
      <c r="J31" s="669">
        <v>0.82809999999999995</v>
      </c>
      <c r="K31" s="669">
        <v>0.82809999999999995</v>
      </c>
      <c r="L31" s="669">
        <v>0.82809999999999995</v>
      </c>
      <c r="M31" s="669">
        <v>0.82809999999999995</v>
      </c>
    </row>
    <row r="32" spans="1:14">
      <c r="A32" s="677">
        <v>3</v>
      </c>
      <c r="B32" s="669">
        <v>1.0401</v>
      </c>
      <c r="C32" s="669">
        <v>1.0401</v>
      </c>
      <c r="D32" s="669">
        <v>0.94089999999999996</v>
      </c>
      <c r="E32" s="669">
        <v>0.94089999999999996</v>
      </c>
      <c r="F32" s="669">
        <v>0.94089999999999996</v>
      </c>
      <c r="G32" s="669">
        <v>0.94089999999999996</v>
      </c>
      <c r="H32" s="669">
        <v>0.94089999999999996</v>
      </c>
      <c r="I32" s="669">
        <v>0.81579999999999997</v>
      </c>
      <c r="J32" s="669">
        <v>0.81579999999999997</v>
      </c>
      <c r="K32" s="669">
        <v>0.81579999999999997</v>
      </c>
      <c r="L32" s="669">
        <v>0.81579999999999997</v>
      </c>
      <c r="M32" s="669">
        <v>0.81579999999999997</v>
      </c>
    </row>
    <row r="33" spans="1:13">
      <c r="A33" s="677">
        <v>3.1</v>
      </c>
      <c r="B33" s="669">
        <v>1.0314000000000001</v>
      </c>
      <c r="C33" s="669">
        <v>1.0314000000000001</v>
      </c>
      <c r="D33" s="669">
        <v>0.93169999999999997</v>
      </c>
      <c r="E33" s="669">
        <v>0.93169999999999997</v>
      </c>
      <c r="F33" s="669">
        <v>0.93169999999999997</v>
      </c>
      <c r="G33" s="669">
        <v>0.93169999999999997</v>
      </c>
      <c r="H33" s="669">
        <v>0.93169999999999997</v>
      </c>
      <c r="I33" s="669">
        <v>0.80410000000000004</v>
      </c>
      <c r="J33" s="669">
        <v>0.80410000000000004</v>
      </c>
      <c r="K33" s="669">
        <v>0.80410000000000004</v>
      </c>
      <c r="L33" s="669">
        <v>0.80410000000000004</v>
      </c>
      <c r="M33" s="669">
        <v>0.80410000000000004</v>
      </c>
    </row>
    <row r="34" spans="1:13">
      <c r="A34" s="677">
        <v>3.2</v>
      </c>
      <c r="B34" s="669">
        <v>1.0229999999999999</v>
      </c>
      <c r="C34" s="669">
        <v>1.0229999999999999</v>
      </c>
      <c r="D34" s="669">
        <v>0.92279999999999995</v>
      </c>
      <c r="E34" s="669">
        <v>0.92279999999999995</v>
      </c>
      <c r="F34" s="669">
        <v>0.92279999999999995</v>
      </c>
      <c r="G34" s="669">
        <v>0.92279999999999995</v>
      </c>
      <c r="H34" s="669">
        <v>0.92279999999999995</v>
      </c>
      <c r="I34" s="669">
        <v>0.79300000000000004</v>
      </c>
      <c r="J34" s="669">
        <v>0.79300000000000004</v>
      </c>
      <c r="K34" s="669">
        <v>0.79300000000000004</v>
      </c>
      <c r="L34" s="669">
        <v>0.79300000000000004</v>
      </c>
      <c r="M34" s="669">
        <v>0.79300000000000004</v>
      </c>
    </row>
    <row r="35" spans="1:13">
      <c r="A35" s="677">
        <v>3.3</v>
      </c>
      <c r="B35" s="669">
        <v>1.0149999999999999</v>
      </c>
      <c r="C35" s="669">
        <v>1.0149999999999999</v>
      </c>
      <c r="D35" s="669">
        <v>0.91439999999999999</v>
      </c>
      <c r="E35" s="669">
        <v>0.91439999999999999</v>
      </c>
      <c r="F35" s="669">
        <v>0.91439999999999999</v>
      </c>
      <c r="G35" s="669">
        <v>0.91439999999999999</v>
      </c>
      <c r="H35" s="669">
        <v>0.91439999999999999</v>
      </c>
      <c r="I35" s="669">
        <v>0.78220000000000001</v>
      </c>
      <c r="J35" s="669">
        <v>0.78220000000000001</v>
      </c>
      <c r="K35" s="669">
        <v>0.78220000000000001</v>
      </c>
      <c r="L35" s="669">
        <v>0.78220000000000001</v>
      </c>
      <c r="M35" s="669">
        <v>0.78220000000000001</v>
      </c>
    </row>
    <row r="36" spans="1:13">
      <c r="A36" s="677">
        <v>3.4</v>
      </c>
      <c r="B36" s="669">
        <v>1.0073000000000001</v>
      </c>
      <c r="C36" s="669">
        <v>1.0073000000000001</v>
      </c>
      <c r="D36" s="669">
        <v>0.90629999999999999</v>
      </c>
      <c r="E36" s="669">
        <v>0.90629999999999999</v>
      </c>
      <c r="F36" s="669">
        <v>0.90629999999999999</v>
      </c>
      <c r="G36" s="669">
        <v>0.90629999999999999</v>
      </c>
      <c r="H36" s="669">
        <v>0.90629999999999999</v>
      </c>
      <c r="I36" s="669">
        <v>0.77210000000000001</v>
      </c>
      <c r="J36" s="669">
        <v>0.77210000000000001</v>
      </c>
      <c r="K36" s="669">
        <v>0.77210000000000001</v>
      </c>
      <c r="L36" s="669">
        <v>0.77210000000000001</v>
      </c>
      <c r="M36" s="669">
        <v>0.77210000000000001</v>
      </c>
    </row>
    <row r="37" spans="1:13">
      <c r="A37" s="677">
        <v>3.5</v>
      </c>
      <c r="B37" s="669">
        <v>1</v>
      </c>
      <c r="C37" s="669">
        <v>1</v>
      </c>
      <c r="D37" s="669">
        <v>0.89870000000000005</v>
      </c>
      <c r="E37" s="669">
        <v>0.89870000000000005</v>
      </c>
      <c r="F37" s="669">
        <v>0.89870000000000005</v>
      </c>
      <c r="G37" s="669">
        <v>0.89870000000000005</v>
      </c>
      <c r="H37" s="669">
        <v>0.89870000000000005</v>
      </c>
      <c r="I37" s="669">
        <v>0.76239999999999997</v>
      </c>
      <c r="J37" s="669">
        <v>0.76239999999999997</v>
      </c>
      <c r="K37" s="669">
        <v>0.76239999999999997</v>
      </c>
      <c r="L37" s="669">
        <v>0.76239999999999997</v>
      </c>
      <c r="M37" s="669">
        <v>0.76239999999999997</v>
      </c>
    </row>
    <row r="38" spans="1:13">
      <c r="A38" s="677">
        <v>3.6</v>
      </c>
      <c r="B38" s="669">
        <v>0.99329999999999996</v>
      </c>
      <c r="C38" s="669">
        <v>0.99329999999999996</v>
      </c>
      <c r="D38" s="669">
        <v>0.89139999999999997</v>
      </c>
      <c r="E38" s="669">
        <v>0.89139999999999997</v>
      </c>
      <c r="F38" s="669">
        <v>0.89139999999999997</v>
      </c>
      <c r="G38" s="669">
        <v>0.89139999999999997</v>
      </c>
      <c r="H38" s="669">
        <v>0.89139999999999997</v>
      </c>
      <c r="I38" s="669">
        <v>0.75319999999999998</v>
      </c>
      <c r="J38" s="669">
        <v>0.75319999999999998</v>
      </c>
      <c r="K38" s="669">
        <v>0.75319999999999998</v>
      </c>
      <c r="L38" s="669">
        <v>0.75319999999999998</v>
      </c>
      <c r="M38" s="669">
        <v>0.75319999999999998</v>
      </c>
    </row>
    <row r="39" spans="1:13">
      <c r="A39" s="677">
        <v>3.7</v>
      </c>
      <c r="B39" s="669">
        <v>0.9869</v>
      </c>
      <c r="C39" s="669">
        <v>0.9869</v>
      </c>
      <c r="D39" s="669">
        <v>0.88449999999999995</v>
      </c>
      <c r="E39" s="669">
        <v>0.88449999999999995</v>
      </c>
      <c r="F39" s="669">
        <v>0.88449999999999995</v>
      </c>
      <c r="G39" s="669">
        <v>0.88449999999999995</v>
      </c>
      <c r="H39" s="669">
        <v>0.88449999999999995</v>
      </c>
      <c r="I39" s="669">
        <v>0.74460000000000004</v>
      </c>
      <c r="J39" s="669">
        <v>0.74460000000000004</v>
      </c>
      <c r="K39" s="669">
        <v>0.74460000000000004</v>
      </c>
      <c r="L39" s="669">
        <v>0.74460000000000004</v>
      </c>
      <c r="M39" s="669">
        <v>0.74460000000000004</v>
      </c>
    </row>
    <row r="40" spans="1:13">
      <c r="A40" s="677">
        <v>3.8</v>
      </c>
      <c r="B40" s="669">
        <v>0.98080000000000001</v>
      </c>
      <c r="C40" s="669">
        <v>0.98080000000000001</v>
      </c>
      <c r="D40" s="669">
        <v>0.87809999999999999</v>
      </c>
      <c r="E40" s="669">
        <v>0.87809999999999999</v>
      </c>
      <c r="F40" s="669">
        <v>0.87809999999999999</v>
      </c>
      <c r="G40" s="669">
        <v>0.87809999999999999</v>
      </c>
      <c r="H40" s="669">
        <v>0.87809999999999999</v>
      </c>
      <c r="I40" s="669">
        <v>0.73640000000000005</v>
      </c>
      <c r="J40" s="669">
        <v>0.73640000000000005</v>
      </c>
      <c r="K40" s="669">
        <v>0.73640000000000005</v>
      </c>
      <c r="L40" s="669">
        <v>0.73640000000000005</v>
      </c>
      <c r="M40" s="669">
        <v>0.73640000000000005</v>
      </c>
    </row>
    <row r="41" spans="1:13">
      <c r="A41" s="677">
        <v>3.9</v>
      </c>
      <c r="B41" s="669">
        <v>0.97509999999999997</v>
      </c>
      <c r="C41" s="669">
        <v>0.97509999999999997</v>
      </c>
      <c r="D41" s="669">
        <v>0.87209999999999999</v>
      </c>
      <c r="E41" s="669">
        <v>0.87209999999999999</v>
      </c>
      <c r="F41" s="669">
        <v>0.87209999999999999</v>
      </c>
      <c r="G41" s="669">
        <v>0.87209999999999999</v>
      </c>
      <c r="H41" s="669">
        <v>0.87209999999999999</v>
      </c>
      <c r="I41" s="669">
        <v>0.7288</v>
      </c>
      <c r="J41" s="669">
        <v>0.7288</v>
      </c>
      <c r="K41" s="669">
        <v>0.7288</v>
      </c>
      <c r="L41" s="669">
        <v>0.7288</v>
      </c>
      <c r="M41" s="669">
        <v>0.7288</v>
      </c>
    </row>
    <row r="42" spans="1:13">
      <c r="A42" s="677">
        <v>4</v>
      </c>
      <c r="B42" s="669">
        <v>0.96989999999999998</v>
      </c>
      <c r="C42" s="669">
        <v>0.96989999999999998</v>
      </c>
      <c r="D42" s="669">
        <v>0.86650000000000005</v>
      </c>
      <c r="E42" s="669">
        <v>0.86650000000000005</v>
      </c>
      <c r="F42" s="669">
        <v>0.86650000000000005</v>
      </c>
      <c r="G42" s="669">
        <v>0.86650000000000005</v>
      </c>
      <c r="H42" s="669">
        <v>0.86650000000000005</v>
      </c>
      <c r="I42" s="669">
        <v>0.7218</v>
      </c>
      <c r="J42" s="669">
        <v>0.7218</v>
      </c>
      <c r="K42" s="669">
        <v>0.7218</v>
      </c>
      <c r="L42" s="669">
        <v>0.7218</v>
      </c>
      <c r="M42" s="669">
        <v>0.7218</v>
      </c>
    </row>
    <row r="43" spans="1:13">
      <c r="A43" s="677">
        <v>4.0999999999999996</v>
      </c>
      <c r="B43" s="669">
        <v>0.96479999999999999</v>
      </c>
      <c r="C43" s="669">
        <v>0.96479999999999999</v>
      </c>
      <c r="D43" s="669">
        <v>0.86109999999999998</v>
      </c>
      <c r="E43" s="669">
        <v>0.86109999999999998</v>
      </c>
      <c r="F43" s="669">
        <v>0.86109999999999998</v>
      </c>
      <c r="G43" s="669">
        <v>0.86109999999999998</v>
      </c>
      <c r="H43" s="669">
        <v>0.86109999999999998</v>
      </c>
      <c r="I43" s="669">
        <v>0.71499999999999997</v>
      </c>
      <c r="J43" s="669">
        <v>0.71499999999999997</v>
      </c>
      <c r="K43" s="669">
        <v>0.71499999999999997</v>
      </c>
      <c r="L43" s="669">
        <v>0.71499999999999997</v>
      </c>
      <c r="M43" s="669">
        <v>0.71499999999999997</v>
      </c>
    </row>
    <row r="44" spans="1:13">
      <c r="A44" s="677">
        <v>4.2</v>
      </c>
      <c r="B44" s="669">
        <v>0.96</v>
      </c>
      <c r="C44" s="669">
        <v>0.96</v>
      </c>
      <c r="D44" s="669">
        <v>0.85599999999999998</v>
      </c>
      <c r="E44" s="669">
        <v>0.85599999999999998</v>
      </c>
      <c r="F44" s="669">
        <v>0.85599999999999998</v>
      </c>
      <c r="G44" s="669">
        <v>0.85599999999999998</v>
      </c>
      <c r="H44" s="669">
        <v>0.85599999999999998</v>
      </c>
      <c r="I44" s="669">
        <v>0.70840000000000003</v>
      </c>
      <c r="J44" s="669">
        <v>0.70840000000000003</v>
      </c>
      <c r="K44" s="669">
        <v>0.70840000000000003</v>
      </c>
      <c r="L44" s="669">
        <v>0.70840000000000003</v>
      </c>
      <c r="M44" s="669">
        <v>0.70840000000000003</v>
      </c>
    </row>
    <row r="45" spans="1:13">
      <c r="A45" s="677">
        <v>4.3</v>
      </c>
      <c r="B45" s="669">
        <v>0.95530000000000004</v>
      </c>
      <c r="C45" s="669">
        <v>0.95530000000000004</v>
      </c>
      <c r="D45" s="669">
        <v>0.85099999999999998</v>
      </c>
      <c r="E45" s="669">
        <v>0.85099999999999998</v>
      </c>
      <c r="F45" s="669">
        <v>0.85099999999999998</v>
      </c>
      <c r="G45" s="669">
        <v>0.85099999999999998</v>
      </c>
      <c r="H45" s="669">
        <v>0.85099999999999998</v>
      </c>
      <c r="I45" s="669">
        <v>0.70199999999999996</v>
      </c>
      <c r="J45" s="669">
        <v>0.70199999999999996</v>
      </c>
      <c r="K45" s="669">
        <v>0.70199999999999996</v>
      </c>
      <c r="L45" s="669">
        <v>0.70199999999999996</v>
      </c>
      <c r="M45" s="669">
        <v>0.70199999999999996</v>
      </c>
    </row>
    <row r="46" spans="1:13">
      <c r="A46" s="677">
        <v>4.4000000000000004</v>
      </c>
      <c r="B46" s="669">
        <v>0.95079999999999998</v>
      </c>
      <c r="C46" s="669">
        <v>0.95079999999999998</v>
      </c>
      <c r="D46" s="669">
        <v>0.84619999999999995</v>
      </c>
      <c r="E46" s="669">
        <v>0.84619999999999995</v>
      </c>
      <c r="F46" s="669">
        <v>0.84619999999999995</v>
      </c>
      <c r="G46" s="669">
        <v>0.84619999999999995</v>
      </c>
      <c r="H46" s="669">
        <v>0.84619999999999995</v>
      </c>
      <c r="I46" s="669">
        <v>0.69579999999999997</v>
      </c>
      <c r="J46" s="669">
        <v>0.69579999999999997</v>
      </c>
      <c r="K46" s="669">
        <v>0.69579999999999997</v>
      </c>
      <c r="L46" s="669">
        <v>0.69579999999999997</v>
      </c>
      <c r="M46" s="669">
        <v>0.69579999999999997</v>
      </c>
    </row>
    <row r="47" spans="1:13">
      <c r="A47" s="677">
        <v>4.5</v>
      </c>
      <c r="B47" s="669">
        <v>0.94640000000000002</v>
      </c>
      <c r="C47" s="669">
        <v>0.94640000000000002</v>
      </c>
      <c r="D47" s="669">
        <v>0.84150000000000003</v>
      </c>
      <c r="E47" s="669">
        <v>0.84150000000000003</v>
      </c>
      <c r="F47" s="669">
        <v>0.84150000000000003</v>
      </c>
      <c r="G47" s="669">
        <v>0.84150000000000003</v>
      </c>
      <c r="H47" s="669">
        <v>0.84150000000000003</v>
      </c>
      <c r="I47" s="669">
        <v>0.68989999999999996</v>
      </c>
      <c r="J47" s="669">
        <v>0.68989999999999996</v>
      </c>
      <c r="K47" s="669">
        <v>0.68989999999999996</v>
      </c>
      <c r="L47" s="669">
        <v>0.68989999999999996</v>
      </c>
      <c r="M47" s="669">
        <v>0.68989999999999996</v>
      </c>
    </row>
    <row r="48" spans="1:13">
      <c r="A48" s="677">
        <v>4.5999999999999996</v>
      </c>
      <c r="B48" s="669">
        <v>0.94230000000000003</v>
      </c>
      <c r="C48" s="669">
        <v>0.94230000000000003</v>
      </c>
      <c r="D48" s="669">
        <v>0.83709999999999996</v>
      </c>
      <c r="E48" s="669">
        <v>0.83709999999999996</v>
      </c>
      <c r="F48" s="669">
        <v>0.83709999999999996</v>
      </c>
      <c r="G48" s="669">
        <v>0.83709999999999996</v>
      </c>
      <c r="H48" s="669">
        <v>0.83709999999999996</v>
      </c>
      <c r="I48" s="669">
        <v>0.68430000000000002</v>
      </c>
      <c r="J48" s="669">
        <v>0.68430000000000002</v>
      </c>
      <c r="K48" s="669">
        <v>0.68430000000000002</v>
      </c>
      <c r="L48" s="669">
        <v>0.68430000000000002</v>
      </c>
      <c r="M48" s="669">
        <v>0.68430000000000002</v>
      </c>
    </row>
    <row r="49" spans="1:13">
      <c r="A49" s="677">
        <v>4.7</v>
      </c>
      <c r="B49" s="669">
        <v>0.93830000000000002</v>
      </c>
      <c r="C49" s="669">
        <v>0.93830000000000002</v>
      </c>
      <c r="D49" s="669">
        <v>0.83279999999999998</v>
      </c>
      <c r="E49" s="669">
        <v>0.83279999999999998</v>
      </c>
      <c r="F49" s="669">
        <v>0.83279999999999998</v>
      </c>
      <c r="G49" s="669">
        <v>0.83279999999999998</v>
      </c>
      <c r="H49" s="669">
        <v>0.83279999999999998</v>
      </c>
      <c r="I49" s="669">
        <v>0.67879999999999996</v>
      </c>
      <c r="J49" s="669">
        <v>0.67879999999999996</v>
      </c>
      <c r="K49" s="669">
        <v>0.67879999999999996</v>
      </c>
      <c r="L49" s="669">
        <v>0.67879999999999996</v>
      </c>
      <c r="M49" s="669">
        <v>0.67879999999999996</v>
      </c>
    </row>
    <row r="50" spans="1:13">
      <c r="A50" s="677">
        <v>4.8</v>
      </c>
      <c r="B50" s="669">
        <v>0.9345</v>
      </c>
      <c r="C50" s="669">
        <v>0.9345</v>
      </c>
      <c r="D50" s="669">
        <v>0.82869999999999999</v>
      </c>
      <c r="E50" s="669">
        <v>0.82869999999999999</v>
      </c>
      <c r="F50" s="669">
        <v>0.82869999999999999</v>
      </c>
      <c r="G50" s="669">
        <v>0.82869999999999999</v>
      </c>
      <c r="H50" s="669">
        <v>0.82869999999999999</v>
      </c>
      <c r="I50" s="669">
        <v>0.67359999999999998</v>
      </c>
      <c r="J50" s="669">
        <v>0.67359999999999998</v>
      </c>
      <c r="K50" s="669">
        <v>0.67359999999999998</v>
      </c>
      <c r="L50" s="669">
        <v>0.67359999999999998</v>
      </c>
      <c r="M50" s="669">
        <v>0.67359999999999998</v>
      </c>
    </row>
    <row r="51" spans="1:13">
      <c r="A51" s="677">
        <v>4.9000000000000004</v>
      </c>
      <c r="B51" s="669">
        <v>0.93079999999999996</v>
      </c>
      <c r="C51" s="669">
        <v>0.93079999999999996</v>
      </c>
      <c r="D51" s="669">
        <v>0.82479999999999998</v>
      </c>
      <c r="E51" s="669">
        <v>0.82479999999999998</v>
      </c>
      <c r="F51" s="669">
        <v>0.82479999999999998</v>
      </c>
      <c r="G51" s="669">
        <v>0.82479999999999998</v>
      </c>
      <c r="H51" s="669">
        <v>0.82479999999999998</v>
      </c>
      <c r="I51" s="669">
        <v>0.66849999999999998</v>
      </c>
      <c r="J51" s="669">
        <v>0.66849999999999998</v>
      </c>
      <c r="K51" s="669">
        <v>0.66849999999999998</v>
      </c>
      <c r="L51" s="669">
        <v>0.66849999999999998</v>
      </c>
      <c r="M51" s="669">
        <v>0.66849999999999998</v>
      </c>
    </row>
    <row r="52" spans="1:13">
      <c r="A52" s="677">
        <v>5</v>
      </c>
      <c r="B52" s="669">
        <v>0.9274</v>
      </c>
      <c r="C52" s="669">
        <v>0.9274</v>
      </c>
      <c r="D52" s="669">
        <v>0.82110000000000005</v>
      </c>
      <c r="E52" s="669">
        <v>0.82110000000000005</v>
      </c>
      <c r="F52" s="669">
        <v>0.82110000000000005</v>
      </c>
      <c r="G52" s="669">
        <v>0.82110000000000005</v>
      </c>
      <c r="H52" s="669">
        <v>0.82110000000000005</v>
      </c>
      <c r="I52" s="669">
        <v>0.66369999999999996</v>
      </c>
      <c r="J52" s="669">
        <v>0.66369999999999996</v>
      </c>
      <c r="K52" s="669">
        <v>0.66369999999999996</v>
      </c>
      <c r="L52" s="669">
        <v>0.66369999999999996</v>
      </c>
      <c r="M52" s="669">
        <v>0.66369999999999996</v>
      </c>
    </row>
    <row r="53" spans="1:13">
      <c r="A53" s="662">
        <v>5.0999999999999996</v>
      </c>
      <c r="B53" s="669">
        <v>0.92410000000000003</v>
      </c>
      <c r="C53" s="669">
        <v>0.92410000000000003</v>
      </c>
      <c r="D53" s="669">
        <v>0.8175</v>
      </c>
      <c r="E53" s="669">
        <v>0.8175</v>
      </c>
      <c r="F53" s="669">
        <v>0.8175</v>
      </c>
      <c r="G53" s="669">
        <v>0.8175</v>
      </c>
      <c r="H53" s="669">
        <v>0.8175</v>
      </c>
      <c r="I53" s="669">
        <v>0.65900000000000003</v>
      </c>
      <c r="J53" s="669">
        <v>0.65900000000000003</v>
      </c>
      <c r="K53" s="669">
        <v>0.65900000000000003</v>
      </c>
      <c r="L53" s="669">
        <v>0.65900000000000003</v>
      </c>
      <c r="M53" s="669">
        <v>0.65900000000000003</v>
      </c>
    </row>
    <row r="54" spans="1:13">
      <c r="A54" s="662">
        <v>5.2</v>
      </c>
      <c r="B54" s="669">
        <v>0.92090000000000005</v>
      </c>
      <c r="C54" s="669">
        <v>0.92090000000000005</v>
      </c>
      <c r="D54" s="669">
        <v>0.81399999999999995</v>
      </c>
      <c r="E54" s="669">
        <v>0.81399999999999995</v>
      </c>
      <c r="F54" s="669">
        <v>0.81399999999999995</v>
      </c>
      <c r="G54" s="669">
        <v>0.81399999999999995</v>
      </c>
      <c r="H54" s="669">
        <v>0.81399999999999995</v>
      </c>
      <c r="I54" s="669">
        <v>0.65449999999999997</v>
      </c>
      <c r="J54" s="669">
        <v>0.65449999999999997</v>
      </c>
      <c r="K54" s="669">
        <v>0.65449999999999997</v>
      </c>
      <c r="L54" s="669">
        <v>0.65449999999999997</v>
      </c>
      <c r="M54" s="669">
        <v>0.65449999999999997</v>
      </c>
    </row>
    <row r="55" spans="1:13">
      <c r="A55" s="662">
        <v>5.3</v>
      </c>
      <c r="B55" s="669">
        <v>0.91790000000000005</v>
      </c>
      <c r="C55" s="669">
        <v>0.91790000000000005</v>
      </c>
      <c r="D55" s="669">
        <v>0.81059999999999999</v>
      </c>
      <c r="E55" s="669">
        <v>0.81059999999999999</v>
      </c>
      <c r="F55" s="669">
        <v>0.81059999999999999</v>
      </c>
      <c r="G55" s="669">
        <v>0.81059999999999999</v>
      </c>
      <c r="H55" s="669">
        <v>0.81059999999999999</v>
      </c>
      <c r="I55" s="669">
        <v>0.6502</v>
      </c>
      <c r="J55" s="669">
        <v>0.6502</v>
      </c>
      <c r="K55" s="669">
        <v>0.6502</v>
      </c>
      <c r="L55" s="669">
        <v>0.6502</v>
      </c>
      <c r="M55" s="669">
        <v>0.6502</v>
      </c>
    </row>
    <row r="56" spans="1:13">
      <c r="A56" s="662">
        <v>5.4</v>
      </c>
      <c r="B56" s="669">
        <v>0.91490000000000005</v>
      </c>
      <c r="C56" s="669">
        <v>0.91490000000000005</v>
      </c>
      <c r="D56" s="669">
        <v>0.80740000000000001</v>
      </c>
      <c r="E56" s="669">
        <v>0.80740000000000001</v>
      </c>
      <c r="F56" s="669">
        <v>0.80740000000000001</v>
      </c>
      <c r="G56" s="669">
        <v>0.80740000000000001</v>
      </c>
      <c r="H56" s="669">
        <v>0.80740000000000001</v>
      </c>
      <c r="I56" s="669">
        <v>0.64590000000000003</v>
      </c>
      <c r="J56" s="669">
        <v>0.64590000000000003</v>
      </c>
      <c r="K56" s="669">
        <v>0.64590000000000003</v>
      </c>
      <c r="L56" s="669">
        <v>0.64590000000000003</v>
      </c>
      <c r="M56" s="669">
        <v>0.64590000000000003</v>
      </c>
    </row>
    <row r="57" spans="1:13">
      <c r="A57" s="662">
        <v>5.5</v>
      </c>
      <c r="B57" s="669">
        <v>0.91200000000000003</v>
      </c>
      <c r="C57" s="669">
        <v>0.91200000000000003</v>
      </c>
      <c r="D57" s="669">
        <v>0.80420000000000003</v>
      </c>
      <c r="E57" s="669">
        <v>0.80420000000000003</v>
      </c>
      <c r="F57" s="669">
        <v>0.80420000000000003</v>
      </c>
      <c r="G57" s="669">
        <v>0.80420000000000003</v>
      </c>
      <c r="H57" s="669">
        <v>0.80420000000000003</v>
      </c>
      <c r="I57" s="669">
        <v>0.64180000000000004</v>
      </c>
      <c r="J57" s="669">
        <v>0.64180000000000004</v>
      </c>
      <c r="K57" s="669">
        <v>0.64180000000000004</v>
      </c>
      <c r="L57" s="669">
        <v>0.64180000000000004</v>
      </c>
      <c r="M57" s="669">
        <v>0.64180000000000004</v>
      </c>
    </row>
    <row r="58" spans="1:13">
      <c r="A58" s="662">
        <v>5.6</v>
      </c>
      <c r="B58" s="669">
        <v>0.90910000000000002</v>
      </c>
      <c r="C58" s="669">
        <v>0.90910000000000002</v>
      </c>
      <c r="D58" s="669">
        <v>0.80120000000000002</v>
      </c>
      <c r="E58" s="669">
        <v>0.80120000000000002</v>
      </c>
      <c r="F58" s="669">
        <v>0.80120000000000002</v>
      </c>
      <c r="G58" s="669">
        <v>0.80120000000000002</v>
      </c>
      <c r="H58" s="669">
        <v>0.80120000000000002</v>
      </c>
      <c r="I58" s="669">
        <v>0.63790000000000002</v>
      </c>
      <c r="J58" s="669">
        <v>0.63790000000000002</v>
      </c>
      <c r="K58" s="669">
        <v>0.63790000000000002</v>
      </c>
      <c r="L58" s="669">
        <v>0.63790000000000002</v>
      </c>
      <c r="M58" s="669">
        <v>0.63790000000000002</v>
      </c>
    </row>
    <row r="59" spans="1:13">
      <c r="A59" s="677">
        <v>5.7</v>
      </c>
      <c r="B59" s="669">
        <v>0.90639999999999998</v>
      </c>
      <c r="C59" s="669">
        <v>0.90639999999999998</v>
      </c>
      <c r="D59" s="669">
        <v>0.79820000000000002</v>
      </c>
      <c r="E59" s="669">
        <v>0.79820000000000002</v>
      </c>
      <c r="F59" s="669">
        <v>0.79820000000000002</v>
      </c>
      <c r="G59" s="669">
        <v>0.79820000000000002</v>
      </c>
      <c r="H59" s="669">
        <v>0.79820000000000002</v>
      </c>
      <c r="I59" s="669">
        <v>0.6341</v>
      </c>
      <c r="J59" s="669">
        <v>0.6341</v>
      </c>
      <c r="K59" s="669">
        <v>0.6341</v>
      </c>
      <c r="L59" s="669">
        <v>0.6341</v>
      </c>
      <c r="M59" s="669">
        <v>0.6341</v>
      </c>
    </row>
    <row r="60" spans="1:13">
      <c r="A60" s="662">
        <v>5.8</v>
      </c>
      <c r="B60" s="669">
        <v>0.90380000000000005</v>
      </c>
      <c r="C60" s="669">
        <v>0.90380000000000005</v>
      </c>
      <c r="D60" s="669">
        <v>0.7954</v>
      </c>
      <c r="E60" s="669">
        <v>0.7954</v>
      </c>
      <c r="F60" s="669">
        <v>0.7954</v>
      </c>
      <c r="G60" s="669">
        <v>0.7954</v>
      </c>
      <c r="H60" s="669">
        <v>0.7954</v>
      </c>
      <c r="I60" s="669">
        <v>0.63039999999999996</v>
      </c>
      <c r="J60" s="669">
        <v>0.63039999999999996</v>
      </c>
      <c r="K60" s="669">
        <v>0.63039999999999996</v>
      </c>
      <c r="L60" s="669">
        <v>0.63039999999999996</v>
      </c>
      <c r="M60" s="669">
        <v>0.63039999999999996</v>
      </c>
    </row>
    <row r="61" spans="1:13">
      <c r="A61" s="662">
        <v>5.9</v>
      </c>
      <c r="B61" s="669">
        <v>0.90129999999999999</v>
      </c>
      <c r="C61" s="669">
        <v>0.90129999999999999</v>
      </c>
      <c r="D61" s="669">
        <v>0.79269999999999996</v>
      </c>
      <c r="E61" s="669">
        <v>0.79269999999999996</v>
      </c>
      <c r="F61" s="669">
        <v>0.79269999999999996</v>
      </c>
      <c r="G61" s="669">
        <v>0.79269999999999996</v>
      </c>
      <c r="H61" s="669">
        <v>0.79269999999999996</v>
      </c>
      <c r="I61" s="669">
        <v>0.62690000000000001</v>
      </c>
      <c r="J61" s="669">
        <v>0.62690000000000001</v>
      </c>
      <c r="K61" s="669">
        <v>0.62690000000000001</v>
      </c>
      <c r="L61" s="669">
        <v>0.62690000000000001</v>
      </c>
      <c r="M61" s="669">
        <v>0.62690000000000001</v>
      </c>
    </row>
    <row r="62" spans="1:13">
      <c r="A62" s="662">
        <v>6</v>
      </c>
      <c r="B62" s="669">
        <v>0.89890000000000003</v>
      </c>
      <c r="C62" s="669">
        <v>0.89890000000000003</v>
      </c>
      <c r="D62" s="669">
        <v>0.79020000000000001</v>
      </c>
      <c r="E62" s="669">
        <v>0.79020000000000001</v>
      </c>
      <c r="F62" s="669">
        <v>0.79020000000000001</v>
      </c>
      <c r="G62" s="669">
        <v>0.79020000000000001</v>
      </c>
      <c r="H62" s="669">
        <v>0.79020000000000001</v>
      </c>
      <c r="I62" s="669">
        <v>0.62350000000000005</v>
      </c>
      <c r="J62" s="669">
        <v>0.62350000000000005</v>
      </c>
      <c r="K62" s="669">
        <v>0.62350000000000005</v>
      </c>
      <c r="L62" s="669">
        <v>0.62350000000000005</v>
      </c>
      <c r="M62" s="669">
        <v>0.62350000000000005</v>
      </c>
    </row>
    <row r="63" spans="1:13">
      <c r="A63" s="662">
        <v>6.1</v>
      </c>
      <c r="B63" s="669">
        <v>0.89649999999999996</v>
      </c>
      <c r="C63" s="669">
        <v>0.89649999999999996</v>
      </c>
      <c r="D63" s="669">
        <v>0.78769999999999996</v>
      </c>
      <c r="E63" s="669">
        <v>0.78769999999999996</v>
      </c>
      <c r="F63" s="669">
        <v>0.78769999999999996</v>
      </c>
      <c r="G63" s="669">
        <v>0.78769999999999996</v>
      </c>
      <c r="H63" s="669">
        <v>0.78769999999999996</v>
      </c>
      <c r="I63" s="669">
        <v>0.62029999999999996</v>
      </c>
      <c r="J63" s="669">
        <v>0.62029999999999996</v>
      </c>
      <c r="K63" s="669">
        <v>0.62029999999999996</v>
      </c>
      <c r="L63" s="669">
        <v>0.62029999999999996</v>
      </c>
      <c r="M63" s="669">
        <v>0.62029999999999996</v>
      </c>
    </row>
    <row r="64" spans="1:13">
      <c r="A64" s="662">
        <v>6.2</v>
      </c>
      <c r="B64" s="669">
        <v>0.89429999999999998</v>
      </c>
      <c r="C64" s="669">
        <v>0.89429999999999998</v>
      </c>
      <c r="D64" s="669">
        <v>0.78520000000000001</v>
      </c>
      <c r="E64" s="669">
        <v>0.78520000000000001</v>
      </c>
      <c r="F64" s="669">
        <v>0.78520000000000001</v>
      </c>
      <c r="G64" s="669">
        <v>0.78520000000000001</v>
      </c>
      <c r="H64" s="669">
        <v>0.78520000000000001</v>
      </c>
      <c r="I64" s="669">
        <v>0.61719999999999997</v>
      </c>
      <c r="J64" s="669">
        <v>0.61719999999999997</v>
      </c>
      <c r="K64" s="669">
        <v>0.61719999999999997</v>
      </c>
      <c r="L64" s="669">
        <v>0.61719999999999997</v>
      </c>
      <c r="M64" s="669">
        <v>0.61719999999999997</v>
      </c>
    </row>
    <row r="65" spans="1:13">
      <c r="A65" s="662">
        <v>6.3</v>
      </c>
      <c r="B65" s="669">
        <v>0.89200000000000002</v>
      </c>
      <c r="C65" s="669">
        <v>0.89200000000000002</v>
      </c>
      <c r="D65" s="669">
        <v>0.78280000000000005</v>
      </c>
      <c r="E65" s="669">
        <v>0.78280000000000005</v>
      </c>
      <c r="F65" s="669">
        <v>0.78280000000000005</v>
      </c>
      <c r="G65" s="669">
        <v>0.78280000000000005</v>
      </c>
      <c r="H65" s="669">
        <v>0.78280000000000005</v>
      </c>
      <c r="I65" s="669">
        <v>0.61409999999999998</v>
      </c>
      <c r="J65" s="669">
        <v>0.61409999999999998</v>
      </c>
      <c r="K65" s="669">
        <v>0.61409999999999998</v>
      </c>
      <c r="L65" s="669">
        <v>0.61409999999999998</v>
      </c>
      <c r="M65" s="669">
        <v>0.61409999999999998</v>
      </c>
    </row>
    <row r="66" spans="1:13">
      <c r="A66" s="662">
        <v>6.4</v>
      </c>
      <c r="B66" s="669">
        <v>0.88990000000000002</v>
      </c>
      <c r="C66" s="669">
        <v>0.88990000000000002</v>
      </c>
      <c r="D66" s="669">
        <v>0.78039999999999998</v>
      </c>
      <c r="E66" s="669">
        <v>0.78039999999999998</v>
      </c>
      <c r="F66" s="669">
        <v>0.78039999999999998</v>
      </c>
      <c r="G66" s="669">
        <v>0.78039999999999998</v>
      </c>
      <c r="H66" s="669">
        <v>0.78039999999999998</v>
      </c>
      <c r="I66" s="669">
        <v>0.61099999999999999</v>
      </c>
      <c r="J66" s="669">
        <v>0.61099999999999999</v>
      </c>
      <c r="K66" s="669">
        <v>0.61099999999999999</v>
      </c>
      <c r="L66" s="669">
        <v>0.61099999999999999</v>
      </c>
      <c r="M66" s="669">
        <v>0.61099999999999999</v>
      </c>
    </row>
    <row r="67" spans="1:13">
      <c r="A67" s="662">
        <v>6.5</v>
      </c>
      <c r="B67" s="669">
        <v>0.88780000000000003</v>
      </c>
      <c r="C67" s="669">
        <v>0.88780000000000003</v>
      </c>
      <c r="D67" s="669">
        <v>0.77810000000000001</v>
      </c>
      <c r="E67" s="669">
        <v>0.77810000000000001</v>
      </c>
      <c r="F67" s="669">
        <v>0.77810000000000001</v>
      </c>
      <c r="G67" s="669">
        <v>0.77810000000000001</v>
      </c>
      <c r="H67" s="669">
        <v>0.77810000000000001</v>
      </c>
      <c r="I67" s="669">
        <v>0.60799999999999998</v>
      </c>
      <c r="J67" s="669">
        <v>0.60799999999999998</v>
      </c>
      <c r="K67" s="669">
        <v>0.60799999999999998</v>
      </c>
      <c r="L67" s="669">
        <v>0.60799999999999998</v>
      </c>
      <c r="M67" s="669">
        <v>0.60799999999999998</v>
      </c>
    </row>
    <row r="68" spans="1:13">
      <c r="A68" s="662">
        <v>6.6</v>
      </c>
      <c r="B68" s="669">
        <v>0.88580000000000003</v>
      </c>
      <c r="C68" s="669">
        <v>0.88580000000000003</v>
      </c>
      <c r="D68" s="669">
        <v>0.77580000000000005</v>
      </c>
      <c r="E68" s="669">
        <v>0.77580000000000005</v>
      </c>
      <c r="F68" s="669">
        <v>0.77580000000000005</v>
      </c>
      <c r="G68" s="669">
        <v>0.77580000000000005</v>
      </c>
      <c r="H68" s="669">
        <v>0.77580000000000005</v>
      </c>
      <c r="I68" s="669">
        <v>0.60499999999999998</v>
      </c>
      <c r="J68" s="669">
        <v>0.60499999999999998</v>
      </c>
      <c r="K68" s="669">
        <v>0.60499999999999998</v>
      </c>
      <c r="L68" s="669">
        <v>0.60499999999999998</v>
      </c>
      <c r="M68" s="669">
        <v>0.60499999999999998</v>
      </c>
    </row>
    <row r="69" spans="1:13">
      <c r="A69" s="662">
        <v>6.7</v>
      </c>
      <c r="B69" s="669">
        <v>0.88380000000000003</v>
      </c>
      <c r="C69" s="669">
        <v>0.88380000000000003</v>
      </c>
      <c r="D69" s="669">
        <v>0.77359999999999995</v>
      </c>
      <c r="E69" s="669">
        <v>0.77359999999999995</v>
      </c>
      <c r="F69" s="669">
        <v>0.77359999999999995</v>
      </c>
      <c r="G69" s="669">
        <v>0.77359999999999995</v>
      </c>
      <c r="H69" s="669">
        <v>0.77359999999999995</v>
      </c>
      <c r="I69" s="669">
        <v>0.60209999999999997</v>
      </c>
      <c r="J69" s="669">
        <v>0.60209999999999997</v>
      </c>
      <c r="K69" s="669">
        <v>0.60209999999999997</v>
      </c>
      <c r="L69" s="669">
        <v>0.60209999999999997</v>
      </c>
      <c r="M69" s="669">
        <v>0.60209999999999997</v>
      </c>
    </row>
    <row r="70" spans="1:13">
      <c r="A70" s="662">
        <v>6.8</v>
      </c>
      <c r="B70" s="669">
        <v>0.88190000000000002</v>
      </c>
      <c r="C70" s="669">
        <v>0.88190000000000002</v>
      </c>
      <c r="D70" s="669">
        <v>0.77159999999999995</v>
      </c>
      <c r="E70" s="669">
        <v>0.77159999999999995</v>
      </c>
      <c r="F70" s="669">
        <v>0.77159999999999995</v>
      </c>
      <c r="G70" s="669">
        <v>0.77159999999999995</v>
      </c>
      <c r="H70" s="669">
        <v>0.77159999999999995</v>
      </c>
      <c r="I70" s="669">
        <v>0.59930000000000005</v>
      </c>
      <c r="J70" s="669">
        <v>0.59930000000000005</v>
      </c>
      <c r="K70" s="669">
        <v>0.59930000000000005</v>
      </c>
      <c r="L70" s="669">
        <v>0.59930000000000005</v>
      </c>
      <c r="M70" s="669">
        <v>0.59930000000000005</v>
      </c>
    </row>
    <row r="71" spans="1:13">
      <c r="A71" s="662">
        <v>6.9</v>
      </c>
      <c r="B71" s="669">
        <v>0.88</v>
      </c>
      <c r="C71" s="669">
        <v>0.88</v>
      </c>
      <c r="D71" s="669">
        <v>0.76949999999999996</v>
      </c>
      <c r="E71" s="669">
        <v>0.76949999999999996</v>
      </c>
      <c r="F71" s="669">
        <v>0.76949999999999996</v>
      </c>
      <c r="G71" s="669">
        <v>0.76949999999999996</v>
      </c>
      <c r="H71" s="669">
        <v>0.76949999999999996</v>
      </c>
      <c r="I71" s="669">
        <v>0.59640000000000004</v>
      </c>
      <c r="J71" s="669">
        <v>0.59640000000000004</v>
      </c>
      <c r="K71" s="669">
        <v>0.59640000000000004</v>
      </c>
      <c r="L71" s="669">
        <v>0.59640000000000004</v>
      </c>
      <c r="M71" s="669">
        <v>0.59640000000000004</v>
      </c>
    </row>
    <row r="72" spans="1:13">
      <c r="A72" s="662">
        <v>7</v>
      </c>
      <c r="B72" s="669">
        <v>0.87819999999999998</v>
      </c>
      <c r="C72" s="669">
        <v>0.87819999999999998</v>
      </c>
      <c r="D72" s="669">
        <v>0.76749999999999996</v>
      </c>
      <c r="E72" s="669">
        <v>0.76749999999999996</v>
      </c>
      <c r="F72" s="669">
        <v>0.76749999999999996</v>
      </c>
      <c r="G72" s="669">
        <v>0.76749999999999996</v>
      </c>
      <c r="H72" s="669">
        <v>0.76749999999999996</v>
      </c>
      <c r="I72" s="669">
        <v>0.59360000000000002</v>
      </c>
      <c r="J72" s="669">
        <v>0.59360000000000002</v>
      </c>
      <c r="K72" s="669">
        <v>0.59360000000000002</v>
      </c>
      <c r="L72" s="669">
        <v>0.59360000000000002</v>
      </c>
      <c r="M72" s="669">
        <v>0.59360000000000002</v>
      </c>
    </row>
    <row r="73" spans="1:13">
      <c r="A73" s="662">
        <v>7.1</v>
      </c>
      <c r="B73" s="669">
        <v>0.87660000000000005</v>
      </c>
      <c r="C73" s="669">
        <v>0.87660000000000005</v>
      </c>
      <c r="D73" s="669">
        <v>0.76570000000000005</v>
      </c>
      <c r="E73" s="669">
        <v>0.76570000000000005</v>
      </c>
      <c r="F73" s="669">
        <v>0.76570000000000005</v>
      </c>
      <c r="G73" s="669">
        <v>0.76570000000000005</v>
      </c>
      <c r="H73" s="669">
        <v>0.76570000000000005</v>
      </c>
      <c r="I73" s="669">
        <v>0.59109999999999996</v>
      </c>
      <c r="J73" s="669">
        <v>0.59109999999999996</v>
      </c>
      <c r="K73" s="669">
        <v>0.59109999999999996</v>
      </c>
      <c r="L73" s="669">
        <v>0.59109999999999996</v>
      </c>
      <c r="M73" s="669">
        <v>0.59109999999999996</v>
      </c>
    </row>
    <row r="74" spans="1:13">
      <c r="A74" s="662">
        <v>7.2</v>
      </c>
      <c r="B74" s="669">
        <v>0.87490000000000001</v>
      </c>
      <c r="C74" s="669">
        <v>0.87490000000000001</v>
      </c>
      <c r="D74" s="669">
        <v>0.76380000000000003</v>
      </c>
      <c r="E74" s="669">
        <v>0.76380000000000003</v>
      </c>
      <c r="F74" s="669">
        <v>0.76380000000000003</v>
      </c>
      <c r="G74" s="669">
        <v>0.76380000000000003</v>
      </c>
      <c r="H74" s="669">
        <v>0.76380000000000003</v>
      </c>
      <c r="I74" s="669">
        <v>0.58860000000000001</v>
      </c>
      <c r="J74" s="669">
        <v>0.58860000000000001</v>
      </c>
      <c r="K74" s="669">
        <v>0.58860000000000001</v>
      </c>
      <c r="L74" s="669">
        <v>0.58860000000000001</v>
      </c>
      <c r="M74" s="669">
        <v>0.58860000000000001</v>
      </c>
    </row>
    <row r="75" spans="1:13">
      <c r="A75" s="662">
        <v>7.3</v>
      </c>
      <c r="B75" s="669">
        <v>0.87329999999999997</v>
      </c>
      <c r="C75" s="669">
        <v>0.87329999999999997</v>
      </c>
      <c r="D75" s="669">
        <v>0.76200000000000001</v>
      </c>
      <c r="E75" s="669">
        <v>0.76200000000000001</v>
      </c>
      <c r="F75" s="669">
        <v>0.76200000000000001</v>
      </c>
      <c r="G75" s="669">
        <v>0.76200000000000001</v>
      </c>
      <c r="H75" s="669">
        <v>0.76200000000000001</v>
      </c>
      <c r="I75" s="669">
        <v>0.58620000000000005</v>
      </c>
      <c r="J75" s="669">
        <v>0.58620000000000005</v>
      </c>
      <c r="K75" s="669">
        <v>0.58620000000000005</v>
      </c>
      <c r="L75" s="669">
        <v>0.58620000000000005</v>
      </c>
      <c r="M75" s="669">
        <v>0.58620000000000005</v>
      </c>
    </row>
    <row r="76" spans="1:13">
      <c r="A76" s="662">
        <v>7.4</v>
      </c>
      <c r="B76" s="669">
        <v>0.87160000000000004</v>
      </c>
      <c r="C76" s="669">
        <v>0.87160000000000004</v>
      </c>
      <c r="D76" s="669">
        <v>0.76029999999999998</v>
      </c>
      <c r="E76" s="669">
        <v>0.76029999999999998</v>
      </c>
      <c r="F76" s="669">
        <v>0.76029999999999998</v>
      </c>
      <c r="G76" s="669">
        <v>0.76029999999999998</v>
      </c>
      <c r="H76" s="669">
        <v>0.76029999999999998</v>
      </c>
      <c r="I76" s="669">
        <v>0.58379999999999999</v>
      </c>
      <c r="J76" s="669">
        <v>0.58379999999999999</v>
      </c>
      <c r="K76" s="669">
        <v>0.58379999999999999</v>
      </c>
      <c r="L76" s="669">
        <v>0.58379999999999999</v>
      </c>
      <c r="M76" s="669">
        <v>0.58379999999999999</v>
      </c>
    </row>
    <row r="77" spans="1:13">
      <c r="A77" s="662">
        <v>7.5</v>
      </c>
      <c r="B77" s="669">
        <v>0.87</v>
      </c>
      <c r="C77" s="669">
        <v>0.87</v>
      </c>
      <c r="D77" s="669">
        <v>0.75849999999999995</v>
      </c>
      <c r="E77" s="669">
        <v>0.75849999999999995</v>
      </c>
      <c r="F77" s="669">
        <v>0.75849999999999995</v>
      </c>
      <c r="G77" s="669">
        <v>0.75849999999999995</v>
      </c>
      <c r="H77" s="669">
        <v>0.75849999999999995</v>
      </c>
      <c r="I77" s="669">
        <v>0.58140000000000003</v>
      </c>
      <c r="J77" s="669">
        <v>0.58140000000000003</v>
      </c>
      <c r="K77" s="669">
        <v>0.58140000000000003</v>
      </c>
      <c r="L77" s="669">
        <v>0.58140000000000003</v>
      </c>
      <c r="M77" s="669">
        <v>0.58140000000000003</v>
      </c>
    </row>
    <row r="78" spans="1:13">
      <c r="A78" s="662">
        <v>7.6</v>
      </c>
      <c r="B78" s="669">
        <v>0.86839999999999995</v>
      </c>
      <c r="C78" s="669">
        <v>0.86839999999999995</v>
      </c>
      <c r="D78" s="669">
        <v>0.75680000000000003</v>
      </c>
      <c r="E78" s="669">
        <v>0.75680000000000003</v>
      </c>
      <c r="F78" s="669">
        <v>0.75680000000000003</v>
      </c>
      <c r="G78" s="669">
        <v>0.75680000000000003</v>
      </c>
      <c r="H78" s="669">
        <v>0.75680000000000003</v>
      </c>
      <c r="I78" s="669">
        <v>0.57899999999999996</v>
      </c>
      <c r="J78" s="669">
        <v>0.57899999999999996</v>
      </c>
      <c r="K78" s="669">
        <v>0.57899999999999996</v>
      </c>
      <c r="L78" s="669">
        <v>0.57899999999999996</v>
      </c>
      <c r="M78" s="669">
        <v>0.57899999999999996</v>
      </c>
    </row>
    <row r="79" spans="1:13">
      <c r="A79" s="662">
        <v>7.7</v>
      </c>
      <c r="B79" s="669">
        <v>0.8669</v>
      </c>
      <c r="C79" s="669">
        <v>0.8669</v>
      </c>
      <c r="D79" s="669">
        <v>0.755</v>
      </c>
      <c r="E79" s="669">
        <v>0.755</v>
      </c>
      <c r="F79" s="669">
        <v>0.755</v>
      </c>
      <c r="G79" s="669">
        <v>0.755</v>
      </c>
      <c r="H79" s="669">
        <v>0.755</v>
      </c>
      <c r="I79" s="669">
        <v>0.57669999999999999</v>
      </c>
      <c r="J79" s="669">
        <v>0.57669999999999999</v>
      </c>
      <c r="K79" s="669">
        <v>0.57669999999999999</v>
      </c>
      <c r="L79" s="669">
        <v>0.57669999999999999</v>
      </c>
      <c r="M79" s="669">
        <v>0.57669999999999999</v>
      </c>
    </row>
    <row r="80" spans="1:13">
      <c r="A80" s="662">
        <v>7.8</v>
      </c>
      <c r="B80" s="669">
        <v>0.86539999999999995</v>
      </c>
      <c r="C80" s="669">
        <v>0.86539999999999995</v>
      </c>
      <c r="D80" s="669">
        <v>0.75329999999999997</v>
      </c>
      <c r="E80" s="669">
        <v>0.75329999999999997</v>
      </c>
      <c r="F80" s="669">
        <v>0.75329999999999997</v>
      </c>
      <c r="G80" s="669">
        <v>0.75329999999999997</v>
      </c>
      <c r="H80" s="669">
        <v>0.75329999999999997</v>
      </c>
      <c r="I80" s="669">
        <v>0.57450000000000001</v>
      </c>
      <c r="J80" s="669">
        <v>0.57450000000000001</v>
      </c>
      <c r="K80" s="669">
        <v>0.57450000000000001</v>
      </c>
      <c r="L80" s="669">
        <v>0.57450000000000001</v>
      </c>
      <c r="M80" s="669">
        <v>0.57450000000000001</v>
      </c>
    </row>
    <row r="81" spans="1:13">
      <c r="A81" s="662">
        <v>7.9</v>
      </c>
      <c r="B81" s="669">
        <v>0.86380000000000001</v>
      </c>
      <c r="C81" s="669">
        <v>0.86380000000000001</v>
      </c>
      <c r="D81" s="669">
        <v>0.75170000000000003</v>
      </c>
      <c r="E81" s="669">
        <v>0.75170000000000003</v>
      </c>
      <c r="F81" s="669">
        <v>0.75170000000000003</v>
      </c>
      <c r="G81" s="669">
        <v>0.75170000000000003</v>
      </c>
      <c r="H81" s="669">
        <v>0.75170000000000003</v>
      </c>
      <c r="I81" s="669">
        <v>0.57220000000000004</v>
      </c>
      <c r="J81" s="669">
        <v>0.57220000000000004</v>
      </c>
      <c r="K81" s="669">
        <v>0.57220000000000004</v>
      </c>
      <c r="L81" s="669">
        <v>0.57220000000000004</v>
      </c>
      <c r="M81" s="669">
        <v>0.57220000000000004</v>
      </c>
    </row>
    <row r="82" spans="1:13">
      <c r="A82" s="662">
        <v>8</v>
      </c>
      <c r="B82" s="669">
        <v>0.86240000000000006</v>
      </c>
      <c r="C82" s="669">
        <v>0.86240000000000006</v>
      </c>
      <c r="D82" s="669">
        <v>0.75</v>
      </c>
      <c r="E82" s="669">
        <v>0.75</v>
      </c>
      <c r="F82" s="669">
        <v>0.75</v>
      </c>
      <c r="G82" s="669">
        <v>0.75</v>
      </c>
      <c r="H82" s="669">
        <v>0.75</v>
      </c>
      <c r="I82" s="669">
        <v>0.56989999999999996</v>
      </c>
      <c r="J82" s="669">
        <v>0.56989999999999996</v>
      </c>
      <c r="K82" s="669">
        <v>0.56989999999999996</v>
      </c>
      <c r="L82" s="669">
        <v>0.56989999999999996</v>
      </c>
      <c r="M82" s="669">
        <v>0.56989999999999996</v>
      </c>
    </row>
    <row r="83" spans="1:13">
      <c r="A83" s="662">
        <v>8.1</v>
      </c>
      <c r="B83" s="669">
        <v>0.86099999999999999</v>
      </c>
      <c r="C83" s="669">
        <v>0.86099999999999999</v>
      </c>
      <c r="D83" s="669">
        <v>0.74850000000000005</v>
      </c>
      <c r="E83" s="669">
        <v>0.74850000000000005</v>
      </c>
      <c r="F83" s="669">
        <v>0.74850000000000005</v>
      </c>
      <c r="G83" s="669">
        <v>0.74850000000000005</v>
      </c>
      <c r="H83" s="669">
        <v>0.74850000000000005</v>
      </c>
      <c r="I83" s="669">
        <v>0.56779999999999997</v>
      </c>
      <c r="J83" s="669">
        <v>0.56779999999999997</v>
      </c>
      <c r="K83" s="669">
        <v>0.56779999999999997</v>
      </c>
      <c r="L83" s="669">
        <v>0.56779999999999997</v>
      </c>
      <c r="M83" s="669">
        <v>0.56779999999999997</v>
      </c>
    </row>
    <row r="84" spans="1:13">
      <c r="A84" s="662">
        <v>8.1999999999999993</v>
      </c>
      <c r="B84" s="669">
        <v>0.85970000000000002</v>
      </c>
      <c r="C84" s="669">
        <v>0.85970000000000002</v>
      </c>
      <c r="D84" s="669">
        <v>0.747</v>
      </c>
      <c r="E84" s="669">
        <v>0.747</v>
      </c>
      <c r="F84" s="669">
        <v>0.747</v>
      </c>
      <c r="G84" s="669">
        <v>0.747</v>
      </c>
      <c r="H84" s="669">
        <v>0.747</v>
      </c>
      <c r="I84" s="669">
        <v>0.56589999999999996</v>
      </c>
      <c r="J84" s="669">
        <v>0.56589999999999996</v>
      </c>
      <c r="K84" s="669">
        <v>0.56589999999999996</v>
      </c>
      <c r="L84" s="669">
        <v>0.56589999999999996</v>
      </c>
      <c r="M84" s="669">
        <v>0.56589999999999996</v>
      </c>
    </row>
    <row r="85" spans="1:13">
      <c r="A85" s="662">
        <v>8.3000000000000007</v>
      </c>
      <c r="B85" s="669">
        <v>0.85840000000000005</v>
      </c>
      <c r="C85" s="669">
        <v>0.85840000000000005</v>
      </c>
      <c r="D85" s="669">
        <v>0.74560000000000004</v>
      </c>
      <c r="E85" s="669">
        <v>0.74560000000000004</v>
      </c>
      <c r="F85" s="669">
        <v>0.74560000000000004</v>
      </c>
      <c r="G85" s="669">
        <v>0.74560000000000004</v>
      </c>
      <c r="H85" s="669">
        <v>0.74560000000000004</v>
      </c>
      <c r="I85" s="669">
        <v>0.56389999999999996</v>
      </c>
      <c r="J85" s="669">
        <v>0.56389999999999996</v>
      </c>
      <c r="K85" s="669">
        <v>0.56389999999999996</v>
      </c>
      <c r="L85" s="669">
        <v>0.56389999999999996</v>
      </c>
      <c r="M85" s="669">
        <v>0.56389999999999996</v>
      </c>
    </row>
    <row r="86" spans="1:13">
      <c r="A86" s="662">
        <v>8.4</v>
      </c>
      <c r="B86" s="669">
        <v>0.85709999999999997</v>
      </c>
      <c r="C86" s="669">
        <v>0.85709999999999997</v>
      </c>
      <c r="D86" s="669">
        <v>0.74419999999999997</v>
      </c>
      <c r="E86" s="669">
        <v>0.74419999999999997</v>
      </c>
      <c r="F86" s="669">
        <v>0.74419999999999997</v>
      </c>
      <c r="G86" s="669">
        <v>0.74419999999999997</v>
      </c>
      <c r="H86" s="669">
        <v>0.74419999999999997</v>
      </c>
      <c r="I86" s="669">
        <v>0.56189999999999996</v>
      </c>
      <c r="J86" s="669">
        <v>0.56189999999999996</v>
      </c>
      <c r="K86" s="669">
        <v>0.56189999999999996</v>
      </c>
      <c r="L86" s="669">
        <v>0.56189999999999996</v>
      </c>
      <c r="M86" s="669">
        <v>0.56189999999999996</v>
      </c>
    </row>
    <row r="87" spans="1:13">
      <c r="A87" s="662">
        <v>8.5</v>
      </c>
      <c r="B87" s="669">
        <v>0.85580000000000001</v>
      </c>
      <c r="C87" s="669">
        <v>0.85580000000000001</v>
      </c>
      <c r="D87" s="669">
        <v>0.74270000000000003</v>
      </c>
      <c r="E87" s="669">
        <v>0.74270000000000003</v>
      </c>
      <c r="F87" s="669">
        <v>0.74270000000000003</v>
      </c>
      <c r="G87" s="669">
        <v>0.74270000000000003</v>
      </c>
      <c r="H87" s="669">
        <v>0.74270000000000003</v>
      </c>
      <c r="I87" s="669">
        <v>0.55989999999999995</v>
      </c>
      <c r="J87" s="669">
        <v>0.55989999999999995</v>
      </c>
      <c r="K87" s="669">
        <v>0.55989999999999995</v>
      </c>
      <c r="L87" s="669">
        <v>0.55989999999999995</v>
      </c>
      <c r="M87" s="669">
        <v>0.55989999999999995</v>
      </c>
    </row>
    <row r="88" spans="1:13">
      <c r="A88" s="662">
        <v>8.6</v>
      </c>
      <c r="B88" s="669">
        <v>0.85450000000000004</v>
      </c>
      <c r="C88" s="669">
        <v>0.85450000000000004</v>
      </c>
      <c r="D88" s="669">
        <v>0.74129999999999996</v>
      </c>
      <c r="E88" s="669">
        <v>0.74129999999999996</v>
      </c>
      <c r="F88" s="669">
        <v>0.74129999999999996</v>
      </c>
      <c r="G88" s="669">
        <v>0.74129999999999996</v>
      </c>
      <c r="H88" s="669">
        <v>0.74129999999999996</v>
      </c>
      <c r="I88" s="669">
        <v>0.55800000000000005</v>
      </c>
      <c r="J88" s="669">
        <v>0.55800000000000005</v>
      </c>
      <c r="K88" s="669">
        <v>0.55800000000000005</v>
      </c>
      <c r="L88" s="669">
        <v>0.55800000000000005</v>
      </c>
      <c r="M88" s="669">
        <v>0.55800000000000005</v>
      </c>
    </row>
    <row r="89" spans="1:13">
      <c r="A89" s="662">
        <v>8.6999999999999993</v>
      </c>
      <c r="B89" s="669">
        <v>0.85329999999999995</v>
      </c>
      <c r="C89" s="669">
        <v>0.85329999999999995</v>
      </c>
      <c r="D89" s="669">
        <v>0.7399</v>
      </c>
      <c r="E89" s="669">
        <v>0.7399</v>
      </c>
      <c r="F89" s="669">
        <v>0.7399</v>
      </c>
      <c r="G89" s="669">
        <v>0.7399</v>
      </c>
      <c r="H89" s="669">
        <v>0.7399</v>
      </c>
      <c r="I89" s="669">
        <v>0.55600000000000005</v>
      </c>
      <c r="J89" s="669">
        <v>0.55600000000000005</v>
      </c>
      <c r="K89" s="669">
        <v>0.55600000000000005</v>
      </c>
      <c r="L89" s="669">
        <v>0.55600000000000005</v>
      </c>
      <c r="M89" s="669">
        <v>0.55600000000000005</v>
      </c>
    </row>
    <row r="90" spans="1:13">
      <c r="A90" s="662">
        <v>8.8000000000000007</v>
      </c>
      <c r="B90" s="669">
        <v>0.85209999999999997</v>
      </c>
      <c r="C90" s="669">
        <v>0.85209999999999997</v>
      </c>
      <c r="D90" s="669">
        <v>0.73850000000000005</v>
      </c>
      <c r="E90" s="669">
        <v>0.73850000000000005</v>
      </c>
      <c r="F90" s="669">
        <v>0.73850000000000005</v>
      </c>
      <c r="G90" s="669">
        <v>0.73850000000000005</v>
      </c>
      <c r="H90" s="669">
        <v>0.73850000000000005</v>
      </c>
      <c r="I90" s="669">
        <v>0.55420000000000003</v>
      </c>
      <c r="J90" s="669">
        <v>0.55420000000000003</v>
      </c>
      <c r="K90" s="669">
        <v>0.55420000000000003</v>
      </c>
      <c r="L90" s="669">
        <v>0.55420000000000003</v>
      </c>
      <c r="M90" s="669">
        <v>0.55420000000000003</v>
      </c>
    </row>
    <row r="91" spans="1:13">
      <c r="A91" s="662">
        <v>8.9</v>
      </c>
      <c r="B91" s="669">
        <v>0.85099999999999998</v>
      </c>
      <c r="C91" s="669">
        <v>0.85099999999999998</v>
      </c>
      <c r="D91" s="669">
        <v>0.73719999999999997</v>
      </c>
      <c r="E91" s="669">
        <v>0.73719999999999997</v>
      </c>
      <c r="F91" s="669">
        <v>0.73719999999999997</v>
      </c>
      <c r="G91" s="669">
        <v>0.73719999999999997</v>
      </c>
      <c r="H91" s="669">
        <v>0.73719999999999997</v>
      </c>
      <c r="I91" s="669">
        <v>0.55230000000000001</v>
      </c>
      <c r="J91" s="669">
        <v>0.55230000000000001</v>
      </c>
      <c r="K91" s="669">
        <v>0.55230000000000001</v>
      </c>
      <c r="L91" s="669">
        <v>0.55230000000000001</v>
      </c>
      <c r="M91" s="669">
        <v>0.55230000000000001</v>
      </c>
    </row>
    <row r="92" spans="1:13">
      <c r="A92" s="677">
        <v>9</v>
      </c>
      <c r="B92" s="669">
        <v>0.8498</v>
      </c>
      <c r="C92" s="669">
        <v>0.8498</v>
      </c>
      <c r="D92" s="669">
        <v>0.7359</v>
      </c>
      <c r="E92" s="669">
        <v>0.7359</v>
      </c>
      <c r="F92" s="669">
        <v>0.7359</v>
      </c>
      <c r="G92" s="669">
        <v>0.7359</v>
      </c>
      <c r="H92" s="669">
        <v>0.7359</v>
      </c>
      <c r="I92" s="669">
        <v>0.55049999999999999</v>
      </c>
      <c r="J92" s="669">
        <v>0.55049999999999999</v>
      </c>
      <c r="K92" s="669">
        <v>0.55049999999999999</v>
      </c>
      <c r="L92" s="669">
        <v>0.55049999999999999</v>
      </c>
      <c r="M92" s="669">
        <v>0.55049999999999999</v>
      </c>
    </row>
    <row r="93" spans="1:13">
      <c r="A93" s="677">
        <v>9.1</v>
      </c>
      <c r="B93" s="669">
        <v>0.84870000000000001</v>
      </c>
      <c r="C93" s="669">
        <v>0.84870000000000001</v>
      </c>
      <c r="D93" s="669">
        <v>0.73470000000000002</v>
      </c>
      <c r="E93" s="669">
        <v>0.73470000000000002</v>
      </c>
      <c r="F93" s="669">
        <v>0.73470000000000002</v>
      </c>
      <c r="G93" s="669">
        <v>0.73470000000000002</v>
      </c>
      <c r="H93" s="669">
        <v>0.73470000000000002</v>
      </c>
      <c r="I93" s="669">
        <v>0.54879999999999995</v>
      </c>
      <c r="J93" s="669">
        <v>0.54879999999999995</v>
      </c>
      <c r="K93" s="669">
        <v>0.54879999999999995</v>
      </c>
      <c r="L93" s="669">
        <v>0.54879999999999995</v>
      </c>
      <c r="M93" s="669">
        <v>0.54879999999999995</v>
      </c>
    </row>
    <row r="94" spans="1:13">
      <c r="A94" s="677">
        <v>9.1999999999999993</v>
      </c>
      <c r="B94" s="669">
        <v>0.84770000000000001</v>
      </c>
      <c r="C94" s="669">
        <v>0.84770000000000001</v>
      </c>
      <c r="D94" s="669">
        <v>0.73350000000000004</v>
      </c>
      <c r="E94" s="669">
        <v>0.73350000000000004</v>
      </c>
      <c r="F94" s="669">
        <v>0.73350000000000004</v>
      </c>
      <c r="G94" s="669">
        <v>0.73350000000000004</v>
      </c>
      <c r="H94" s="669">
        <v>0.73350000000000004</v>
      </c>
      <c r="I94" s="669">
        <v>0.54710000000000003</v>
      </c>
      <c r="J94" s="669">
        <v>0.54710000000000003</v>
      </c>
      <c r="K94" s="669">
        <v>0.54710000000000003</v>
      </c>
      <c r="L94" s="669">
        <v>0.54710000000000003</v>
      </c>
      <c r="M94" s="669">
        <v>0.54710000000000003</v>
      </c>
    </row>
    <row r="95" spans="1:13">
      <c r="A95" s="677">
        <v>9.3000000000000007</v>
      </c>
      <c r="B95" s="669">
        <v>0.84660000000000002</v>
      </c>
      <c r="C95" s="669">
        <v>0.84660000000000002</v>
      </c>
      <c r="D95" s="669">
        <v>0.73229999999999995</v>
      </c>
      <c r="E95" s="669">
        <v>0.73229999999999995</v>
      </c>
      <c r="F95" s="669">
        <v>0.73229999999999995</v>
      </c>
      <c r="G95" s="669">
        <v>0.73229999999999995</v>
      </c>
      <c r="H95" s="669">
        <v>0.73229999999999995</v>
      </c>
      <c r="I95" s="669">
        <v>0.5454</v>
      </c>
      <c r="J95" s="669">
        <v>0.5454</v>
      </c>
      <c r="K95" s="669">
        <v>0.5454</v>
      </c>
      <c r="L95" s="669">
        <v>0.5454</v>
      </c>
      <c r="M95" s="669">
        <v>0.5454</v>
      </c>
    </row>
    <row r="96" spans="1:13">
      <c r="A96" s="677">
        <v>9.4</v>
      </c>
      <c r="B96" s="669">
        <v>0.84550000000000003</v>
      </c>
      <c r="C96" s="669">
        <v>0.84550000000000003</v>
      </c>
      <c r="D96" s="669">
        <v>0.73109999999999997</v>
      </c>
      <c r="E96" s="669">
        <v>0.73109999999999997</v>
      </c>
      <c r="F96" s="669">
        <v>0.73109999999999997</v>
      </c>
      <c r="G96" s="669">
        <v>0.73109999999999997</v>
      </c>
      <c r="H96" s="669">
        <v>0.73109999999999997</v>
      </c>
      <c r="I96" s="669">
        <v>0.54369999999999996</v>
      </c>
      <c r="J96" s="669">
        <v>0.54369999999999996</v>
      </c>
      <c r="K96" s="669">
        <v>0.54369999999999996</v>
      </c>
      <c r="L96" s="669">
        <v>0.54369999999999996</v>
      </c>
      <c r="M96" s="669">
        <v>0.54369999999999996</v>
      </c>
    </row>
    <row r="97" spans="1:14">
      <c r="A97" s="677">
        <v>9.5</v>
      </c>
      <c r="B97" s="669">
        <v>0.84450000000000003</v>
      </c>
      <c r="C97" s="669">
        <v>0.84450000000000003</v>
      </c>
      <c r="D97" s="669">
        <v>0.72989999999999999</v>
      </c>
      <c r="E97" s="669">
        <v>0.72989999999999999</v>
      </c>
      <c r="F97" s="669">
        <v>0.72989999999999999</v>
      </c>
      <c r="G97" s="669">
        <v>0.72989999999999999</v>
      </c>
      <c r="H97" s="669">
        <v>0.72989999999999999</v>
      </c>
      <c r="I97" s="669">
        <v>0.54200000000000004</v>
      </c>
      <c r="J97" s="669">
        <v>0.54200000000000004</v>
      </c>
      <c r="K97" s="669">
        <v>0.54200000000000004</v>
      </c>
      <c r="L97" s="669">
        <v>0.54200000000000004</v>
      </c>
      <c r="M97" s="669">
        <v>0.54200000000000004</v>
      </c>
    </row>
    <row r="98" spans="1:14">
      <c r="A98" s="677">
        <v>9.6</v>
      </c>
      <c r="B98" s="669">
        <v>0.84340000000000004</v>
      </c>
      <c r="C98" s="669">
        <v>0.84340000000000004</v>
      </c>
      <c r="D98" s="669">
        <v>0.72870000000000001</v>
      </c>
      <c r="E98" s="669">
        <v>0.72870000000000001</v>
      </c>
      <c r="F98" s="669">
        <v>0.72870000000000001</v>
      </c>
      <c r="G98" s="669">
        <v>0.72870000000000001</v>
      </c>
      <c r="H98" s="669">
        <v>0.72870000000000001</v>
      </c>
      <c r="I98" s="669">
        <v>0.5403</v>
      </c>
      <c r="J98" s="669">
        <v>0.5403</v>
      </c>
      <c r="K98" s="669">
        <v>0.5403</v>
      </c>
      <c r="L98" s="669">
        <v>0.5403</v>
      </c>
      <c r="M98" s="669">
        <v>0.5403</v>
      </c>
    </row>
    <row r="99" spans="1:14">
      <c r="A99" s="677">
        <v>9.6999999999999993</v>
      </c>
      <c r="B99" s="669">
        <v>0.84230000000000005</v>
      </c>
      <c r="C99" s="669">
        <v>0.84230000000000005</v>
      </c>
      <c r="D99" s="669">
        <v>0.72750000000000004</v>
      </c>
      <c r="E99" s="669">
        <v>0.72750000000000004</v>
      </c>
      <c r="F99" s="669">
        <v>0.72750000000000004</v>
      </c>
      <c r="G99" s="669">
        <v>0.72750000000000004</v>
      </c>
      <c r="H99" s="669">
        <v>0.72750000000000004</v>
      </c>
      <c r="I99" s="669">
        <v>0.53859999999999997</v>
      </c>
      <c r="J99" s="669">
        <v>0.53859999999999997</v>
      </c>
      <c r="K99" s="669">
        <v>0.53859999999999997</v>
      </c>
      <c r="L99" s="669">
        <v>0.53859999999999997</v>
      </c>
      <c r="M99" s="669">
        <v>0.53859999999999997</v>
      </c>
    </row>
    <row r="100" spans="1:14">
      <c r="A100" s="677">
        <v>9.8000000000000007</v>
      </c>
      <c r="B100" s="669">
        <v>0.84140000000000004</v>
      </c>
      <c r="C100" s="669">
        <v>0.84140000000000004</v>
      </c>
      <c r="D100" s="669">
        <v>0.72629999999999995</v>
      </c>
      <c r="E100" s="669">
        <v>0.72629999999999995</v>
      </c>
      <c r="F100" s="669">
        <v>0.72629999999999995</v>
      </c>
      <c r="G100" s="669">
        <v>0.72629999999999995</v>
      </c>
      <c r="H100" s="669">
        <v>0.72629999999999995</v>
      </c>
      <c r="I100" s="669">
        <v>0.53710000000000002</v>
      </c>
      <c r="J100" s="669">
        <v>0.53710000000000002</v>
      </c>
      <c r="K100" s="669">
        <v>0.53710000000000002</v>
      </c>
      <c r="L100" s="669">
        <v>0.53710000000000002</v>
      </c>
      <c r="M100" s="669">
        <v>0.53710000000000002</v>
      </c>
    </row>
    <row r="101" spans="1:14">
      <c r="A101" s="677">
        <v>9.9</v>
      </c>
      <c r="B101" s="669">
        <v>0.84050000000000002</v>
      </c>
      <c r="C101" s="669">
        <v>0.84050000000000002</v>
      </c>
      <c r="D101" s="669">
        <v>0.72519999999999996</v>
      </c>
      <c r="E101" s="669">
        <v>0.72519999999999996</v>
      </c>
      <c r="F101" s="669">
        <v>0.72519999999999996</v>
      </c>
      <c r="G101" s="669">
        <v>0.72519999999999996</v>
      </c>
      <c r="H101" s="669">
        <v>0.72519999999999996</v>
      </c>
      <c r="I101" s="669">
        <v>0.53549999999999998</v>
      </c>
      <c r="J101" s="669">
        <v>0.53549999999999998</v>
      </c>
      <c r="K101" s="669">
        <v>0.53549999999999998</v>
      </c>
      <c r="L101" s="669">
        <v>0.53549999999999998</v>
      </c>
      <c r="M101" s="669">
        <v>0.53549999999999998</v>
      </c>
    </row>
    <row r="102" spans="1:14">
      <c r="A102" s="677">
        <v>10</v>
      </c>
      <c r="B102" s="669">
        <v>0.83950000000000002</v>
      </c>
      <c r="C102" s="669">
        <v>0.83950000000000002</v>
      </c>
      <c r="D102" s="669">
        <v>0.72409999999999997</v>
      </c>
      <c r="E102" s="669">
        <v>0.72409999999999997</v>
      </c>
      <c r="F102" s="669">
        <v>0.72409999999999997</v>
      </c>
      <c r="G102" s="669">
        <v>0.72409999999999997</v>
      </c>
      <c r="H102" s="669">
        <v>0.72409999999999997</v>
      </c>
      <c r="I102" s="669">
        <v>0.53400000000000003</v>
      </c>
      <c r="J102" s="669">
        <v>0.53400000000000003</v>
      </c>
      <c r="K102" s="669">
        <v>0.53400000000000003</v>
      </c>
      <c r="L102" s="669">
        <v>0.53400000000000003</v>
      </c>
      <c r="M102" s="669">
        <v>0.53400000000000003</v>
      </c>
    </row>
    <row r="103" spans="1:14" ht="14.25">
      <c r="A103" s="659" t="s">
        <v>748</v>
      </c>
      <c r="B103" s="660"/>
      <c r="C103" s="660"/>
      <c r="D103" s="660"/>
      <c r="E103" s="660"/>
      <c r="F103" s="660"/>
      <c r="G103" s="660"/>
      <c r="H103" s="660"/>
      <c r="I103" s="660"/>
      <c r="J103" s="660"/>
      <c r="K103" s="660"/>
      <c r="L103" s="660"/>
      <c r="M103" s="660"/>
      <c r="N103" s="660"/>
    </row>
    <row r="104" spans="1:14" ht="14.25">
      <c r="A104" s="662" t="s">
        <v>746</v>
      </c>
      <c r="B104" s="663" t="s">
        <v>157</v>
      </c>
      <c r="C104" s="663" t="s">
        <v>158</v>
      </c>
      <c r="D104" s="663" t="s">
        <v>159</v>
      </c>
      <c r="E104" s="663" t="s">
        <v>160</v>
      </c>
      <c r="F104" s="663" t="s">
        <v>161</v>
      </c>
      <c r="G104" s="663" t="s">
        <v>162</v>
      </c>
      <c r="H104" s="664" t="s">
        <v>163</v>
      </c>
      <c r="I104" s="664" t="s">
        <v>164</v>
      </c>
      <c r="J104" s="665" t="s">
        <v>165</v>
      </c>
      <c r="K104" s="665" t="s">
        <v>166</v>
      </c>
      <c r="L104" s="665" t="s">
        <v>167</v>
      </c>
      <c r="M104" s="665" t="s">
        <v>168</v>
      </c>
      <c r="N104" s="660">
        <f>SUMPRODUCT((A105:A204=ROUNDDOWN(基准地价修正!G3,1))*(B104:M104=基准地价修正!G2)*(B105:M204))</f>
        <v>0</v>
      </c>
    </row>
    <row r="105" spans="1:14">
      <c r="A105" s="662">
        <v>0.1</v>
      </c>
      <c r="B105" s="669">
        <v>13.733000000000001</v>
      </c>
      <c r="C105" s="669">
        <v>13.733000000000001</v>
      </c>
      <c r="D105" s="669">
        <v>12.787000000000001</v>
      </c>
      <c r="E105" s="669">
        <v>12.787000000000001</v>
      </c>
      <c r="F105" s="669">
        <v>12.787000000000001</v>
      </c>
      <c r="G105" s="669">
        <v>12.787000000000001</v>
      </c>
      <c r="H105" s="669">
        <v>12.787000000000001</v>
      </c>
      <c r="I105" s="669">
        <v>12.384</v>
      </c>
      <c r="J105" s="669">
        <v>12.384</v>
      </c>
      <c r="K105" s="669">
        <v>12.384</v>
      </c>
      <c r="L105" s="669">
        <v>12.384</v>
      </c>
      <c r="M105" s="669">
        <v>12.384</v>
      </c>
    </row>
    <row r="106" spans="1:14">
      <c r="A106" s="662">
        <v>0.2</v>
      </c>
      <c r="B106" s="669">
        <v>6.8665000000000003</v>
      </c>
      <c r="C106" s="669">
        <v>6.8665000000000003</v>
      </c>
      <c r="D106" s="669">
        <v>6.3935000000000004</v>
      </c>
      <c r="E106" s="669">
        <v>6.3935000000000004</v>
      </c>
      <c r="F106" s="669">
        <v>6.3935000000000004</v>
      </c>
      <c r="G106" s="669">
        <v>6.3935000000000004</v>
      </c>
      <c r="H106" s="669">
        <v>6.3935000000000004</v>
      </c>
      <c r="I106" s="669">
        <v>6.1920000000000002</v>
      </c>
      <c r="J106" s="669">
        <v>6.1920000000000002</v>
      </c>
      <c r="K106" s="669">
        <v>6.1920000000000002</v>
      </c>
      <c r="L106" s="669">
        <v>6.1920000000000002</v>
      </c>
      <c r="M106" s="669">
        <v>6.1920000000000002</v>
      </c>
    </row>
    <row r="107" spans="1:14">
      <c r="A107" s="662">
        <v>0.3</v>
      </c>
      <c r="B107" s="669">
        <v>4.5777000000000001</v>
      </c>
      <c r="C107" s="669">
        <v>4.5777000000000001</v>
      </c>
      <c r="D107" s="669">
        <v>4.2622999999999998</v>
      </c>
      <c r="E107" s="669">
        <v>4.2622999999999998</v>
      </c>
      <c r="F107" s="669">
        <v>4.2622999999999998</v>
      </c>
      <c r="G107" s="669">
        <v>4.2622999999999998</v>
      </c>
      <c r="H107" s="669">
        <v>4.2622999999999998</v>
      </c>
      <c r="I107" s="669">
        <v>4.1280000000000001</v>
      </c>
      <c r="J107" s="669">
        <v>4.1280000000000001</v>
      </c>
      <c r="K107" s="669">
        <v>4.1280000000000001</v>
      </c>
      <c r="L107" s="669">
        <v>4.1280000000000001</v>
      </c>
      <c r="M107" s="669">
        <v>4.1280000000000001</v>
      </c>
    </row>
    <row r="108" spans="1:14">
      <c r="A108" s="662">
        <v>0.4</v>
      </c>
      <c r="B108" s="669">
        <v>3.4333</v>
      </c>
      <c r="C108" s="669">
        <v>3.4333</v>
      </c>
      <c r="D108" s="669">
        <v>3.1968000000000001</v>
      </c>
      <c r="E108" s="669">
        <v>3.1968000000000001</v>
      </c>
      <c r="F108" s="669">
        <v>3.1968000000000001</v>
      </c>
      <c r="G108" s="669">
        <v>3.1968000000000001</v>
      </c>
      <c r="H108" s="669">
        <v>3.1968000000000001</v>
      </c>
      <c r="I108" s="669">
        <v>3.0960000000000001</v>
      </c>
      <c r="J108" s="669">
        <v>3.0960000000000001</v>
      </c>
      <c r="K108" s="669">
        <v>3.0960000000000001</v>
      </c>
      <c r="L108" s="669">
        <v>3.0960000000000001</v>
      </c>
      <c r="M108" s="669">
        <v>3.0960000000000001</v>
      </c>
    </row>
    <row r="109" spans="1:14">
      <c r="A109" s="662">
        <v>0.5</v>
      </c>
      <c r="B109" s="669">
        <v>2.7465999999999999</v>
      </c>
      <c r="C109" s="669">
        <v>2.7465999999999999</v>
      </c>
      <c r="D109" s="669">
        <v>2.5573999999999999</v>
      </c>
      <c r="E109" s="669">
        <v>2.5573999999999999</v>
      </c>
      <c r="F109" s="669">
        <v>2.5573999999999999</v>
      </c>
      <c r="G109" s="669">
        <v>2.5573999999999999</v>
      </c>
      <c r="H109" s="669">
        <v>2.5573999999999999</v>
      </c>
      <c r="I109" s="669">
        <v>2.4767999999999999</v>
      </c>
      <c r="J109" s="669">
        <v>2.4767999999999999</v>
      </c>
      <c r="K109" s="669">
        <v>2.4767999999999999</v>
      </c>
      <c r="L109" s="669">
        <v>2.4767999999999999</v>
      </c>
      <c r="M109" s="669">
        <v>2.4767999999999999</v>
      </c>
    </row>
    <row r="110" spans="1:14">
      <c r="A110" s="662">
        <v>0.6</v>
      </c>
      <c r="B110" s="669">
        <v>2.2888000000000002</v>
      </c>
      <c r="C110" s="669">
        <v>2.2888000000000002</v>
      </c>
      <c r="D110" s="669">
        <v>2.1312000000000002</v>
      </c>
      <c r="E110" s="669">
        <v>2.1312000000000002</v>
      </c>
      <c r="F110" s="669">
        <v>2.1312000000000002</v>
      </c>
      <c r="G110" s="669">
        <v>2.1312000000000002</v>
      </c>
      <c r="H110" s="669">
        <v>2.1312000000000002</v>
      </c>
      <c r="I110" s="669">
        <v>2.0640000000000001</v>
      </c>
      <c r="J110" s="669">
        <v>2.0640000000000001</v>
      </c>
      <c r="K110" s="669">
        <v>2.0640000000000001</v>
      </c>
      <c r="L110" s="669">
        <v>2.0640000000000001</v>
      </c>
      <c r="M110" s="669">
        <v>2.0640000000000001</v>
      </c>
    </row>
    <row r="111" spans="1:14">
      <c r="A111" s="662">
        <v>0.7</v>
      </c>
      <c r="B111" s="669">
        <v>1.9619</v>
      </c>
      <c r="C111" s="669">
        <v>1.9619</v>
      </c>
      <c r="D111" s="669">
        <v>1.8267</v>
      </c>
      <c r="E111" s="669">
        <v>1.8267</v>
      </c>
      <c r="F111" s="669">
        <v>1.8267</v>
      </c>
      <c r="G111" s="669">
        <v>1.8267</v>
      </c>
      <c r="H111" s="669">
        <v>1.8267</v>
      </c>
      <c r="I111" s="669">
        <v>1.7690999999999999</v>
      </c>
      <c r="J111" s="669">
        <v>1.7690999999999999</v>
      </c>
      <c r="K111" s="669">
        <v>1.7690999999999999</v>
      </c>
      <c r="L111" s="669">
        <v>1.7690999999999999</v>
      </c>
      <c r="M111" s="669">
        <v>1.7690999999999999</v>
      </c>
    </row>
    <row r="112" spans="1:14">
      <c r="A112" s="662">
        <v>0.8</v>
      </c>
      <c r="B112" s="669">
        <v>1.7165999999999999</v>
      </c>
      <c r="C112" s="669">
        <v>1.7165999999999999</v>
      </c>
      <c r="D112" s="669">
        <v>1.5984</v>
      </c>
      <c r="E112" s="669">
        <v>1.5984</v>
      </c>
      <c r="F112" s="669">
        <v>1.5984</v>
      </c>
      <c r="G112" s="669">
        <v>1.5984</v>
      </c>
      <c r="H112" s="669">
        <v>1.5984</v>
      </c>
      <c r="I112" s="669">
        <v>1.548</v>
      </c>
      <c r="J112" s="669">
        <v>1.548</v>
      </c>
      <c r="K112" s="669">
        <v>1.548</v>
      </c>
      <c r="L112" s="669">
        <v>1.548</v>
      </c>
      <c r="M112" s="669">
        <v>1.548</v>
      </c>
    </row>
    <row r="113" spans="1:13">
      <c r="A113" s="662">
        <v>0.9</v>
      </c>
      <c r="B113" s="669">
        <v>1.5259</v>
      </c>
      <c r="C113" s="669">
        <v>1.5259</v>
      </c>
      <c r="D113" s="669">
        <v>1.4208000000000001</v>
      </c>
      <c r="E113" s="669">
        <v>1.4208000000000001</v>
      </c>
      <c r="F113" s="669">
        <v>1.4208000000000001</v>
      </c>
      <c r="G113" s="669">
        <v>1.4208000000000001</v>
      </c>
      <c r="H113" s="669">
        <v>1.4208000000000001</v>
      </c>
      <c r="I113" s="669">
        <v>1.3759999999999999</v>
      </c>
      <c r="J113" s="669">
        <v>1.3759999999999999</v>
      </c>
      <c r="K113" s="669">
        <v>1.3759999999999999</v>
      </c>
      <c r="L113" s="669">
        <v>1.3759999999999999</v>
      </c>
      <c r="M113" s="669">
        <v>1.3759999999999999</v>
      </c>
    </row>
    <row r="114" spans="1:13">
      <c r="A114" s="662">
        <v>1</v>
      </c>
      <c r="B114" s="669">
        <v>1.3733</v>
      </c>
      <c r="C114" s="669">
        <v>1.3733</v>
      </c>
      <c r="D114" s="669">
        <v>1.2786999999999999</v>
      </c>
      <c r="E114" s="669">
        <v>1.2786999999999999</v>
      </c>
      <c r="F114" s="669">
        <v>1.2786999999999999</v>
      </c>
      <c r="G114" s="669">
        <v>1.2786999999999999</v>
      </c>
      <c r="H114" s="669">
        <v>1.2786999999999999</v>
      </c>
      <c r="I114" s="669">
        <v>1.2383999999999999</v>
      </c>
      <c r="J114" s="669">
        <v>1.2383999999999999</v>
      </c>
      <c r="K114" s="669">
        <v>1.2383999999999999</v>
      </c>
      <c r="L114" s="669">
        <v>1.2383999999999999</v>
      </c>
      <c r="M114" s="669">
        <v>1.2383999999999999</v>
      </c>
    </row>
    <row r="115" spans="1:13">
      <c r="A115" s="662">
        <v>1.1000000000000001</v>
      </c>
      <c r="B115" s="669">
        <v>1.3489</v>
      </c>
      <c r="C115" s="669">
        <v>1.3489</v>
      </c>
      <c r="D115" s="669">
        <v>1.2542</v>
      </c>
      <c r="E115" s="669">
        <v>1.2542</v>
      </c>
      <c r="F115" s="669">
        <v>1.2542</v>
      </c>
      <c r="G115" s="669">
        <v>1.2542</v>
      </c>
      <c r="H115" s="669">
        <v>1.2542</v>
      </c>
      <c r="I115" s="669">
        <v>1.2050000000000001</v>
      </c>
      <c r="J115" s="669">
        <v>1.2050000000000001</v>
      </c>
      <c r="K115" s="669">
        <v>1.2050000000000001</v>
      </c>
      <c r="L115" s="669">
        <v>1.2050000000000001</v>
      </c>
      <c r="M115" s="669">
        <v>1.2050000000000001</v>
      </c>
    </row>
    <row r="116" spans="1:13">
      <c r="A116" s="662">
        <v>1.2</v>
      </c>
      <c r="B116" s="669">
        <v>1.3255999999999999</v>
      </c>
      <c r="C116" s="669">
        <v>1.3255999999999999</v>
      </c>
      <c r="D116" s="669">
        <v>1.2305999999999999</v>
      </c>
      <c r="E116" s="669">
        <v>1.2305999999999999</v>
      </c>
      <c r="F116" s="669">
        <v>1.2305999999999999</v>
      </c>
      <c r="G116" s="669">
        <v>1.2305999999999999</v>
      </c>
      <c r="H116" s="669">
        <v>1.2305999999999999</v>
      </c>
      <c r="I116" s="669">
        <v>1.1741999999999999</v>
      </c>
      <c r="J116" s="669">
        <v>1.1741999999999999</v>
      </c>
      <c r="K116" s="669">
        <v>1.1741999999999999</v>
      </c>
      <c r="L116" s="669">
        <v>1.1741999999999999</v>
      </c>
      <c r="M116" s="669">
        <v>1.1741999999999999</v>
      </c>
    </row>
    <row r="117" spans="1:13">
      <c r="A117" s="662">
        <v>1.3</v>
      </c>
      <c r="B117" s="669">
        <v>1.3032999999999999</v>
      </c>
      <c r="C117" s="669">
        <v>1.3032999999999999</v>
      </c>
      <c r="D117" s="669">
        <v>1.2079</v>
      </c>
      <c r="E117" s="669">
        <v>1.2079</v>
      </c>
      <c r="F117" s="669">
        <v>1.2079</v>
      </c>
      <c r="G117" s="669">
        <v>1.2079</v>
      </c>
      <c r="H117" s="669">
        <v>1.2079</v>
      </c>
      <c r="I117" s="669">
        <v>1.1459999999999999</v>
      </c>
      <c r="J117" s="669">
        <v>1.1459999999999999</v>
      </c>
      <c r="K117" s="669">
        <v>1.1459999999999999</v>
      </c>
      <c r="L117" s="669">
        <v>1.1459999999999999</v>
      </c>
      <c r="M117" s="669">
        <v>1.1459999999999999</v>
      </c>
    </row>
    <row r="118" spans="1:13">
      <c r="A118" s="662">
        <v>1.4</v>
      </c>
      <c r="B118" s="669">
        <v>1.282</v>
      </c>
      <c r="C118" s="669">
        <v>1.282</v>
      </c>
      <c r="D118" s="669">
        <v>1.1861999999999999</v>
      </c>
      <c r="E118" s="669">
        <v>1.1861999999999999</v>
      </c>
      <c r="F118" s="669">
        <v>1.1861999999999999</v>
      </c>
      <c r="G118" s="669">
        <v>1.1861999999999999</v>
      </c>
      <c r="H118" s="669">
        <v>1.1861999999999999</v>
      </c>
      <c r="I118" s="669">
        <v>1.1200000000000001</v>
      </c>
      <c r="J118" s="669">
        <v>1.1200000000000001</v>
      </c>
      <c r="K118" s="669">
        <v>1.1200000000000001</v>
      </c>
      <c r="L118" s="669">
        <v>1.1200000000000001</v>
      </c>
      <c r="M118" s="669">
        <v>1.1200000000000001</v>
      </c>
    </row>
    <row r="119" spans="1:13">
      <c r="A119" s="662">
        <v>1.5</v>
      </c>
      <c r="B119" s="669">
        <v>1.2617</v>
      </c>
      <c r="C119" s="669">
        <v>1.2617</v>
      </c>
      <c r="D119" s="669">
        <v>1.1653</v>
      </c>
      <c r="E119" s="669">
        <v>1.1653</v>
      </c>
      <c r="F119" s="669">
        <v>1.1653</v>
      </c>
      <c r="G119" s="669">
        <v>1.1653</v>
      </c>
      <c r="H119" s="669">
        <v>1.1653</v>
      </c>
      <c r="I119" s="669">
        <v>1.0961000000000001</v>
      </c>
      <c r="J119" s="669">
        <v>1.0961000000000001</v>
      </c>
      <c r="K119" s="669">
        <v>1.0961000000000001</v>
      </c>
      <c r="L119" s="669">
        <v>1.0961000000000001</v>
      </c>
      <c r="M119" s="669">
        <v>1.0961000000000001</v>
      </c>
    </row>
    <row r="120" spans="1:13">
      <c r="A120" s="662">
        <v>1.6</v>
      </c>
      <c r="B120" s="669">
        <v>1.2423</v>
      </c>
      <c r="C120" s="669">
        <v>1.2423</v>
      </c>
      <c r="D120" s="669">
        <v>1.1453</v>
      </c>
      <c r="E120" s="669">
        <v>1.1453</v>
      </c>
      <c r="F120" s="669">
        <v>1.1453</v>
      </c>
      <c r="G120" s="669">
        <v>1.1453</v>
      </c>
      <c r="H120" s="669">
        <v>1.1453</v>
      </c>
      <c r="I120" s="669">
        <v>1.0740000000000001</v>
      </c>
      <c r="J120" s="669">
        <v>1.0740000000000001</v>
      </c>
      <c r="K120" s="669">
        <v>1.0740000000000001</v>
      </c>
      <c r="L120" s="669">
        <v>1.0740000000000001</v>
      </c>
      <c r="M120" s="669">
        <v>1.0740000000000001</v>
      </c>
    </row>
    <row r="121" spans="1:13">
      <c r="A121" s="662">
        <v>1.7</v>
      </c>
      <c r="B121" s="669">
        <v>1.2237</v>
      </c>
      <c r="C121" s="669">
        <v>1.2237</v>
      </c>
      <c r="D121" s="669">
        <v>1.1261000000000001</v>
      </c>
      <c r="E121" s="669">
        <v>1.1261000000000001</v>
      </c>
      <c r="F121" s="669">
        <v>1.1261000000000001</v>
      </c>
      <c r="G121" s="669">
        <v>1.1261000000000001</v>
      </c>
      <c r="H121" s="669">
        <v>1.1261000000000001</v>
      </c>
      <c r="I121" s="669">
        <v>1.0535000000000001</v>
      </c>
      <c r="J121" s="669">
        <v>1.0535000000000001</v>
      </c>
      <c r="K121" s="669">
        <v>1.0535000000000001</v>
      </c>
      <c r="L121" s="669">
        <v>1.0535000000000001</v>
      </c>
      <c r="M121" s="669">
        <v>1.0535000000000001</v>
      </c>
    </row>
    <row r="122" spans="1:13">
      <c r="A122" s="662">
        <v>1.8</v>
      </c>
      <c r="B122" s="669">
        <v>1.206</v>
      </c>
      <c r="C122" s="669">
        <v>1.206</v>
      </c>
      <c r="D122" s="669">
        <v>1.1076999999999999</v>
      </c>
      <c r="E122" s="669">
        <v>1.1076999999999999</v>
      </c>
      <c r="F122" s="669">
        <v>1.1076999999999999</v>
      </c>
      <c r="G122" s="669">
        <v>1.1076999999999999</v>
      </c>
      <c r="H122" s="669">
        <v>1.1076999999999999</v>
      </c>
      <c r="I122" s="669">
        <v>1.0345</v>
      </c>
      <c r="J122" s="669">
        <v>1.0345</v>
      </c>
      <c r="K122" s="669">
        <v>1.0345</v>
      </c>
      <c r="L122" s="669">
        <v>1.0345</v>
      </c>
      <c r="M122" s="669">
        <v>1.0345</v>
      </c>
    </row>
    <row r="123" spans="1:13">
      <c r="A123" s="662">
        <v>1.9</v>
      </c>
      <c r="B123" s="669">
        <v>1.1891</v>
      </c>
      <c r="C123" s="669">
        <v>1.1891</v>
      </c>
      <c r="D123" s="669">
        <v>1.0901000000000001</v>
      </c>
      <c r="E123" s="669">
        <v>1.0901000000000001</v>
      </c>
      <c r="F123" s="669">
        <v>1.0901000000000001</v>
      </c>
      <c r="G123" s="669">
        <v>1.0901000000000001</v>
      </c>
      <c r="H123" s="669">
        <v>1.0901000000000001</v>
      </c>
      <c r="I123" s="669">
        <v>1.0166999999999999</v>
      </c>
      <c r="J123" s="669">
        <v>1.0166999999999999</v>
      </c>
      <c r="K123" s="669">
        <v>1.0166999999999999</v>
      </c>
      <c r="L123" s="669">
        <v>1.0166999999999999</v>
      </c>
      <c r="M123" s="669">
        <v>1.0166999999999999</v>
      </c>
    </row>
    <row r="124" spans="1:13">
      <c r="A124" s="662">
        <v>2</v>
      </c>
      <c r="B124" s="669">
        <v>1.1729000000000001</v>
      </c>
      <c r="C124" s="669">
        <v>1.1729000000000001</v>
      </c>
      <c r="D124" s="669">
        <v>1.0732999999999999</v>
      </c>
      <c r="E124" s="669">
        <v>1.0732999999999999</v>
      </c>
      <c r="F124" s="669">
        <v>1.0732999999999999</v>
      </c>
      <c r="G124" s="669">
        <v>1.0732999999999999</v>
      </c>
      <c r="H124" s="669">
        <v>1.0732999999999999</v>
      </c>
      <c r="I124" s="669">
        <v>1</v>
      </c>
      <c r="J124" s="669">
        <v>1</v>
      </c>
      <c r="K124" s="669">
        <v>1</v>
      </c>
      <c r="L124" s="669">
        <v>1</v>
      </c>
      <c r="M124" s="669">
        <v>1</v>
      </c>
    </row>
    <row r="125" spans="1:13">
      <c r="A125" s="677">
        <v>2.1</v>
      </c>
      <c r="B125" s="669">
        <v>1.1574</v>
      </c>
      <c r="C125" s="669">
        <v>1.1574</v>
      </c>
      <c r="D125" s="669">
        <v>1.0571999999999999</v>
      </c>
      <c r="E125" s="669">
        <v>1.0571999999999999</v>
      </c>
      <c r="F125" s="669">
        <v>1.0571999999999999</v>
      </c>
      <c r="G125" s="669">
        <v>1.0571999999999999</v>
      </c>
      <c r="H125" s="669">
        <v>1.0571999999999999</v>
      </c>
      <c r="I125" s="669">
        <v>0.98409999999999997</v>
      </c>
      <c r="J125" s="669">
        <v>0.98409999999999997</v>
      </c>
      <c r="K125" s="669">
        <v>0.98409999999999997</v>
      </c>
      <c r="L125" s="669">
        <v>0.98409999999999997</v>
      </c>
      <c r="M125" s="669">
        <v>0.98409999999999997</v>
      </c>
    </row>
    <row r="126" spans="1:13">
      <c r="A126" s="677">
        <v>2.2000000000000002</v>
      </c>
      <c r="B126" s="669">
        <v>1.1426000000000001</v>
      </c>
      <c r="C126" s="669">
        <v>1.1426000000000001</v>
      </c>
      <c r="D126" s="669">
        <v>1.0419</v>
      </c>
      <c r="E126" s="669">
        <v>1.0419</v>
      </c>
      <c r="F126" s="669">
        <v>1.0419</v>
      </c>
      <c r="G126" s="669">
        <v>1.0419</v>
      </c>
      <c r="H126" s="669">
        <v>1.0419</v>
      </c>
      <c r="I126" s="669">
        <v>0.96889999999999998</v>
      </c>
      <c r="J126" s="669">
        <v>0.96889999999999998</v>
      </c>
      <c r="K126" s="669">
        <v>0.96889999999999998</v>
      </c>
      <c r="L126" s="669">
        <v>0.96889999999999998</v>
      </c>
      <c r="M126" s="669">
        <v>0.96889999999999998</v>
      </c>
    </row>
    <row r="127" spans="1:13">
      <c r="A127" s="677">
        <v>2.2999999999999998</v>
      </c>
      <c r="B127" s="669">
        <v>1.1285000000000001</v>
      </c>
      <c r="C127" s="669">
        <v>1.1285000000000001</v>
      </c>
      <c r="D127" s="669">
        <v>1.0271999999999999</v>
      </c>
      <c r="E127" s="669">
        <v>1.0271999999999999</v>
      </c>
      <c r="F127" s="669">
        <v>1.0271999999999999</v>
      </c>
      <c r="G127" s="669">
        <v>1.0271999999999999</v>
      </c>
      <c r="H127" s="669">
        <v>1.0271999999999999</v>
      </c>
      <c r="I127" s="669">
        <v>0.95440000000000003</v>
      </c>
      <c r="J127" s="669">
        <v>0.95440000000000003</v>
      </c>
      <c r="K127" s="669">
        <v>0.95440000000000003</v>
      </c>
      <c r="L127" s="669">
        <v>0.95440000000000003</v>
      </c>
      <c r="M127" s="669">
        <v>0.95440000000000003</v>
      </c>
    </row>
    <row r="128" spans="1:13">
      <c r="A128" s="677">
        <v>2.4</v>
      </c>
      <c r="B128" s="669">
        <v>1.1149</v>
      </c>
      <c r="C128" s="669">
        <v>1.1149</v>
      </c>
      <c r="D128" s="669">
        <v>1.0133000000000001</v>
      </c>
      <c r="E128" s="669">
        <v>1.0133000000000001</v>
      </c>
      <c r="F128" s="669">
        <v>1.0133000000000001</v>
      </c>
      <c r="G128" s="669">
        <v>1.0133000000000001</v>
      </c>
      <c r="H128" s="669">
        <v>1.0133000000000001</v>
      </c>
      <c r="I128" s="669">
        <v>0.9405</v>
      </c>
      <c r="J128" s="669">
        <v>0.9405</v>
      </c>
      <c r="K128" s="669">
        <v>0.9405</v>
      </c>
      <c r="L128" s="669">
        <v>0.9405</v>
      </c>
      <c r="M128" s="669">
        <v>0.9405</v>
      </c>
    </row>
    <row r="129" spans="1:13">
      <c r="A129" s="677">
        <v>2.5</v>
      </c>
      <c r="B129" s="669">
        <v>1.1020000000000001</v>
      </c>
      <c r="C129" s="669">
        <v>1.1020000000000001</v>
      </c>
      <c r="D129" s="669">
        <v>1</v>
      </c>
      <c r="E129" s="669">
        <v>1</v>
      </c>
      <c r="F129" s="669">
        <v>1</v>
      </c>
      <c r="G129" s="669">
        <v>1</v>
      </c>
      <c r="H129" s="669">
        <v>1</v>
      </c>
      <c r="I129" s="669">
        <v>0.92730000000000001</v>
      </c>
      <c r="J129" s="669">
        <v>0.92730000000000001</v>
      </c>
      <c r="K129" s="669">
        <v>0.92730000000000001</v>
      </c>
      <c r="L129" s="669">
        <v>0.92730000000000001</v>
      </c>
      <c r="M129" s="669">
        <v>0.92730000000000001</v>
      </c>
    </row>
    <row r="130" spans="1:13">
      <c r="A130" s="677">
        <v>2.6</v>
      </c>
      <c r="B130" s="669">
        <v>1.0895999999999999</v>
      </c>
      <c r="C130" s="669">
        <v>1.0895999999999999</v>
      </c>
      <c r="D130" s="669">
        <v>0.98740000000000006</v>
      </c>
      <c r="E130" s="669">
        <v>0.98740000000000006</v>
      </c>
      <c r="F130" s="669">
        <v>0.98740000000000006</v>
      </c>
      <c r="G130" s="669">
        <v>0.98740000000000006</v>
      </c>
      <c r="H130" s="669">
        <v>0.98740000000000006</v>
      </c>
      <c r="I130" s="669">
        <v>0.91469999999999996</v>
      </c>
      <c r="J130" s="669">
        <v>0.91469999999999996</v>
      </c>
      <c r="K130" s="669">
        <v>0.91469999999999996</v>
      </c>
      <c r="L130" s="669">
        <v>0.91469999999999996</v>
      </c>
      <c r="M130" s="669">
        <v>0.91469999999999996</v>
      </c>
    </row>
    <row r="131" spans="1:13">
      <c r="A131" s="677">
        <v>2.7</v>
      </c>
      <c r="B131" s="669">
        <v>1.0778000000000001</v>
      </c>
      <c r="C131" s="669">
        <v>1.0778000000000001</v>
      </c>
      <c r="D131" s="669">
        <v>0.97540000000000004</v>
      </c>
      <c r="E131" s="669">
        <v>0.97540000000000004</v>
      </c>
      <c r="F131" s="669">
        <v>0.97540000000000004</v>
      </c>
      <c r="G131" s="669">
        <v>0.97540000000000004</v>
      </c>
      <c r="H131" s="669">
        <v>0.97540000000000004</v>
      </c>
      <c r="I131" s="669">
        <v>0.90269999999999995</v>
      </c>
      <c r="J131" s="669">
        <v>0.90269999999999995</v>
      </c>
      <c r="K131" s="669">
        <v>0.90269999999999995</v>
      </c>
      <c r="L131" s="669">
        <v>0.90269999999999995</v>
      </c>
      <c r="M131" s="669">
        <v>0.90269999999999995</v>
      </c>
    </row>
    <row r="132" spans="1:13">
      <c r="A132" s="677">
        <v>2.8</v>
      </c>
      <c r="B132" s="669">
        <v>1.0665</v>
      </c>
      <c r="C132" s="669">
        <v>1.0665</v>
      </c>
      <c r="D132" s="669">
        <v>0.96399999999999997</v>
      </c>
      <c r="E132" s="669">
        <v>0.96399999999999997</v>
      </c>
      <c r="F132" s="669">
        <v>0.96399999999999997</v>
      </c>
      <c r="G132" s="669">
        <v>0.96399999999999997</v>
      </c>
      <c r="H132" s="669">
        <v>0.96399999999999997</v>
      </c>
      <c r="I132" s="669">
        <v>0.89119999999999999</v>
      </c>
      <c r="J132" s="669">
        <v>0.89119999999999999</v>
      </c>
      <c r="K132" s="669">
        <v>0.89119999999999999</v>
      </c>
      <c r="L132" s="669">
        <v>0.89119999999999999</v>
      </c>
      <c r="M132" s="669">
        <v>0.89119999999999999</v>
      </c>
    </row>
    <row r="133" spans="1:13">
      <c r="A133" s="677">
        <v>2.9</v>
      </c>
      <c r="B133" s="669">
        <v>1.0556000000000001</v>
      </c>
      <c r="C133" s="669">
        <v>1.0556000000000001</v>
      </c>
      <c r="D133" s="669">
        <v>0.95330000000000004</v>
      </c>
      <c r="E133" s="669">
        <v>0.95330000000000004</v>
      </c>
      <c r="F133" s="669">
        <v>0.95330000000000004</v>
      </c>
      <c r="G133" s="669">
        <v>0.95330000000000004</v>
      </c>
      <c r="H133" s="669">
        <v>0.95330000000000004</v>
      </c>
      <c r="I133" s="669">
        <v>0.88019999999999998</v>
      </c>
      <c r="J133" s="669">
        <v>0.88019999999999998</v>
      </c>
      <c r="K133" s="669">
        <v>0.88019999999999998</v>
      </c>
      <c r="L133" s="669">
        <v>0.88019999999999998</v>
      </c>
      <c r="M133" s="669">
        <v>0.88019999999999998</v>
      </c>
    </row>
    <row r="134" spans="1:13">
      <c r="A134" s="677">
        <v>3</v>
      </c>
      <c r="B134" s="669">
        <v>1.0452999999999999</v>
      </c>
      <c r="C134" s="669">
        <v>1.0452999999999999</v>
      </c>
      <c r="D134" s="669">
        <v>0.94299999999999995</v>
      </c>
      <c r="E134" s="669">
        <v>0.94299999999999995</v>
      </c>
      <c r="F134" s="669">
        <v>0.94299999999999995</v>
      </c>
      <c r="G134" s="669">
        <v>0.94299999999999995</v>
      </c>
      <c r="H134" s="669">
        <v>0.94299999999999995</v>
      </c>
      <c r="I134" s="669">
        <v>0.86970000000000003</v>
      </c>
      <c r="J134" s="669">
        <v>0.86970000000000003</v>
      </c>
      <c r="K134" s="669">
        <v>0.86970000000000003</v>
      </c>
      <c r="L134" s="669">
        <v>0.86970000000000003</v>
      </c>
      <c r="M134" s="669">
        <v>0.86970000000000003</v>
      </c>
    </row>
    <row r="135" spans="1:13">
      <c r="A135" s="677">
        <v>3.1</v>
      </c>
      <c r="B135" s="669">
        <v>1.0354000000000001</v>
      </c>
      <c r="C135" s="669">
        <v>1.0354000000000001</v>
      </c>
      <c r="D135" s="669">
        <v>0.93330000000000002</v>
      </c>
      <c r="E135" s="669">
        <v>0.93330000000000002</v>
      </c>
      <c r="F135" s="669">
        <v>0.93330000000000002</v>
      </c>
      <c r="G135" s="669">
        <v>0.93330000000000002</v>
      </c>
      <c r="H135" s="669">
        <v>0.93330000000000002</v>
      </c>
      <c r="I135" s="669">
        <v>0.85970000000000002</v>
      </c>
      <c r="J135" s="669">
        <v>0.85970000000000002</v>
      </c>
      <c r="K135" s="669">
        <v>0.85970000000000002</v>
      </c>
      <c r="L135" s="669">
        <v>0.85970000000000002</v>
      </c>
      <c r="M135" s="669">
        <v>0.85970000000000002</v>
      </c>
    </row>
    <row r="136" spans="1:13">
      <c r="A136" s="677">
        <v>3.2</v>
      </c>
      <c r="B136" s="669">
        <v>1.0259</v>
      </c>
      <c r="C136" s="669">
        <v>1.0259</v>
      </c>
      <c r="D136" s="669">
        <v>0.92410000000000003</v>
      </c>
      <c r="E136" s="669">
        <v>0.92410000000000003</v>
      </c>
      <c r="F136" s="669">
        <v>0.92410000000000003</v>
      </c>
      <c r="G136" s="669">
        <v>0.92410000000000003</v>
      </c>
      <c r="H136" s="669">
        <v>0.92410000000000003</v>
      </c>
      <c r="I136" s="669">
        <v>0.85019999999999996</v>
      </c>
      <c r="J136" s="669">
        <v>0.85019999999999996</v>
      </c>
      <c r="K136" s="669">
        <v>0.85019999999999996</v>
      </c>
      <c r="L136" s="669">
        <v>0.85019999999999996</v>
      </c>
      <c r="M136" s="669">
        <v>0.85019999999999996</v>
      </c>
    </row>
    <row r="137" spans="1:13">
      <c r="A137" s="677">
        <v>3.3</v>
      </c>
      <c r="B137" s="669">
        <v>1.0168999999999999</v>
      </c>
      <c r="C137" s="669">
        <v>1.0168999999999999</v>
      </c>
      <c r="D137" s="669">
        <v>0.91539999999999999</v>
      </c>
      <c r="E137" s="669">
        <v>0.91539999999999999</v>
      </c>
      <c r="F137" s="669">
        <v>0.91539999999999999</v>
      </c>
      <c r="G137" s="669">
        <v>0.91539999999999999</v>
      </c>
      <c r="H137" s="669">
        <v>0.91539999999999999</v>
      </c>
      <c r="I137" s="669">
        <v>0.84109999999999996</v>
      </c>
      <c r="J137" s="669">
        <v>0.84109999999999996</v>
      </c>
      <c r="K137" s="669">
        <v>0.84109999999999996</v>
      </c>
      <c r="L137" s="669">
        <v>0.84109999999999996</v>
      </c>
      <c r="M137" s="669">
        <v>0.84109999999999996</v>
      </c>
    </row>
    <row r="138" spans="1:13">
      <c r="A138" s="677">
        <v>3.4</v>
      </c>
      <c r="B138" s="669">
        <v>1.0082</v>
      </c>
      <c r="C138" s="669">
        <v>1.0082</v>
      </c>
      <c r="D138" s="669">
        <v>0.90710000000000002</v>
      </c>
      <c r="E138" s="669">
        <v>0.90710000000000002</v>
      </c>
      <c r="F138" s="669">
        <v>0.90710000000000002</v>
      </c>
      <c r="G138" s="669">
        <v>0.90710000000000002</v>
      </c>
      <c r="H138" s="669">
        <v>0.90710000000000002</v>
      </c>
      <c r="I138" s="669">
        <v>0.83240000000000003</v>
      </c>
      <c r="J138" s="669">
        <v>0.83240000000000003</v>
      </c>
      <c r="K138" s="669">
        <v>0.83240000000000003</v>
      </c>
      <c r="L138" s="669">
        <v>0.83240000000000003</v>
      </c>
      <c r="M138" s="669">
        <v>0.83240000000000003</v>
      </c>
    </row>
    <row r="139" spans="1:13">
      <c r="A139" s="677">
        <v>3.5</v>
      </c>
      <c r="B139" s="669">
        <v>1</v>
      </c>
      <c r="C139" s="669">
        <v>1</v>
      </c>
      <c r="D139" s="669">
        <v>0.89929999999999999</v>
      </c>
      <c r="E139" s="669">
        <v>0.89929999999999999</v>
      </c>
      <c r="F139" s="669">
        <v>0.89929999999999999</v>
      </c>
      <c r="G139" s="669">
        <v>0.89929999999999999</v>
      </c>
      <c r="H139" s="669">
        <v>0.89929999999999999</v>
      </c>
      <c r="I139" s="669">
        <v>0.82410000000000005</v>
      </c>
      <c r="J139" s="669">
        <v>0.82410000000000005</v>
      </c>
      <c r="K139" s="669">
        <v>0.82410000000000005</v>
      </c>
      <c r="L139" s="669">
        <v>0.82410000000000005</v>
      </c>
      <c r="M139" s="669">
        <v>0.82410000000000005</v>
      </c>
    </row>
    <row r="140" spans="1:13">
      <c r="A140" s="677">
        <v>3.6</v>
      </c>
      <c r="B140" s="669">
        <v>0.99219999999999997</v>
      </c>
      <c r="C140" s="669">
        <v>0.99219999999999997</v>
      </c>
      <c r="D140" s="669">
        <v>0.89190000000000003</v>
      </c>
      <c r="E140" s="669">
        <v>0.89190000000000003</v>
      </c>
      <c r="F140" s="669">
        <v>0.89190000000000003</v>
      </c>
      <c r="G140" s="669">
        <v>0.89190000000000003</v>
      </c>
      <c r="H140" s="669">
        <v>0.89190000000000003</v>
      </c>
      <c r="I140" s="669">
        <v>0.81620000000000004</v>
      </c>
      <c r="J140" s="669">
        <v>0.81620000000000004</v>
      </c>
      <c r="K140" s="669">
        <v>0.81620000000000004</v>
      </c>
      <c r="L140" s="669">
        <v>0.81620000000000004</v>
      </c>
      <c r="M140" s="669">
        <v>0.81620000000000004</v>
      </c>
    </row>
    <row r="141" spans="1:13">
      <c r="A141" s="677">
        <v>3.7</v>
      </c>
      <c r="B141" s="669">
        <v>0.98480000000000001</v>
      </c>
      <c r="C141" s="669">
        <v>0.98480000000000001</v>
      </c>
      <c r="D141" s="669">
        <v>0.88480000000000003</v>
      </c>
      <c r="E141" s="669">
        <v>0.88480000000000003</v>
      </c>
      <c r="F141" s="669">
        <v>0.88480000000000003</v>
      </c>
      <c r="G141" s="669">
        <v>0.88480000000000003</v>
      </c>
      <c r="H141" s="669">
        <v>0.88480000000000003</v>
      </c>
      <c r="I141" s="669">
        <v>0.80869999999999997</v>
      </c>
      <c r="J141" s="669">
        <v>0.80869999999999997</v>
      </c>
      <c r="K141" s="669">
        <v>0.80869999999999997</v>
      </c>
      <c r="L141" s="669">
        <v>0.80869999999999997</v>
      </c>
      <c r="M141" s="669">
        <v>0.80869999999999997</v>
      </c>
    </row>
    <row r="142" spans="1:13">
      <c r="A142" s="677">
        <v>3.8</v>
      </c>
      <c r="B142" s="669">
        <v>0.9778</v>
      </c>
      <c r="C142" s="669">
        <v>0.9778</v>
      </c>
      <c r="D142" s="669">
        <v>0.87809999999999999</v>
      </c>
      <c r="E142" s="669">
        <v>0.87809999999999999</v>
      </c>
      <c r="F142" s="669">
        <v>0.87809999999999999</v>
      </c>
      <c r="G142" s="669">
        <v>0.87809999999999999</v>
      </c>
      <c r="H142" s="669">
        <v>0.87809999999999999</v>
      </c>
      <c r="I142" s="669">
        <v>0.80159999999999998</v>
      </c>
      <c r="J142" s="669">
        <v>0.80159999999999998</v>
      </c>
      <c r="K142" s="669">
        <v>0.80159999999999998</v>
      </c>
      <c r="L142" s="669">
        <v>0.80159999999999998</v>
      </c>
      <c r="M142" s="669">
        <v>0.80159999999999998</v>
      </c>
    </row>
    <row r="143" spans="1:13">
      <c r="A143" s="677">
        <v>3.9</v>
      </c>
      <c r="B143" s="669">
        <v>0.97119999999999995</v>
      </c>
      <c r="C143" s="669">
        <v>0.97119999999999995</v>
      </c>
      <c r="D143" s="669">
        <v>0.87180000000000002</v>
      </c>
      <c r="E143" s="669">
        <v>0.87180000000000002</v>
      </c>
      <c r="F143" s="669">
        <v>0.87180000000000002</v>
      </c>
      <c r="G143" s="669">
        <v>0.87180000000000002</v>
      </c>
      <c r="H143" s="669">
        <v>0.87180000000000002</v>
      </c>
      <c r="I143" s="669">
        <v>0.79479999999999995</v>
      </c>
      <c r="J143" s="669">
        <v>0.79479999999999995</v>
      </c>
      <c r="K143" s="669">
        <v>0.79479999999999995</v>
      </c>
      <c r="L143" s="669">
        <v>0.79479999999999995</v>
      </c>
      <c r="M143" s="669">
        <v>0.79479999999999995</v>
      </c>
    </row>
    <row r="144" spans="1:13">
      <c r="A144" s="677">
        <v>4</v>
      </c>
      <c r="B144" s="669">
        <v>0.96499999999999997</v>
      </c>
      <c r="C144" s="669">
        <v>0.96499999999999997</v>
      </c>
      <c r="D144" s="669">
        <v>0.86580000000000001</v>
      </c>
      <c r="E144" s="669">
        <v>0.86580000000000001</v>
      </c>
      <c r="F144" s="669">
        <v>0.86580000000000001</v>
      </c>
      <c r="G144" s="669">
        <v>0.86580000000000001</v>
      </c>
      <c r="H144" s="669">
        <v>0.86580000000000001</v>
      </c>
      <c r="I144" s="669">
        <v>0.7883</v>
      </c>
      <c r="J144" s="669">
        <v>0.7883</v>
      </c>
      <c r="K144" s="669">
        <v>0.7883</v>
      </c>
      <c r="L144" s="669">
        <v>0.7883</v>
      </c>
      <c r="M144" s="669">
        <v>0.7883</v>
      </c>
    </row>
    <row r="145" spans="1:13">
      <c r="A145" s="677">
        <v>4.0999999999999996</v>
      </c>
      <c r="B145" s="669">
        <v>0.95909999999999995</v>
      </c>
      <c r="C145" s="669">
        <v>0.95909999999999995</v>
      </c>
      <c r="D145" s="669">
        <v>0.86009999999999998</v>
      </c>
      <c r="E145" s="669">
        <v>0.86009999999999998</v>
      </c>
      <c r="F145" s="669">
        <v>0.86009999999999998</v>
      </c>
      <c r="G145" s="669">
        <v>0.86009999999999998</v>
      </c>
      <c r="H145" s="669">
        <v>0.86009999999999998</v>
      </c>
      <c r="I145" s="669">
        <v>0.78200000000000003</v>
      </c>
      <c r="J145" s="669">
        <v>0.78200000000000003</v>
      </c>
      <c r="K145" s="669">
        <v>0.78200000000000003</v>
      </c>
      <c r="L145" s="669">
        <v>0.78200000000000003</v>
      </c>
      <c r="M145" s="669">
        <v>0.78200000000000003</v>
      </c>
    </row>
    <row r="146" spans="1:13">
      <c r="A146" s="677">
        <v>4.2</v>
      </c>
      <c r="B146" s="669">
        <v>0.95350000000000001</v>
      </c>
      <c r="C146" s="669">
        <v>0.95350000000000001</v>
      </c>
      <c r="D146" s="669">
        <v>0.85470000000000002</v>
      </c>
      <c r="E146" s="669">
        <v>0.85470000000000002</v>
      </c>
      <c r="F146" s="669">
        <v>0.85470000000000002</v>
      </c>
      <c r="G146" s="669">
        <v>0.85470000000000002</v>
      </c>
      <c r="H146" s="669">
        <v>0.85470000000000002</v>
      </c>
      <c r="I146" s="669">
        <v>0.77600000000000002</v>
      </c>
      <c r="J146" s="669">
        <v>0.77600000000000002</v>
      </c>
      <c r="K146" s="669">
        <v>0.77600000000000002</v>
      </c>
      <c r="L146" s="669">
        <v>0.77600000000000002</v>
      </c>
      <c r="M146" s="669">
        <v>0.77600000000000002</v>
      </c>
    </row>
    <row r="147" spans="1:13">
      <c r="A147" s="677">
        <v>4.3</v>
      </c>
      <c r="B147" s="669">
        <v>0.94820000000000004</v>
      </c>
      <c r="C147" s="669">
        <v>0.94820000000000004</v>
      </c>
      <c r="D147" s="669">
        <v>0.84960000000000002</v>
      </c>
      <c r="E147" s="669">
        <v>0.84960000000000002</v>
      </c>
      <c r="F147" s="669">
        <v>0.84960000000000002</v>
      </c>
      <c r="G147" s="669">
        <v>0.84960000000000002</v>
      </c>
      <c r="H147" s="669">
        <v>0.84960000000000002</v>
      </c>
      <c r="I147" s="669">
        <v>0.77029999999999998</v>
      </c>
      <c r="J147" s="669">
        <v>0.77029999999999998</v>
      </c>
      <c r="K147" s="669">
        <v>0.77029999999999998</v>
      </c>
      <c r="L147" s="669">
        <v>0.77029999999999998</v>
      </c>
      <c r="M147" s="669">
        <v>0.77029999999999998</v>
      </c>
    </row>
    <row r="148" spans="1:13">
      <c r="A148" s="677">
        <v>4.4000000000000004</v>
      </c>
      <c r="B148" s="669">
        <v>0.94320000000000004</v>
      </c>
      <c r="C148" s="669">
        <v>0.94320000000000004</v>
      </c>
      <c r="D148" s="669">
        <v>0.8448</v>
      </c>
      <c r="E148" s="669">
        <v>0.8448</v>
      </c>
      <c r="F148" s="669">
        <v>0.8448</v>
      </c>
      <c r="G148" s="669">
        <v>0.8448</v>
      </c>
      <c r="H148" s="669">
        <v>0.8448</v>
      </c>
      <c r="I148" s="669">
        <v>0.76490000000000002</v>
      </c>
      <c r="J148" s="669">
        <v>0.76490000000000002</v>
      </c>
      <c r="K148" s="669">
        <v>0.76490000000000002</v>
      </c>
      <c r="L148" s="669">
        <v>0.76490000000000002</v>
      </c>
      <c r="M148" s="669">
        <v>0.76490000000000002</v>
      </c>
    </row>
    <row r="149" spans="1:13">
      <c r="A149" s="677">
        <v>4.5</v>
      </c>
      <c r="B149" s="669">
        <v>0.9385</v>
      </c>
      <c r="C149" s="669">
        <v>0.9385</v>
      </c>
      <c r="D149" s="669">
        <v>0.84019999999999995</v>
      </c>
      <c r="E149" s="669">
        <v>0.84019999999999995</v>
      </c>
      <c r="F149" s="669">
        <v>0.84019999999999995</v>
      </c>
      <c r="G149" s="669">
        <v>0.84019999999999995</v>
      </c>
      <c r="H149" s="669">
        <v>0.84019999999999995</v>
      </c>
      <c r="I149" s="669">
        <v>0.75970000000000004</v>
      </c>
      <c r="J149" s="669">
        <v>0.75970000000000004</v>
      </c>
      <c r="K149" s="669">
        <v>0.75970000000000004</v>
      </c>
      <c r="L149" s="669">
        <v>0.75970000000000004</v>
      </c>
      <c r="M149" s="669">
        <v>0.75970000000000004</v>
      </c>
    </row>
    <row r="150" spans="1:13">
      <c r="A150" s="677">
        <v>4.5999999999999996</v>
      </c>
      <c r="B150" s="669">
        <v>0.93410000000000004</v>
      </c>
      <c r="C150" s="669">
        <v>0.93410000000000004</v>
      </c>
      <c r="D150" s="669">
        <v>0.83579999999999999</v>
      </c>
      <c r="E150" s="669">
        <v>0.83579999999999999</v>
      </c>
      <c r="F150" s="669">
        <v>0.83579999999999999</v>
      </c>
      <c r="G150" s="669">
        <v>0.83579999999999999</v>
      </c>
      <c r="H150" s="669">
        <v>0.83579999999999999</v>
      </c>
      <c r="I150" s="669">
        <v>0.75470000000000004</v>
      </c>
      <c r="J150" s="669">
        <v>0.75470000000000004</v>
      </c>
      <c r="K150" s="669">
        <v>0.75470000000000004</v>
      </c>
      <c r="L150" s="669">
        <v>0.75470000000000004</v>
      </c>
      <c r="M150" s="669">
        <v>0.75470000000000004</v>
      </c>
    </row>
    <row r="151" spans="1:13">
      <c r="A151" s="677">
        <v>4.7</v>
      </c>
      <c r="B151" s="669">
        <v>0.92989999999999995</v>
      </c>
      <c r="C151" s="669">
        <v>0.92989999999999995</v>
      </c>
      <c r="D151" s="669">
        <v>0.83160000000000001</v>
      </c>
      <c r="E151" s="669">
        <v>0.83160000000000001</v>
      </c>
      <c r="F151" s="669">
        <v>0.83160000000000001</v>
      </c>
      <c r="G151" s="669">
        <v>0.83160000000000001</v>
      </c>
      <c r="H151" s="669">
        <v>0.83160000000000001</v>
      </c>
      <c r="I151" s="669">
        <v>0.74990000000000001</v>
      </c>
      <c r="J151" s="669">
        <v>0.74990000000000001</v>
      </c>
      <c r="K151" s="669">
        <v>0.74990000000000001</v>
      </c>
      <c r="L151" s="669">
        <v>0.74990000000000001</v>
      </c>
      <c r="M151" s="669">
        <v>0.74990000000000001</v>
      </c>
    </row>
    <row r="152" spans="1:13">
      <c r="A152" s="677">
        <v>4.8</v>
      </c>
      <c r="B152" s="669">
        <v>0.92589999999999995</v>
      </c>
      <c r="C152" s="669">
        <v>0.92589999999999995</v>
      </c>
      <c r="D152" s="669">
        <v>0.82769999999999999</v>
      </c>
      <c r="E152" s="669">
        <v>0.82769999999999999</v>
      </c>
      <c r="F152" s="669">
        <v>0.82769999999999999</v>
      </c>
      <c r="G152" s="669">
        <v>0.82769999999999999</v>
      </c>
      <c r="H152" s="669">
        <v>0.82769999999999999</v>
      </c>
      <c r="I152" s="669">
        <v>0.74529999999999996</v>
      </c>
      <c r="J152" s="669">
        <v>0.74529999999999996</v>
      </c>
      <c r="K152" s="669">
        <v>0.74529999999999996</v>
      </c>
      <c r="L152" s="669">
        <v>0.74529999999999996</v>
      </c>
      <c r="M152" s="669">
        <v>0.74529999999999996</v>
      </c>
    </row>
    <row r="153" spans="1:13">
      <c r="A153" s="677">
        <v>4.9000000000000004</v>
      </c>
      <c r="B153" s="669">
        <v>0.92210000000000003</v>
      </c>
      <c r="C153" s="669">
        <v>0.92210000000000003</v>
      </c>
      <c r="D153" s="669">
        <v>0.82389999999999997</v>
      </c>
      <c r="E153" s="669">
        <v>0.82389999999999997</v>
      </c>
      <c r="F153" s="669">
        <v>0.82389999999999997</v>
      </c>
      <c r="G153" s="669">
        <v>0.82389999999999997</v>
      </c>
      <c r="H153" s="669">
        <v>0.82389999999999997</v>
      </c>
      <c r="I153" s="669">
        <v>0.7409</v>
      </c>
      <c r="J153" s="669">
        <v>0.7409</v>
      </c>
      <c r="K153" s="669">
        <v>0.7409</v>
      </c>
      <c r="L153" s="669">
        <v>0.7409</v>
      </c>
      <c r="M153" s="669">
        <v>0.7409</v>
      </c>
    </row>
    <row r="154" spans="1:13">
      <c r="A154" s="677">
        <v>5</v>
      </c>
      <c r="B154" s="669">
        <v>0.91849999999999998</v>
      </c>
      <c r="C154" s="669">
        <v>0.91849999999999998</v>
      </c>
      <c r="D154" s="669">
        <v>0.82030000000000003</v>
      </c>
      <c r="E154" s="669">
        <v>0.82030000000000003</v>
      </c>
      <c r="F154" s="669">
        <v>0.82030000000000003</v>
      </c>
      <c r="G154" s="669">
        <v>0.82030000000000003</v>
      </c>
      <c r="H154" s="669">
        <v>0.82030000000000003</v>
      </c>
      <c r="I154" s="669">
        <v>0.73670000000000002</v>
      </c>
      <c r="J154" s="669">
        <v>0.73670000000000002</v>
      </c>
      <c r="K154" s="669">
        <v>0.73670000000000002</v>
      </c>
      <c r="L154" s="669">
        <v>0.73670000000000002</v>
      </c>
      <c r="M154" s="669">
        <v>0.73670000000000002</v>
      </c>
    </row>
    <row r="155" spans="1:13">
      <c r="A155" s="662">
        <v>5.0999999999999996</v>
      </c>
      <c r="B155" s="669">
        <v>0.91510000000000002</v>
      </c>
      <c r="C155" s="669">
        <v>0.91510000000000002</v>
      </c>
      <c r="D155" s="669">
        <v>0.81689999999999996</v>
      </c>
      <c r="E155" s="669">
        <v>0.81689999999999996</v>
      </c>
      <c r="F155" s="669">
        <v>0.81689999999999996</v>
      </c>
      <c r="G155" s="669">
        <v>0.81689999999999996</v>
      </c>
      <c r="H155" s="669">
        <v>0.81689999999999996</v>
      </c>
      <c r="I155" s="669">
        <v>0.73270000000000002</v>
      </c>
      <c r="J155" s="669">
        <v>0.73270000000000002</v>
      </c>
      <c r="K155" s="669">
        <v>0.73270000000000002</v>
      </c>
      <c r="L155" s="669">
        <v>0.73270000000000002</v>
      </c>
      <c r="M155" s="669">
        <v>0.73270000000000002</v>
      </c>
    </row>
    <row r="156" spans="1:13">
      <c r="A156" s="662">
        <v>5.2</v>
      </c>
      <c r="B156" s="669">
        <v>0.91190000000000004</v>
      </c>
      <c r="C156" s="669">
        <v>0.91190000000000004</v>
      </c>
      <c r="D156" s="669">
        <v>0.81359999999999999</v>
      </c>
      <c r="E156" s="669">
        <v>0.81359999999999999</v>
      </c>
      <c r="F156" s="669">
        <v>0.81359999999999999</v>
      </c>
      <c r="G156" s="669">
        <v>0.81359999999999999</v>
      </c>
      <c r="H156" s="669">
        <v>0.81359999999999999</v>
      </c>
      <c r="I156" s="669">
        <v>0.72889999999999999</v>
      </c>
      <c r="J156" s="669">
        <v>0.72889999999999999</v>
      </c>
      <c r="K156" s="669">
        <v>0.72889999999999999</v>
      </c>
      <c r="L156" s="669">
        <v>0.72889999999999999</v>
      </c>
      <c r="M156" s="669">
        <v>0.72889999999999999</v>
      </c>
    </row>
    <row r="157" spans="1:13">
      <c r="A157" s="662">
        <v>5.3</v>
      </c>
      <c r="B157" s="669">
        <v>0.90880000000000005</v>
      </c>
      <c r="C157" s="669">
        <v>0.90880000000000005</v>
      </c>
      <c r="D157" s="669">
        <v>0.8105</v>
      </c>
      <c r="E157" s="669">
        <v>0.8105</v>
      </c>
      <c r="F157" s="669">
        <v>0.8105</v>
      </c>
      <c r="G157" s="669">
        <v>0.8105</v>
      </c>
      <c r="H157" s="669">
        <v>0.8105</v>
      </c>
      <c r="I157" s="669">
        <v>0.72529999999999994</v>
      </c>
      <c r="J157" s="669">
        <v>0.72529999999999994</v>
      </c>
      <c r="K157" s="669">
        <v>0.72529999999999994</v>
      </c>
      <c r="L157" s="669">
        <v>0.72529999999999994</v>
      </c>
      <c r="M157" s="669">
        <v>0.72529999999999994</v>
      </c>
    </row>
    <row r="158" spans="1:13">
      <c r="A158" s="662">
        <v>5.4</v>
      </c>
      <c r="B158" s="669">
        <v>0.90580000000000005</v>
      </c>
      <c r="C158" s="669">
        <v>0.90580000000000005</v>
      </c>
      <c r="D158" s="669">
        <v>0.8075</v>
      </c>
      <c r="E158" s="669">
        <v>0.8075</v>
      </c>
      <c r="F158" s="669">
        <v>0.8075</v>
      </c>
      <c r="G158" s="669">
        <v>0.8075</v>
      </c>
      <c r="H158" s="669">
        <v>0.8075</v>
      </c>
      <c r="I158" s="669">
        <v>0.7218</v>
      </c>
      <c r="J158" s="669">
        <v>0.7218</v>
      </c>
      <c r="K158" s="669">
        <v>0.7218</v>
      </c>
      <c r="L158" s="669">
        <v>0.7218</v>
      </c>
      <c r="M158" s="669">
        <v>0.7218</v>
      </c>
    </row>
    <row r="159" spans="1:13">
      <c r="A159" s="662">
        <v>5.5</v>
      </c>
      <c r="B159" s="669">
        <v>0.90290000000000004</v>
      </c>
      <c r="C159" s="669">
        <v>0.90290000000000004</v>
      </c>
      <c r="D159" s="669">
        <v>0.80469999999999997</v>
      </c>
      <c r="E159" s="669">
        <v>0.80469999999999997</v>
      </c>
      <c r="F159" s="669">
        <v>0.80469999999999997</v>
      </c>
      <c r="G159" s="669">
        <v>0.80469999999999997</v>
      </c>
      <c r="H159" s="669">
        <v>0.80469999999999997</v>
      </c>
      <c r="I159" s="669">
        <v>0.71840000000000004</v>
      </c>
      <c r="J159" s="669">
        <v>0.71840000000000004</v>
      </c>
      <c r="K159" s="669">
        <v>0.71840000000000004</v>
      </c>
      <c r="L159" s="669">
        <v>0.71840000000000004</v>
      </c>
      <c r="M159" s="669">
        <v>0.71840000000000004</v>
      </c>
    </row>
    <row r="160" spans="1:13">
      <c r="A160" s="662">
        <v>5.6</v>
      </c>
      <c r="B160" s="669">
        <v>0.90010000000000001</v>
      </c>
      <c r="C160" s="669">
        <v>0.90010000000000001</v>
      </c>
      <c r="D160" s="669">
        <v>0.80200000000000005</v>
      </c>
      <c r="E160" s="669">
        <v>0.80200000000000005</v>
      </c>
      <c r="F160" s="669">
        <v>0.80200000000000005</v>
      </c>
      <c r="G160" s="669">
        <v>0.80200000000000005</v>
      </c>
      <c r="H160" s="669">
        <v>0.80200000000000005</v>
      </c>
      <c r="I160" s="669">
        <v>0.71509999999999996</v>
      </c>
      <c r="J160" s="669">
        <v>0.71509999999999996</v>
      </c>
      <c r="K160" s="669">
        <v>0.71509999999999996</v>
      </c>
      <c r="L160" s="669">
        <v>0.71509999999999996</v>
      </c>
      <c r="M160" s="669">
        <v>0.71509999999999996</v>
      </c>
    </row>
    <row r="161" spans="1:13">
      <c r="A161" s="677">
        <v>5.7</v>
      </c>
      <c r="B161" s="669">
        <v>0.89749999999999996</v>
      </c>
      <c r="C161" s="669">
        <v>0.89749999999999996</v>
      </c>
      <c r="D161" s="669">
        <v>0.79930000000000001</v>
      </c>
      <c r="E161" s="669">
        <v>0.79930000000000001</v>
      </c>
      <c r="F161" s="669">
        <v>0.79930000000000001</v>
      </c>
      <c r="G161" s="669">
        <v>0.79930000000000001</v>
      </c>
      <c r="H161" s="669">
        <v>0.79930000000000001</v>
      </c>
      <c r="I161" s="669">
        <v>0.71189999999999998</v>
      </c>
      <c r="J161" s="669">
        <v>0.71189999999999998</v>
      </c>
      <c r="K161" s="669">
        <v>0.71189999999999998</v>
      </c>
      <c r="L161" s="669">
        <v>0.71189999999999998</v>
      </c>
      <c r="M161" s="669">
        <v>0.71189999999999998</v>
      </c>
    </row>
    <row r="162" spans="1:13">
      <c r="A162" s="662">
        <v>5.8</v>
      </c>
      <c r="B162" s="669">
        <v>0.89500000000000002</v>
      </c>
      <c r="C162" s="669">
        <v>0.89500000000000002</v>
      </c>
      <c r="D162" s="669">
        <v>0.79679999999999995</v>
      </c>
      <c r="E162" s="669">
        <v>0.79679999999999995</v>
      </c>
      <c r="F162" s="669">
        <v>0.79679999999999995</v>
      </c>
      <c r="G162" s="669">
        <v>0.79679999999999995</v>
      </c>
      <c r="H162" s="669">
        <v>0.79679999999999995</v>
      </c>
      <c r="I162" s="669">
        <v>0.70879999999999999</v>
      </c>
      <c r="J162" s="669">
        <v>0.70879999999999999</v>
      </c>
      <c r="K162" s="669">
        <v>0.70879999999999999</v>
      </c>
      <c r="L162" s="669">
        <v>0.70879999999999999</v>
      </c>
      <c r="M162" s="669">
        <v>0.70879999999999999</v>
      </c>
    </row>
    <row r="163" spans="1:13">
      <c r="A163" s="662">
        <v>5.9</v>
      </c>
      <c r="B163" s="669">
        <v>0.89259999999999995</v>
      </c>
      <c r="C163" s="669">
        <v>0.89259999999999995</v>
      </c>
      <c r="D163" s="669">
        <v>0.7944</v>
      </c>
      <c r="E163" s="669">
        <v>0.7944</v>
      </c>
      <c r="F163" s="669">
        <v>0.7944</v>
      </c>
      <c r="G163" s="669">
        <v>0.7944</v>
      </c>
      <c r="H163" s="669">
        <v>0.7944</v>
      </c>
      <c r="I163" s="669">
        <v>0.70579999999999998</v>
      </c>
      <c r="J163" s="669">
        <v>0.70579999999999998</v>
      </c>
      <c r="K163" s="669">
        <v>0.70579999999999998</v>
      </c>
      <c r="L163" s="669">
        <v>0.70579999999999998</v>
      </c>
      <c r="M163" s="669">
        <v>0.70579999999999998</v>
      </c>
    </row>
    <row r="164" spans="1:13">
      <c r="A164" s="662">
        <v>6</v>
      </c>
      <c r="B164" s="669">
        <v>0.89029999999999998</v>
      </c>
      <c r="C164" s="669">
        <v>0.89029999999999998</v>
      </c>
      <c r="D164" s="669">
        <v>0.79200000000000004</v>
      </c>
      <c r="E164" s="669">
        <v>0.79200000000000004</v>
      </c>
      <c r="F164" s="669">
        <v>0.79200000000000004</v>
      </c>
      <c r="G164" s="669">
        <v>0.79200000000000004</v>
      </c>
      <c r="H164" s="669">
        <v>0.79200000000000004</v>
      </c>
      <c r="I164" s="669">
        <v>0.70289999999999997</v>
      </c>
      <c r="J164" s="669">
        <v>0.70289999999999997</v>
      </c>
      <c r="K164" s="669">
        <v>0.70289999999999997</v>
      </c>
      <c r="L164" s="669">
        <v>0.70289999999999997</v>
      </c>
      <c r="M164" s="669">
        <v>0.70289999999999997</v>
      </c>
    </row>
    <row r="165" spans="1:13">
      <c r="A165" s="662">
        <v>6.1</v>
      </c>
      <c r="B165" s="669">
        <v>0.8881</v>
      </c>
      <c r="C165" s="669">
        <v>0.8881</v>
      </c>
      <c r="D165" s="669">
        <v>0.78979999999999995</v>
      </c>
      <c r="E165" s="669">
        <v>0.78979999999999995</v>
      </c>
      <c r="F165" s="669">
        <v>0.78979999999999995</v>
      </c>
      <c r="G165" s="669">
        <v>0.78979999999999995</v>
      </c>
      <c r="H165" s="669">
        <v>0.78979999999999995</v>
      </c>
      <c r="I165" s="669">
        <v>0.70009999999999994</v>
      </c>
      <c r="J165" s="669">
        <v>0.70009999999999994</v>
      </c>
      <c r="K165" s="669">
        <v>0.70009999999999994</v>
      </c>
      <c r="L165" s="669">
        <v>0.70009999999999994</v>
      </c>
      <c r="M165" s="669">
        <v>0.70009999999999994</v>
      </c>
    </row>
    <row r="166" spans="1:13">
      <c r="A166" s="662">
        <v>6.2</v>
      </c>
      <c r="B166" s="669">
        <v>0.88600000000000001</v>
      </c>
      <c r="C166" s="669">
        <v>0.88600000000000001</v>
      </c>
      <c r="D166" s="669">
        <v>0.78759999999999997</v>
      </c>
      <c r="E166" s="669">
        <v>0.78759999999999997</v>
      </c>
      <c r="F166" s="669">
        <v>0.78759999999999997</v>
      </c>
      <c r="G166" s="669">
        <v>0.78759999999999997</v>
      </c>
      <c r="H166" s="669">
        <v>0.78759999999999997</v>
      </c>
      <c r="I166" s="669">
        <v>0.69740000000000002</v>
      </c>
      <c r="J166" s="669">
        <v>0.69740000000000002</v>
      </c>
      <c r="K166" s="669">
        <v>0.69740000000000002</v>
      </c>
      <c r="L166" s="669">
        <v>0.69740000000000002</v>
      </c>
      <c r="M166" s="669">
        <v>0.69740000000000002</v>
      </c>
    </row>
    <row r="167" spans="1:13">
      <c r="A167" s="662">
        <v>6.3</v>
      </c>
      <c r="B167" s="669">
        <v>0.88390000000000002</v>
      </c>
      <c r="C167" s="669">
        <v>0.88390000000000002</v>
      </c>
      <c r="D167" s="669">
        <v>0.78549999999999998</v>
      </c>
      <c r="E167" s="669">
        <v>0.78549999999999998</v>
      </c>
      <c r="F167" s="669">
        <v>0.78549999999999998</v>
      </c>
      <c r="G167" s="669">
        <v>0.78549999999999998</v>
      </c>
      <c r="H167" s="669">
        <v>0.78549999999999998</v>
      </c>
      <c r="I167" s="669">
        <v>0.69479999999999997</v>
      </c>
      <c r="J167" s="669">
        <v>0.69479999999999997</v>
      </c>
      <c r="K167" s="669">
        <v>0.69479999999999997</v>
      </c>
      <c r="L167" s="669">
        <v>0.69479999999999997</v>
      </c>
      <c r="M167" s="669">
        <v>0.69479999999999997</v>
      </c>
    </row>
    <row r="168" spans="1:13">
      <c r="A168" s="662">
        <v>6.4</v>
      </c>
      <c r="B168" s="669">
        <v>0.88190000000000002</v>
      </c>
      <c r="C168" s="669">
        <v>0.88190000000000002</v>
      </c>
      <c r="D168" s="669">
        <v>0.78339999999999999</v>
      </c>
      <c r="E168" s="669">
        <v>0.78339999999999999</v>
      </c>
      <c r="F168" s="669">
        <v>0.78339999999999999</v>
      </c>
      <c r="G168" s="669">
        <v>0.78339999999999999</v>
      </c>
      <c r="H168" s="669">
        <v>0.78339999999999999</v>
      </c>
      <c r="I168" s="669">
        <v>0.69230000000000003</v>
      </c>
      <c r="J168" s="669">
        <v>0.69230000000000003</v>
      </c>
      <c r="K168" s="669">
        <v>0.69230000000000003</v>
      </c>
      <c r="L168" s="669">
        <v>0.69230000000000003</v>
      </c>
      <c r="M168" s="669">
        <v>0.69230000000000003</v>
      </c>
    </row>
    <row r="169" spans="1:13">
      <c r="A169" s="662">
        <v>6.5</v>
      </c>
      <c r="B169" s="669">
        <v>0.88</v>
      </c>
      <c r="C169" s="669">
        <v>0.88</v>
      </c>
      <c r="D169" s="669">
        <v>0.78139999999999998</v>
      </c>
      <c r="E169" s="669">
        <v>0.78139999999999998</v>
      </c>
      <c r="F169" s="669">
        <v>0.78139999999999998</v>
      </c>
      <c r="G169" s="669">
        <v>0.78139999999999998</v>
      </c>
      <c r="H169" s="669">
        <v>0.78139999999999998</v>
      </c>
      <c r="I169" s="669">
        <v>0.68989999999999996</v>
      </c>
      <c r="J169" s="669">
        <v>0.68989999999999996</v>
      </c>
      <c r="K169" s="669">
        <v>0.68989999999999996</v>
      </c>
      <c r="L169" s="669">
        <v>0.68989999999999996</v>
      </c>
      <c r="M169" s="669">
        <v>0.68989999999999996</v>
      </c>
    </row>
    <row r="170" spans="1:13">
      <c r="A170" s="662">
        <v>6.6</v>
      </c>
      <c r="B170" s="669">
        <v>0.87809999999999999</v>
      </c>
      <c r="C170" s="669">
        <v>0.87809999999999999</v>
      </c>
      <c r="D170" s="669">
        <v>0.77949999999999997</v>
      </c>
      <c r="E170" s="669">
        <v>0.77949999999999997</v>
      </c>
      <c r="F170" s="669">
        <v>0.77949999999999997</v>
      </c>
      <c r="G170" s="669">
        <v>0.77949999999999997</v>
      </c>
      <c r="H170" s="669">
        <v>0.77949999999999997</v>
      </c>
      <c r="I170" s="669">
        <v>0.68759999999999999</v>
      </c>
      <c r="J170" s="669">
        <v>0.68759999999999999</v>
      </c>
      <c r="K170" s="669">
        <v>0.68759999999999999</v>
      </c>
      <c r="L170" s="669">
        <v>0.68759999999999999</v>
      </c>
      <c r="M170" s="669">
        <v>0.68759999999999999</v>
      </c>
    </row>
    <row r="171" spans="1:13">
      <c r="A171" s="662">
        <v>6.7</v>
      </c>
      <c r="B171" s="669">
        <v>0.87629999999999997</v>
      </c>
      <c r="C171" s="669">
        <v>0.87629999999999997</v>
      </c>
      <c r="D171" s="669">
        <v>0.77759999999999996</v>
      </c>
      <c r="E171" s="669">
        <v>0.77759999999999996</v>
      </c>
      <c r="F171" s="669">
        <v>0.77759999999999996</v>
      </c>
      <c r="G171" s="669">
        <v>0.77759999999999996</v>
      </c>
      <c r="H171" s="669">
        <v>0.77759999999999996</v>
      </c>
      <c r="I171" s="669">
        <v>0.68530000000000002</v>
      </c>
      <c r="J171" s="669">
        <v>0.68530000000000002</v>
      </c>
      <c r="K171" s="669">
        <v>0.68530000000000002</v>
      </c>
      <c r="L171" s="669">
        <v>0.68530000000000002</v>
      </c>
      <c r="M171" s="669">
        <v>0.68530000000000002</v>
      </c>
    </row>
    <row r="172" spans="1:13">
      <c r="A172" s="662">
        <v>6.8</v>
      </c>
      <c r="B172" s="669">
        <v>0.87450000000000006</v>
      </c>
      <c r="C172" s="669">
        <v>0.87450000000000006</v>
      </c>
      <c r="D172" s="669">
        <v>0.77569999999999995</v>
      </c>
      <c r="E172" s="669">
        <v>0.77569999999999995</v>
      </c>
      <c r="F172" s="669">
        <v>0.77569999999999995</v>
      </c>
      <c r="G172" s="669">
        <v>0.77569999999999995</v>
      </c>
      <c r="H172" s="669">
        <v>0.77569999999999995</v>
      </c>
      <c r="I172" s="669">
        <v>0.68310000000000004</v>
      </c>
      <c r="J172" s="669">
        <v>0.68310000000000004</v>
      </c>
      <c r="K172" s="669">
        <v>0.68310000000000004</v>
      </c>
      <c r="L172" s="669">
        <v>0.68310000000000004</v>
      </c>
      <c r="M172" s="669">
        <v>0.68310000000000004</v>
      </c>
    </row>
    <row r="173" spans="1:13">
      <c r="A173" s="662">
        <v>6.9</v>
      </c>
      <c r="B173" s="669">
        <v>0.87280000000000002</v>
      </c>
      <c r="C173" s="669">
        <v>0.87280000000000002</v>
      </c>
      <c r="D173" s="669">
        <v>0.77390000000000003</v>
      </c>
      <c r="E173" s="669">
        <v>0.77390000000000003</v>
      </c>
      <c r="F173" s="669">
        <v>0.77390000000000003</v>
      </c>
      <c r="G173" s="669">
        <v>0.77390000000000003</v>
      </c>
      <c r="H173" s="669">
        <v>0.77390000000000003</v>
      </c>
      <c r="I173" s="669">
        <v>0.68089999999999995</v>
      </c>
      <c r="J173" s="669">
        <v>0.68089999999999995</v>
      </c>
      <c r="K173" s="669">
        <v>0.68089999999999995</v>
      </c>
      <c r="L173" s="669">
        <v>0.68089999999999995</v>
      </c>
      <c r="M173" s="669">
        <v>0.68089999999999995</v>
      </c>
    </row>
    <row r="174" spans="1:13">
      <c r="A174" s="662">
        <v>7</v>
      </c>
      <c r="B174" s="669">
        <v>0.87109999999999999</v>
      </c>
      <c r="C174" s="669">
        <v>0.87109999999999999</v>
      </c>
      <c r="D174" s="669">
        <v>0.77210000000000001</v>
      </c>
      <c r="E174" s="669">
        <v>0.77210000000000001</v>
      </c>
      <c r="F174" s="669">
        <v>0.77210000000000001</v>
      </c>
      <c r="G174" s="669">
        <v>0.77210000000000001</v>
      </c>
      <c r="H174" s="669">
        <v>0.77210000000000001</v>
      </c>
      <c r="I174" s="669">
        <v>0.67879999999999996</v>
      </c>
      <c r="J174" s="669">
        <v>0.67879999999999996</v>
      </c>
      <c r="K174" s="669">
        <v>0.67879999999999996</v>
      </c>
      <c r="L174" s="669">
        <v>0.67879999999999996</v>
      </c>
      <c r="M174" s="669">
        <v>0.67879999999999996</v>
      </c>
    </row>
    <row r="175" spans="1:13">
      <c r="A175" s="662">
        <v>7.1</v>
      </c>
      <c r="B175" s="669">
        <v>0.86939999999999995</v>
      </c>
      <c r="C175" s="669">
        <v>0.86939999999999995</v>
      </c>
      <c r="D175" s="669">
        <v>0.77039999999999997</v>
      </c>
      <c r="E175" s="669">
        <v>0.77039999999999997</v>
      </c>
      <c r="F175" s="669">
        <v>0.77039999999999997</v>
      </c>
      <c r="G175" s="669">
        <v>0.77039999999999997</v>
      </c>
      <c r="H175" s="669">
        <v>0.77039999999999997</v>
      </c>
      <c r="I175" s="669">
        <v>0.67669999999999997</v>
      </c>
      <c r="J175" s="669">
        <v>0.67669999999999997</v>
      </c>
      <c r="K175" s="669">
        <v>0.67669999999999997</v>
      </c>
      <c r="L175" s="669">
        <v>0.67669999999999997</v>
      </c>
      <c r="M175" s="669">
        <v>0.67669999999999997</v>
      </c>
    </row>
    <row r="176" spans="1:13">
      <c r="A176" s="662">
        <v>7.2</v>
      </c>
      <c r="B176" s="669">
        <v>0.86770000000000003</v>
      </c>
      <c r="C176" s="669">
        <v>0.86770000000000003</v>
      </c>
      <c r="D176" s="669">
        <v>0.76870000000000005</v>
      </c>
      <c r="E176" s="669">
        <v>0.76870000000000005</v>
      </c>
      <c r="F176" s="669">
        <v>0.76870000000000005</v>
      </c>
      <c r="G176" s="669">
        <v>0.76870000000000005</v>
      </c>
      <c r="H176" s="669">
        <v>0.76870000000000005</v>
      </c>
      <c r="I176" s="669">
        <v>0.67469999999999997</v>
      </c>
      <c r="J176" s="669">
        <v>0.67469999999999997</v>
      </c>
      <c r="K176" s="669">
        <v>0.67469999999999997</v>
      </c>
      <c r="L176" s="669">
        <v>0.67469999999999997</v>
      </c>
      <c r="M176" s="669">
        <v>0.67469999999999997</v>
      </c>
    </row>
    <row r="177" spans="1:13">
      <c r="A177" s="662">
        <v>7.3</v>
      </c>
      <c r="B177" s="669">
        <v>0.86609999999999998</v>
      </c>
      <c r="C177" s="669">
        <v>0.86609999999999998</v>
      </c>
      <c r="D177" s="669">
        <v>0.76700000000000002</v>
      </c>
      <c r="E177" s="669">
        <v>0.76700000000000002</v>
      </c>
      <c r="F177" s="669">
        <v>0.76700000000000002</v>
      </c>
      <c r="G177" s="669">
        <v>0.76700000000000002</v>
      </c>
      <c r="H177" s="669">
        <v>0.76700000000000002</v>
      </c>
      <c r="I177" s="669">
        <v>0.67269999999999996</v>
      </c>
      <c r="J177" s="669">
        <v>0.67269999999999996</v>
      </c>
      <c r="K177" s="669">
        <v>0.67269999999999996</v>
      </c>
      <c r="L177" s="669">
        <v>0.67269999999999996</v>
      </c>
      <c r="M177" s="669">
        <v>0.67269999999999996</v>
      </c>
    </row>
    <row r="178" spans="1:13">
      <c r="A178" s="662">
        <v>7.4</v>
      </c>
      <c r="B178" s="669">
        <v>0.86450000000000005</v>
      </c>
      <c r="C178" s="669">
        <v>0.86450000000000005</v>
      </c>
      <c r="D178" s="669">
        <v>0.76529999999999998</v>
      </c>
      <c r="E178" s="669">
        <v>0.76529999999999998</v>
      </c>
      <c r="F178" s="669">
        <v>0.76529999999999998</v>
      </c>
      <c r="G178" s="669">
        <v>0.76529999999999998</v>
      </c>
      <c r="H178" s="669">
        <v>0.76529999999999998</v>
      </c>
      <c r="I178" s="669">
        <v>0.67079999999999995</v>
      </c>
      <c r="J178" s="669">
        <v>0.67079999999999995</v>
      </c>
      <c r="K178" s="669">
        <v>0.67079999999999995</v>
      </c>
      <c r="L178" s="669">
        <v>0.67079999999999995</v>
      </c>
      <c r="M178" s="669">
        <v>0.67079999999999995</v>
      </c>
    </row>
    <row r="179" spans="1:13">
      <c r="A179" s="662">
        <v>7.5</v>
      </c>
      <c r="B179" s="669">
        <v>0.86299999999999999</v>
      </c>
      <c r="C179" s="669">
        <v>0.86299999999999999</v>
      </c>
      <c r="D179" s="669">
        <v>0.76359999999999995</v>
      </c>
      <c r="E179" s="669">
        <v>0.76359999999999995</v>
      </c>
      <c r="F179" s="669">
        <v>0.76359999999999995</v>
      </c>
      <c r="G179" s="669">
        <v>0.76359999999999995</v>
      </c>
      <c r="H179" s="669">
        <v>0.76359999999999995</v>
      </c>
      <c r="I179" s="669">
        <v>0.66890000000000005</v>
      </c>
      <c r="J179" s="669">
        <v>0.66890000000000005</v>
      </c>
      <c r="K179" s="669">
        <v>0.66890000000000005</v>
      </c>
      <c r="L179" s="669">
        <v>0.66890000000000005</v>
      </c>
      <c r="M179" s="669">
        <v>0.66890000000000005</v>
      </c>
    </row>
    <row r="180" spans="1:13">
      <c r="A180" s="662">
        <v>7.6</v>
      </c>
      <c r="B180" s="669">
        <v>0.86150000000000004</v>
      </c>
      <c r="C180" s="669">
        <v>0.86150000000000004</v>
      </c>
      <c r="D180" s="669">
        <v>0.76200000000000001</v>
      </c>
      <c r="E180" s="669">
        <v>0.76200000000000001</v>
      </c>
      <c r="F180" s="669">
        <v>0.76200000000000001</v>
      </c>
      <c r="G180" s="669">
        <v>0.76200000000000001</v>
      </c>
      <c r="H180" s="669">
        <v>0.76200000000000001</v>
      </c>
      <c r="I180" s="669">
        <v>0.66700000000000004</v>
      </c>
      <c r="J180" s="669">
        <v>0.66700000000000004</v>
      </c>
      <c r="K180" s="669">
        <v>0.66700000000000004</v>
      </c>
      <c r="L180" s="669">
        <v>0.66700000000000004</v>
      </c>
      <c r="M180" s="669">
        <v>0.66700000000000004</v>
      </c>
    </row>
    <row r="181" spans="1:13">
      <c r="A181" s="662">
        <v>7.7</v>
      </c>
      <c r="B181" s="669">
        <v>0.86</v>
      </c>
      <c r="C181" s="669">
        <v>0.86</v>
      </c>
      <c r="D181" s="669">
        <v>0.76039999999999996</v>
      </c>
      <c r="E181" s="669">
        <v>0.76039999999999996</v>
      </c>
      <c r="F181" s="669">
        <v>0.76039999999999996</v>
      </c>
      <c r="G181" s="669">
        <v>0.76039999999999996</v>
      </c>
      <c r="H181" s="669">
        <v>0.76039999999999996</v>
      </c>
      <c r="I181" s="669">
        <v>0.66510000000000002</v>
      </c>
      <c r="J181" s="669">
        <v>0.66510000000000002</v>
      </c>
      <c r="K181" s="669">
        <v>0.66510000000000002</v>
      </c>
      <c r="L181" s="669">
        <v>0.66510000000000002</v>
      </c>
      <c r="M181" s="669">
        <v>0.66510000000000002</v>
      </c>
    </row>
    <row r="182" spans="1:13">
      <c r="A182" s="662">
        <v>7.8</v>
      </c>
      <c r="B182" s="669">
        <v>0.85850000000000004</v>
      </c>
      <c r="C182" s="669">
        <v>0.85850000000000004</v>
      </c>
      <c r="D182" s="669">
        <v>0.75880000000000003</v>
      </c>
      <c r="E182" s="669">
        <v>0.75880000000000003</v>
      </c>
      <c r="F182" s="669">
        <v>0.75880000000000003</v>
      </c>
      <c r="G182" s="669">
        <v>0.75880000000000003</v>
      </c>
      <c r="H182" s="669">
        <v>0.75880000000000003</v>
      </c>
      <c r="I182" s="669">
        <v>0.6633</v>
      </c>
      <c r="J182" s="669">
        <v>0.6633</v>
      </c>
      <c r="K182" s="669">
        <v>0.6633</v>
      </c>
      <c r="L182" s="669">
        <v>0.6633</v>
      </c>
      <c r="M182" s="669">
        <v>0.6633</v>
      </c>
    </row>
    <row r="183" spans="1:13">
      <c r="A183" s="662">
        <v>7.9</v>
      </c>
      <c r="B183" s="669">
        <v>0.85699999999999998</v>
      </c>
      <c r="C183" s="669">
        <v>0.85699999999999998</v>
      </c>
      <c r="D183" s="669">
        <v>0.75719999999999998</v>
      </c>
      <c r="E183" s="669">
        <v>0.75719999999999998</v>
      </c>
      <c r="F183" s="669">
        <v>0.75719999999999998</v>
      </c>
      <c r="G183" s="669">
        <v>0.75719999999999998</v>
      </c>
      <c r="H183" s="669">
        <v>0.75719999999999998</v>
      </c>
      <c r="I183" s="669">
        <v>0.66149999999999998</v>
      </c>
      <c r="J183" s="669">
        <v>0.66149999999999998</v>
      </c>
      <c r="K183" s="669">
        <v>0.66149999999999998</v>
      </c>
      <c r="L183" s="669">
        <v>0.66149999999999998</v>
      </c>
      <c r="M183" s="669">
        <v>0.66149999999999998</v>
      </c>
    </row>
    <row r="184" spans="1:13">
      <c r="A184" s="662">
        <v>8</v>
      </c>
      <c r="B184" s="669">
        <v>0.85550000000000004</v>
      </c>
      <c r="C184" s="669">
        <v>0.85550000000000004</v>
      </c>
      <c r="D184" s="669">
        <v>0.75570000000000004</v>
      </c>
      <c r="E184" s="669">
        <v>0.75570000000000004</v>
      </c>
      <c r="F184" s="669">
        <v>0.75570000000000004</v>
      </c>
      <c r="G184" s="669">
        <v>0.75570000000000004</v>
      </c>
      <c r="H184" s="669">
        <v>0.75570000000000004</v>
      </c>
      <c r="I184" s="669">
        <v>0.65969999999999995</v>
      </c>
      <c r="J184" s="669">
        <v>0.65969999999999995</v>
      </c>
      <c r="K184" s="669">
        <v>0.65969999999999995</v>
      </c>
      <c r="L184" s="669">
        <v>0.65969999999999995</v>
      </c>
      <c r="M184" s="669">
        <v>0.65969999999999995</v>
      </c>
    </row>
    <row r="185" spans="1:13">
      <c r="A185" s="662">
        <v>8.1</v>
      </c>
      <c r="B185" s="669">
        <v>0.85399999999999998</v>
      </c>
      <c r="C185" s="669">
        <v>0.85399999999999998</v>
      </c>
      <c r="D185" s="669">
        <v>0.75419999999999998</v>
      </c>
      <c r="E185" s="669">
        <v>0.75419999999999998</v>
      </c>
      <c r="F185" s="669">
        <v>0.75419999999999998</v>
      </c>
      <c r="G185" s="669">
        <v>0.75419999999999998</v>
      </c>
      <c r="H185" s="669">
        <v>0.75419999999999998</v>
      </c>
      <c r="I185" s="669">
        <v>0.65800000000000003</v>
      </c>
      <c r="J185" s="669">
        <v>0.65800000000000003</v>
      </c>
      <c r="K185" s="669">
        <v>0.65800000000000003</v>
      </c>
      <c r="L185" s="669">
        <v>0.65800000000000003</v>
      </c>
      <c r="M185" s="669">
        <v>0.65800000000000003</v>
      </c>
    </row>
    <row r="186" spans="1:13">
      <c r="A186" s="662">
        <v>8.1999999999999993</v>
      </c>
      <c r="B186" s="669">
        <v>0.85250000000000004</v>
      </c>
      <c r="C186" s="669">
        <v>0.85250000000000004</v>
      </c>
      <c r="D186" s="669">
        <v>0.75270000000000004</v>
      </c>
      <c r="E186" s="669">
        <v>0.75270000000000004</v>
      </c>
      <c r="F186" s="669">
        <v>0.75270000000000004</v>
      </c>
      <c r="G186" s="669">
        <v>0.75270000000000004</v>
      </c>
      <c r="H186" s="669">
        <v>0.75270000000000004</v>
      </c>
      <c r="I186" s="669">
        <v>0.65629999999999999</v>
      </c>
      <c r="J186" s="669">
        <v>0.65629999999999999</v>
      </c>
      <c r="K186" s="669">
        <v>0.65629999999999999</v>
      </c>
      <c r="L186" s="669">
        <v>0.65629999999999999</v>
      </c>
      <c r="M186" s="669">
        <v>0.65629999999999999</v>
      </c>
    </row>
    <row r="187" spans="1:13">
      <c r="A187" s="662">
        <v>8.3000000000000007</v>
      </c>
      <c r="B187" s="669">
        <v>0.85109999999999997</v>
      </c>
      <c r="C187" s="669">
        <v>0.85109999999999997</v>
      </c>
      <c r="D187" s="669">
        <v>0.75119999999999998</v>
      </c>
      <c r="E187" s="669">
        <v>0.75119999999999998</v>
      </c>
      <c r="F187" s="669">
        <v>0.75119999999999998</v>
      </c>
      <c r="G187" s="669">
        <v>0.75119999999999998</v>
      </c>
      <c r="H187" s="669">
        <v>0.75119999999999998</v>
      </c>
      <c r="I187" s="669">
        <v>0.65459999999999996</v>
      </c>
      <c r="J187" s="669">
        <v>0.65459999999999996</v>
      </c>
      <c r="K187" s="669">
        <v>0.65459999999999996</v>
      </c>
      <c r="L187" s="669">
        <v>0.65459999999999996</v>
      </c>
      <c r="M187" s="669">
        <v>0.65459999999999996</v>
      </c>
    </row>
    <row r="188" spans="1:13">
      <c r="A188" s="662">
        <v>8.4</v>
      </c>
      <c r="B188" s="669">
        <v>0.84970000000000001</v>
      </c>
      <c r="C188" s="669">
        <v>0.84970000000000001</v>
      </c>
      <c r="D188" s="669">
        <v>0.74970000000000003</v>
      </c>
      <c r="E188" s="669">
        <v>0.74970000000000003</v>
      </c>
      <c r="F188" s="669">
        <v>0.74970000000000003</v>
      </c>
      <c r="G188" s="669">
        <v>0.74970000000000003</v>
      </c>
      <c r="H188" s="669">
        <v>0.74970000000000003</v>
      </c>
      <c r="I188" s="669">
        <v>0.65300000000000002</v>
      </c>
      <c r="J188" s="669">
        <v>0.65300000000000002</v>
      </c>
      <c r="K188" s="669">
        <v>0.65300000000000002</v>
      </c>
      <c r="L188" s="669">
        <v>0.65300000000000002</v>
      </c>
      <c r="M188" s="669">
        <v>0.65300000000000002</v>
      </c>
    </row>
    <row r="189" spans="1:13">
      <c r="A189" s="662">
        <v>8.5</v>
      </c>
      <c r="B189" s="669">
        <v>0.84830000000000005</v>
      </c>
      <c r="C189" s="669">
        <v>0.84830000000000005</v>
      </c>
      <c r="D189" s="669">
        <v>0.74819999999999998</v>
      </c>
      <c r="E189" s="669">
        <v>0.74819999999999998</v>
      </c>
      <c r="F189" s="669">
        <v>0.74819999999999998</v>
      </c>
      <c r="G189" s="669">
        <v>0.74819999999999998</v>
      </c>
      <c r="H189" s="669">
        <v>0.74819999999999998</v>
      </c>
      <c r="I189" s="669">
        <v>0.65139999999999998</v>
      </c>
      <c r="J189" s="669">
        <v>0.65139999999999998</v>
      </c>
      <c r="K189" s="669">
        <v>0.65139999999999998</v>
      </c>
      <c r="L189" s="669">
        <v>0.65139999999999998</v>
      </c>
      <c r="M189" s="669">
        <v>0.65139999999999998</v>
      </c>
    </row>
    <row r="190" spans="1:13">
      <c r="A190" s="662">
        <v>8.6</v>
      </c>
      <c r="B190" s="669">
        <v>0.84689999999999999</v>
      </c>
      <c r="C190" s="669">
        <v>0.84689999999999999</v>
      </c>
      <c r="D190" s="669">
        <v>0.74670000000000003</v>
      </c>
      <c r="E190" s="669">
        <v>0.74670000000000003</v>
      </c>
      <c r="F190" s="669">
        <v>0.74670000000000003</v>
      </c>
      <c r="G190" s="669">
        <v>0.74670000000000003</v>
      </c>
      <c r="H190" s="669">
        <v>0.74670000000000003</v>
      </c>
      <c r="I190" s="669">
        <v>0.64980000000000004</v>
      </c>
      <c r="J190" s="669">
        <v>0.64980000000000004</v>
      </c>
      <c r="K190" s="669">
        <v>0.64980000000000004</v>
      </c>
      <c r="L190" s="669">
        <v>0.64980000000000004</v>
      </c>
      <c r="M190" s="669">
        <v>0.64980000000000004</v>
      </c>
    </row>
    <row r="191" spans="1:13">
      <c r="A191" s="662">
        <v>8.6999999999999993</v>
      </c>
      <c r="B191" s="669">
        <v>0.84550000000000003</v>
      </c>
      <c r="C191" s="669">
        <v>0.84550000000000003</v>
      </c>
      <c r="D191" s="669">
        <v>0.74519999999999997</v>
      </c>
      <c r="E191" s="669">
        <v>0.74519999999999997</v>
      </c>
      <c r="F191" s="669">
        <v>0.74519999999999997</v>
      </c>
      <c r="G191" s="669">
        <v>0.74519999999999997</v>
      </c>
      <c r="H191" s="669">
        <v>0.74519999999999997</v>
      </c>
      <c r="I191" s="669">
        <v>0.6482</v>
      </c>
      <c r="J191" s="669">
        <v>0.6482</v>
      </c>
      <c r="K191" s="669">
        <v>0.6482</v>
      </c>
      <c r="L191" s="669">
        <v>0.6482</v>
      </c>
      <c r="M191" s="669">
        <v>0.6482</v>
      </c>
    </row>
    <row r="192" spans="1:13">
      <c r="A192" s="662">
        <v>8.8000000000000007</v>
      </c>
      <c r="B192" s="669">
        <v>0.84409999999999996</v>
      </c>
      <c r="C192" s="669">
        <v>0.84409999999999996</v>
      </c>
      <c r="D192" s="669">
        <v>0.74370000000000003</v>
      </c>
      <c r="E192" s="669">
        <v>0.74370000000000003</v>
      </c>
      <c r="F192" s="669">
        <v>0.74370000000000003</v>
      </c>
      <c r="G192" s="669">
        <v>0.74370000000000003</v>
      </c>
      <c r="H192" s="669">
        <v>0.74370000000000003</v>
      </c>
      <c r="I192" s="669">
        <v>0.64659999999999995</v>
      </c>
      <c r="J192" s="669">
        <v>0.64659999999999995</v>
      </c>
      <c r="K192" s="669">
        <v>0.64659999999999995</v>
      </c>
      <c r="L192" s="669">
        <v>0.64659999999999995</v>
      </c>
      <c r="M192" s="669">
        <v>0.64659999999999995</v>
      </c>
    </row>
    <row r="193" spans="1:13">
      <c r="A193" s="662">
        <v>8.9</v>
      </c>
      <c r="B193" s="669">
        <v>0.84279999999999999</v>
      </c>
      <c r="C193" s="669">
        <v>0.84279999999999999</v>
      </c>
      <c r="D193" s="669">
        <v>0.74219999999999997</v>
      </c>
      <c r="E193" s="669">
        <v>0.74219999999999997</v>
      </c>
      <c r="F193" s="669">
        <v>0.74219999999999997</v>
      </c>
      <c r="G193" s="669">
        <v>0.74219999999999997</v>
      </c>
      <c r="H193" s="669">
        <v>0.74219999999999997</v>
      </c>
      <c r="I193" s="669">
        <v>0.64500000000000002</v>
      </c>
      <c r="J193" s="669">
        <v>0.64500000000000002</v>
      </c>
      <c r="K193" s="669">
        <v>0.64500000000000002</v>
      </c>
      <c r="L193" s="669">
        <v>0.64500000000000002</v>
      </c>
      <c r="M193" s="669">
        <v>0.64500000000000002</v>
      </c>
    </row>
    <row r="194" spans="1:13">
      <c r="A194" s="677">
        <v>9</v>
      </c>
      <c r="B194" s="669">
        <v>0.84150000000000003</v>
      </c>
      <c r="C194" s="669">
        <v>0.84150000000000003</v>
      </c>
      <c r="D194" s="669">
        <v>0.74070000000000003</v>
      </c>
      <c r="E194" s="669">
        <v>0.74070000000000003</v>
      </c>
      <c r="F194" s="669">
        <v>0.74070000000000003</v>
      </c>
      <c r="G194" s="669">
        <v>0.74070000000000003</v>
      </c>
      <c r="H194" s="669">
        <v>0.74070000000000003</v>
      </c>
      <c r="I194" s="669">
        <v>0.64349999999999996</v>
      </c>
      <c r="J194" s="669">
        <v>0.64349999999999996</v>
      </c>
      <c r="K194" s="669">
        <v>0.64349999999999996</v>
      </c>
      <c r="L194" s="669">
        <v>0.64349999999999996</v>
      </c>
      <c r="M194" s="669">
        <v>0.64349999999999996</v>
      </c>
    </row>
    <row r="195" spans="1:13">
      <c r="A195" s="677">
        <v>9.1</v>
      </c>
      <c r="B195" s="669">
        <v>0.84019999999999995</v>
      </c>
      <c r="C195" s="669">
        <v>0.84019999999999995</v>
      </c>
      <c r="D195" s="669">
        <v>0.73919999999999997</v>
      </c>
      <c r="E195" s="669">
        <v>0.73919999999999997</v>
      </c>
      <c r="F195" s="669">
        <v>0.73919999999999997</v>
      </c>
      <c r="G195" s="669">
        <v>0.73919999999999997</v>
      </c>
      <c r="H195" s="669">
        <v>0.73919999999999997</v>
      </c>
      <c r="I195" s="669">
        <v>0.64200000000000002</v>
      </c>
      <c r="J195" s="669">
        <v>0.64200000000000002</v>
      </c>
      <c r="K195" s="669">
        <v>0.64200000000000002</v>
      </c>
      <c r="L195" s="669">
        <v>0.64200000000000002</v>
      </c>
      <c r="M195" s="669">
        <v>0.64200000000000002</v>
      </c>
    </row>
    <row r="196" spans="1:13">
      <c r="A196" s="677">
        <v>9.1999999999999993</v>
      </c>
      <c r="B196" s="669">
        <v>0.83889999999999998</v>
      </c>
      <c r="C196" s="669">
        <v>0.83889999999999998</v>
      </c>
      <c r="D196" s="669">
        <v>0.73770000000000002</v>
      </c>
      <c r="E196" s="669">
        <v>0.73770000000000002</v>
      </c>
      <c r="F196" s="669">
        <v>0.73770000000000002</v>
      </c>
      <c r="G196" s="669">
        <v>0.73770000000000002</v>
      </c>
      <c r="H196" s="669">
        <v>0.73770000000000002</v>
      </c>
      <c r="I196" s="669">
        <v>0.64059999999999995</v>
      </c>
      <c r="J196" s="669">
        <v>0.64059999999999995</v>
      </c>
      <c r="K196" s="669">
        <v>0.64059999999999995</v>
      </c>
      <c r="L196" s="669">
        <v>0.64059999999999995</v>
      </c>
      <c r="M196" s="669">
        <v>0.64059999999999995</v>
      </c>
    </row>
    <row r="197" spans="1:13">
      <c r="A197" s="677">
        <v>9.3000000000000007</v>
      </c>
      <c r="B197" s="669">
        <v>0.83760000000000001</v>
      </c>
      <c r="C197" s="669">
        <v>0.83760000000000001</v>
      </c>
      <c r="D197" s="669">
        <v>0.73629999999999995</v>
      </c>
      <c r="E197" s="669">
        <v>0.73629999999999995</v>
      </c>
      <c r="F197" s="669">
        <v>0.73629999999999995</v>
      </c>
      <c r="G197" s="669">
        <v>0.73629999999999995</v>
      </c>
      <c r="H197" s="669">
        <v>0.73629999999999995</v>
      </c>
      <c r="I197" s="669">
        <v>0.63919999999999999</v>
      </c>
      <c r="J197" s="669">
        <v>0.63919999999999999</v>
      </c>
      <c r="K197" s="669">
        <v>0.63919999999999999</v>
      </c>
      <c r="L197" s="669">
        <v>0.63919999999999999</v>
      </c>
      <c r="M197" s="669">
        <v>0.63919999999999999</v>
      </c>
    </row>
    <row r="198" spans="1:13">
      <c r="A198" s="677">
        <v>9.4</v>
      </c>
      <c r="B198" s="669">
        <v>0.83630000000000004</v>
      </c>
      <c r="C198" s="669">
        <v>0.83630000000000004</v>
      </c>
      <c r="D198" s="669">
        <v>0.7349</v>
      </c>
      <c r="E198" s="669">
        <v>0.7349</v>
      </c>
      <c r="F198" s="669">
        <v>0.7349</v>
      </c>
      <c r="G198" s="669">
        <v>0.7349</v>
      </c>
      <c r="H198" s="669">
        <v>0.7349</v>
      </c>
      <c r="I198" s="669">
        <v>0.63780000000000003</v>
      </c>
      <c r="J198" s="669">
        <v>0.63780000000000003</v>
      </c>
      <c r="K198" s="669">
        <v>0.63780000000000003</v>
      </c>
      <c r="L198" s="669">
        <v>0.63780000000000003</v>
      </c>
      <c r="M198" s="669">
        <v>0.63780000000000003</v>
      </c>
    </row>
    <row r="199" spans="1:13">
      <c r="A199" s="677">
        <v>9.5</v>
      </c>
      <c r="B199" s="669">
        <v>0.83499999999999996</v>
      </c>
      <c r="C199" s="669">
        <v>0.83499999999999996</v>
      </c>
      <c r="D199" s="669">
        <v>0.73350000000000004</v>
      </c>
      <c r="E199" s="669">
        <v>0.73350000000000004</v>
      </c>
      <c r="F199" s="669">
        <v>0.73350000000000004</v>
      </c>
      <c r="G199" s="669">
        <v>0.73350000000000004</v>
      </c>
      <c r="H199" s="669">
        <v>0.73350000000000004</v>
      </c>
      <c r="I199" s="669">
        <v>0.63639999999999997</v>
      </c>
      <c r="J199" s="669">
        <v>0.63639999999999997</v>
      </c>
      <c r="K199" s="669">
        <v>0.63639999999999997</v>
      </c>
      <c r="L199" s="669">
        <v>0.63639999999999997</v>
      </c>
      <c r="M199" s="669">
        <v>0.63639999999999997</v>
      </c>
    </row>
    <row r="200" spans="1:13">
      <c r="A200" s="677">
        <v>9.6</v>
      </c>
      <c r="B200" s="669">
        <v>0.83379999999999999</v>
      </c>
      <c r="C200" s="669">
        <v>0.83379999999999999</v>
      </c>
      <c r="D200" s="669">
        <v>0.73209999999999997</v>
      </c>
      <c r="E200" s="669">
        <v>0.73209999999999997</v>
      </c>
      <c r="F200" s="669">
        <v>0.73209999999999997</v>
      </c>
      <c r="G200" s="669">
        <v>0.73209999999999997</v>
      </c>
      <c r="H200" s="669">
        <v>0.73209999999999997</v>
      </c>
      <c r="I200" s="669">
        <v>0.63500000000000001</v>
      </c>
      <c r="J200" s="669">
        <v>0.63500000000000001</v>
      </c>
      <c r="K200" s="669">
        <v>0.63500000000000001</v>
      </c>
      <c r="L200" s="669">
        <v>0.63500000000000001</v>
      </c>
      <c r="M200" s="669">
        <v>0.63500000000000001</v>
      </c>
    </row>
    <row r="201" spans="1:13">
      <c r="A201" s="677">
        <v>9.6999999999999993</v>
      </c>
      <c r="B201" s="669">
        <v>0.83260000000000001</v>
      </c>
      <c r="C201" s="669">
        <v>0.83260000000000001</v>
      </c>
      <c r="D201" s="669">
        <v>0.73070000000000002</v>
      </c>
      <c r="E201" s="669">
        <v>0.73070000000000002</v>
      </c>
      <c r="F201" s="669">
        <v>0.73070000000000002</v>
      </c>
      <c r="G201" s="669">
        <v>0.73070000000000002</v>
      </c>
      <c r="H201" s="669">
        <v>0.73070000000000002</v>
      </c>
      <c r="I201" s="669">
        <v>0.63360000000000005</v>
      </c>
      <c r="J201" s="669">
        <v>0.63360000000000005</v>
      </c>
      <c r="K201" s="669">
        <v>0.63360000000000005</v>
      </c>
      <c r="L201" s="669">
        <v>0.63360000000000005</v>
      </c>
      <c r="M201" s="669">
        <v>0.63360000000000005</v>
      </c>
    </row>
    <row r="202" spans="1:13">
      <c r="A202" s="677">
        <v>9.8000000000000007</v>
      </c>
      <c r="B202" s="669">
        <v>0.83140000000000003</v>
      </c>
      <c r="C202" s="669">
        <v>0.83140000000000003</v>
      </c>
      <c r="D202" s="669">
        <v>0.72929999999999995</v>
      </c>
      <c r="E202" s="669">
        <v>0.72929999999999995</v>
      </c>
      <c r="F202" s="669">
        <v>0.72929999999999995</v>
      </c>
      <c r="G202" s="669">
        <v>0.72929999999999995</v>
      </c>
      <c r="H202" s="669">
        <v>0.72929999999999995</v>
      </c>
      <c r="I202" s="669">
        <v>0.63219999999999998</v>
      </c>
      <c r="J202" s="669">
        <v>0.63219999999999998</v>
      </c>
      <c r="K202" s="669">
        <v>0.63219999999999998</v>
      </c>
      <c r="L202" s="669">
        <v>0.63219999999999998</v>
      </c>
      <c r="M202" s="669">
        <v>0.63219999999999998</v>
      </c>
    </row>
    <row r="203" spans="1:13">
      <c r="A203" s="677">
        <v>9.9</v>
      </c>
      <c r="B203" s="669">
        <v>0.83020000000000005</v>
      </c>
      <c r="C203" s="669">
        <v>0.83020000000000005</v>
      </c>
      <c r="D203" s="669">
        <v>0.72799999999999998</v>
      </c>
      <c r="E203" s="669">
        <v>0.72799999999999998</v>
      </c>
      <c r="F203" s="669">
        <v>0.72799999999999998</v>
      </c>
      <c r="G203" s="669">
        <v>0.72799999999999998</v>
      </c>
      <c r="H203" s="669">
        <v>0.72799999999999998</v>
      </c>
      <c r="I203" s="669">
        <v>0.63080000000000003</v>
      </c>
      <c r="J203" s="669">
        <v>0.63080000000000003</v>
      </c>
      <c r="K203" s="669">
        <v>0.63080000000000003</v>
      </c>
      <c r="L203" s="669">
        <v>0.63080000000000003</v>
      </c>
      <c r="M203" s="669">
        <v>0.63080000000000003</v>
      </c>
    </row>
    <row r="204" spans="1:13">
      <c r="A204" s="677">
        <v>10</v>
      </c>
      <c r="B204" s="669">
        <v>0.82899999999999996</v>
      </c>
      <c r="C204" s="669">
        <v>0.82899999999999996</v>
      </c>
      <c r="D204" s="669">
        <v>0.72670000000000001</v>
      </c>
      <c r="E204" s="669">
        <v>0.72670000000000001</v>
      </c>
      <c r="F204" s="669">
        <v>0.72670000000000001</v>
      </c>
      <c r="G204" s="669">
        <v>0.72670000000000001</v>
      </c>
      <c r="H204" s="669">
        <v>0.72670000000000001</v>
      </c>
      <c r="I204" s="669">
        <v>0.62939999999999996</v>
      </c>
      <c r="J204" s="669">
        <v>0.62939999999999996</v>
      </c>
      <c r="K204" s="669">
        <v>0.62939999999999996</v>
      </c>
      <c r="L204" s="669">
        <v>0.62939999999999996</v>
      </c>
      <c r="M204" s="669">
        <v>0.62939999999999996</v>
      </c>
    </row>
    <row r="205" spans="1:13" ht="14.25">
      <c r="A205" s="659" t="s">
        <v>749</v>
      </c>
      <c r="B205" s="660"/>
      <c r="C205" s="660"/>
      <c r="D205" s="660"/>
      <c r="E205" s="660"/>
      <c r="F205" s="660"/>
      <c r="G205" s="660"/>
      <c r="H205" s="660"/>
      <c r="I205" s="660"/>
      <c r="J205" s="660"/>
      <c r="K205" s="660"/>
      <c r="L205" s="660"/>
      <c r="M205" s="660"/>
    </row>
    <row r="206" spans="1:13">
      <c r="A206" s="662" t="s">
        <v>746</v>
      </c>
      <c r="B206" s="663" t="s">
        <v>157</v>
      </c>
      <c r="C206" s="663" t="s">
        <v>158</v>
      </c>
      <c r="D206" s="663" t="s">
        <v>159</v>
      </c>
      <c r="E206" s="663" t="s">
        <v>160</v>
      </c>
      <c r="F206" s="663" t="s">
        <v>161</v>
      </c>
      <c r="G206" s="663" t="s">
        <v>162</v>
      </c>
      <c r="H206" s="664" t="s">
        <v>163</v>
      </c>
      <c r="I206" s="664" t="s">
        <v>164</v>
      </c>
      <c r="J206" s="665" t="s">
        <v>165</v>
      </c>
      <c r="K206" s="665" t="s">
        <v>166</v>
      </c>
      <c r="L206" s="665" t="s">
        <v>167</v>
      </c>
      <c r="M206" s="665" t="s">
        <v>168</v>
      </c>
    </row>
    <row r="207" spans="1:13">
      <c r="A207" s="662">
        <v>0.1</v>
      </c>
      <c r="B207" s="669">
        <v>12.172000000000001</v>
      </c>
      <c r="C207" s="669">
        <v>12.172000000000001</v>
      </c>
      <c r="D207" s="669">
        <v>12.375999999999999</v>
      </c>
      <c r="E207" s="669">
        <v>12.375999999999999</v>
      </c>
      <c r="F207" s="669">
        <v>12.375999999999999</v>
      </c>
      <c r="G207" s="669">
        <v>12.375999999999999</v>
      </c>
      <c r="H207" s="669">
        <v>12.375999999999999</v>
      </c>
      <c r="I207" s="669">
        <v>11.071999999999999</v>
      </c>
      <c r="J207" s="669">
        <v>11.071999999999999</v>
      </c>
      <c r="K207" s="669">
        <v>11.071999999999999</v>
      </c>
      <c r="L207" s="669">
        <v>11.071999999999999</v>
      </c>
      <c r="M207" s="669">
        <v>11.071999999999999</v>
      </c>
    </row>
    <row r="208" spans="1:13">
      <c r="A208" s="662">
        <v>0.2</v>
      </c>
      <c r="B208" s="669">
        <v>6.0860000000000003</v>
      </c>
      <c r="C208" s="669">
        <v>6.0860000000000003</v>
      </c>
      <c r="D208" s="669">
        <v>6.1879999999999997</v>
      </c>
      <c r="E208" s="669">
        <v>6.1879999999999997</v>
      </c>
      <c r="F208" s="669">
        <v>6.1879999999999997</v>
      </c>
      <c r="G208" s="669">
        <v>6.1879999999999997</v>
      </c>
      <c r="H208" s="669">
        <v>6.1879999999999997</v>
      </c>
      <c r="I208" s="669">
        <v>5.5359999999999996</v>
      </c>
      <c r="J208" s="669">
        <v>5.5359999999999996</v>
      </c>
      <c r="K208" s="669">
        <v>5.5359999999999996</v>
      </c>
      <c r="L208" s="669">
        <v>5.5359999999999996</v>
      </c>
      <c r="M208" s="669">
        <v>5.5359999999999996</v>
      </c>
    </row>
    <row r="209" spans="1:13">
      <c r="A209" s="662">
        <v>0.3</v>
      </c>
      <c r="B209" s="669">
        <v>4.0572999999999997</v>
      </c>
      <c r="C209" s="669">
        <v>4.0572999999999997</v>
      </c>
      <c r="D209" s="669">
        <v>4.1253000000000002</v>
      </c>
      <c r="E209" s="669">
        <v>4.1253000000000002</v>
      </c>
      <c r="F209" s="669">
        <v>4.1253000000000002</v>
      </c>
      <c r="G209" s="669">
        <v>4.1253000000000002</v>
      </c>
      <c r="H209" s="669">
        <v>4.1253000000000002</v>
      </c>
      <c r="I209" s="669">
        <v>3.6907000000000001</v>
      </c>
      <c r="J209" s="669">
        <v>3.6907000000000001</v>
      </c>
      <c r="K209" s="669">
        <v>3.6907000000000001</v>
      </c>
      <c r="L209" s="669">
        <v>3.6907000000000001</v>
      </c>
      <c r="M209" s="669">
        <v>3.6907000000000001</v>
      </c>
    </row>
    <row r="210" spans="1:13">
      <c r="A210" s="662">
        <v>0.4</v>
      </c>
      <c r="B210" s="669">
        <v>3.0430000000000001</v>
      </c>
      <c r="C210" s="669">
        <v>3.0430000000000001</v>
      </c>
      <c r="D210" s="669">
        <v>3.0939999999999999</v>
      </c>
      <c r="E210" s="669">
        <v>3.0939999999999999</v>
      </c>
      <c r="F210" s="669">
        <v>3.0939999999999999</v>
      </c>
      <c r="G210" s="669">
        <v>3.0939999999999999</v>
      </c>
      <c r="H210" s="669">
        <v>3.0939999999999999</v>
      </c>
      <c r="I210" s="669">
        <v>2.7679999999999998</v>
      </c>
      <c r="J210" s="669">
        <v>2.7679999999999998</v>
      </c>
      <c r="K210" s="669">
        <v>2.7679999999999998</v>
      </c>
      <c r="L210" s="669">
        <v>2.7679999999999998</v>
      </c>
      <c r="M210" s="669">
        <v>2.7679999999999998</v>
      </c>
    </row>
    <row r="211" spans="1:13">
      <c r="A211" s="662">
        <v>0.5</v>
      </c>
      <c r="B211" s="669">
        <v>2.4344000000000001</v>
      </c>
      <c r="C211" s="669">
        <v>2.4344000000000001</v>
      </c>
      <c r="D211" s="669">
        <v>2.4752000000000001</v>
      </c>
      <c r="E211" s="669">
        <v>2.4752000000000001</v>
      </c>
      <c r="F211" s="669">
        <v>2.4752000000000001</v>
      </c>
      <c r="G211" s="669">
        <v>2.4752000000000001</v>
      </c>
      <c r="H211" s="669">
        <v>2.4752000000000001</v>
      </c>
      <c r="I211" s="669">
        <v>2.2143999999999999</v>
      </c>
      <c r="J211" s="669">
        <v>2.2143999999999999</v>
      </c>
      <c r="K211" s="669">
        <v>2.2143999999999999</v>
      </c>
      <c r="L211" s="669">
        <v>2.2143999999999999</v>
      </c>
      <c r="M211" s="669">
        <v>2.2143999999999999</v>
      </c>
    </row>
    <row r="212" spans="1:13">
      <c r="A212" s="662">
        <v>0.6</v>
      </c>
      <c r="B212" s="669">
        <v>2.0287000000000002</v>
      </c>
      <c r="C212" s="669">
        <v>2.0287000000000002</v>
      </c>
      <c r="D212" s="669">
        <v>2.0627</v>
      </c>
      <c r="E212" s="669">
        <v>2.0627</v>
      </c>
      <c r="F212" s="669">
        <v>2.0627</v>
      </c>
      <c r="G212" s="669">
        <v>2.0627</v>
      </c>
      <c r="H212" s="669">
        <v>2.0627</v>
      </c>
      <c r="I212" s="669">
        <v>1.8452999999999999</v>
      </c>
      <c r="J212" s="669">
        <v>1.8452999999999999</v>
      </c>
      <c r="K212" s="669">
        <v>1.8452999999999999</v>
      </c>
      <c r="L212" s="669">
        <v>1.8452999999999999</v>
      </c>
      <c r="M212" s="669">
        <v>1.8452999999999999</v>
      </c>
    </row>
    <row r="213" spans="1:13">
      <c r="A213" s="662">
        <v>0.7</v>
      </c>
      <c r="B213" s="669">
        <v>1.7388999999999999</v>
      </c>
      <c r="C213" s="669">
        <v>1.7388999999999999</v>
      </c>
      <c r="D213" s="669">
        <v>1.768</v>
      </c>
      <c r="E213" s="669">
        <v>1.768</v>
      </c>
      <c r="F213" s="669">
        <v>1.768</v>
      </c>
      <c r="G213" s="669">
        <v>1.768</v>
      </c>
      <c r="H213" s="669">
        <v>1.768</v>
      </c>
      <c r="I213" s="669">
        <v>1.5817000000000001</v>
      </c>
      <c r="J213" s="669">
        <v>1.5817000000000001</v>
      </c>
      <c r="K213" s="669">
        <v>1.5817000000000001</v>
      </c>
      <c r="L213" s="669">
        <v>1.5817000000000001</v>
      </c>
      <c r="M213" s="669">
        <v>1.5817000000000001</v>
      </c>
    </row>
    <row r="214" spans="1:13">
      <c r="A214" s="662">
        <v>0.8</v>
      </c>
      <c r="B214" s="669">
        <v>1.5215000000000001</v>
      </c>
      <c r="C214" s="669">
        <v>1.5215000000000001</v>
      </c>
      <c r="D214" s="669">
        <v>1.5469999999999999</v>
      </c>
      <c r="E214" s="669">
        <v>1.5469999999999999</v>
      </c>
      <c r="F214" s="669">
        <v>1.5469999999999999</v>
      </c>
      <c r="G214" s="669">
        <v>1.5469999999999999</v>
      </c>
      <c r="H214" s="669">
        <v>1.5469999999999999</v>
      </c>
      <c r="I214" s="669">
        <v>1.3839999999999999</v>
      </c>
      <c r="J214" s="669">
        <v>1.3839999999999999</v>
      </c>
      <c r="K214" s="669">
        <v>1.3839999999999999</v>
      </c>
      <c r="L214" s="669">
        <v>1.3839999999999999</v>
      </c>
      <c r="M214" s="669">
        <v>1.3839999999999999</v>
      </c>
    </row>
    <row r="215" spans="1:13">
      <c r="A215" s="662">
        <v>0.9</v>
      </c>
      <c r="B215" s="669">
        <v>1.3524</v>
      </c>
      <c r="C215" s="669">
        <v>1.3524</v>
      </c>
      <c r="D215" s="669">
        <v>1.3751</v>
      </c>
      <c r="E215" s="669">
        <v>1.3751</v>
      </c>
      <c r="F215" s="669">
        <v>1.3751</v>
      </c>
      <c r="G215" s="669">
        <v>1.3751</v>
      </c>
      <c r="H215" s="669">
        <v>1.3751</v>
      </c>
      <c r="I215" s="669">
        <v>1.2302</v>
      </c>
      <c r="J215" s="669">
        <v>1.2302</v>
      </c>
      <c r="K215" s="669">
        <v>1.2302</v>
      </c>
      <c r="L215" s="669">
        <v>1.2302</v>
      </c>
      <c r="M215" s="669">
        <v>1.2302</v>
      </c>
    </row>
    <row r="216" spans="1:13">
      <c r="A216" s="662">
        <v>1</v>
      </c>
      <c r="B216" s="669">
        <v>1.2172000000000001</v>
      </c>
      <c r="C216" s="669">
        <v>1.2172000000000001</v>
      </c>
      <c r="D216" s="669">
        <v>1.2376</v>
      </c>
      <c r="E216" s="669">
        <v>1.2376</v>
      </c>
      <c r="F216" s="669">
        <v>1.2376</v>
      </c>
      <c r="G216" s="669">
        <v>1.2376</v>
      </c>
      <c r="H216" s="669">
        <v>1.2376</v>
      </c>
      <c r="I216" s="669">
        <v>1.1072</v>
      </c>
      <c r="J216" s="669">
        <v>1.1072</v>
      </c>
      <c r="K216" s="669">
        <v>1.1072</v>
      </c>
      <c r="L216" s="669">
        <v>1.1072</v>
      </c>
      <c r="M216" s="669">
        <v>1.1072</v>
      </c>
    </row>
    <row r="217" spans="1:13">
      <c r="A217" s="662">
        <v>1.1000000000000001</v>
      </c>
      <c r="B217" s="669">
        <v>1.198</v>
      </c>
      <c r="C217" s="669">
        <v>1.198</v>
      </c>
      <c r="D217" s="669">
        <v>1.2156</v>
      </c>
      <c r="E217" s="669">
        <v>1.2156</v>
      </c>
      <c r="F217" s="669">
        <v>1.2156</v>
      </c>
      <c r="G217" s="669">
        <v>1.2156</v>
      </c>
      <c r="H217" s="669">
        <v>1.2156</v>
      </c>
      <c r="I217" s="669">
        <v>1.0829</v>
      </c>
      <c r="J217" s="669">
        <v>1.0829</v>
      </c>
      <c r="K217" s="669">
        <v>1.0829</v>
      </c>
      <c r="L217" s="669">
        <v>1.0829</v>
      </c>
      <c r="M217" s="669">
        <v>1.0829</v>
      </c>
    </row>
    <row r="218" spans="1:13">
      <c r="A218" s="662">
        <v>1.2</v>
      </c>
      <c r="B218" s="669">
        <v>1.1795</v>
      </c>
      <c r="C218" s="669">
        <v>1.1795</v>
      </c>
      <c r="D218" s="669">
        <v>1.1947000000000001</v>
      </c>
      <c r="E218" s="669">
        <v>1.1947000000000001</v>
      </c>
      <c r="F218" s="669">
        <v>1.1947000000000001</v>
      </c>
      <c r="G218" s="669">
        <v>1.1947000000000001</v>
      </c>
      <c r="H218" s="669">
        <v>1.1947000000000001</v>
      </c>
      <c r="I218" s="669">
        <v>1.0601</v>
      </c>
      <c r="J218" s="669">
        <v>1.0601</v>
      </c>
      <c r="K218" s="669">
        <v>1.0601</v>
      </c>
      <c r="L218" s="669">
        <v>1.0601</v>
      </c>
      <c r="M218" s="669">
        <v>1.0601</v>
      </c>
    </row>
    <row r="219" spans="1:13">
      <c r="A219" s="662">
        <v>1.3</v>
      </c>
      <c r="B219" s="669">
        <v>1.1617999999999999</v>
      </c>
      <c r="C219" s="669">
        <v>1.1617999999999999</v>
      </c>
      <c r="D219" s="669">
        <v>1.1748000000000001</v>
      </c>
      <c r="E219" s="669">
        <v>1.1748000000000001</v>
      </c>
      <c r="F219" s="669">
        <v>1.1748000000000001</v>
      </c>
      <c r="G219" s="669">
        <v>1.1748000000000001</v>
      </c>
      <c r="H219" s="669">
        <v>1.1748000000000001</v>
      </c>
      <c r="I219" s="669">
        <v>1.0387999999999999</v>
      </c>
      <c r="J219" s="669">
        <v>1.0387999999999999</v>
      </c>
      <c r="K219" s="669">
        <v>1.0387999999999999</v>
      </c>
      <c r="L219" s="669">
        <v>1.0387999999999999</v>
      </c>
      <c r="M219" s="669">
        <v>1.0387999999999999</v>
      </c>
    </row>
    <row r="220" spans="1:13">
      <c r="A220" s="662">
        <v>1.4</v>
      </c>
      <c r="B220" s="669">
        <v>1.1448</v>
      </c>
      <c r="C220" s="669">
        <v>1.1448</v>
      </c>
      <c r="D220" s="669">
        <v>1.1557999999999999</v>
      </c>
      <c r="E220" s="669">
        <v>1.1557999999999999</v>
      </c>
      <c r="F220" s="669">
        <v>1.1557999999999999</v>
      </c>
      <c r="G220" s="669">
        <v>1.1557999999999999</v>
      </c>
      <c r="H220" s="669">
        <v>1.1557999999999999</v>
      </c>
      <c r="I220" s="669">
        <v>1.0187999999999999</v>
      </c>
      <c r="J220" s="669">
        <v>1.0187999999999999</v>
      </c>
      <c r="K220" s="669">
        <v>1.0187999999999999</v>
      </c>
      <c r="L220" s="669">
        <v>1.0187999999999999</v>
      </c>
      <c r="M220" s="669">
        <v>1.0187999999999999</v>
      </c>
    </row>
    <row r="221" spans="1:13">
      <c r="A221" s="662">
        <v>1.5</v>
      </c>
      <c r="B221" s="669">
        <v>1.1285000000000001</v>
      </c>
      <c r="C221" s="669">
        <v>1.1285000000000001</v>
      </c>
      <c r="D221" s="669">
        <v>1.1377999999999999</v>
      </c>
      <c r="E221" s="669">
        <v>1.1377999999999999</v>
      </c>
      <c r="F221" s="669">
        <v>1.1377999999999999</v>
      </c>
      <c r="G221" s="669">
        <v>1.1377999999999999</v>
      </c>
      <c r="H221" s="669">
        <v>1.1377999999999999</v>
      </c>
      <c r="I221" s="669">
        <v>1</v>
      </c>
      <c r="J221" s="669">
        <v>1</v>
      </c>
      <c r="K221" s="669">
        <v>1</v>
      </c>
      <c r="L221" s="669">
        <v>1</v>
      </c>
      <c r="M221" s="669">
        <v>1</v>
      </c>
    </row>
    <row r="222" spans="1:13">
      <c r="A222" s="662">
        <v>1.6</v>
      </c>
      <c r="B222" s="669">
        <v>1.1129</v>
      </c>
      <c r="C222" s="669">
        <v>1.1129</v>
      </c>
      <c r="D222" s="669">
        <v>1.1206</v>
      </c>
      <c r="E222" s="669">
        <v>1.1206</v>
      </c>
      <c r="F222" s="669">
        <v>1.1206</v>
      </c>
      <c r="G222" s="669">
        <v>1.1206</v>
      </c>
      <c r="H222" s="669">
        <v>1.1206</v>
      </c>
      <c r="I222" s="669">
        <v>0.98240000000000005</v>
      </c>
      <c r="J222" s="669">
        <v>0.98240000000000005</v>
      </c>
      <c r="K222" s="669">
        <v>0.98240000000000005</v>
      </c>
      <c r="L222" s="669">
        <v>0.98240000000000005</v>
      </c>
      <c r="M222" s="669">
        <v>0.98240000000000005</v>
      </c>
    </row>
    <row r="223" spans="1:13">
      <c r="A223" s="662">
        <v>1.7</v>
      </c>
      <c r="B223" s="669">
        <v>1.0980000000000001</v>
      </c>
      <c r="C223" s="669">
        <v>1.0980000000000001</v>
      </c>
      <c r="D223" s="669">
        <v>1.1043000000000001</v>
      </c>
      <c r="E223" s="669">
        <v>1.1043000000000001</v>
      </c>
      <c r="F223" s="669">
        <v>1.1043000000000001</v>
      </c>
      <c r="G223" s="669">
        <v>1.1043000000000001</v>
      </c>
      <c r="H223" s="669">
        <v>1.1043000000000001</v>
      </c>
      <c r="I223" s="669">
        <v>0.96579999999999999</v>
      </c>
      <c r="J223" s="669">
        <v>0.96579999999999999</v>
      </c>
      <c r="K223" s="669">
        <v>0.96579999999999999</v>
      </c>
      <c r="L223" s="669">
        <v>0.96579999999999999</v>
      </c>
      <c r="M223" s="669">
        <v>0.96579999999999999</v>
      </c>
    </row>
    <row r="224" spans="1:13">
      <c r="A224" s="662">
        <v>1.8</v>
      </c>
      <c r="B224" s="669">
        <v>1.0835999999999999</v>
      </c>
      <c r="C224" s="669">
        <v>1.0835999999999999</v>
      </c>
      <c r="D224" s="669">
        <v>1.0888</v>
      </c>
      <c r="E224" s="669">
        <v>1.0888</v>
      </c>
      <c r="F224" s="669">
        <v>1.0888</v>
      </c>
      <c r="G224" s="669">
        <v>1.0888</v>
      </c>
      <c r="H224" s="669">
        <v>1.0888</v>
      </c>
      <c r="I224" s="669">
        <v>0.95030000000000003</v>
      </c>
      <c r="J224" s="669">
        <v>0.95030000000000003</v>
      </c>
      <c r="K224" s="669">
        <v>0.95030000000000003</v>
      </c>
      <c r="L224" s="669">
        <v>0.95030000000000003</v>
      </c>
      <c r="M224" s="669">
        <v>0.95030000000000003</v>
      </c>
    </row>
    <row r="225" spans="1:13">
      <c r="A225" s="662">
        <v>1.9</v>
      </c>
      <c r="B225" s="669">
        <v>1.0698000000000001</v>
      </c>
      <c r="C225" s="669">
        <v>1.0698000000000001</v>
      </c>
      <c r="D225" s="669">
        <v>1.0741000000000001</v>
      </c>
      <c r="E225" s="669">
        <v>1.0741000000000001</v>
      </c>
      <c r="F225" s="669">
        <v>1.0741000000000001</v>
      </c>
      <c r="G225" s="669">
        <v>1.0741000000000001</v>
      </c>
      <c r="H225" s="669">
        <v>1.0741000000000001</v>
      </c>
      <c r="I225" s="669">
        <v>0.93610000000000004</v>
      </c>
      <c r="J225" s="669">
        <v>0.93610000000000004</v>
      </c>
      <c r="K225" s="669">
        <v>0.93610000000000004</v>
      </c>
      <c r="L225" s="669">
        <v>0.93610000000000004</v>
      </c>
      <c r="M225" s="669">
        <v>0.93610000000000004</v>
      </c>
    </row>
    <row r="226" spans="1:13">
      <c r="A226" s="662">
        <v>2</v>
      </c>
      <c r="B226" s="669">
        <v>1.0568</v>
      </c>
      <c r="C226" s="669">
        <v>1.0568</v>
      </c>
      <c r="D226" s="669">
        <v>1.0601</v>
      </c>
      <c r="E226" s="669">
        <v>1.0601</v>
      </c>
      <c r="F226" s="669">
        <v>1.0601</v>
      </c>
      <c r="G226" s="669">
        <v>1.0601</v>
      </c>
      <c r="H226" s="669">
        <v>1.0601</v>
      </c>
      <c r="I226" s="669">
        <v>0.9224</v>
      </c>
      <c r="J226" s="669">
        <v>0.9224</v>
      </c>
      <c r="K226" s="669">
        <v>0.9224</v>
      </c>
      <c r="L226" s="669">
        <v>0.9224</v>
      </c>
      <c r="M226" s="669">
        <v>0.9224</v>
      </c>
    </row>
    <row r="227" spans="1:13">
      <c r="A227" s="677">
        <v>2.1</v>
      </c>
      <c r="B227" s="669">
        <v>1.0443</v>
      </c>
      <c r="C227" s="669">
        <v>1.0443</v>
      </c>
      <c r="D227" s="669">
        <v>1.0468</v>
      </c>
      <c r="E227" s="669">
        <v>1.0468</v>
      </c>
      <c r="F227" s="669">
        <v>1.0468</v>
      </c>
      <c r="G227" s="669">
        <v>1.0468</v>
      </c>
      <c r="H227" s="669">
        <v>1.0468</v>
      </c>
      <c r="I227" s="669">
        <v>0.90959999999999996</v>
      </c>
      <c r="J227" s="669">
        <v>0.90959999999999996</v>
      </c>
      <c r="K227" s="669">
        <v>0.90959999999999996</v>
      </c>
      <c r="L227" s="669">
        <v>0.90959999999999996</v>
      </c>
      <c r="M227" s="669">
        <v>0.90959999999999996</v>
      </c>
    </row>
    <row r="228" spans="1:13">
      <c r="A228" s="677">
        <v>2.2000000000000002</v>
      </c>
      <c r="B228" s="669">
        <v>1.0325</v>
      </c>
      <c r="C228" s="669">
        <v>1.0325</v>
      </c>
      <c r="D228" s="669">
        <v>1.0342</v>
      </c>
      <c r="E228" s="669">
        <v>1.0342</v>
      </c>
      <c r="F228" s="669">
        <v>1.0342</v>
      </c>
      <c r="G228" s="669">
        <v>1.0342</v>
      </c>
      <c r="H228" s="669">
        <v>1.0342</v>
      </c>
      <c r="I228" s="669">
        <v>0.89749999999999996</v>
      </c>
      <c r="J228" s="669">
        <v>0.89749999999999996</v>
      </c>
      <c r="K228" s="669">
        <v>0.89749999999999996</v>
      </c>
      <c r="L228" s="669">
        <v>0.89749999999999996</v>
      </c>
      <c r="M228" s="669">
        <v>0.89749999999999996</v>
      </c>
    </row>
    <row r="229" spans="1:13">
      <c r="A229" s="677">
        <v>2.2999999999999998</v>
      </c>
      <c r="B229" s="669">
        <v>1.0209999999999999</v>
      </c>
      <c r="C229" s="669">
        <v>1.0209999999999999</v>
      </c>
      <c r="D229" s="669">
        <v>1.0222</v>
      </c>
      <c r="E229" s="669">
        <v>1.0222</v>
      </c>
      <c r="F229" s="669">
        <v>1.0222</v>
      </c>
      <c r="G229" s="669">
        <v>1.0222</v>
      </c>
      <c r="H229" s="669">
        <v>1.0222</v>
      </c>
      <c r="I229" s="669">
        <v>0.88619999999999999</v>
      </c>
      <c r="J229" s="669">
        <v>0.88619999999999999</v>
      </c>
      <c r="K229" s="669">
        <v>0.88619999999999999</v>
      </c>
      <c r="L229" s="669">
        <v>0.88619999999999999</v>
      </c>
      <c r="M229" s="669">
        <v>0.88619999999999999</v>
      </c>
    </row>
    <row r="230" spans="1:13">
      <c r="A230" s="677">
        <v>2.4</v>
      </c>
      <c r="B230" s="669">
        <v>1.0102</v>
      </c>
      <c r="C230" s="669">
        <v>1.0102</v>
      </c>
      <c r="D230" s="669">
        <v>1.0107999999999999</v>
      </c>
      <c r="E230" s="669">
        <v>1.0107999999999999</v>
      </c>
      <c r="F230" s="669">
        <v>1.0107999999999999</v>
      </c>
      <c r="G230" s="669">
        <v>1.0107999999999999</v>
      </c>
      <c r="H230" s="669">
        <v>1.0107999999999999</v>
      </c>
      <c r="I230" s="669">
        <v>0.87529999999999997</v>
      </c>
      <c r="J230" s="669">
        <v>0.87529999999999997</v>
      </c>
      <c r="K230" s="669">
        <v>0.87529999999999997</v>
      </c>
      <c r="L230" s="669">
        <v>0.87529999999999997</v>
      </c>
      <c r="M230" s="669">
        <v>0.87529999999999997</v>
      </c>
    </row>
    <row r="231" spans="1:13">
      <c r="A231" s="677">
        <v>2.5</v>
      </c>
      <c r="B231" s="669">
        <v>1</v>
      </c>
      <c r="C231" s="669">
        <v>1</v>
      </c>
      <c r="D231" s="669">
        <v>1</v>
      </c>
      <c r="E231" s="669">
        <v>1</v>
      </c>
      <c r="F231" s="669">
        <v>1</v>
      </c>
      <c r="G231" s="669">
        <v>1</v>
      </c>
      <c r="H231" s="669">
        <v>1</v>
      </c>
      <c r="I231" s="669">
        <v>0.86509999999999998</v>
      </c>
      <c r="J231" s="669">
        <v>0.86509999999999998</v>
      </c>
      <c r="K231" s="669">
        <v>0.86509999999999998</v>
      </c>
      <c r="L231" s="669">
        <v>0.86509999999999998</v>
      </c>
      <c r="M231" s="669">
        <v>0.86509999999999998</v>
      </c>
    </row>
    <row r="232" spans="1:13">
      <c r="A232" s="677">
        <v>2.6</v>
      </c>
      <c r="B232" s="669">
        <v>0.99029999999999996</v>
      </c>
      <c r="C232" s="669">
        <v>0.99029999999999996</v>
      </c>
      <c r="D232" s="669">
        <v>0.98970000000000002</v>
      </c>
      <c r="E232" s="669">
        <v>0.98970000000000002</v>
      </c>
      <c r="F232" s="669">
        <v>0.98970000000000002</v>
      </c>
      <c r="G232" s="669">
        <v>0.98970000000000002</v>
      </c>
      <c r="H232" s="669">
        <v>0.98970000000000002</v>
      </c>
      <c r="I232" s="669">
        <v>0.85529999999999995</v>
      </c>
      <c r="J232" s="669">
        <v>0.85529999999999995</v>
      </c>
      <c r="K232" s="669">
        <v>0.85529999999999995</v>
      </c>
      <c r="L232" s="669">
        <v>0.85529999999999995</v>
      </c>
      <c r="M232" s="669">
        <v>0.85529999999999995</v>
      </c>
    </row>
    <row r="233" spans="1:13">
      <c r="A233" s="677">
        <v>2.7</v>
      </c>
      <c r="B233" s="669">
        <v>0.98109999999999997</v>
      </c>
      <c r="C233" s="669">
        <v>0.98109999999999997</v>
      </c>
      <c r="D233" s="669">
        <v>0.97989999999999999</v>
      </c>
      <c r="E233" s="669">
        <v>0.97989999999999999</v>
      </c>
      <c r="F233" s="669">
        <v>0.97989999999999999</v>
      </c>
      <c r="G233" s="669">
        <v>0.97989999999999999</v>
      </c>
      <c r="H233" s="669">
        <v>0.97989999999999999</v>
      </c>
      <c r="I233" s="669">
        <v>0.84599999999999997</v>
      </c>
      <c r="J233" s="669">
        <v>0.84599999999999997</v>
      </c>
      <c r="K233" s="669">
        <v>0.84599999999999997</v>
      </c>
      <c r="L233" s="669">
        <v>0.84599999999999997</v>
      </c>
      <c r="M233" s="669">
        <v>0.84599999999999997</v>
      </c>
    </row>
    <row r="234" spans="1:13">
      <c r="A234" s="677">
        <v>2.8</v>
      </c>
      <c r="B234" s="669">
        <v>0.97240000000000004</v>
      </c>
      <c r="C234" s="669">
        <v>0.97240000000000004</v>
      </c>
      <c r="D234" s="669">
        <v>0.97060000000000002</v>
      </c>
      <c r="E234" s="669">
        <v>0.97060000000000002</v>
      </c>
      <c r="F234" s="669">
        <v>0.97060000000000002</v>
      </c>
      <c r="G234" s="669">
        <v>0.97060000000000002</v>
      </c>
      <c r="H234" s="669">
        <v>0.97060000000000002</v>
      </c>
      <c r="I234" s="669">
        <v>0.83709999999999996</v>
      </c>
      <c r="J234" s="669">
        <v>0.83709999999999996</v>
      </c>
      <c r="K234" s="669">
        <v>0.83709999999999996</v>
      </c>
      <c r="L234" s="669">
        <v>0.83709999999999996</v>
      </c>
      <c r="M234" s="669">
        <v>0.83709999999999996</v>
      </c>
    </row>
    <row r="235" spans="1:13">
      <c r="A235" s="677">
        <v>2.9</v>
      </c>
      <c r="B235" s="669">
        <v>0.96419999999999995</v>
      </c>
      <c r="C235" s="669">
        <v>0.96419999999999995</v>
      </c>
      <c r="D235" s="669">
        <v>0.96179999999999999</v>
      </c>
      <c r="E235" s="669">
        <v>0.96179999999999999</v>
      </c>
      <c r="F235" s="669">
        <v>0.96179999999999999</v>
      </c>
      <c r="G235" s="669">
        <v>0.96179999999999999</v>
      </c>
      <c r="H235" s="669">
        <v>0.96179999999999999</v>
      </c>
      <c r="I235" s="669">
        <v>0.82850000000000001</v>
      </c>
      <c r="J235" s="669">
        <v>0.82850000000000001</v>
      </c>
      <c r="K235" s="669">
        <v>0.82850000000000001</v>
      </c>
      <c r="L235" s="669">
        <v>0.82850000000000001</v>
      </c>
      <c r="M235" s="669">
        <v>0.82850000000000001</v>
      </c>
    </row>
    <row r="236" spans="1:13">
      <c r="A236" s="677">
        <v>3</v>
      </c>
      <c r="B236" s="669">
        <v>0.95640000000000003</v>
      </c>
      <c r="C236" s="669">
        <v>0.95640000000000003</v>
      </c>
      <c r="D236" s="669">
        <v>0.95340000000000003</v>
      </c>
      <c r="E236" s="669">
        <v>0.95340000000000003</v>
      </c>
      <c r="F236" s="669">
        <v>0.95340000000000003</v>
      </c>
      <c r="G236" s="669">
        <v>0.95340000000000003</v>
      </c>
      <c r="H236" s="669">
        <v>0.95340000000000003</v>
      </c>
      <c r="I236" s="669">
        <v>0.82040000000000002</v>
      </c>
      <c r="J236" s="669">
        <v>0.82040000000000002</v>
      </c>
      <c r="K236" s="669">
        <v>0.82040000000000002</v>
      </c>
      <c r="L236" s="669">
        <v>0.82040000000000002</v>
      </c>
      <c r="M236" s="669">
        <v>0.82040000000000002</v>
      </c>
    </row>
    <row r="237" spans="1:13">
      <c r="A237" s="677">
        <v>3.1</v>
      </c>
      <c r="B237" s="669">
        <v>0.94899999999999995</v>
      </c>
      <c r="C237" s="669">
        <v>0.94899999999999995</v>
      </c>
      <c r="D237" s="669">
        <v>0.94550000000000001</v>
      </c>
      <c r="E237" s="669">
        <v>0.94550000000000001</v>
      </c>
      <c r="F237" s="669">
        <v>0.94550000000000001</v>
      </c>
      <c r="G237" s="669">
        <v>0.94550000000000001</v>
      </c>
      <c r="H237" s="669">
        <v>0.94550000000000001</v>
      </c>
      <c r="I237" s="669">
        <v>0.81259999999999999</v>
      </c>
      <c r="J237" s="669">
        <v>0.81259999999999999</v>
      </c>
      <c r="K237" s="669">
        <v>0.81259999999999999</v>
      </c>
      <c r="L237" s="669">
        <v>0.81259999999999999</v>
      </c>
      <c r="M237" s="669">
        <v>0.81259999999999999</v>
      </c>
    </row>
    <row r="238" spans="1:13">
      <c r="A238" s="677">
        <v>3.2</v>
      </c>
      <c r="B238" s="669">
        <v>0.94199999999999995</v>
      </c>
      <c r="C238" s="669">
        <v>0.94199999999999995</v>
      </c>
      <c r="D238" s="669">
        <v>0.93789999999999996</v>
      </c>
      <c r="E238" s="669">
        <v>0.93789999999999996</v>
      </c>
      <c r="F238" s="669">
        <v>0.93789999999999996</v>
      </c>
      <c r="G238" s="669">
        <v>0.93789999999999996</v>
      </c>
      <c r="H238" s="669">
        <v>0.93789999999999996</v>
      </c>
      <c r="I238" s="669">
        <v>0.80530000000000002</v>
      </c>
      <c r="J238" s="669">
        <v>0.80530000000000002</v>
      </c>
      <c r="K238" s="669">
        <v>0.80530000000000002</v>
      </c>
      <c r="L238" s="669">
        <v>0.80530000000000002</v>
      </c>
      <c r="M238" s="669">
        <v>0.80530000000000002</v>
      </c>
    </row>
    <row r="239" spans="1:13">
      <c r="A239" s="677">
        <v>3.3</v>
      </c>
      <c r="B239" s="669">
        <v>0.93540000000000001</v>
      </c>
      <c r="C239" s="669">
        <v>0.93540000000000001</v>
      </c>
      <c r="D239" s="669">
        <v>0.93069999999999997</v>
      </c>
      <c r="E239" s="669">
        <v>0.93069999999999997</v>
      </c>
      <c r="F239" s="669">
        <v>0.93069999999999997</v>
      </c>
      <c r="G239" s="669">
        <v>0.93069999999999997</v>
      </c>
      <c r="H239" s="669">
        <v>0.93069999999999997</v>
      </c>
      <c r="I239" s="669">
        <v>0.79820000000000002</v>
      </c>
      <c r="J239" s="669">
        <v>0.79820000000000002</v>
      </c>
      <c r="K239" s="669">
        <v>0.79820000000000002</v>
      </c>
      <c r="L239" s="669">
        <v>0.79820000000000002</v>
      </c>
      <c r="M239" s="669">
        <v>0.79820000000000002</v>
      </c>
    </row>
    <row r="240" spans="1:13">
      <c r="A240" s="677">
        <v>3.4</v>
      </c>
      <c r="B240" s="669">
        <v>0.92920000000000003</v>
      </c>
      <c r="C240" s="669">
        <v>0.92920000000000003</v>
      </c>
      <c r="D240" s="669">
        <v>0.92390000000000005</v>
      </c>
      <c r="E240" s="669">
        <v>0.92390000000000005</v>
      </c>
      <c r="F240" s="669">
        <v>0.92390000000000005</v>
      </c>
      <c r="G240" s="669">
        <v>0.92390000000000005</v>
      </c>
      <c r="H240" s="669">
        <v>0.92390000000000005</v>
      </c>
      <c r="I240" s="669">
        <v>0.79139999999999999</v>
      </c>
      <c r="J240" s="669">
        <v>0.79139999999999999</v>
      </c>
      <c r="K240" s="669">
        <v>0.79139999999999999</v>
      </c>
      <c r="L240" s="669">
        <v>0.79139999999999999</v>
      </c>
      <c r="M240" s="669">
        <v>0.79139999999999999</v>
      </c>
    </row>
    <row r="241" spans="1:13">
      <c r="A241" s="677">
        <v>3.5</v>
      </c>
      <c r="B241" s="669">
        <v>0.9234</v>
      </c>
      <c r="C241" s="669">
        <v>0.9234</v>
      </c>
      <c r="D241" s="669">
        <v>0.91749999999999998</v>
      </c>
      <c r="E241" s="669">
        <v>0.91749999999999998</v>
      </c>
      <c r="F241" s="669">
        <v>0.91749999999999998</v>
      </c>
      <c r="G241" s="669">
        <v>0.91749999999999998</v>
      </c>
      <c r="H241" s="669">
        <v>0.91749999999999998</v>
      </c>
      <c r="I241" s="669">
        <v>0.78490000000000004</v>
      </c>
      <c r="J241" s="669">
        <v>0.78490000000000004</v>
      </c>
      <c r="K241" s="669">
        <v>0.78490000000000004</v>
      </c>
      <c r="L241" s="669">
        <v>0.78490000000000004</v>
      </c>
      <c r="M241" s="669">
        <v>0.78490000000000004</v>
      </c>
    </row>
    <row r="242" spans="1:13">
      <c r="A242" s="677">
        <v>3.6</v>
      </c>
      <c r="B242" s="669">
        <v>0.91790000000000005</v>
      </c>
      <c r="C242" s="669">
        <v>0.91790000000000005</v>
      </c>
      <c r="D242" s="669">
        <v>0.91139999999999999</v>
      </c>
      <c r="E242" s="669">
        <v>0.91139999999999999</v>
      </c>
      <c r="F242" s="669">
        <v>0.91139999999999999</v>
      </c>
      <c r="G242" s="669">
        <v>0.91139999999999999</v>
      </c>
      <c r="H242" s="669">
        <v>0.91139999999999999</v>
      </c>
      <c r="I242" s="669">
        <v>0.77880000000000005</v>
      </c>
      <c r="J242" s="669">
        <v>0.77880000000000005</v>
      </c>
      <c r="K242" s="669">
        <v>0.77880000000000005</v>
      </c>
      <c r="L242" s="669">
        <v>0.77880000000000005</v>
      </c>
      <c r="M242" s="669">
        <v>0.77880000000000005</v>
      </c>
    </row>
    <row r="243" spans="1:13">
      <c r="A243" s="677">
        <v>3.7</v>
      </c>
      <c r="B243" s="669">
        <v>0.91269999999999996</v>
      </c>
      <c r="C243" s="669">
        <v>0.91269999999999996</v>
      </c>
      <c r="D243" s="669">
        <v>0.90559999999999996</v>
      </c>
      <c r="E243" s="669">
        <v>0.90559999999999996</v>
      </c>
      <c r="F243" s="669">
        <v>0.90559999999999996</v>
      </c>
      <c r="G243" s="669">
        <v>0.90559999999999996</v>
      </c>
      <c r="H243" s="669">
        <v>0.90559999999999996</v>
      </c>
      <c r="I243" s="669">
        <v>0.77300000000000002</v>
      </c>
      <c r="J243" s="669">
        <v>0.77300000000000002</v>
      </c>
      <c r="K243" s="669">
        <v>0.77300000000000002</v>
      </c>
      <c r="L243" s="669">
        <v>0.77300000000000002</v>
      </c>
      <c r="M243" s="669">
        <v>0.77300000000000002</v>
      </c>
    </row>
    <row r="244" spans="1:13">
      <c r="A244" s="677">
        <v>3.8</v>
      </c>
      <c r="B244" s="669">
        <v>0.90780000000000005</v>
      </c>
      <c r="C244" s="669">
        <v>0.90780000000000005</v>
      </c>
      <c r="D244" s="669">
        <v>0.90010000000000001</v>
      </c>
      <c r="E244" s="669">
        <v>0.90010000000000001</v>
      </c>
      <c r="F244" s="669">
        <v>0.90010000000000001</v>
      </c>
      <c r="G244" s="669">
        <v>0.90010000000000001</v>
      </c>
      <c r="H244" s="669">
        <v>0.90010000000000001</v>
      </c>
      <c r="I244" s="669">
        <v>0.76739999999999997</v>
      </c>
      <c r="J244" s="669">
        <v>0.76739999999999997</v>
      </c>
      <c r="K244" s="669">
        <v>0.76739999999999997</v>
      </c>
      <c r="L244" s="669">
        <v>0.76739999999999997</v>
      </c>
      <c r="M244" s="669">
        <v>0.76739999999999997</v>
      </c>
    </row>
    <row r="245" spans="1:13">
      <c r="A245" s="677">
        <v>3.9</v>
      </c>
      <c r="B245" s="669">
        <v>0.9032</v>
      </c>
      <c r="C245" s="669">
        <v>0.9032</v>
      </c>
      <c r="D245" s="669">
        <v>0.89490000000000003</v>
      </c>
      <c r="E245" s="669">
        <v>0.89490000000000003</v>
      </c>
      <c r="F245" s="669">
        <v>0.89490000000000003</v>
      </c>
      <c r="G245" s="669">
        <v>0.89490000000000003</v>
      </c>
      <c r="H245" s="669">
        <v>0.89490000000000003</v>
      </c>
      <c r="I245" s="669">
        <v>0.7621</v>
      </c>
      <c r="J245" s="669">
        <v>0.7621</v>
      </c>
      <c r="K245" s="669">
        <v>0.7621</v>
      </c>
      <c r="L245" s="669">
        <v>0.7621</v>
      </c>
      <c r="M245" s="669">
        <v>0.7621</v>
      </c>
    </row>
    <row r="246" spans="1:13">
      <c r="A246" s="677">
        <v>4</v>
      </c>
      <c r="B246" s="669">
        <v>0.89890000000000003</v>
      </c>
      <c r="C246" s="669">
        <v>0.89890000000000003</v>
      </c>
      <c r="D246" s="669">
        <v>0.89</v>
      </c>
      <c r="E246" s="669">
        <v>0.89</v>
      </c>
      <c r="F246" s="669">
        <v>0.89</v>
      </c>
      <c r="G246" s="669">
        <v>0.89</v>
      </c>
      <c r="H246" s="669">
        <v>0.89</v>
      </c>
      <c r="I246" s="669">
        <v>0.7571</v>
      </c>
      <c r="J246" s="669">
        <v>0.7571</v>
      </c>
      <c r="K246" s="669">
        <v>0.7571</v>
      </c>
      <c r="L246" s="669">
        <v>0.7571</v>
      </c>
      <c r="M246" s="669">
        <v>0.7571</v>
      </c>
    </row>
    <row r="247" spans="1:13">
      <c r="A247" s="677">
        <v>4.0999999999999996</v>
      </c>
      <c r="B247" s="669">
        <v>0.89480000000000004</v>
      </c>
      <c r="C247" s="669">
        <v>0.89480000000000004</v>
      </c>
      <c r="D247" s="669">
        <v>0.88539999999999996</v>
      </c>
      <c r="E247" s="669">
        <v>0.88539999999999996</v>
      </c>
      <c r="F247" s="669">
        <v>0.88539999999999996</v>
      </c>
      <c r="G247" s="669">
        <v>0.88539999999999996</v>
      </c>
      <c r="H247" s="669">
        <v>0.88539999999999996</v>
      </c>
      <c r="I247" s="669">
        <v>0.75229999999999997</v>
      </c>
      <c r="J247" s="669">
        <v>0.75229999999999997</v>
      </c>
      <c r="K247" s="669">
        <v>0.75229999999999997</v>
      </c>
      <c r="L247" s="669">
        <v>0.75229999999999997</v>
      </c>
      <c r="M247" s="669">
        <v>0.75229999999999997</v>
      </c>
    </row>
    <row r="248" spans="1:13">
      <c r="A248" s="677">
        <v>4.2</v>
      </c>
      <c r="B248" s="669">
        <v>0.89100000000000001</v>
      </c>
      <c r="C248" s="669">
        <v>0.89100000000000001</v>
      </c>
      <c r="D248" s="669">
        <v>0.88109999999999999</v>
      </c>
      <c r="E248" s="669">
        <v>0.88109999999999999</v>
      </c>
      <c r="F248" s="669">
        <v>0.88109999999999999</v>
      </c>
      <c r="G248" s="669">
        <v>0.88109999999999999</v>
      </c>
      <c r="H248" s="669">
        <v>0.88109999999999999</v>
      </c>
      <c r="I248" s="669">
        <v>0.74780000000000002</v>
      </c>
      <c r="J248" s="669">
        <v>0.74780000000000002</v>
      </c>
      <c r="K248" s="669">
        <v>0.74780000000000002</v>
      </c>
      <c r="L248" s="669">
        <v>0.74780000000000002</v>
      </c>
      <c r="M248" s="669">
        <v>0.74780000000000002</v>
      </c>
    </row>
    <row r="249" spans="1:13">
      <c r="A249" s="677">
        <v>4.3</v>
      </c>
      <c r="B249" s="669">
        <v>0.88739999999999997</v>
      </c>
      <c r="C249" s="669">
        <v>0.88739999999999997</v>
      </c>
      <c r="D249" s="669">
        <v>0.877</v>
      </c>
      <c r="E249" s="669">
        <v>0.877</v>
      </c>
      <c r="F249" s="669">
        <v>0.877</v>
      </c>
      <c r="G249" s="669">
        <v>0.877</v>
      </c>
      <c r="H249" s="669">
        <v>0.877</v>
      </c>
      <c r="I249" s="669">
        <v>0.74329999999999996</v>
      </c>
      <c r="J249" s="669">
        <v>0.74329999999999996</v>
      </c>
      <c r="K249" s="669">
        <v>0.74329999999999996</v>
      </c>
      <c r="L249" s="669">
        <v>0.74329999999999996</v>
      </c>
      <c r="M249" s="669">
        <v>0.74329999999999996</v>
      </c>
    </row>
    <row r="250" spans="1:13">
      <c r="A250" s="677">
        <v>4.4000000000000004</v>
      </c>
      <c r="B250" s="669">
        <v>0.88400000000000001</v>
      </c>
      <c r="C250" s="669">
        <v>0.88400000000000001</v>
      </c>
      <c r="D250" s="669">
        <v>0.87309999999999999</v>
      </c>
      <c r="E250" s="669">
        <v>0.87309999999999999</v>
      </c>
      <c r="F250" s="669">
        <v>0.87309999999999999</v>
      </c>
      <c r="G250" s="669">
        <v>0.87309999999999999</v>
      </c>
      <c r="H250" s="669">
        <v>0.87309999999999999</v>
      </c>
      <c r="I250" s="669">
        <v>0.73909999999999998</v>
      </c>
      <c r="J250" s="669">
        <v>0.73909999999999998</v>
      </c>
      <c r="K250" s="669">
        <v>0.73909999999999998</v>
      </c>
      <c r="L250" s="669">
        <v>0.73909999999999998</v>
      </c>
      <c r="M250" s="669">
        <v>0.73909999999999998</v>
      </c>
    </row>
    <row r="251" spans="1:13">
      <c r="A251" s="677">
        <v>4.5</v>
      </c>
      <c r="B251" s="669">
        <v>0.88080000000000003</v>
      </c>
      <c r="C251" s="669">
        <v>0.88080000000000003</v>
      </c>
      <c r="D251" s="669">
        <v>0.86939999999999995</v>
      </c>
      <c r="E251" s="669">
        <v>0.86939999999999995</v>
      </c>
      <c r="F251" s="669">
        <v>0.86939999999999995</v>
      </c>
      <c r="G251" s="669">
        <v>0.86939999999999995</v>
      </c>
      <c r="H251" s="669">
        <v>0.86939999999999995</v>
      </c>
      <c r="I251" s="669">
        <v>0.73499999999999999</v>
      </c>
      <c r="J251" s="669">
        <v>0.73499999999999999</v>
      </c>
      <c r="K251" s="669">
        <v>0.73499999999999999</v>
      </c>
      <c r="L251" s="669">
        <v>0.73499999999999999</v>
      </c>
      <c r="M251" s="669">
        <v>0.73499999999999999</v>
      </c>
    </row>
    <row r="252" spans="1:13">
      <c r="A252" s="677">
        <v>4.5999999999999996</v>
      </c>
      <c r="B252" s="669">
        <v>0.87780000000000002</v>
      </c>
      <c r="C252" s="669">
        <v>0.87780000000000002</v>
      </c>
      <c r="D252" s="669">
        <v>0.8659</v>
      </c>
      <c r="E252" s="669">
        <v>0.8659</v>
      </c>
      <c r="F252" s="669">
        <v>0.8659</v>
      </c>
      <c r="G252" s="669">
        <v>0.8659</v>
      </c>
      <c r="H252" s="669">
        <v>0.8659</v>
      </c>
      <c r="I252" s="669">
        <v>0.73109999999999997</v>
      </c>
      <c r="J252" s="669">
        <v>0.73109999999999997</v>
      </c>
      <c r="K252" s="669">
        <v>0.73109999999999997</v>
      </c>
      <c r="L252" s="669">
        <v>0.73109999999999997</v>
      </c>
      <c r="M252" s="669">
        <v>0.73109999999999997</v>
      </c>
    </row>
    <row r="253" spans="1:13">
      <c r="A253" s="677">
        <v>4.7</v>
      </c>
      <c r="B253" s="669">
        <v>0.875</v>
      </c>
      <c r="C253" s="669">
        <v>0.875</v>
      </c>
      <c r="D253" s="669">
        <v>0.86260000000000003</v>
      </c>
      <c r="E253" s="669">
        <v>0.86260000000000003</v>
      </c>
      <c r="F253" s="669">
        <v>0.86260000000000003</v>
      </c>
      <c r="G253" s="669">
        <v>0.86260000000000003</v>
      </c>
      <c r="H253" s="669">
        <v>0.86260000000000003</v>
      </c>
      <c r="I253" s="669">
        <v>0.72750000000000004</v>
      </c>
      <c r="J253" s="669">
        <v>0.72750000000000004</v>
      </c>
      <c r="K253" s="669">
        <v>0.72750000000000004</v>
      </c>
      <c r="L253" s="669">
        <v>0.72750000000000004</v>
      </c>
      <c r="M253" s="669">
        <v>0.72750000000000004</v>
      </c>
    </row>
    <row r="254" spans="1:13">
      <c r="A254" s="677">
        <v>4.8</v>
      </c>
      <c r="B254" s="669">
        <v>0.87229999999999996</v>
      </c>
      <c r="C254" s="669">
        <v>0.87229999999999996</v>
      </c>
      <c r="D254" s="669">
        <v>0.85950000000000004</v>
      </c>
      <c r="E254" s="669">
        <v>0.85950000000000004</v>
      </c>
      <c r="F254" s="669">
        <v>0.85950000000000004</v>
      </c>
      <c r="G254" s="669">
        <v>0.85950000000000004</v>
      </c>
      <c r="H254" s="669">
        <v>0.85950000000000004</v>
      </c>
      <c r="I254" s="669">
        <v>0.72399999999999998</v>
      </c>
      <c r="J254" s="669">
        <v>0.72399999999999998</v>
      </c>
      <c r="K254" s="669">
        <v>0.72399999999999998</v>
      </c>
      <c r="L254" s="669">
        <v>0.72399999999999998</v>
      </c>
      <c r="M254" s="669">
        <v>0.72399999999999998</v>
      </c>
    </row>
    <row r="255" spans="1:13">
      <c r="A255" s="677">
        <v>4.9000000000000004</v>
      </c>
      <c r="B255" s="669">
        <v>0.86980000000000002</v>
      </c>
      <c r="C255" s="669">
        <v>0.86980000000000002</v>
      </c>
      <c r="D255" s="669">
        <v>0.85660000000000003</v>
      </c>
      <c r="E255" s="669">
        <v>0.85660000000000003</v>
      </c>
      <c r="F255" s="669">
        <v>0.85660000000000003</v>
      </c>
      <c r="G255" s="669">
        <v>0.85660000000000003</v>
      </c>
      <c r="H255" s="669">
        <v>0.85660000000000003</v>
      </c>
      <c r="I255" s="669">
        <v>0.7208</v>
      </c>
      <c r="J255" s="669">
        <v>0.7208</v>
      </c>
      <c r="K255" s="669">
        <v>0.7208</v>
      </c>
      <c r="L255" s="669">
        <v>0.7208</v>
      </c>
      <c r="M255" s="669">
        <v>0.7208</v>
      </c>
    </row>
    <row r="256" spans="1:13">
      <c r="A256" s="677">
        <v>5</v>
      </c>
      <c r="B256" s="669">
        <v>0.86739999999999995</v>
      </c>
      <c r="C256" s="669">
        <v>0.86739999999999995</v>
      </c>
      <c r="D256" s="669">
        <v>0.8538</v>
      </c>
      <c r="E256" s="669">
        <v>0.8538</v>
      </c>
      <c r="F256" s="669">
        <v>0.8538</v>
      </c>
      <c r="G256" s="669">
        <v>0.8538</v>
      </c>
      <c r="H256" s="669">
        <v>0.8538</v>
      </c>
      <c r="I256" s="669">
        <v>0.71760000000000002</v>
      </c>
      <c r="J256" s="669">
        <v>0.71760000000000002</v>
      </c>
      <c r="K256" s="669">
        <v>0.71760000000000002</v>
      </c>
      <c r="L256" s="669">
        <v>0.71760000000000002</v>
      </c>
      <c r="M256" s="669">
        <v>0.71760000000000002</v>
      </c>
    </row>
    <row r="257" spans="1:13">
      <c r="A257" s="662">
        <v>5.0999999999999996</v>
      </c>
      <c r="B257" s="669">
        <v>0.86519999999999997</v>
      </c>
      <c r="C257" s="669">
        <v>0.86519999999999997</v>
      </c>
      <c r="D257" s="669">
        <v>0.85109999999999997</v>
      </c>
      <c r="E257" s="669">
        <v>0.85109999999999997</v>
      </c>
      <c r="F257" s="669">
        <v>0.85109999999999997</v>
      </c>
      <c r="G257" s="669">
        <v>0.85109999999999997</v>
      </c>
      <c r="H257" s="669">
        <v>0.85109999999999997</v>
      </c>
      <c r="I257" s="669">
        <v>0.7147</v>
      </c>
      <c r="J257" s="669">
        <v>0.7147</v>
      </c>
      <c r="K257" s="669">
        <v>0.7147</v>
      </c>
      <c r="L257" s="669">
        <v>0.7147</v>
      </c>
      <c r="M257" s="669">
        <v>0.7147</v>
      </c>
    </row>
    <row r="258" spans="1:13">
      <c r="A258" s="662">
        <v>5.2</v>
      </c>
      <c r="B258" s="669">
        <v>0.86309999999999998</v>
      </c>
      <c r="C258" s="669">
        <v>0.86309999999999998</v>
      </c>
      <c r="D258" s="669">
        <v>0.84860000000000002</v>
      </c>
      <c r="E258" s="669">
        <v>0.84860000000000002</v>
      </c>
      <c r="F258" s="669">
        <v>0.84860000000000002</v>
      </c>
      <c r="G258" s="669">
        <v>0.84860000000000002</v>
      </c>
      <c r="H258" s="669">
        <v>0.84860000000000002</v>
      </c>
      <c r="I258" s="669">
        <v>0.71189999999999998</v>
      </c>
      <c r="J258" s="669">
        <v>0.71189999999999998</v>
      </c>
      <c r="K258" s="669">
        <v>0.71189999999999998</v>
      </c>
      <c r="L258" s="669">
        <v>0.71189999999999998</v>
      </c>
      <c r="M258" s="669">
        <v>0.71189999999999998</v>
      </c>
    </row>
    <row r="259" spans="1:13">
      <c r="A259" s="662">
        <v>5.3</v>
      </c>
      <c r="B259" s="669">
        <v>0.86119999999999997</v>
      </c>
      <c r="C259" s="669">
        <v>0.86119999999999997</v>
      </c>
      <c r="D259" s="669">
        <v>0.84619999999999995</v>
      </c>
      <c r="E259" s="669">
        <v>0.84619999999999995</v>
      </c>
      <c r="F259" s="669">
        <v>0.84619999999999995</v>
      </c>
      <c r="G259" s="669">
        <v>0.84619999999999995</v>
      </c>
      <c r="H259" s="669">
        <v>0.84619999999999995</v>
      </c>
      <c r="I259" s="669">
        <v>0.70909999999999995</v>
      </c>
      <c r="J259" s="669">
        <v>0.70909999999999995</v>
      </c>
      <c r="K259" s="669">
        <v>0.70909999999999995</v>
      </c>
      <c r="L259" s="669">
        <v>0.70909999999999995</v>
      </c>
      <c r="M259" s="669">
        <v>0.70909999999999995</v>
      </c>
    </row>
    <row r="260" spans="1:13">
      <c r="A260" s="662">
        <v>5.4</v>
      </c>
      <c r="B260" s="669">
        <v>0.85940000000000005</v>
      </c>
      <c r="C260" s="669">
        <v>0.85940000000000005</v>
      </c>
      <c r="D260" s="669">
        <v>0.84389999999999998</v>
      </c>
      <c r="E260" s="669">
        <v>0.84389999999999998</v>
      </c>
      <c r="F260" s="669">
        <v>0.84389999999999998</v>
      </c>
      <c r="G260" s="669">
        <v>0.84389999999999998</v>
      </c>
      <c r="H260" s="669">
        <v>0.84389999999999998</v>
      </c>
      <c r="I260" s="669">
        <v>0.70650000000000002</v>
      </c>
      <c r="J260" s="669">
        <v>0.70650000000000002</v>
      </c>
      <c r="K260" s="669">
        <v>0.70650000000000002</v>
      </c>
      <c r="L260" s="669">
        <v>0.70650000000000002</v>
      </c>
      <c r="M260" s="669">
        <v>0.70650000000000002</v>
      </c>
    </row>
    <row r="261" spans="1:13">
      <c r="A261" s="662">
        <v>5.5</v>
      </c>
      <c r="B261" s="669">
        <v>0.85770000000000002</v>
      </c>
      <c r="C261" s="669">
        <v>0.85770000000000002</v>
      </c>
      <c r="D261" s="669">
        <v>0.84179999999999999</v>
      </c>
      <c r="E261" s="669">
        <v>0.84179999999999999</v>
      </c>
      <c r="F261" s="669">
        <v>0.84179999999999999</v>
      </c>
      <c r="G261" s="669">
        <v>0.84179999999999999</v>
      </c>
      <c r="H261" s="669">
        <v>0.84179999999999999</v>
      </c>
      <c r="I261" s="669">
        <v>0.70399999999999996</v>
      </c>
      <c r="J261" s="669">
        <v>0.70399999999999996</v>
      </c>
      <c r="K261" s="669">
        <v>0.70399999999999996</v>
      </c>
      <c r="L261" s="669">
        <v>0.70399999999999996</v>
      </c>
      <c r="M261" s="669">
        <v>0.70399999999999996</v>
      </c>
    </row>
    <row r="262" spans="1:13">
      <c r="A262" s="662">
        <v>5.6</v>
      </c>
      <c r="B262" s="669">
        <v>0.85599999999999998</v>
      </c>
      <c r="C262" s="669">
        <v>0.85599999999999998</v>
      </c>
      <c r="D262" s="669">
        <v>0.83979999999999999</v>
      </c>
      <c r="E262" s="669">
        <v>0.83979999999999999</v>
      </c>
      <c r="F262" s="669">
        <v>0.83979999999999999</v>
      </c>
      <c r="G262" s="669">
        <v>0.83979999999999999</v>
      </c>
      <c r="H262" s="669">
        <v>0.83979999999999999</v>
      </c>
      <c r="I262" s="669">
        <v>0.7016</v>
      </c>
      <c r="J262" s="669">
        <v>0.7016</v>
      </c>
      <c r="K262" s="669">
        <v>0.7016</v>
      </c>
      <c r="L262" s="669">
        <v>0.7016</v>
      </c>
      <c r="M262" s="669">
        <v>0.7016</v>
      </c>
    </row>
    <row r="263" spans="1:13">
      <c r="A263" s="677">
        <v>5.7</v>
      </c>
      <c r="B263" s="669">
        <v>0.85440000000000005</v>
      </c>
      <c r="C263" s="669">
        <v>0.85440000000000005</v>
      </c>
      <c r="D263" s="669">
        <v>0.83789999999999998</v>
      </c>
      <c r="E263" s="669">
        <v>0.83789999999999998</v>
      </c>
      <c r="F263" s="669">
        <v>0.83789999999999998</v>
      </c>
      <c r="G263" s="669">
        <v>0.83789999999999998</v>
      </c>
      <c r="H263" s="669">
        <v>0.83789999999999998</v>
      </c>
      <c r="I263" s="669">
        <v>0.69940000000000002</v>
      </c>
      <c r="J263" s="669">
        <v>0.69940000000000002</v>
      </c>
      <c r="K263" s="669">
        <v>0.69940000000000002</v>
      </c>
      <c r="L263" s="669">
        <v>0.69940000000000002</v>
      </c>
      <c r="M263" s="669">
        <v>0.69940000000000002</v>
      </c>
    </row>
    <row r="264" spans="1:13">
      <c r="A264" s="662">
        <v>5.8</v>
      </c>
      <c r="B264" s="669">
        <v>0.85289999999999999</v>
      </c>
      <c r="C264" s="669">
        <v>0.85289999999999999</v>
      </c>
      <c r="D264" s="669">
        <v>0.83599999999999997</v>
      </c>
      <c r="E264" s="669">
        <v>0.83599999999999997</v>
      </c>
      <c r="F264" s="669">
        <v>0.83599999999999997</v>
      </c>
      <c r="G264" s="669">
        <v>0.83599999999999997</v>
      </c>
      <c r="H264" s="669">
        <v>0.83599999999999997</v>
      </c>
      <c r="I264" s="669">
        <v>0.69720000000000004</v>
      </c>
      <c r="J264" s="669">
        <v>0.69720000000000004</v>
      </c>
      <c r="K264" s="669">
        <v>0.69720000000000004</v>
      </c>
      <c r="L264" s="669">
        <v>0.69720000000000004</v>
      </c>
      <c r="M264" s="669">
        <v>0.69720000000000004</v>
      </c>
    </row>
    <row r="265" spans="1:13">
      <c r="A265" s="662">
        <v>5.9</v>
      </c>
      <c r="B265" s="669">
        <v>0.85150000000000003</v>
      </c>
      <c r="C265" s="669">
        <v>0.85150000000000003</v>
      </c>
      <c r="D265" s="669">
        <v>0.83430000000000004</v>
      </c>
      <c r="E265" s="669">
        <v>0.83430000000000004</v>
      </c>
      <c r="F265" s="669">
        <v>0.83430000000000004</v>
      </c>
      <c r="G265" s="669">
        <v>0.83430000000000004</v>
      </c>
      <c r="H265" s="669">
        <v>0.83430000000000004</v>
      </c>
      <c r="I265" s="669">
        <v>0.69520000000000004</v>
      </c>
      <c r="J265" s="669">
        <v>0.69520000000000004</v>
      </c>
      <c r="K265" s="669">
        <v>0.69520000000000004</v>
      </c>
      <c r="L265" s="669">
        <v>0.69520000000000004</v>
      </c>
      <c r="M265" s="669">
        <v>0.69520000000000004</v>
      </c>
    </row>
    <row r="266" spans="1:13">
      <c r="A266" s="662">
        <v>6</v>
      </c>
      <c r="B266" s="669">
        <v>0.85019999999999996</v>
      </c>
      <c r="C266" s="669">
        <v>0.85019999999999996</v>
      </c>
      <c r="D266" s="669">
        <v>0.8327</v>
      </c>
      <c r="E266" s="669">
        <v>0.8327</v>
      </c>
      <c r="F266" s="669">
        <v>0.8327</v>
      </c>
      <c r="G266" s="669">
        <v>0.8327</v>
      </c>
      <c r="H266" s="669">
        <v>0.8327</v>
      </c>
      <c r="I266" s="669">
        <v>0.69320000000000004</v>
      </c>
      <c r="J266" s="669">
        <v>0.69320000000000004</v>
      </c>
      <c r="K266" s="669">
        <v>0.69320000000000004</v>
      </c>
      <c r="L266" s="669">
        <v>0.69320000000000004</v>
      </c>
      <c r="M266" s="669">
        <v>0.69320000000000004</v>
      </c>
    </row>
    <row r="267" spans="1:13">
      <c r="A267" s="662">
        <v>6.1</v>
      </c>
      <c r="B267" s="669">
        <v>0.84899999999999998</v>
      </c>
      <c r="C267" s="669">
        <v>0.84899999999999998</v>
      </c>
      <c r="D267" s="669">
        <v>0.83109999999999995</v>
      </c>
      <c r="E267" s="669">
        <v>0.83109999999999995</v>
      </c>
      <c r="F267" s="669">
        <v>0.83109999999999995</v>
      </c>
      <c r="G267" s="669">
        <v>0.83109999999999995</v>
      </c>
      <c r="H267" s="669">
        <v>0.83109999999999995</v>
      </c>
      <c r="I267" s="669">
        <v>0.69130000000000003</v>
      </c>
      <c r="J267" s="669">
        <v>0.69130000000000003</v>
      </c>
      <c r="K267" s="669">
        <v>0.69130000000000003</v>
      </c>
      <c r="L267" s="669">
        <v>0.69130000000000003</v>
      </c>
      <c r="M267" s="669">
        <v>0.69130000000000003</v>
      </c>
    </row>
    <row r="268" spans="1:13">
      <c r="A268" s="662">
        <v>6.2</v>
      </c>
      <c r="B268" s="669">
        <v>0.8478</v>
      </c>
      <c r="C268" s="669">
        <v>0.8478</v>
      </c>
      <c r="D268" s="669">
        <v>0.8296</v>
      </c>
      <c r="E268" s="669">
        <v>0.8296</v>
      </c>
      <c r="F268" s="669">
        <v>0.8296</v>
      </c>
      <c r="G268" s="669">
        <v>0.8296</v>
      </c>
      <c r="H268" s="669">
        <v>0.8296</v>
      </c>
      <c r="I268" s="669">
        <v>0.68940000000000001</v>
      </c>
      <c r="J268" s="669">
        <v>0.68940000000000001</v>
      </c>
      <c r="K268" s="669">
        <v>0.68940000000000001</v>
      </c>
      <c r="L268" s="669">
        <v>0.68940000000000001</v>
      </c>
      <c r="M268" s="669">
        <v>0.68940000000000001</v>
      </c>
    </row>
    <row r="269" spans="1:13">
      <c r="A269" s="662">
        <v>6.3</v>
      </c>
      <c r="B269" s="669">
        <v>0.84670000000000001</v>
      </c>
      <c r="C269" s="669">
        <v>0.84670000000000001</v>
      </c>
      <c r="D269" s="669">
        <v>0.82820000000000005</v>
      </c>
      <c r="E269" s="669">
        <v>0.82820000000000005</v>
      </c>
      <c r="F269" s="669">
        <v>0.82820000000000005</v>
      </c>
      <c r="G269" s="669">
        <v>0.82820000000000005</v>
      </c>
      <c r="H269" s="669">
        <v>0.82820000000000005</v>
      </c>
      <c r="I269" s="669">
        <v>0.68769999999999998</v>
      </c>
      <c r="J269" s="669">
        <v>0.68769999999999998</v>
      </c>
      <c r="K269" s="669">
        <v>0.68769999999999998</v>
      </c>
      <c r="L269" s="669">
        <v>0.68769999999999998</v>
      </c>
      <c r="M269" s="669">
        <v>0.68769999999999998</v>
      </c>
    </row>
    <row r="270" spans="1:13">
      <c r="A270" s="662">
        <v>6.4</v>
      </c>
      <c r="B270" s="669">
        <v>0.84570000000000001</v>
      </c>
      <c r="C270" s="669">
        <v>0.84570000000000001</v>
      </c>
      <c r="D270" s="669">
        <v>0.82689999999999997</v>
      </c>
      <c r="E270" s="669">
        <v>0.82689999999999997</v>
      </c>
      <c r="F270" s="669">
        <v>0.82689999999999997</v>
      </c>
      <c r="G270" s="669">
        <v>0.82689999999999997</v>
      </c>
      <c r="H270" s="669">
        <v>0.82689999999999997</v>
      </c>
      <c r="I270" s="669">
        <v>0.68610000000000004</v>
      </c>
      <c r="J270" s="669">
        <v>0.68610000000000004</v>
      </c>
      <c r="K270" s="669">
        <v>0.68610000000000004</v>
      </c>
      <c r="L270" s="669">
        <v>0.68610000000000004</v>
      </c>
      <c r="M270" s="669">
        <v>0.68610000000000004</v>
      </c>
    </row>
    <row r="271" spans="1:13">
      <c r="A271" s="662">
        <v>6.5</v>
      </c>
      <c r="B271" s="669">
        <v>0.84470000000000001</v>
      </c>
      <c r="C271" s="669">
        <v>0.84470000000000001</v>
      </c>
      <c r="D271" s="669">
        <v>0.82569999999999999</v>
      </c>
      <c r="E271" s="669">
        <v>0.82569999999999999</v>
      </c>
      <c r="F271" s="669">
        <v>0.82569999999999999</v>
      </c>
      <c r="G271" s="669">
        <v>0.82569999999999999</v>
      </c>
      <c r="H271" s="669">
        <v>0.82569999999999999</v>
      </c>
      <c r="I271" s="669">
        <v>0.68440000000000001</v>
      </c>
      <c r="J271" s="669">
        <v>0.68440000000000001</v>
      </c>
      <c r="K271" s="669">
        <v>0.68440000000000001</v>
      </c>
      <c r="L271" s="669">
        <v>0.68440000000000001</v>
      </c>
      <c r="M271" s="669">
        <v>0.68440000000000001</v>
      </c>
    </row>
    <row r="272" spans="1:13">
      <c r="A272" s="662">
        <v>6.6</v>
      </c>
      <c r="B272" s="669">
        <v>0.84370000000000001</v>
      </c>
      <c r="C272" s="669">
        <v>0.84370000000000001</v>
      </c>
      <c r="D272" s="669">
        <v>0.82450000000000001</v>
      </c>
      <c r="E272" s="669">
        <v>0.82450000000000001</v>
      </c>
      <c r="F272" s="669">
        <v>0.82450000000000001</v>
      </c>
      <c r="G272" s="669">
        <v>0.82450000000000001</v>
      </c>
      <c r="H272" s="669">
        <v>0.82450000000000001</v>
      </c>
      <c r="I272" s="669">
        <v>0.68289999999999995</v>
      </c>
      <c r="J272" s="669">
        <v>0.68289999999999995</v>
      </c>
      <c r="K272" s="669">
        <v>0.68289999999999995</v>
      </c>
      <c r="L272" s="669">
        <v>0.68289999999999995</v>
      </c>
      <c r="M272" s="669">
        <v>0.68289999999999995</v>
      </c>
    </row>
    <row r="273" spans="1:13">
      <c r="A273" s="662">
        <v>6.7</v>
      </c>
      <c r="B273" s="669">
        <v>0.8427</v>
      </c>
      <c r="C273" s="669">
        <v>0.8427</v>
      </c>
      <c r="D273" s="669">
        <v>0.82330000000000003</v>
      </c>
      <c r="E273" s="669">
        <v>0.82330000000000003</v>
      </c>
      <c r="F273" s="669">
        <v>0.82330000000000003</v>
      </c>
      <c r="G273" s="669">
        <v>0.82330000000000003</v>
      </c>
      <c r="H273" s="669">
        <v>0.82330000000000003</v>
      </c>
      <c r="I273" s="669">
        <v>0.68130000000000002</v>
      </c>
      <c r="J273" s="669">
        <v>0.68130000000000002</v>
      </c>
      <c r="K273" s="669">
        <v>0.68130000000000002</v>
      </c>
      <c r="L273" s="669">
        <v>0.68130000000000002</v>
      </c>
      <c r="M273" s="669">
        <v>0.68130000000000002</v>
      </c>
    </row>
    <row r="274" spans="1:13">
      <c r="A274" s="662">
        <v>6.8</v>
      </c>
      <c r="B274" s="669">
        <v>0.84179999999999999</v>
      </c>
      <c r="C274" s="669">
        <v>0.84179999999999999</v>
      </c>
      <c r="D274" s="669">
        <v>0.82210000000000005</v>
      </c>
      <c r="E274" s="669">
        <v>0.82210000000000005</v>
      </c>
      <c r="F274" s="669">
        <v>0.82210000000000005</v>
      </c>
      <c r="G274" s="669">
        <v>0.82210000000000005</v>
      </c>
      <c r="H274" s="669">
        <v>0.82210000000000005</v>
      </c>
      <c r="I274" s="669">
        <v>0.67979999999999996</v>
      </c>
      <c r="J274" s="669">
        <v>0.67979999999999996</v>
      </c>
      <c r="K274" s="669">
        <v>0.67979999999999996</v>
      </c>
      <c r="L274" s="669">
        <v>0.67979999999999996</v>
      </c>
      <c r="M274" s="669">
        <v>0.67979999999999996</v>
      </c>
    </row>
    <row r="275" spans="1:13">
      <c r="A275" s="662">
        <v>6.9</v>
      </c>
      <c r="B275" s="669">
        <v>0.84089999999999998</v>
      </c>
      <c r="C275" s="669">
        <v>0.84089999999999998</v>
      </c>
      <c r="D275" s="669">
        <v>0.82099999999999995</v>
      </c>
      <c r="E275" s="669">
        <v>0.82099999999999995</v>
      </c>
      <c r="F275" s="669">
        <v>0.82099999999999995</v>
      </c>
      <c r="G275" s="669">
        <v>0.82099999999999995</v>
      </c>
      <c r="H275" s="669">
        <v>0.82099999999999995</v>
      </c>
      <c r="I275" s="669">
        <v>0.67849999999999999</v>
      </c>
      <c r="J275" s="669">
        <v>0.67849999999999999</v>
      </c>
      <c r="K275" s="669">
        <v>0.67849999999999999</v>
      </c>
      <c r="L275" s="669">
        <v>0.67849999999999999</v>
      </c>
      <c r="M275" s="669">
        <v>0.67849999999999999</v>
      </c>
    </row>
    <row r="276" spans="1:13">
      <c r="A276" s="662">
        <v>7</v>
      </c>
      <c r="B276" s="669">
        <v>0.84009999999999996</v>
      </c>
      <c r="C276" s="669">
        <v>0.84009999999999996</v>
      </c>
      <c r="D276" s="669">
        <v>0.81989999999999996</v>
      </c>
      <c r="E276" s="669">
        <v>0.81989999999999996</v>
      </c>
      <c r="F276" s="669">
        <v>0.81989999999999996</v>
      </c>
      <c r="G276" s="669">
        <v>0.81989999999999996</v>
      </c>
      <c r="H276" s="669">
        <v>0.81989999999999996</v>
      </c>
      <c r="I276" s="669">
        <v>0.67720000000000002</v>
      </c>
      <c r="J276" s="669">
        <v>0.67720000000000002</v>
      </c>
      <c r="K276" s="669">
        <v>0.67720000000000002</v>
      </c>
      <c r="L276" s="669">
        <v>0.67720000000000002</v>
      </c>
      <c r="M276" s="669">
        <v>0.67720000000000002</v>
      </c>
    </row>
    <row r="277" spans="1:13">
      <c r="A277" s="662">
        <v>7.1</v>
      </c>
      <c r="B277" s="669">
        <v>0.83930000000000005</v>
      </c>
      <c r="C277" s="669">
        <v>0.83930000000000005</v>
      </c>
      <c r="D277" s="669">
        <v>0.81889999999999996</v>
      </c>
      <c r="E277" s="669">
        <v>0.81889999999999996</v>
      </c>
      <c r="F277" s="669">
        <v>0.81889999999999996</v>
      </c>
      <c r="G277" s="669">
        <v>0.81889999999999996</v>
      </c>
      <c r="H277" s="669">
        <v>0.81889999999999996</v>
      </c>
      <c r="I277" s="669">
        <v>0.67589999999999995</v>
      </c>
      <c r="J277" s="669">
        <v>0.67589999999999995</v>
      </c>
      <c r="K277" s="669">
        <v>0.67589999999999995</v>
      </c>
      <c r="L277" s="669">
        <v>0.67589999999999995</v>
      </c>
      <c r="M277" s="669">
        <v>0.67589999999999995</v>
      </c>
    </row>
    <row r="278" spans="1:13">
      <c r="A278" s="662">
        <v>7.2</v>
      </c>
      <c r="B278" s="669">
        <v>0.83850000000000002</v>
      </c>
      <c r="C278" s="669">
        <v>0.83850000000000002</v>
      </c>
      <c r="D278" s="669">
        <v>0.81789999999999996</v>
      </c>
      <c r="E278" s="669">
        <v>0.81789999999999996</v>
      </c>
      <c r="F278" s="669">
        <v>0.81789999999999996</v>
      </c>
      <c r="G278" s="669">
        <v>0.81789999999999996</v>
      </c>
      <c r="H278" s="669">
        <v>0.81789999999999996</v>
      </c>
      <c r="I278" s="669">
        <v>0.67459999999999998</v>
      </c>
      <c r="J278" s="669">
        <v>0.67459999999999998</v>
      </c>
      <c r="K278" s="669">
        <v>0.67459999999999998</v>
      </c>
      <c r="L278" s="669">
        <v>0.67459999999999998</v>
      </c>
      <c r="M278" s="669">
        <v>0.67459999999999998</v>
      </c>
    </row>
    <row r="279" spans="1:13">
      <c r="A279" s="662">
        <v>7.3</v>
      </c>
      <c r="B279" s="669">
        <v>0.8377</v>
      </c>
      <c r="C279" s="669">
        <v>0.8377</v>
      </c>
      <c r="D279" s="669">
        <v>0.81689999999999996</v>
      </c>
      <c r="E279" s="669">
        <v>0.81689999999999996</v>
      </c>
      <c r="F279" s="669">
        <v>0.81689999999999996</v>
      </c>
      <c r="G279" s="669">
        <v>0.81689999999999996</v>
      </c>
      <c r="H279" s="669">
        <v>0.81689999999999996</v>
      </c>
      <c r="I279" s="669">
        <v>0.6734</v>
      </c>
      <c r="J279" s="669">
        <v>0.6734</v>
      </c>
      <c r="K279" s="669">
        <v>0.6734</v>
      </c>
      <c r="L279" s="669">
        <v>0.6734</v>
      </c>
      <c r="M279" s="669">
        <v>0.6734</v>
      </c>
    </row>
    <row r="280" spans="1:13">
      <c r="A280" s="662">
        <v>7.4</v>
      </c>
      <c r="B280" s="669">
        <v>0.83699999999999997</v>
      </c>
      <c r="C280" s="669">
        <v>0.83699999999999997</v>
      </c>
      <c r="D280" s="669">
        <v>0.81599999999999995</v>
      </c>
      <c r="E280" s="669">
        <v>0.81599999999999995</v>
      </c>
      <c r="F280" s="669">
        <v>0.81599999999999995</v>
      </c>
      <c r="G280" s="669">
        <v>0.81599999999999995</v>
      </c>
      <c r="H280" s="669">
        <v>0.81599999999999995</v>
      </c>
      <c r="I280" s="669">
        <v>0.67210000000000003</v>
      </c>
      <c r="J280" s="669">
        <v>0.67210000000000003</v>
      </c>
      <c r="K280" s="669">
        <v>0.67210000000000003</v>
      </c>
      <c r="L280" s="669">
        <v>0.67210000000000003</v>
      </c>
      <c r="M280" s="669">
        <v>0.67210000000000003</v>
      </c>
    </row>
    <row r="281" spans="1:13">
      <c r="A281" s="662">
        <v>7.5</v>
      </c>
      <c r="B281" s="669">
        <v>0.83630000000000004</v>
      </c>
      <c r="C281" s="669">
        <v>0.83630000000000004</v>
      </c>
      <c r="D281" s="669">
        <v>0.81510000000000005</v>
      </c>
      <c r="E281" s="669">
        <v>0.81510000000000005</v>
      </c>
      <c r="F281" s="669">
        <v>0.81510000000000005</v>
      </c>
      <c r="G281" s="669">
        <v>0.81510000000000005</v>
      </c>
      <c r="H281" s="669">
        <v>0.81510000000000005</v>
      </c>
      <c r="I281" s="669">
        <v>0.67090000000000005</v>
      </c>
      <c r="J281" s="669">
        <v>0.67090000000000005</v>
      </c>
      <c r="K281" s="669">
        <v>0.67090000000000005</v>
      </c>
      <c r="L281" s="669">
        <v>0.67090000000000005</v>
      </c>
      <c r="M281" s="669">
        <v>0.67090000000000005</v>
      </c>
    </row>
    <row r="282" spans="1:13">
      <c r="A282" s="662">
        <v>7.6</v>
      </c>
      <c r="B282" s="669">
        <v>0.83560000000000001</v>
      </c>
      <c r="C282" s="669">
        <v>0.83560000000000001</v>
      </c>
      <c r="D282" s="669">
        <v>0.81420000000000003</v>
      </c>
      <c r="E282" s="669">
        <v>0.81420000000000003</v>
      </c>
      <c r="F282" s="669">
        <v>0.81420000000000003</v>
      </c>
      <c r="G282" s="669">
        <v>0.81420000000000003</v>
      </c>
      <c r="H282" s="669">
        <v>0.81420000000000003</v>
      </c>
      <c r="I282" s="669">
        <v>0.66979999999999995</v>
      </c>
      <c r="J282" s="669">
        <v>0.66979999999999995</v>
      </c>
      <c r="K282" s="669">
        <v>0.66979999999999995</v>
      </c>
      <c r="L282" s="669">
        <v>0.66979999999999995</v>
      </c>
      <c r="M282" s="669">
        <v>0.66979999999999995</v>
      </c>
    </row>
    <row r="283" spans="1:13">
      <c r="A283" s="662">
        <v>7.7</v>
      </c>
      <c r="B283" s="669">
        <v>0.83489999999999998</v>
      </c>
      <c r="C283" s="669">
        <v>0.83489999999999998</v>
      </c>
      <c r="D283" s="669">
        <v>0.81330000000000002</v>
      </c>
      <c r="E283" s="669">
        <v>0.81330000000000002</v>
      </c>
      <c r="F283" s="669">
        <v>0.81330000000000002</v>
      </c>
      <c r="G283" s="669">
        <v>0.81330000000000002</v>
      </c>
      <c r="H283" s="669">
        <v>0.81330000000000002</v>
      </c>
      <c r="I283" s="669">
        <v>0.66869999999999996</v>
      </c>
      <c r="J283" s="669">
        <v>0.66869999999999996</v>
      </c>
      <c r="K283" s="669">
        <v>0.66869999999999996</v>
      </c>
      <c r="L283" s="669">
        <v>0.66869999999999996</v>
      </c>
      <c r="M283" s="669">
        <v>0.66869999999999996</v>
      </c>
    </row>
    <row r="284" spans="1:13">
      <c r="A284" s="662">
        <v>7.8</v>
      </c>
      <c r="B284" s="669">
        <v>0.83420000000000005</v>
      </c>
      <c r="C284" s="669">
        <v>0.83420000000000005</v>
      </c>
      <c r="D284" s="669">
        <v>0.81240000000000001</v>
      </c>
      <c r="E284" s="669">
        <v>0.81240000000000001</v>
      </c>
      <c r="F284" s="669">
        <v>0.81240000000000001</v>
      </c>
      <c r="G284" s="669">
        <v>0.81240000000000001</v>
      </c>
      <c r="H284" s="669">
        <v>0.81240000000000001</v>
      </c>
      <c r="I284" s="669">
        <v>0.66759999999999997</v>
      </c>
      <c r="J284" s="669">
        <v>0.66759999999999997</v>
      </c>
      <c r="K284" s="669">
        <v>0.66759999999999997</v>
      </c>
      <c r="L284" s="669">
        <v>0.66759999999999997</v>
      </c>
      <c r="M284" s="669">
        <v>0.66759999999999997</v>
      </c>
    </row>
    <row r="285" spans="1:13">
      <c r="A285" s="662">
        <v>7.9</v>
      </c>
      <c r="B285" s="669">
        <v>0.83350000000000002</v>
      </c>
      <c r="C285" s="669">
        <v>0.83350000000000002</v>
      </c>
      <c r="D285" s="669">
        <v>0.81159999999999999</v>
      </c>
      <c r="E285" s="669">
        <v>0.81159999999999999</v>
      </c>
      <c r="F285" s="669">
        <v>0.81159999999999999</v>
      </c>
      <c r="G285" s="669">
        <v>0.81159999999999999</v>
      </c>
      <c r="H285" s="669">
        <v>0.81159999999999999</v>
      </c>
      <c r="I285" s="669">
        <v>0.66649999999999998</v>
      </c>
      <c r="J285" s="669">
        <v>0.66649999999999998</v>
      </c>
      <c r="K285" s="669">
        <v>0.66649999999999998</v>
      </c>
      <c r="L285" s="669">
        <v>0.66649999999999998</v>
      </c>
      <c r="M285" s="669">
        <v>0.66649999999999998</v>
      </c>
    </row>
    <row r="286" spans="1:13">
      <c r="A286" s="662">
        <v>8</v>
      </c>
      <c r="B286" s="669">
        <v>0.83279999999999998</v>
      </c>
      <c r="C286" s="669">
        <v>0.83279999999999998</v>
      </c>
      <c r="D286" s="669">
        <v>0.81079999999999997</v>
      </c>
      <c r="E286" s="669">
        <v>0.81079999999999997</v>
      </c>
      <c r="F286" s="669">
        <v>0.81079999999999997</v>
      </c>
      <c r="G286" s="669">
        <v>0.81079999999999997</v>
      </c>
      <c r="H286" s="669">
        <v>0.81079999999999997</v>
      </c>
      <c r="I286" s="669">
        <v>0.66549999999999998</v>
      </c>
      <c r="J286" s="669">
        <v>0.66549999999999998</v>
      </c>
      <c r="K286" s="669">
        <v>0.66549999999999998</v>
      </c>
      <c r="L286" s="669">
        <v>0.66549999999999998</v>
      </c>
      <c r="M286" s="669">
        <v>0.66549999999999998</v>
      </c>
    </row>
    <row r="287" spans="1:13">
      <c r="A287" s="662">
        <v>8.1</v>
      </c>
      <c r="B287" s="669">
        <v>0.83220000000000005</v>
      </c>
      <c r="C287" s="669">
        <v>0.83220000000000005</v>
      </c>
      <c r="D287" s="669">
        <v>0.81</v>
      </c>
      <c r="E287" s="669">
        <v>0.81</v>
      </c>
      <c r="F287" s="669">
        <v>0.81</v>
      </c>
      <c r="G287" s="669">
        <v>0.81</v>
      </c>
      <c r="H287" s="669">
        <v>0.81</v>
      </c>
      <c r="I287" s="669">
        <v>0.66439999999999999</v>
      </c>
      <c r="J287" s="669">
        <v>0.66439999999999999</v>
      </c>
      <c r="K287" s="669">
        <v>0.66439999999999999</v>
      </c>
      <c r="L287" s="669">
        <v>0.66439999999999999</v>
      </c>
      <c r="M287" s="669">
        <v>0.66439999999999999</v>
      </c>
    </row>
    <row r="288" spans="1:13">
      <c r="A288" s="662">
        <v>8.1999999999999993</v>
      </c>
      <c r="B288" s="669">
        <v>0.83160000000000001</v>
      </c>
      <c r="C288" s="669">
        <v>0.83160000000000001</v>
      </c>
      <c r="D288" s="669">
        <v>0.80920000000000003</v>
      </c>
      <c r="E288" s="669">
        <v>0.80920000000000003</v>
      </c>
      <c r="F288" s="669">
        <v>0.80920000000000003</v>
      </c>
      <c r="G288" s="669">
        <v>0.80920000000000003</v>
      </c>
      <c r="H288" s="669">
        <v>0.80920000000000003</v>
      </c>
      <c r="I288" s="669">
        <v>0.66339999999999999</v>
      </c>
      <c r="J288" s="669">
        <v>0.66339999999999999</v>
      </c>
      <c r="K288" s="669">
        <v>0.66339999999999999</v>
      </c>
      <c r="L288" s="669">
        <v>0.66339999999999999</v>
      </c>
      <c r="M288" s="669">
        <v>0.66339999999999999</v>
      </c>
    </row>
    <row r="289" spans="1:13">
      <c r="A289" s="662">
        <v>8.3000000000000007</v>
      </c>
      <c r="B289" s="669">
        <v>0.83099999999999996</v>
      </c>
      <c r="C289" s="669">
        <v>0.83099999999999996</v>
      </c>
      <c r="D289" s="669">
        <v>0.80840000000000001</v>
      </c>
      <c r="E289" s="669">
        <v>0.80840000000000001</v>
      </c>
      <c r="F289" s="669">
        <v>0.80840000000000001</v>
      </c>
      <c r="G289" s="669">
        <v>0.80840000000000001</v>
      </c>
      <c r="H289" s="669">
        <v>0.80840000000000001</v>
      </c>
      <c r="I289" s="669">
        <v>0.66239999999999999</v>
      </c>
      <c r="J289" s="669">
        <v>0.66239999999999999</v>
      </c>
      <c r="K289" s="669">
        <v>0.66239999999999999</v>
      </c>
      <c r="L289" s="669">
        <v>0.66239999999999999</v>
      </c>
      <c r="M289" s="669">
        <v>0.66239999999999999</v>
      </c>
    </row>
    <row r="290" spans="1:13">
      <c r="A290" s="662">
        <v>8.4</v>
      </c>
      <c r="B290" s="669">
        <v>0.83040000000000003</v>
      </c>
      <c r="C290" s="669">
        <v>0.83040000000000003</v>
      </c>
      <c r="D290" s="669">
        <v>0.80759999999999998</v>
      </c>
      <c r="E290" s="669">
        <v>0.80759999999999998</v>
      </c>
      <c r="F290" s="669">
        <v>0.80759999999999998</v>
      </c>
      <c r="G290" s="669">
        <v>0.80759999999999998</v>
      </c>
      <c r="H290" s="669">
        <v>0.80759999999999998</v>
      </c>
      <c r="I290" s="669">
        <v>0.66139999999999999</v>
      </c>
      <c r="J290" s="669">
        <v>0.66139999999999999</v>
      </c>
      <c r="K290" s="669">
        <v>0.66139999999999999</v>
      </c>
      <c r="L290" s="669">
        <v>0.66139999999999999</v>
      </c>
      <c r="M290" s="669">
        <v>0.66139999999999999</v>
      </c>
    </row>
    <row r="291" spans="1:13">
      <c r="A291" s="662">
        <v>8.5</v>
      </c>
      <c r="B291" s="669">
        <v>0.82979999999999998</v>
      </c>
      <c r="C291" s="669">
        <v>0.82979999999999998</v>
      </c>
      <c r="D291" s="669">
        <v>0.80679999999999996</v>
      </c>
      <c r="E291" s="669">
        <v>0.80679999999999996</v>
      </c>
      <c r="F291" s="669">
        <v>0.80679999999999996</v>
      </c>
      <c r="G291" s="669">
        <v>0.80679999999999996</v>
      </c>
      <c r="H291" s="669">
        <v>0.80679999999999996</v>
      </c>
      <c r="I291" s="669">
        <v>0.66049999999999998</v>
      </c>
      <c r="J291" s="669">
        <v>0.66049999999999998</v>
      </c>
      <c r="K291" s="669">
        <v>0.66049999999999998</v>
      </c>
      <c r="L291" s="669">
        <v>0.66049999999999998</v>
      </c>
      <c r="M291" s="669">
        <v>0.66049999999999998</v>
      </c>
    </row>
    <row r="292" spans="1:13">
      <c r="A292" s="662">
        <v>8.6</v>
      </c>
      <c r="B292" s="669">
        <v>0.82920000000000005</v>
      </c>
      <c r="C292" s="669">
        <v>0.82920000000000005</v>
      </c>
      <c r="D292" s="669">
        <v>0.80600000000000005</v>
      </c>
      <c r="E292" s="669">
        <v>0.80600000000000005</v>
      </c>
      <c r="F292" s="669">
        <v>0.80600000000000005</v>
      </c>
      <c r="G292" s="669">
        <v>0.80600000000000005</v>
      </c>
      <c r="H292" s="669">
        <v>0.80600000000000005</v>
      </c>
      <c r="I292" s="669">
        <v>0.65949999999999998</v>
      </c>
      <c r="J292" s="669">
        <v>0.65949999999999998</v>
      </c>
      <c r="K292" s="669">
        <v>0.65949999999999998</v>
      </c>
      <c r="L292" s="669">
        <v>0.65949999999999998</v>
      </c>
      <c r="M292" s="669">
        <v>0.65949999999999998</v>
      </c>
    </row>
    <row r="293" spans="1:13">
      <c r="A293" s="662">
        <v>8.6999999999999993</v>
      </c>
      <c r="B293" s="669">
        <v>0.8286</v>
      </c>
      <c r="C293" s="669">
        <v>0.8286</v>
      </c>
      <c r="D293" s="669">
        <v>0.80520000000000003</v>
      </c>
      <c r="E293" s="669">
        <v>0.80520000000000003</v>
      </c>
      <c r="F293" s="669">
        <v>0.80520000000000003</v>
      </c>
      <c r="G293" s="669">
        <v>0.80520000000000003</v>
      </c>
      <c r="H293" s="669">
        <v>0.80520000000000003</v>
      </c>
      <c r="I293" s="669">
        <v>0.65859999999999996</v>
      </c>
      <c r="J293" s="669">
        <v>0.65859999999999996</v>
      </c>
      <c r="K293" s="669">
        <v>0.65859999999999996</v>
      </c>
      <c r="L293" s="669">
        <v>0.65859999999999996</v>
      </c>
      <c r="M293" s="669">
        <v>0.65859999999999996</v>
      </c>
    </row>
    <row r="294" spans="1:13">
      <c r="A294" s="662">
        <v>8.8000000000000007</v>
      </c>
      <c r="B294" s="669">
        <v>0.82799999999999996</v>
      </c>
      <c r="C294" s="669">
        <v>0.82799999999999996</v>
      </c>
      <c r="D294" s="669">
        <v>0.8044</v>
      </c>
      <c r="E294" s="669">
        <v>0.8044</v>
      </c>
      <c r="F294" s="669">
        <v>0.8044</v>
      </c>
      <c r="G294" s="669">
        <v>0.8044</v>
      </c>
      <c r="H294" s="669">
        <v>0.8044</v>
      </c>
      <c r="I294" s="669">
        <v>0.65759999999999996</v>
      </c>
      <c r="J294" s="669">
        <v>0.65759999999999996</v>
      </c>
      <c r="K294" s="669">
        <v>0.65759999999999996</v>
      </c>
      <c r="L294" s="669">
        <v>0.65759999999999996</v>
      </c>
      <c r="M294" s="669">
        <v>0.65759999999999996</v>
      </c>
    </row>
    <row r="295" spans="1:13">
      <c r="A295" s="662">
        <v>8.9</v>
      </c>
      <c r="B295" s="669">
        <v>0.82740000000000002</v>
      </c>
      <c r="C295" s="669">
        <v>0.82740000000000002</v>
      </c>
      <c r="D295" s="669">
        <v>0.80359999999999998</v>
      </c>
      <c r="E295" s="669">
        <v>0.80359999999999998</v>
      </c>
      <c r="F295" s="669">
        <v>0.80359999999999998</v>
      </c>
      <c r="G295" s="669">
        <v>0.80359999999999998</v>
      </c>
      <c r="H295" s="669">
        <v>0.80359999999999998</v>
      </c>
      <c r="I295" s="669">
        <v>0.65669999999999995</v>
      </c>
      <c r="J295" s="669">
        <v>0.65669999999999995</v>
      </c>
      <c r="K295" s="669">
        <v>0.65669999999999995</v>
      </c>
      <c r="L295" s="669">
        <v>0.65669999999999995</v>
      </c>
      <c r="M295" s="669">
        <v>0.65669999999999995</v>
      </c>
    </row>
    <row r="296" spans="1:13">
      <c r="A296" s="677">
        <v>9</v>
      </c>
      <c r="B296" s="669">
        <v>0.82679999999999998</v>
      </c>
      <c r="C296" s="669">
        <v>0.82679999999999998</v>
      </c>
      <c r="D296" s="669">
        <v>0.80279999999999996</v>
      </c>
      <c r="E296" s="669">
        <v>0.80279999999999996</v>
      </c>
      <c r="F296" s="669">
        <v>0.80279999999999996</v>
      </c>
      <c r="G296" s="669">
        <v>0.80279999999999996</v>
      </c>
      <c r="H296" s="669">
        <v>0.80279999999999996</v>
      </c>
      <c r="I296" s="669">
        <v>0.65569999999999995</v>
      </c>
      <c r="J296" s="669">
        <v>0.65569999999999995</v>
      </c>
      <c r="K296" s="669">
        <v>0.65569999999999995</v>
      </c>
      <c r="L296" s="669">
        <v>0.65569999999999995</v>
      </c>
      <c r="M296" s="669">
        <v>0.65569999999999995</v>
      </c>
    </row>
    <row r="297" spans="1:13">
      <c r="A297" s="677">
        <v>9.1</v>
      </c>
      <c r="B297" s="669">
        <v>0.82620000000000005</v>
      </c>
      <c r="C297" s="669">
        <v>0.82620000000000005</v>
      </c>
      <c r="D297" s="669">
        <v>0.80200000000000005</v>
      </c>
      <c r="E297" s="669">
        <v>0.80200000000000005</v>
      </c>
      <c r="F297" s="669">
        <v>0.80200000000000005</v>
      </c>
      <c r="G297" s="669">
        <v>0.80200000000000005</v>
      </c>
      <c r="H297" s="669">
        <v>0.80200000000000005</v>
      </c>
      <c r="I297" s="669">
        <v>0.65480000000000005</v>
      </c>
      <c r="J297" s="669">
        <v>0.65480000000000005</v>
      </c>
      <c r="K297" s="669">
        <v>0.65480000000000005</v>
      </c>
      <c r="L297" s="669">
        <v>0.65480000000000005</v>
      </c>
      <c r="M297" s="669">
        <v>0.65480000000000005</v>
      </c>
    </row>
    <row r="298" spans="1:13">
      <c r="A298" s="677">
        <v>9.1999999999999993</v>
      </c>
      <c r="B298" s="669">
        <v>0.8256</v>
      </c>
      <c r="C298" s="669">
        <v>0.8256</v>
      </c>
      <c r="D298" s="669">
        <v>0.80120000000000002</v>
      </c>
      <c r="E298" s="669">
        <v>0.80120000000000002</v>
      </c>
      <c r="F298" s="669">
        <v>0.80120000000000002</v>
      </c>
      <c r="G298" s="669">
        <v>0.80120000000000002</v>
      </c>
      <c r="H298" s="669">
        <v>0.80120000000000002</v>
      </c>
      <c r="I298" s="669">
        <v>0.65380000000000005</v>
      </c>
      <c r="J298" s="669">
        <v>0.65380000000000005</v>
      </c>
      <c r="K298" s="669">
        <v>0.65380000000000005</v>
      </c>
      <c r="L298" s="669">
        <v>0.65380000000000005</v>
      </c>
      <c r="M298" s="669">
        <v>0.65380000000000005</v>
      </c>
    </row>
    <row r="299" spans="1:13">
      <c r="A299" s="677">
        <v>9.3000000000000007</v>
      </c>
      <c r="B299" s="669">
        <v>0.82499999999999996</v>
      </c>
      <c r="C299" s="669">
        <v>0.82499999999999996</v>
      </c>
      <c r="D299" s="669">
        <v>0.8004</v>
      </c>
      <c r="E299" s="669">
        <v>0.8004</v>
      </c>
      <c r="F299" s="669">
        <v>0.8004</v>
      </c>
      <c r="G299" s="669">
        <v>0.8004</v>
      </c>
      <c r="H299" s="669">
        <v>0.8004</v>
      </c>
      <c r="I299" s="669">
        <v>0.65290000000000004</v>
      </c>
      <c r="J299" s="669">
        <v>0.65290000000000004</v>
      </c>
      <c r="K299" s="669">
        <v>0.65290000000000004</v>
      </c>
      <c r="L299" s="669">
        <v>0.65290000000000004</v>
      </c>
      <c r="M299" s="669">
        <v>0.65290000000000004</v>
      </c>
    </row>
    <row r="300" spans="1:13">
      <c r="A300" s="677">
        <v>9.4</v>
      </c>
      <c r="B300" s="669">
        <v>0.82440000000000002</v>
      </c>
      <c r="C300" s="669">
        <v>0.82440000000000002</v>
      </c>
      <c r="D300" s="669">
        <v>0.79959999999999998</v>
      </c>
      <c r="E300" s="669">
        <v>0.79959999999999998</v>
      </c>
      <c r="F300" s="669">
        <v>0.79959999999999998</v>
      </c>
      <c r="G300" s="669">
        <v>0.79959999999999998</v>
      </c>
      <c r="H300" s="669">
        <v>0.79959999999999998</v>
      </c>
      <c r="I300" s="669">
        <v>0.65190000000000003</v>
      </c>
      <c r="J300" s="669">
        <v>0.65190000000000003</v>
      </c>
      <c r="K300" s="669">
        <v>0.65190000000000003</v>
      </c>
      <c r="L300" s="669">
        <v>0.65190000000000003</v>
      </c>
      <c r="M300" s="669">
        <v>0.65190000000000003</v>
      </c>
    </row>
    <row r="301" spans="1:13">
      <c r="A301" s="677">
        <v>9.5</v>
      </c>
      <c r="B301" s="669">
        <v>0.82379999999999998</v>
      </c>
      <c r="C301" s="669">
        <v>0.82379999999999998</v>
      </c>
      <c r="D301" s="669">
        <v>0.79879999999999995</v>
      </c>
      <c r="E301" s="669">
        <v>0.79879999999999995</v>
      </c>
      <c r="F301" s="669">
        <v>0.79879999999999995</v>
      </c>
      <c r="G301" s="669">
        <v>0.79879999999999995</v>
      </c>
      <c r="H301" s="669">
        <v>0.79879999999999995</v>
      </c>
      <c r="I301" s="669">
        <v>0.65100000000000002</v>
      </c>
      <c r="J301" s="669">
        <v>0.65100000000000002</v>
      </c>
      <c r="K301" s="669">
        <v>0.65100000000000002</v>
      </c>
      <c r="L301" s="669">
        <v>0.65100000000000002</v>
      </c>
      <c r="M301" s="669">
        <v>0.65100000000000002</v>
      </c>
    </row>
    <row r="302" spans="1:13">
      <c r="A302" s="677">
        <v>9.6</v>
      </c>
      <c r="B302" s="669">
        <v>0.82320000000000004</v>
      </c>
      <c r="C302" s="669">
        <v>0.82320000000000004</v>
      </c>
      <c r="D302" s="669">
        <v>0.79800000000000004</v>
      </c>
      <c r="E302" s="669">
        <v>0.79800000000000004</v>
      </c>
      <c r="F302" s="669">
        <v>0.79800000000000004</v>
      </c>
      <c r="G302" s="669">
        <v>0.79800000000000004</v>
      </c>
      <c r="H302" s="669">
        <v>0.79800000000000004</v>
      </c>
      <c r="I302" s="669">
        <v>0.65</v>
      </c>
      <c r="J302" s="669">
        <v>0.65</v>
      </c>
      <c r="K302" s="669">
        <v>0.65</v>
      </c>
      <c r="L302" s="669">
        <v>0.65</v>
      </c>
      <c r="M302" s="669">
        <v>0.65</v>
      </c>
    </row>
    <row r="303" spans="1:13">
      <c r="A303" s="677">
        <v>9.6999999999999993</v>
      </c>
      <c r="B303" s="669">
        <v>0.8226</v>
      </c>
      <c r="C303" s="669">
        <v>0.8226</v>
      </c>
      <c r="D303" s="669">
        <v>0.79720000000000002</v>
      </c>
      <c r="E303" s="669">
        <v>0.79720000000000002</v>
      </c>
      <c r="F303" s="669">
        <v>0.79720000000000002</v>
      </c>
      <c r="G303" s="669">
        <v>0.79720000000000002</v>
      </c>
      <c r="H303" s="669">
        <v>0.79720000000000002</v>
      </c>
      <c r="I303" s="669">
        <v>0.64900000000000002</v>
      </c>
      <c r="J303" s="669">
        <v>0.64900000000000002</v>
      </c>
      <c r="K303" s="669">
        <v>0.64900000000000002</v>
      </c>
      <c r="L303" s="669">
        <v>0.64900000000000002</v>
      </c>
      <c r="M303" s="669">
        <v>0.64900000000000002</v>
      </c>
    </row>
    <row r="304" spans="1:13">
      <c r="A304" s="677">
        <v>9.8000000000000007</v>
      </c>
      <c r="B304" s="669">
        <v>0.82199999999999995</v>
      </c>
      <c r="C304" s="669">
        <v>0.82199999999999995</v>
      </c>
      <c r="D304" s="669">
        <v>0.7964</v>
      </c>
      <c r="E304" s="669">
        <v>0.7964</v>
      </c>
      <c r="F304" s="669">
        <v>0.7964</v>
      </c>
      <c r="G304" s="669">
        <v>0.7964</v>
      </c>
      <c r="H304" s="669">
        <v>0.7964</v>
      </c>
      <c r="I304" s="669">
        <v>0.64810000000000001</v>
      </c>
      <c r="J304" s="669">
        <v>0.64810000000000001</v>
      </c>
      <c r="K304" s="669">
        <v>0.64810000000000001</v>
      </c>
      <c r="L304" s="669">
        <v>0.64810000000000001</v>
      </c>
      <c r="M304" s="669">
        <v>0.64810000000000001</v>
      </c>
    </row>
    <row r="305" spans="1:13">
      <c r="A305" s="677">
        <v>9.9</v>
      </c>
      <c r="B305" s="669">
        <v>0.82140000000000002</v>
      </c>
      <c r="C305" s="669">
        <v>0.82140000000000002</v>
      </c>
      <c r="D305" s="669">
        <v>0.79559999999999997</v>
      </c>
      <c r="E305" s="669">
        <v>0.79559999999999997</v>
      </c>
      <c r="F305" s="669">
        <v>0.79559999999999997</v>
      </c>
      <c r="G305" s="669">
        <v>0.79559999999999997</v>
      </c>
      <c r="H305" s="669">
        <v>0.79559999999999997</v>
      </c>
      <c r="I305" s="669">
        <v>0.64710000000000001</v>
      </c>
      <c r="J305" s="669">
        <v>0.64710000000000001</v>
      </c>
      <c r="K305" s="669">
        <v>0.64710000000000001</v>
      </c>
      <c r="L305" s="669">
        <v>0.64710000000000001</v>
      </c>
      <c r="M305" s="669">
        <v>0.64710000000000001</v>
      </c>
    </row>
    <row r="306" spans="1:13">
      <c r="A306" s="677">
        <v>10</v>
      </c>
      <c r="B306" s="669">
        <v>0.82079999999999997</v>
      </c>
      <c r="C306" s="669">
        <v>0.82079999999999997</v>
      </c>
      <c r="D306" s="669">
        <v>0.79479999999999995</v>
      </c>
      <c r="E306" s="669">
        <v>0.79479999999999995</v>
      </c>
      <c r="F306" s="669">
        <v>0.79479999999999995</v>
      </c>
      <c r="G306" s="669">
        <v>0.79479999999999995</v>
      </c>
      <c r="H306" s="669">
        <v>0.79479999999999995</v>
      </c>
      <c r="I306" s="669">
        <v>0.6462</v>
      </c>
      <c r="J306" s="669">
        <v>0.6462</v>
      </c>
      <c r="K306" s="669">
        <v>0.6462</v>
      </c>
      <c r="L306" s="669">
        <v>0.6462</v>
      </c>
      <c r="M306" s="669">
        <v>0.6462</v>
      </c>
    </row>
    <row r="307" spans="1:13" ht="14.25">
      <c r="A307" s="659" t="s">
        <v>750</v>
      </c>
      <c r="B307" s="660"/>
      <c r="C307" s="660"/>
      <c r="D307" s="660"/>
      <c r="E307" s="660"/>
      <c r="F307" s="660"/>
      <c r="G307" s="660"/>
      <c r="H307" s="660"/>
      <c r="I307" s="660"/>
      <c r="J307" s="660"/>
      <c r="K307" s="660"/>
      <c r="L307" s="660"/>
      <c r="M307" s="660"/>
    </row>
    <row r="308" spans="1:13">
      <c r="A308" s="662" t="s">
        <v>746</v>
      </c>
      <c r="B308" s="663" t="s">
        <v>157</v>
      </c>
      <c r="C308" s="663" t="s">
        <v>158</v>
      </c>
      <c r="D308" s="663" t="s">
        <v>159</v>
      </c>
      <c r="E308" s="663" t="s">
        <v>160</v>
      </c>
      <c r="F308" s="663" t="s">
        <v>161</v>
      </c>
      <c r="G308" s="663" t="s">
        <v>162</v>
      </c>
      <c r="H308" s="664" t="s">
        <v>163</v>
      </c>
      <c r="I308" s="664" t="s">
        <v>164</v>
      </c>
      <c r="J308" s="665" t="s">
        <v>165</v>
      </c>
      <c r="K308" s="665" t="s">
        <v>166</v>
      </c>
      <c r="L308" s="665" t="s">
        <v>167</v>
      </c>
      <c r="M308" s="665" t="s">
        <v>168</v>
      </c>
    </row>
    <row r="309" spans="1:13">
      <c r="A309" s="662">
        <v>0.1</v>
      </c>
      <c r="B309" s="669">
        <v>11.506</v>
      </c>
      <c r="C309" s="669">
        <v>11.506</v>
      </c>
      <c r="D309" s="669">
        <v>12.015000000000001</v>
      </c>
      <c r="E309" s="669">
        <v>12.015000000000001</v>
      </c>
      <c r="F309" s="669">
        <v>12.015000000000001</v>
      </c>
      <c r="G309" s="669">
        <v>11.118</v>
      </c>
      <c r="H309" s="669">
        <v>11.118</v>
      </c>
      <c r="I309" s="669">
        <v>10</v>
      </c>
      <c r="J309" s="669">
        <v>10</v>
      </c>
      <c r="K309" s="669">
        <v>10</v>
      </c>
      <c r="L309" s="669">
        <v>10</v>
      </c>
      <c r="M309" s="669">
        <v>10</v>
      </c>
    </row>
    <row r="310" spans="1:13">
      <c r="A310" s="662">
        <v>0.2</v>
      </c>
      <c r="B310" s="669">
        <v>5.7530000000000001</v>
      </c>
      <c r="C310" s="669">
        <v>5.7530000000000001</v>
      </c>
      <c r="D310" s="669">
        <v>6.0075000000000003</v>
      </c>
      <c r="E310" s="669">
        <v>6.0075000000000003</v>
      </c>
      <c r="F310" s="669">
        <v>6.0075000000000003</v>
      </c>
      <c r="G310" s="669">
        <v>5.5590000000000002</v>
      </c>
      <c r="H310" s="669">
        <v>5.5590000000000002</v>
      </c>
      <c r="I310" s="669">
        <v>5</v>
      </c>
      <c r="J310" s="669">
        <v>5</v>
      </c>
      <c r="K310" s="669">
        <v>5</v>
      </c>
      <c r="L310" s="669">
        <v>5</v>
      </c>
      <c r="M310" s="669">
        <v>5</v>
      </c>
    </row>
    <row r="311" spans="1:13">
      <c r="A311" s="662">
        <v>0.3</v>
      </c>
      <c r="B311" s="669">
        <v>3.8353000000000002</v>
      </c>
      <c r="C311" s="669">
        <v>3.8353000000000002</v>
      </c>
      <c r="D311" s="669">
        <v>4.0049999999999999</v>
      </c>
      <c r="E311" s="669">
        <v>4.0049999999999999</v>
      </c>
      <c r="F311" s="669">
        <v>4.0049999999999999</v>
      </c>
      <c r="G311" s="669">
        <v>3.706</v>
      </c>
      <c r="H311" s="669">
        <v>3.706</v>
      </c>
      <c r="I311" s="669">
        <v>3.3332999999999999</v>
      </c>
      <c r="J311" s="669">
        <v>3.3332999999999999</v>
      </c>
      <c r="K311" s="669">
        <v>3.3332999999999999</v>
      </c>
      <c r="L311" s="669">
        <v>3.3332999999999999</v>
      </c>
      <c r="M311" s="669">
        <v>3.3332999999999999</v>
      </c>
    </row>
    <row r="312" spans="1:13">
      <c r="A312" s="662">
        <v>0.4</v>
      </c>
      <c r="B312" s="669">
        <v>2.8765000000000001</v>
      </c>
      <c r="C312" s="669">
        <v>2.8765000000000001</v>
      </c>
      <c r="D312" s="669">
        <v>3.0038</v>
      </c>
      <c r="E312" s="669">
        <v>3.0038</v>
      </c>
      <c r="F312" s="669">
        <v>3.0038</v>
      </c>
      <c r="G312" s="669">
        <v>2.7795000000000001</v>
      </c>
      <c r="H312" s="669">
        <v>2.7795000000000001</v>
      </c>
      <c r="I312" s="669">
        <v>2.5</v>
      </c>
      <c r="J312" s="669">
        <v>2.5</v>
      </c>
      <c r="K312" s="669">
        <v>2.5</v>
      </c>
      <c r="L312" s="669">
        <v>2.5</v>
      </c>
      <c r="M312" s="669">
        <v>2.5</v>
      </c>
    </row>
    <row r="313" spans="1:13">
      <c r="A313" s="662">
        <v>0.5</v>
      </c>
      <c r="B313" s="669">
        <v>2.3012000000000001</v>
      </c>
      <c r="C313" s="669">
        <v>2.3012000000000001</v>
      </c>
      <c r="D313" s="669">
        <v>2.403</v>
      </c>
      <c r="E313" s="669">
        <v>2.403</v>
      </c>
      <c r="F313" s="669">
        <v>2.403</v>
      </c>
      <c r="G313" s="669">
        <v>2.2235999999999998</v>
      </c>
      <c r="H313" s="669">
        <v>2.2235999999999998</v>
      </c>
      <c r="I313" s="669">
        <v>2</v>
      </c>
      <c r="J313" s="669">
        <v>2</v>
      </c>
      <c r="K313" s="669">
        <v>2</v>
      </c>
      <c r="L313" s="669">
        <v>2</v>
      </c>
      <c r="M313" s="669">
        <v>2</v>
      </c>
    </row>
    <row r="314" spans="1:13">
      <c r="A314" s="662">
        <v>0.6</v>
      </c>
      <c r="B314" s="669">
        <v>1.9177</v>
      </c>
      <c r="C314" s="669">
        <v>1.9177</v>
      </c>
      <c r="D314" s="669">
        <v>2.0024999999999999</v>
      </c>
      <c r="E314" s="669">
        <v>2.0024999999999999</v>
      </c>
      <c r="F314" s="669">
        <v>2.0024999999999999</v>
      </c>
      <c r="G314" s="669">
        <v>1.853</v>
      </c>
      <c r="H314" s="669">
        <v>1.853</v>
      </c>
      <c r="I314" s="669">
        <v>1.6667000000000001</v>
      </c>
      <c r="J314" s="669">
        <v>1.6667000000000001</v>
      </c>
      <c r="K314" s="669">
        <v>1.6667000000000001</v>
      </c>
      <c r="L314" s="669">
        <v>1.6667000000000001</v>
      </c>
      <c r="M314" s="669">
        <v>1.6667000000000001</v>
      </c>
    </row>
    <row r="315" spans="1:13">
      <c r="A315" s="662">
        <v>0.7</v>
      </c>
      <c r="B315" s="669">
        <v>1.6436999999999999</v>
      </c>
      <c r="C315" s="669">
        <v>1.6436999999999999</v>
      </c>
      <c r="D315" s="669">
        <v>1.7163999999999999</v>
      </c>
      <c r="E315" s="669">
        <v>1.7163999999999999</v>
      </c>
      <c r="F315" s="669">
        <v>1.7163999999999999</v>
      </c>
      <c r="G315" s="669">
        <v>1.5883</v>
      </c>
      <c r="H315" s="669">
        <v>1.5883</v>
      </c>
      <c r="I315" s="669">
        <v>1.4286000000000001</v>
      </c>
      <c r="J315" s="669">
        <v>1.4286000000000001</v>
      </c>
      <c r="K315" s="669">
        <v>1.4286000000000001</v>
      </c>
      <c r="L315" s="669">
        <v>1.4286000000000001</v>
      </c>
      <c r="M315" s="669">
        <v>1.4286000000000001</v>
      </c>
    </row>
    <row r="316" spans="1:13">
      <c r="A316" s="662">
        <v>0.8</v>
      </c>
      <c r="B316" s="669">
        <v>1.4382999999999999</v>
      </c>
      <c r="C316" s="669">
        <v>1.4382999999999999</v>
      </c>
      <c r="D316" s="669">
        <v>1.5019</v>
      </c>
      <c r="E316" s="669">
        <v>1.5019</v>
      </c>
      <c r="F316" s="669">
        <v>1.5019</v>
      </c>
      <c r="G316" s="669">
        <v>1.3897999999999999</v>
      </c>
      <c r="H316" s="669">
        <v>1.3897999999999999</v>
      </c>
      <c r="I316" s="669">
        <v>1.25</v>
      </c>
      <c r="J316" s="669">
        <v>1.25</v>
      </c>
      <c r="K316" s="669">
        <v>1.25</v>
      </c>
      <c r="L316" s="669">
        <v>1.25</v>
      </c>
      <c r="M316" s="669">
        <v>1.25</v>
      </c>
    </row>
    <row r="317" spans="1:13">
      <c r="A317" s="662">
        <v>0.9</v>
      </c>
      <c r="B317" s="669">
        <v>1.2784</v>
      </c>
      <c r="C317" s="669">
        <v>1.2784</v>
      </c>
      <c r="D317" s="669">
        <v>1.335</v>
      </c>
      <c r="E317" s="669">
        <v>1.335</v>
      </c>
      <c r="F317" s="669">
        <v>1.335</v>
      </c>
      <c r="G317" s="669">
        <v>1.2353000000000001</v>
      </c>
      <c r="H317" s="669">
        <v>1.2353000000000001</v>
      </c>
      <c r="I317" s="669">
        <v>1.1111</v>
      </c>
      <c r="J317" s="669">
        <v>1.1111</v>
      </c>
      <c r="K317" s="669">
        <v>1.1111</v>
      </c>
      <c r="L317" s="669">
        <v>1.1111</v>
      </c>
      <c r="M317" s="669">
        <v>1.1111</v>
      </c>
    </row>
    <row r="318" spans="1:13">
      <c r="A318" s="662">
        <v>1</v>
      </c>
      <c r="B318" s="669">
        <v>1.1506000000000001</v>
      </c>
      <c r="C318" s="669">
        <v>1.1506000000000001</v>
      </c>
      <c r="D318" s="669">
        <v>1.2015</v>
      </c>
      <c r="E318" s="669">
        <v>1.2015</v>
      </c>
      <c r="F318" s="669">
        <v>1.2015</v>
      </c>
      <c r="G318" s="669">
        <v>1.1117999999999999</v>
      </c>
      <c r="H318" s="669">
        <v>1.1117999999999999</v>
      </c>
      <c r="I318" s="669">
        <v>1</v>
      </c>
      <c r="J318" s="669">
        <v>1</v>
      </c>
      <c r="K318" s="669">
        <v>1</v>
      </c>
      <c r="L318" s="669">
        <v>1</v>
      </c>
      <c r="M318" s="669">
        <v>1</v>
      </c>
    </row>
    <row r="319" spans="1:13">
      <c r="A319" s="662">
        <v>1.1000000000000001</v>
      </c>
      <c r="B319" s="669">
        <v>1.1158999999999999</v>
      </c>
      <c r="C319" s="669">
        <v>1.1158999999999999</v>
      </c>
      <c r="D319" s="669">
        <v>1.1440999999999999</v>
      </c>
      <c r="E319" s="669">
        <v>1.1440999999999999</v>
      </c>
      <c r="F319" s="669">
        <v>1.1440999999999999</v>
      </c>
      <c r="G319" s="669">
        <v>1.0492999999999999</v>
      </c>
      <c r="H319" s="669">
        <v>1.0492999999999999</v>
      </c>
      <c r="I319" s="669">
        <v>0.93730000000000002</v>
      </c>
      <c r="J319" s="669">
        <v>0.93730000000000002</v>
      </c>
      <c r="K319" s="669">
        <v>0.93730000000000002</v>
      </c>
      <c r="L319" s="669">
        <v>0.93730000000000002</v>
      </c>
      <c r="M319" s="669">
        <v>0.93730000000000002</v>
      </c>
    </row>
    <row r="320" spans="1:13">
      <c r="A320" s="662">
        <v>1.2</v>
      </c>
      <c r="B320" s="669">
        <v>1.0837000000000001</v>
      </c>
      <c r="C320" s="669">
        <v>1.0837000000000001</v>
      </c>
      <c r="D320" s="669">
        <v>1.0972999999999999</v>
      </c>
      <c r="E320" s="669">
        <v>1.0972999999999999</v>
      </c>
      <c r="F320" s="669">
        <v>1.0972999999999999</v>
      </c>
      <c r="G320" s="669">
        <v>1</v>
      </c>
      <c r="H320" s="669">
        <v>1</v>
      </c>
      <c r="I320" s="669">
        <v>0.88890000000000002</v>
      </c>
      <c r="J320" s="669">
        <v>0.88890000000000002</v>
      </c>
      <c r="K320" s="669">
        <v>0.88890000000000002</v>
      </c>
      <c r="L320" s="669">
        <v>0.88890000000000002</v>
      </c>
      <c r="M320" s="669">
        <v>0.88890000000000002</v>
      </c>
    </row>
    <row r="321" spans="1:13">
      <c r="A321" s="662">
        <v>1.3</v>
      </c>
      <c r="B321" s="669">
        <v>1.0538000000000001</v>
      </c>
      <c r="C321" s="669">
        <v>1.0538000000000001</v>
      </c>
      <c r="D321" s="669">
        <v>1.0589999999999999</v>
      </c>
      <c r="E321" s="669">
        <v>1.0589999999999999</v>
      </c>
      <c r="F321" s="669">
        <v>1.0589999999999999</v>
      </c>
      <c r="G321" s="669">
        <v>0.96140000000000003</v>
      </c>
      <c r="H321" s="669">
        <v>0.96140000000000003</v>
      </c>
      <c r="I321" s="669">
        <v>0.85209999999999997</v>
      </c>
      <c r="J321" s="669">
        <v>0.85209999999999997</v>
      </c>
      <c r="K321" s="669">
        <v>0.85209999999999997</v>
      </c>
      <c r="L321" s="669">
        <v>0.85209999999999997</v>
      </c>
      <c r="M321" s="669">
        <v>0.85209999999999997</v>
      </c>
    </row>
    <row r="322" spans="1:13">
      <c r="A322" s="662">
        <v>1.4</v>
      </c>
      <c r="B322" s="669">
        <v>1.026</v>
      </c>
      <c r="C322" s="669">
        <v>1.026</v>
      </c>
      <c r="D322" s="669">
        <v>1.0271999999999999</v>
      </c>
      <c r="E322" s="669">
        <v>1.0271999999999999</v>
      </c>
      <c r="F322" s="669">
        <v>1.0271999999999999</v>
      </c>
      <c r="G322" s="669">
        <v>0.93079999999999996</v>
      </c>
      <c r="H322" s="669">
        <v>0.93079999999999996</v>
      </c>
      <c r="I322" s="669">
        <v>0.82379999999999998</v>
      </c>
      <c r="J322" s="669">
        <v>0.82379999999999998</v>
      </c>
      <c r="K322" s="669">
        <v>0.82379999999999998</v>
      </c>
      <c r="L322" s="669">
        <v>0.82379999999999998</v>
      </c>
      <c r="M322" s="669">
        <v>0.82379999999999998</v>
      </c>
    </row>
    <row r="323" spans="1:13">
      <c r="A323" s="662">
        <v>1.5</v>
      </c>
      <c r="B323" s="669">
        <v>1</v>
      </c>
      <c r="C323" s="669">
        <v>1</v>
      </c>
      <c r="D323" s="669">
        <v>1</v>
      </c>
      <c r="E323" s="669">
        <v>1</v>
      </c>
      <c r="F323" s="669">
        <v>1</v>
      </c>
      <c r="G323" s="669">
        <v>0.90559999999999996</v>
      </c>
      <c r="H323" s="669">
        <v>0.90559999999999996</v>
      </c>
      <c r="I323" s="669">
        <v>0.80110000000000003</v>
      </c>
      <c r="J323" s="669">
        <v>0.80110000000000003</v>
      </c>
      <c r="K323" s="669">
        <v>0.80110000000000003</v>
      </c>
      <c r="L323" s="669">
        <v>0.80110000000000003</v>
      </c>
      <c r="M323" s="669">
        <v>0.80110000000000003</v>
      </c>
    </row>
    <row r="324" spans="1:13">
      <c r="A324" s="662">
        <v>1.6</v>
      </c>
      <c r="B324" s="669">
        <v>0.97570000000000001</v>
      </c>
      <c r="C324" s="669">
        <v>0.97570000000000001</v>
      </c>
      <c r="D324" s="669">
        <v>0.97519999999999996</v>
      </c>
      <c r="E324" s="669">
        <v>0.97519999999999996</v>
      </c>
      <c r="F324" s="669">
        <v>0.97519999999999996</v>
      </c>
      <c r="G324" s="669">
        <v>0.8831</v>
      </c>
      <c r="H324" s="669">
        <v>0.8831</v>
      </c>
      <c r="I324" s="669">
        <v>0.78100000000000003</v>
      </c>
      <c r="J324" s="669">
        <v>0.78100000000000003</v>
      </c>
      <c r="K324" s="669">
        <v>0.78100000000000003</v>
      </c>
      <c r="L324" s="669">
        <v>0.78100000000000003</v>
      </c>
      <c r="M324" s="669">
        <v>0.78100000000000003</v>
      </c>
    </row>
    <row r="325" spans="1:13">
      <c r="A325" s="662">
        <v>1.7</v>
      </c>
      <c r="B325" s="669">
        <v>0.95289999999999997</v>
      </c>
      <c r="C325" s="669">
        <v>0.95289999999999997</v>
      </c>
      <c r="D325" s="669">
        <v>0.95189999999999997</v>
      </c>
      <c r="E325" s="669">
        <v>0.95189999999999997</v>
      </c>
      <c r="F325" s="669">
        <v>0.95189999999999997</v>
      </c>
      <c r="G325" s="669">
        <v>0.86180000000000001</v>
      </c>
      <c r="H325" s="669">
        <v>0.86180000000000001</v>
      </c>
      <c r="I325" s="669">
        <v>0.7621</v>
      </c>
      <c r="J325" s="669">
        <v>0.7621</v>
      </c>
      <c r="K325" s="669">
        <v>0.7621</v>
      </c>
      <c r="L325" s="669">
        <v>0.7621</v>
      </c>
      <c r="M325" s="669">
        <v>0.7621</v>
      </c>
    </row>
    <row r="326" spans="1:13">
      <c r="A326" s="662">
        <v>1.8</v>
      </c>
      <c r="B326" s="669">
        <v>0.93149999999999999</v>
      </c>
      <c r="C326" s="669">
        <v>0.93149999999999999</v>
      </c>
      <c r="D326" s="669">
        <v>0.93</v>
      </c>
      <c r="E326" s="669">
        <v>0.93</v>
      </c>
      <c r="F326" s="669">
        <v>0.93</v>
      </c>
      <c r="G326" s="669">
        <v>0.84179999999999999</v>
      </c>
      <c r="H326" s="669">
        <v>0.84179999999999999</v>
      </c>
      <c r="I326" s="669">
        <v>0.74419999999999997</v>
      </c>
      <c r="J326" s="669">
        <v>0.74419999999999997</v>
      </c>
      <c r="K326" s="669">
        <v>0.74419999999999997</v>
      </c>
      <c r="L326" s="669">
        <v>0.74419999999999997</v>
      </c>
      <c r="M326" s="669">
        <v>0.74419999999999997</v>
      </c>
    </row>
    <row r="327" spans="1:13">
      <c r="A327" s="662">
        <v>1.9</v>
      </c>
      <c r="B327" s="669">
        <v>0.91139999999999999</v>
      </c>
      <c r="C327" s="669">
        <v>0.91139999999999999</v>
      </c>
      <c r="D327" s="669">
        <v>0.90939999999999999</v>
      </c>
      <c r="E327" s="669">
        <v>0.90939999999999999</v>
      </c>
      <c r="F327" s="669">
        <v>0.90939999999999999</v>
      </c>
      <c r="G327" s="669">
        <v>0.82289999999999996</v>
      </c>
      <c r="H327" s="669">
        <v>0.82289999999999996</v>
      </c>
      <c r="I327" s="669">
        <v>0.72740000000000005</v>
      </c>
      <c r="J327" s="669">
        <v>0.72740000000000005</v>
      </c>
      <c r="K327" s="669">
        <v>0.72740000000000005</v>
      </c>
      <c r="L327" s="669">
        <v>0.72740000000000005</v>
      </c>
      <c r="M327" s="669">
        <v>0.72740000000000005</v>
      </c>
    </row>
    <row r="328" spans="1:13">
      <c r="A328" s="662">
        <v>2</v>
      </c>
      <c r="B328" s="669">
        <v>0.89270000000000005</v>
      </c>
      <c r="C328" s="669">
        <v>0.89270000000000005</v>
      </c>
      <c r="D328" s="669">
        <v>0.8901</v>
      </c>
      <c r="E328" s="669">
        <v>0.8901</v>
      </c>
      <c r="F328" s="669">
        <v>0.8901</v>
      </c>
      <c r="G328" s="669">
        <v>0.80530000000000002</v>
      </c>
      <c r="H328" s="669">
        <v>0.80530000000000002</v>
      </c>
      <c r="I328" s="669">
        <v>0.71160000000000001</v>
      </c>
      <c r="J328" s="669">
        <v>0.71160000000000001</v>
      </c>
      <c r="K328" s="669">
        <v>0.71160000000000001</v>
      </c>
      <c r="L328" s="669">
        <v>0.71160000000000001</v>
      </c>
      <c r="M328" s="669">
        <v>0.71160000000000001</v>
      </c>
    </row>
    <row r="329" spans="1:13">
      <c r="A329" s="677">
        <v>2.1</v>
      </c>
      <c r="B329" s="669">
        <v>0.87519999999999998</v>
      </c>
      <c r="C329" s="669">
        <v>0.87519999999999998</v>
      </c>
      <c r="D329" s="669">
        <v>0.872</v>
      </c>
      <c r="E329" s="669">
        <v>0.872</v>
      </c>
      <c r="F329" s="669">
        <v>0.872</v>
      </c>
      <c r="G329" s="669">
        <v>0.78869999999999996</v>
      </c>
      <c r="H329" s="669">
        <v>0.78869999999999996</v>
      </c>
      <c r="I329" s="669">
        <v>0.69669999999999999</v>
      </c>
      <c r="J329" s="669">
        <v>0.69669999999999999</v>
      </c>
      <c r="K329" s="669">
        <v>0.69669999999999999</v>
      </c>
      <c r="L329" s="669">
        <v>0.69669999999999999</v>
      </c>
      <c r="M329" s="669">
        <v>0.69669999999999999</v>
      </c>
    </row>
    <row r="330" spans="1:13">
      <c r="A330" s="677">
        <v>2.2000000000000002</v>
      </c>
      <c r="B330" s="669">
        <v>0.85880000000000001</v>
      </c>
      <c r="C330" s="669">
        <v>0.85880000000000001</v>
      </c>
      <c r="D330" s="669">
        <v>0.85499999999999998</v>
      </c>
      <c r="E330" s="669">
        <v>0.85499999999999998</v>
      </c>
      <c r="F330" s="669">
        <v>0.85499999999999998</v>
      </c>
      <c r="G330" s="669">
        <v>0.77300000000000002</v>
      </c>
      <c r="H330" s="669">
        <v>0.77300000000000002</v>
      </c>
      <c r="I330" s="669">
        <v>0.68269999999999997</v>
      </c>
      <c r="J330" s="669">
        <v>0.68269999999999997</v>
      </c>
      <c r="K330" s="669">
        <v>0.68269999999999997</v>
      </c>
      <c r="L330" s="669">
        <v>0.68269999999999997</v>
      </c>
      <c r="M330" s="669">
        <v>0.68269999999999997</v>
      </c>
    </row>
    <row r="331" spans="1:13">
      <c r="A331" s="677">
        <v>2.2999999999999998</v>
      </c>
      <c r="B331" s="669">
        <v>0.84360000000000002</v>
      </c>
      <c r="C331" s="669">
        <v>0.84360000000000002</v>
      </c>
      <c r="D331" s="669">
        <v>0.83899999999999997</v>
      </c>
      <c r="E331" s="669">
        <v>0.83899999999999997</v>
      </c>
      <c r="F331" s="669">
        <v>0.83899999999999997</v>
      </c>
      <c r="G331" s="669">
        <v>0.75839999999999996</v>
      </c>
      <c r="H331" s="669">
        <v>0.75839999999999996</v>
      </c>
      <c r="I331" s="669">
        <v>0.66949999999999998</v>
      </c>
      <c r="J331" s="669">
        <v>0.66949999999999998</v>
      </c>
      <c r="K331" s="669">
        <v>0.66949999999999998</v>
      </c>
      <c r="L331" s="669">
        <v>0.66949999999999998</v>
      </c>
      <c r="M331" s="669">
        <v>0.66949999999999998</v>
      </c>
    </row>
    <row r="332" spans="1:13">
      <c r="A332" s="677">
        <v>2.4</v>
      </c>
      <c r="B332" s="669">
        <v>0.82940000000000003</v>
      </c>
      <c r="C332" s="669">
        <v>0.82940000000000003</v>
      </c>
      <c r="D332" s="669">
        <v>0.82410000000000005</v>
      </c>
      <c r="E332" s="669">
        <v>0.82410000000000005</v>
      </c>
      <c r="F332" s="669">
        <v>0.82410000000000005</v>
      </c>
      <c r="G332" s="669">
        <v>0.74460000000000004</v>
      </c>
      <c r="H332" s="669">
        <v>0.74460000000000004</v>
      </c>
      <c r="I332" s="669">
        <v>0.65710000000000002</v>
      </c>
      <c r="J332" s="669">
        <v>0.65710000000000002</v>
      </c>
      <c r="K332" s="669">
        <v>0.65710000000000002</v>
      </c>
      <c r="L332" s="669">
        <v>0.65710000000000002</v>
      </c>
      <c r="M332" s="669">
        <v>0.65710000000000002</v>
      </c>
    </row>
    <row r="333" spans="1:13">
      <c r="A333" s="677">
        <v>2.5</v>
      </c>
      <c r="B333" s="669">
        <v>0.81620000000000004</v>
      </c>
      <c r="C333" s="669">
        <v>0.81620000000000004</v>
      </c>
      <c r="D333" s="669">
        <v>0.81020000000000003</v>
      </c>
      <c r="E333" s="669">
        <v>0.81020000000000003</v>
      </c>
      <c r="F333" s="669">
        <v>0.81020000000000003</v>
      </c>
      <c r="G333" s="669">
        <v>0.73180000000000001</v>
      </c>
      <c r="H333" s="669">
        <v>0.73180000000000001</v>
      </c>
      <c r="I333" s="669">
        <v>0.64549999999999996</v>
      </c>
      <c r="J333" s="669">
        <v>0.64549999999999996</v>
      </c>
      <c r="K333" s="669">
        <v>0.64549999999999996</v>
      </c>
      <c r="L333" s="669">
        <v>0.64549999999999996</v>
      </c>
      <c r="M333" s="669">
        <v>0.64549999999999996</v>
      </c>
    </row>
    <row r="334" spans="1:13">
      <c r="A334" s="677">
        <v>2.6</v>
      </c>
      <c r="B334" s="669">
        <v>0.80389999999999995</v>
      </c>
      <c r="C334" s="669">
        <v>0.80389999999999995</v>
      </c>
      <c r="D334" s="669">
        <v>0.79710000000000003</v>
      </c>
      <c r="E334" s="669">
        <v>0.79710000000000003</v>
      </c>
      <c r="F334" s="669">
        <v>0.79710000000000003</v>
      </c>
      <c r="G334" s="669">
        <v>0.71970000000000001</v>
      </c>
      <c r="H334" s="669">
        <v>0.71970000000000001</v>
      </c>
      <c r="I334" s="669">
        <v>0.63460000000000005</v>
      </c>
      <c r="J334" s="669">
        <v>0.63460000000000005</v>
      </c>
      <c r="K334" s="669">
        <v>0.63460000000000005</v>
      </c>
      <c r="L334" s="669">
        <v>0.63460000000000005</v>
      </c>
      <c r="M334" s="669">
        <v>0.63460000000000005</v>
      </c>
    </row>
    <row r="335" spans="1:13">
      <c r="A335" s="677">
        <v>2.7</v>
      </c>
      <c r="B335" s="669">
        <v>0.79249999999999998</v>
      </c>
      <c r="C335" s="669">
        <v>0.79249999999999998</v>
      </c>
      <c r="D335" s="669">
        <v>0.78490000000000004</v>
      </c>
      <c r="E335" s="669">
        <v>0.78490000000000004</v>
      </c>
      <c r="F335" s="669">
        <v>0.78490000000000004</v>
      </c>
      <c r="G335" s="669">
        <v>0.70840000000000003</v>
      </c>
      <c r="H335" s="669">
        <v>0.70840000000000003</v>
      </c>
      <c r="I335" s="669">
        <v>0.62439999999999996</v>
      </c>
      <c r="J335" s="669">
        <v>0.62439999999999996</v>
      </c>
      <c r="K335" s="669">
        <v>0.62439999999999996</v>
      </c>
      <c r="L335" s="669">
        <v>0.62439999999999996</v>
      </c>
      <c r="M335" s="669">
        <v>0.62439999999999996</v>
      </c>
    </row>
    <row r="336" spans="1:13">
      <c r="A336" s="677">
        <v>2.8</v>
      </c>
      <c r="B336" s="669">
        <v>0.78190000000000004</v>
      </c>
      <c r="C336" s="669">
        <v>0.78190000000000004</v>
      </c>
      <c r="D336" s="669">
        <v>0.77359999999999995</v>
      </c>
      <c r="E336" s="669">
        <v>0.77359999999999995</v>
      </c>
      <c r="F336" s="669">
        <v>0.77359999999999995</v>
      </c>
      <c r="G336" s="669">
        <v>0.69789999999999996</v>
      </c>
      <c r="H336" s="669">
        <v>0.69789999999999996</v>
      </c>
      <c r="I336" s="669">
        <v>0.61480000000000001</v>
      </c>
      <c r="J336" s="669">
        <v>0.61480000000000001</v>
      </c>
      <c r="K336" s="669">
        <v>0.61480000000000001</v>
      </c>
      <c r="L336" s="669">
        <v>0.61480000000000001</v>
      </c>
      <c r="M336" s="669">
        <v>0.61480000000000001</v>
      </c>
    </row>
    <row r="337" spans="1:13">
      <c r="A337" s="677">
        <v>2.9</v>
      </c>
      <c r="B337" s="669">
        <v>0.77210000000000001</v>
      </c>
      <c r="C337" s="669">
        <v>0.77210000000000001</v>
      </c>
      <c r="D337" s="669">
        <v>0.76300000000000001</v>
      </c>
      <c r="E337" s="669">
        <v>0.76300000000000001</v>
      </c>
      <c r="F337" s="669">
        <v>0.76300000000000001</v>
      </c>
      <c r="G337" s="669">
        <v>0.68799999999999994</v>
      </c>
      <c r="H337" s="669">
        <v>0.68799999999999994</v>
      </c>
      <c r="I337" s="669">
        <v>0.60589999999999999</v>
      </c>
      <c r="J337" s="669">
        <v>0.60589999999999999</v>
      </c>
      <c r="K337" s="669">
        <v>0.60589999999999999</v>
      </c>
      <c r="L337" s="669">
        <v>0.60589999999999999</v>
      </c>
      <c r="M337" s="669">
        <v>0.60589999999999999</v>
      </c>
    </row>
    <row r="338" spans="1:13">
      <c r="A338" s="677">
        <v>3</v>
      </c>
      <c r="B338" s="669">
        <v>0.7631</v>
      </c>
      <c r="C338" s="669">
        <v>0.7631</v>
      </c>
      <c r="D338" s="669">
        <v>0.75309999999999999</v>
      </c>
      <c r="E338" s="669">
        <v>0.75309999999999999</v>
      </c>
      <c r="F338" s="669">
        <v>0.75309999999999999</v>
      </c>
      <c r="G338" s="669">
        <v>0.67879999999999996</v>
      </c>
      <c r="H338" s="669">
        <v>0.67879999999999996</v>
      </c>
      <c r="I338" s="669">
        <v>0.59750000000000003</v>
      </c>
      <c r="J338" s="669">
        <v>0.59750000000000003</v>
      </c>
      <c r="K338" s="669">
        <v>0.59750000000000003</v>
      </c>
      <c r="L338" s="669">
        <v>0.59750000000000003</v>
      </c>
      <c r="M338" s="669">
        <v>0.59750000000000003</v>
      </c>
    </row>
    <row r="339" spans="1:13">
      <c r="A339" s="677">
        <v>3.1</v>
      </c>
      <c r="B339" s="669">
        <v>0.75470000000000004</v>
      </c>
      <c r="C339" s="669">
        <v>0.75470000000000004</v>
      </c>
      <c r="D339" s="669">
        <v>0.74399999999999999</v>
      </c>
      <c r="E339" s="669">
        <v>0.74399999999999999</v>
      </c>
      <c r="F339" s="669">
        <v>0.74399999999999999</v>
      </c>
      <c r="G339" s="669">
        <v>0.67020000000000002</v>
      </c>
      <c r="H339" s="669">
        <v>0.67020000000000002</v>
      </c>
      <c r="I339" s="669">
        <v>0.5897</v>
      </c>
      <c r="J339" s="669">
        <v>0.5897</v>
      </c>
      <c r="K339" s="669">
        <v>0.5897</v>
      </c>
      <c r="L339" s="669">
        <v>0.5897</v>
      </c>
      <c r="M339" s="669">
        <v>0.5897</v>
      </c>
    </row>
    <row r="340" spans="1:13">
      <c r="A340" s="677">
        <v>3.2</v>
      </c>
      <c r="B340" s="669">
        <v>0.747</v>
      </c>
      <c r="C340" s="669">
        <v>0.747</v>
      </c>
      <c r="D340" s="669">
        <v>0.73540000000000005</v>
      </c>
      <c r="E340" s="669">
        <v>0.73540000000000005</v>
      </c>
      <c r="F340" s="669">
        <v>0.73540000000000005</v>
      </c>
      <c r="G340" s="669">
        <v>0.66220000000000001</v>
      </c>
      <c r="H340" s="669">
        <v>0.66220000000000001</v>
      </c>
      <c r="I340" s="669">
        <v>0.58230000000000004</v>
      </c>
      <c r="J340" s="669">
        <v>0.58230000000000004</v>
      </c>
      <c r="K340" s="669">
        <v>0.58230000000000004</v>
      </c>
      <c r="L340" s="669">
        <v>0.58230000000000004</v>
      </c>
      <c r="M340" s="669">
        <v>0.58230000000000004</v>
      </c>
    </row>
    <row r="341" spans="1:13">
      <c r="A341" s="677">
        <v>3.3</v>
      </c>
      <c r="B341" s="669">
        <v>0.7399</v>
      </c>
      <c r="C341" s="669">
        <v>0.7399</v>
      </c>
      <c r="D341" s="669">
        <v>0.72750000000000004</v>
      </c>
      <c r="E341" s="669">
        <v>0.72750000000000004</v>
      </c>
      <c r="F341" s="669">
        <v>0.72750000000000004</v>
      </c>
      <c r="G341" s="669">
        <v>0.65480000000000005</v>
      </c>
      <c r="H341" s="669">
        <v>0.65480000000000005</v>
      </c>
      <c r="I341" s="669">
        <v>0.57540000000000002</v>
      </c>
      <c r="J341" s="669">
        <v>0.57540000000000002</v>
      </c>
      <c r="K341" s="669">
        <v>0.57540000000000002</v>
      </c>
      <c r="L341" s="669">
        <v>0.57540000000000002</v>
      </c>
      <c r="M341" s="669">
        <v>0.57540000000000002</v>
      </c>
    </row>
    <row r="342" spans="1:13">
      <c r="A342" s="677">
        <v>3.4</v>
      </c>
      <c r="B342" s="669">
        <v>0.73340000000000005</v>
      </c>
      <c r="C342" s="669">
        <v>0.73340000000000005</v>
      </c>
      <c r="D342" s="669">
        <v>0.72009999999999996</v>
      </c>
      <c r="E342" s="669">
        <v>0.72009999999999996</v>
      </c>
      <c r="F342" s="669">
        <v>0.72009999999999996</v>
      </c>
      <c r="G342" s="669">
        <v>0.64780000000000004</v>
      </c>
      <c r="H342" s="669">
        <v>0.64780000000000004</v>
      </c>
      <c r="I342" s="669">
        <v>0.56899999999999995</v>
      </c>
      <c r="J342" s="669">
        <v>0.56899999999999995</v>
      </c>
      <c r="K342" s="669">
        <v>0.56899999999999995</v>
      </c>
      <c r="L342" s="669">
        <v>0.56899999999999995</v>
      </c>
      <c r="M342" s="669">
        <v>0.56899999999999995</v>
      </c>
    </row>
    <row r="343" spans="1:13">
      <c r="A343" s="677">
        <v>3.5</v>
      </c>
      <c r="B343" s="669">
        <v>0.72740000000000005</v>
      </c>
      <c r="C343" s="669">
        <v>0.72740000000000005</v>
      </c>
      <c r="D343" s="669">
        <v>0.71330000000000005</v>
      </c>
      <c r="E343" s="669">
        <v>0.71330000000000005</v>
      </c>
      <c r="F343" s="669">
        <v>0.71330000000000005</v>
      </c>
      <c r="G343" s="669">
        <v>0.64129999999999998</v>
      </c>
      <c r="H343" s="669">
        <v>0.64129999999999998</v>
      </c>
      <c r="I343" s="669">
        <v>0.56310000000000004</v>
      </c>
      <c r="J343" s="669">
        <v>0.56310000000000004</v>
      </c>
      <c r="K343" s="669">
        <v>0.56310000000000004</v>
      </c>
      <c r="L343" s="669">
        <v>0.56310000000000004</v>
      </c>
      <c r="M343" s="669">
        <v>0.56310000000000004</v>
      </c>
    </row>
    <row r="344" spans="1:13">
      <c r="A344" s="677">
        <v>3.6</v>
      </c>
      <c r="B344" s="669">
        <v>0.72189999999999999</v>
      </c>
      <c r="C344" s="669">
        <v>0.72189999999999999</v>
      </c>
      <c r="D344" s="669">
        <v>0.70699999999999996</v>
      </c>
      <c r="E344" s="669">
        <v>0.70699999999999996</v>
      </c>
      <c r="F344" s="669">
        <v>0.70699999999999996</v>
      </c>
      <c r="G344" s="669">
        <v>0.63529999999999998</v>
      </c>
      <c r="H344" s="669">
        <v>0.63529999999999998</v>
      </c>
      <c r="I344" s="669">
        <v>0.5575</v>
      </c>
      <c r="J344" s="669">
        <v>0.5575</v>
      </c>
      <c r="K344" s="669">
        <v>0.5575</v>
      </c>
      <c r="L344" s="669">
        <v>0.5575</v>
      </c>
      <c r="M344" s="669">
        <v>0.5575</v>
      </c>
    </row>
    <row r="345" spans="1:13">
      <c r="A345" s="677">
        <v>3.7</v>
      </c>
      <c r="B345" s="669">
        <v>0.71679999999999999</v>
      </c>
      <c r="C345" s="669">
        <v>0.71679999999999999</v>
      </c>
      <c r="D345" s="669">
        <v>0.70109999999999995</v>
      </c>
      <c r="E345" s="669">
        <v>0.70109999999999995</v>
      </c>
      <c r="F345" s="669">
        <v>0.70109999999999995</v>
      </c>
      <c r="G345" s="669">
        <v>0.62970000000000004</v>
      </c>
      <c r="H345" s="669">
        <v>0.62970000000000004</v>
      </c>
      <c r="I345" s="669">
        <v>0.55230000000000001</v>
      </c>
      <c r="J345" s="669">
        <v>0.55230000000000001</v>
      </c>
      <c r="K345" s="669">
        <v>0.55230000000000001</v>
      </c>
      <c r="L345" s="669">
        <v>0.55230000000000001</v>
      </c>
      <c r="M345" s="669">
        <v>0.55230000000000001</v>
      </c>
    </row>
    <row r="346" spans="1:13">
      <c r="A346" s="677">
        <v>3.8</v>
      </c>
      <c r="B346" s="669">
        <v>0.71220000000000006</v>
      </c>
      <c r="C346" s="669">
        <v>0.71220000000000006</v>
      </c>
      <c r="D346" s="669">
        <v>0.6956</v>
      </c>
      <c r="E346" s="669">
        <v>0.6956</v>
      </c>
      <c r="F346" s="669">
        <v>0.6956</v>
      </c>
      <c r="G346" s="669">
        <v>0.62439999999999996</v>
      </c>
      <c r="H346" s="669">
        <v>0.62439999999999996</v>
      </c>
      <c r="I346" s="669">
        <v>0.5474</v>
      </c>
      <c r="J346" s="669">
        <v>0.5474</v>
      </c>
      <c r="K346" s="669">
        <v>0.5474</v>
      </c>
      <c r="L346" s="669">
        <v>0.5474</v>
      </c>
      <c r="M346" s="669">
        <v>0.5474</v>
      </c>
    </row>
    <row r="347" spans="1:13">
      <c r="A347" s="677">
        <v>3.9</v>
      </c>
      <c r="B347" s="669">
        <v>0.70799999999999996</v>
      </c>
      <c r="C347" s="669">
        <v>0.70799999999999996</v>
      </c>
      <c r="D347" s="669">
        <v>0.69059999999999999</v>
      </c>
      <c r="E347" s="669">
        <v>0.69059999999999999</v>
      </c>
      <c r="F347" s="669">
        <v>0.69059999999999999</v>
      </c>
      <c r="G347" s="669">
        <v>0.61950000000000005</v>
      </c>
      <c r="H347" s="669">
        <v>0.61950000000000005</v>
      </c>
      <c r="I347" s="669">
        <v>0.54279999999999995</v>
      </c>
      <c r="J347" s="669">
        <v>0.54279999999999995</v>
      </c>
      <c r="K347" s="669">
        <v>0.54279999999999995</v>
      </c>
      <c r="L347" s="669">
        <v>0.54279999999999995</v>
      </c>
      <c r="M347" s="669">
        <v>0.54279999999999995</v>
      </c>
    </row>
    <row r="348" spans="1:13">
      <c r="A348" s="677">
        <v>4</v>
      </c>
      <c r="B348" s="669">
        <v>0.70409999999999995</v>
      </c>
      <c r="C348" s="669">
        <v>0.70409999999999995</v>
      </c>
      <c r="D348" s="669">
        <v>0.68589999999999995</v>
      </c>
      <c r="E348" s="669">
        <v>0.68589999999999995</v>
      </c>
      <c r="F348" s="669">
        <v>0.68589999999999995</v>
      </c>
      <c r="G348" s="669">
        <v>0.61499999999999999</v>
      </c>
      <c r="H348" s="669">
        <v>0.61499999999999999</v>
      </c>
      <c r="I348" s="669">
        <v>0.53859999999999997</v>
      </c>
      <c r="J348" s="669">
        <v>0.53859999999999997</v>
      </c>
      <c r="K348" s="669">
        <v>0.53859999999999997</v>
      </c>
      <c r="L348" s="669">
        <v>0.53859999999999997</v>
      </c>
      <c r="M348" s="669">
        <v>0.53859999999999997</v>
      </c>
    </row>
    <row r="349" spans="1:13">
      <c r="A349" s="677">
        <v>4.0999999999999996</v>
      </c>
      <c r="B349" s="669">
        <v>0.7006</v>
      </c>
      <c r="C349" s="669">
        <v>0.7006</v>
      </c>
      <c r="D349" s="669">
        <v>0.68159999999999998</v>
      </c>
      <c r="E349" s="669">
        <v>0.68159999999999998</v>
      </c>
      <c r="F349" s="669">
        <v>0.68159999999999998</v>
      </c>
      <c r="G349" s="669">
        <v>0.61080000000000001</v>
      </c>
      <c r="H349" s="669">
        <v>0.61080000000000001</v>
      </c>
      <c r="I349" s="669">
        <v>0.53459999999999996</v>
      </c>
      <c r="J349" s="669">
        <v>0.53459999999999996</v>
      </c>
      <c r="K349" s="669">
        <v>0.53459999999999996</v>
      </c>
      <c r="L349" s="669">
        <v>0.53459999999999996</v>
      </c>
      <c r="M349" s="669">
        <v>0.53459999999999996</v>
      </c>
    </row>
    <row r="350" spans="1:13">
      <c r="A350" s="677">
        <v>4.2</v>
      </c>
      <c r="B350" s="669">
        <v>0.69740000000000002</v>
      </c>
      <c r="C350" s="669">
        <v>0.69740000000000002</v>
      </c>
      <c r="D350" s="669">
        <v>0.67759999999999998</v>
      </c>
      <c r="E350" s="669">
        <v>0.67759999999999998</v>
      </c>
      <c r="F350" s="669">
        <v>0.67759999999999998</v>
      </c>
      <c r="G350" s="669">
        <v>0.60699999999999998</v>
      </c>
      <c r="H350" s="669">
        <v>0.60699999999999998</v>
      </c>
      <c r="I350" s="669">
        <v>0.53090000000000004</v>
      </c>
      <c r="J350" s="669">
        <v>0.53090000000000004</v>
      </c>
      <c r="K350" s="669">
        <v>0.53090000000000004</v>
      </c>
      <c r="L350" s="669">
        <v>0.53090000000000004</v>
      </c>
      <c r="M350" s="669">
        <v>0.53090000000000004</v>
      </c>
    </row>
    <row r="351" spans="1:13">
      <c r="A351" s="677">
        <v>4.3</v>
      </c>
      <c r="B351" s="669">
        <v>0.69450000000000001</v>
      </c>
      <c r="C351" s="669">
        <v>0.69450000000000001</v>
      </c>
      <c r="D351" s="669">
        <v>0.67390000000000005</v>
      </c>
      <c r="E351" s="669">
        <v>0.67390000000000005</v>
      </c>
      <c r="F351" s="669">
        <v>0.67390000000000005</v>
      </c>
      <c r="G351" s="669">
        <v>0.60329999999999995</v>
      </c>
      <c r="H351" s="669">
        <v>0.60329999999999995</v>
      </c>
      <c r="I351" s="669">
        <v>0.52739999999999998</v>
      </c>
      <c r="J351" s="669">
        <v>0.52739999999999998</v>
      </c>
      <c r="K351" s="669">
        <v>0.52739999999999998</v>
      </c>
      <c r="L351" s="669">
        <v>0.52739999999999998</v>
      </c>
      <c r="M351" s="669">
        <v>0.52739999999999998</v>
      </c>
    </row>
    <row r="352" spans="1:13">
      <c r="A352" s="677">
        <v>4.4000000000000004</v>
      </c>
      <c r="B352" s="669">
        <v>0.69179999999999997</v>
      </c>
      <c r="C352" s="669">
        <v>0.69179999999999997</v>
      </c>
      <c r="D352" s="669">
        <v>0.67049999999999998</v>
      </c>
      <c r="E352" s="669">
        <v>0.67049999999999998</v>
      </c>
      <c r="F352" s="669">
        <v>0.67049999999999998</v>
      </c>
      <c r="G352" s="669">
        <v>0.59989999999999999</v>
      </c>
      <c r="H352" s="669">
        <v>0.59989999999999999</v>
      </c>
      <c r="I352" s="669">
        <v>0.5242</v>
      </c>
      <c r="J352" s="669">
        <v>0.5242</v>
      </c>
      <c r="K352" s="669">
        <v>0.5242</v>
      </c>
      <c r="L352" s="669">
        <v>0.5242</v>
      </c>
      <c r="M352" s="669">
        <v>0.5242</v>
      </c>
    </row>
    <row r="353" spans="1:13">
      <c r="A353" s="677">
        <v>4.5</v>
      </c>
      <c r="B353" s="669">
        <v>0.68940000000000001</v>
      </c>
      <c r="C353" s="669">
        <v>0.68940000000000001</v>
      </c>
      <c r="D353" s="669">
        <v>0.6673</v>
      </c>
      <c r="E353" s="669">
        <v>0.6673</v>
      </c>
      <c r="F353" s="669">
        <v>0.6673</v>
      </c>
      <c r="G353" s="669">
        <v>0.59670000000000001</v>
      </c>
      <c r="H353" s="669">
        <v>0.59670000000000001</v>
      </c>
      <c r="I353" s="669">
        <v>0.52110000000000001</v>
      </c>
      <c r="J353" s="669">
        <v>0.52110000000000001</v>
      </c>
      <c r="K353" s="669">
        <v>0.52110000000000001</v>
      </c>
      <c r="L353" s="669">
        <v>0.52110000000000001</v>
      </c>
      <c r="M353" s="669">
        <v>0.52110000000000001</v>
      </c>
    </row>
    <row r="354" spans="1:13">
      <c r="A354" s="677">
        <v>4.5999999999999996</v>
      </c>
      <c r="B354" s="669">
        <v>0.68720000000000003</v>
      </c>
      <c r="C354" s="669">
        <v>0.68720000000000003</v>
      </c>
      <c r="D354" s="669">
        <v>0.6643</v>
      </c>
      <c r="E354" s="669">
        <v>0.6643</v>
      </c>
      <c r="F354" s="669">
        <v>0.6643</v>
      </c>
      <c r="G354" s="669">
        <v>0.59379999999999999</v>
      </c>
      <c r="H354" s="669">
        <v>0.59379999999999999</v>
      </c>
      <c r="I354" s="669">
        <v>0.51819999999999999</v>
      </c>
      <c r="J354" s="669">
        <v>0.51819999999999999</v>
      </c>
      <c r="K354" s="669">
        <v>0.51819999999999999</v>
      </c>
      <c r="L354" s="669">
        <v>0.51819999999999999</v>
      </c>
      <c r="M354" s="669">
        <v>0.51819999999999999</v>
      </c>
    </row>
    <row r="355" spans="1:13">
      <c r="A355" s="677">
        <v>4.7</v>
      </c>
      <c r="B355" s="669">
        <v>0.68520000000000003</v>
      </c>
      <c r="C355" s="669">
        <v>0.68520000000000003</v>
      </c>
      <c r="D355" s="669">
        <v>0.66149999999999998</v>
      </c>
      <c r="E355" s="669">
        <v>0.66149999999999998</v>
      </c>
      <c r="F355" s="669">
        <v>0.66149999999999998</v>
      </c>
      <c r="G355" s="669">
        <v>0.59109999999999996</v>
      </c>
      <c r="H355" s="669">
        <v>0.59109999999999996</v>
      </c>
      <c r="I355" s="669">
        <v>0.51559999999999995</v>
      </c>
      <c r="J355" s="669">
        <v>0.51559999999999995</v>
      </c>
      <c r="K355" s="669">
        <v>0.51559999999999995</v>
      </c>
      <c r="L355" s="669">
        <v>0.51559999999999995</v>
      </c>
      <c r="M355" s="669">
        <v>0.51559999999999995</v>
      </c>
    </row>
    <row r="356" spans="1:13">
      <c r="A356" s="677">
        <v>4.8</v>
      </c>
      <c r="B356" s="669">
        <v>0.68340000000000001</v>
      </c>
      <c r="C356" s="669">
        <v>0.68340000000000001</v>
      </c>
      <c r="D356" s="669">
        <v>0.65900000000000003</v>
      </c>
      <c r="E356" s="669">
        <v>0.65900000000000003</v>
      </c>
      <c r="F356" s="669">
        <v>0.65900000000000003</v>
      </c>
      <c r="G356" s="669">
        <v>0.58850000000000002</v>
      </c>
      <c r="H356" s="669">
        <v>0.58850000000000002</v>
      </c>
      <c r="I356" s="669">
        <v>0.51300000000000001</v>
      </c>
      <c r="J356" s="669">
        <v>0.51300000000000001</v>
      </c>
      <c r="K356" s="669">
        <v>0.51300000000000001</v>
      </c>
      <c r="L356" s="669">
        <v>0.51300000000000001</v>
      </c>
      <c r="M356" s="669">
        <v>0.51300000000000001</v>
      </c>
    </row>
    <row r="357" spans="1:13">
      <c r="A357" s="677">
        <v>4.9000000000000004</v>
      </c>
      <c r="B357" s="669">
        <v>0.68179999999999996</v>
      </c>
      <c r="C357" s="669">
        <v>0.68179999999999996</v>
      </c>
      <c r="D357" s="669">
        <v>0.65659999999999996</v>
      </c>
      <c r="E357" s="669">
        <v>0.65659999999999996</v>
      </c>
      <c r="F357" s="669">
        <v>0.65659999999999996</v>
      </c>
      <c r="G357" s="669">
        <v>0.58599999999999997</v>
      </c>
      <c r="H357" s="669">
        <v>0.58599999999999997</v>
      </c>
      <c r="I357" s="669">
        <v>0.51060000000000005</v>
      </c>
      <c r="J357" s="669">
        <v>0.51060000000000005</v>
      </c>
      <c r="K357" s="669">
        <v>0.51060000000000005</v>
      </c>
      <c r="L357" s="669">
        <v>0.51060000000000005</v>
      </c>
      <c r="M357" s="669">
        <v>0.51060000000000005</v>
      </c>
    </row>
    <row r="358" spans="1:13">
      <c r="A358" s="677">
        <v>5</v>
      </c>
      <c r="B358" s="669">
        <v>0.68030000000000002</v>
      </c>
      <c r="C358" s="669">
        <v>0.68030000000000002</v>
      </c>
      <c r="D358" s="669">
        <v>0.65439999999999998</v>
      </c>
      <c r="E358" s="669">
        <v>0.65439999999999998</v>
      </c>
      <c r="F358" s="669">
        <v>0.65439999999999998</v>
      </c>
      <c r="G358" s="669">
        <v>0.58379999999999999</v>
      </c>
      <c r="H358" s="669">
        <v>0.58379999999999999</v>
      </c>
      <c r="I358" s="669">
        <v>0.50839999999999996</v>
      </c>
      <c r="J358" s="669">
        <v>0.50839999999999996</v>
      </c>
      <c r="K358" s="669">
        <v>0.50839999999999996</v>
      </c>
      <c r="L358" s="669">
        <v>0.50839999999999996</v>
      </c>
      <c r="M358" s="669">
        <v>0.50839999999999996</v>
      </c>
    </row>
    <row r="359" spans="1:13">
      <c r="A359" s="662">
        <v>5.0999999999999996</v>
      </c>
      <c r="B359" s="669">
        <v>0.67889999999999995</v>
      </c>
      <c r="C359" s="669">
        <v>0.67889999999999995</v>
      </c>
      <c r="D359" s="669">
        <v>0.65229999999999999</v>
      </c>
      <c r="E359" s="669">
        <v>0.65229999999999999</v>
      </c>
      <c r="F359" s="669">
        <v>0.65229999999999999</v>
      </c>
      <c r="G359" s="669">
        <v>0.58160000000000001</v>
      </c>
      <c r="H359" s="669">
        <v>0.58160000000000001</v>
      </c>
      <c r="I359" s="669">
        <v>0.50629999999999997</v>
      </c>
      <c r="J359" s="669">
        <v>0.50629999999999997</v>
      </c>
      <c r="K359" s="669">
        <v>0.50629999999999997</v>
      </c>
      <c r="L359" s="669">
        <v>0.50629999999999997</v>
      </c>
      <c r="M359" s="669">
        <v>0.50629999999999997</v>
      </c>
    </row>
    <row r="360" spans="1:13">
      <c r="A360" s="662">
        <v>5.2</v>
      </c>
      <c r="B360" s="669">
        <v>0.67749999999999999</v>
      </c>
      <c r="C360" s="669">
        <v>0.67749999999999999</v>
      </c>
      <c r="D360" s="669">
        <v>0.65029999999999999</v>
      </c>
      <c r="E360" s="669">
        <v>0.65029999999999999</v>
      </c>
      <c r="F360" s="669">
        <v>0.65029999999999999</v>
      </c>
      <c r="G360" s="669">
        <v>0.57950000000000002</v>
      </c>
      <c r="H360" s="669">
        <v>0.57950000000000002</v>
      </c>
      <c r="I360" s="669">
        <v>0.50419999999999998</v>
      </c>
      <c r="J360" s="669">
        <v>0.50419999999999998</v>
      </c>
      <c r="K360" s="669">
        <v>0.50419999999999998</v>
      </c>
      <c r="L360" s="669">
        <v>0.50419999999999998</v>
      </c>
      <c r="M360" s="669">
        <v>0.50419999999999998</v>
      </c>
    </row>
    <row r="361" spans="1:13">
      <c r="A361" s="662">
        <v>5.3</v>
      </c>
      <c r="B361" s="669">
        <v>0.67620000000000002</v>
      </c>
      <c r="C361" s="669">
        <v>0.67620000000000002</v>
      </c>
      <c r="D361" s="669">
        <v>0.64839999999999998</v>
      </c>
      <c r="E361" s="669">
        <v>0.64839999999999998</v>
      </c>
      <c r="F361" s="669">
        <v>0.64839999999999998</v>
      </c>
      <c r="G361" s="669">
        <v>0.5776</v>
      </c>
      <c r="H361" s="669">
        <v>0.5776</v>
      </c>
      <c r="I361" s="669">
        <v>0.50229999999999997</v>
      </c>
      <c r="J361" s="669">
        <v>0.50229999999999997</v>
      </c>
      <c r="K361" s="669">
        <v>0.50229999999999997</v>
      </c>
      <c r="L361" s="669">
        <v>0.50229999999999997</v>
      </c>
      <c r="M361" s="669">
        <v>0.50229999999999997</v>
      </c>
    </row>
    <row r="362" spans="1:13">
      <c r="A362" s="662">
        <v>5.4</v>
      </c>
      <c r="B362" s="669">
        <v>0.67500000000000004</v>
      </c>
      <c r="C362" s="669">
        <v>0.67500000000000004</v>
      </c>
      <c r="D362" s="669">
        <v>0.64670000000000005</v>
      </c>
      <c r="E362" s="669">
        <v>0.64670000000000005</v>
      </c>
      <c r="F362" s="669">
        <v>0.64670000000000005</v>
      </c>
      <c r="G362" s="669">
        <v>0.57579999999999998</v>
      </c>
      <c r="H362" s="669">
        <v>0.57579999999999998</v>
      </c>
      <c r="I362" s="669">
        <v>0.50039999999999996</v>
      </c>
      <c r="J362" s="669">
        <v>0.50039999999999996</v>
      </c>
      <c r="K362" s="669">
        <v>0.50039999999999996</v>
      </c>
      <c r="L362" s="669">
        <v>0.50039999999999996</v>
      </c>
      <c r="M362" s="669">
        <v>0.50039999999999996</v>
      </c>
    </row>
    <row r="363" spans="1:13">
      <c r="A363" s="662">
        <v>5.5</v>
      </c>
      <c r="B363" s="669">
        <v>0.67379999999999995</v>
      </c>
      <c r="C363" s="669">
        <v>0.67379999999999995</v>
      </c>
      <c r="D363" s="669">
        <v>0.64500000000000002</v>
      </c>
      <c r="E363" s="669">
        <v>0.64500000000000002</v>
      </c>
      <c r="F363" s="669">
        <v>0.64500000000000002</v>
      </c>
      <c r="G363" s="669">
        <v>0.57399999999999995</v>
      </c>
      <c r="H363" s="669">
        <v>0.57399999999999995</v>
      </c>
      <c r="I363" s="669">
        <v>0.49869999999999998</v>
      </c>
      <c r="J363" s="669">
        <v>0.49869999999999998</v>
      </c>
      <c r="K363" s="669">
        <v>0.49869999999999998</v>
      </c>
      <c r="L363" s="669">
        <v>0.49869999999999998</v>
      </c>
      <c r="M363" s="669">
        <v>0.49869999999999998</v>
      </c>
    </row>
    <row r="364" spans="1:13">
      <c r="A364" s="662">
        <v>5.6</v>
      </c>
      <c r="B364" s="669">
        <v>0.67259999999999998</v>
      </c>
      <c r="C364" s="669">
        <v>0.67259999999999998</v>
      </c>
      <c r="D364" s="669">
        <v>0.64339999999999997</v>
      </c>
      <c r="E364" s="669">
        <v>0.64339999999999997</v>
      </c>
      <c r="F364" s="669">
        <v>0.64339999999999997</v>
      </c>
      <c r="G364" s="669">
        <v>0.57240000000000002</v>
      </c>
      <c r="H364" s="669">
        <v>0.57240000000000002</v>
      </c>
      <c r="I364" s="669">
        <v>0.49690000000000001</v>
      </c>
      <c r="J364" s="669">
        <v>0.49690000000000001</v>
      </c>
      <c r="K364" s="669">
        <v>0.49690000000000001</v>
      </c>
      <c r="L364" s="669">
        <v>0.49690000000000001</v>
      </c>
      <c r="M364" s="669">
        <v>0.49690000000000001</v>
      </c>
    </row>
    <row r="365" spans="1:13">
      <c r="A365" s="677">
        <v>5.7</v>
      </c>
      <c r="B365" s="669">
        <v>0.6714</v>
      </c>
      <c r="C365" s="669">
        <v>0.6714</v>
      </c>
      <c r="D365" s="669">
        <v>0.64190000000000003</v>
      </c>
      <c r="E365" s="669">
        <v>0.64190000000000003</v>
      </c>
      <c r="F365" s="669">
        <v>0.64190000000000003</v>
      </c>
      <c r="G365" s="669">
        <v>0.57069999999999999</v>
      </c>
      <c r="H365" s="669">
        <v>0.57069999999999999</v>
      </c>
      <c r="I365" s="669">
        <v>0.49519999999999997</v>
      </c>
      <c r="J365" s="669">
        <v>0.49519999999999997</v>
      </c>
      <c r="K365" s="669">
        <v>0.49519999999999997</v>
      </c>
      <c r="L365" s="669">
        <v>0.49519999999999997</v>
      </c>
      <c r="M365" s="669">
        <v>0.49519999999999997</v>
      </c>
    </row>
    <row r="366" spans="1:13">
      <c r="A366" s="662">
        <v>5.8</v>
      </c>
      <c r="B366" s="669">
        <v>0.67020000000000002</v>
      </c>
      <c r="C366" s="669">
        <v>0.67020000000000002</v>
      </c>
      <c r="D366" s="669">
        <v>0.64039999999999997</v>
      </c>
      <c r="E366" s="669">
        <v>0.64039999999999997</v>
      </c>
      <c r="F366" s="669">
        <v>0.64039999999999997</v>
      </c>
      <c r="G366" s="669">
        <v>0.56910000000000005</v>
      </c>
      <c r="H366" s="669">
        <v>0.56910000000000005</v>
      </c>
      <c r="I366" s="669">
        <v>0.49359999999999998</v>
      </c>
      <c r="J366" s="669">
        <v>0.49359999999999998</v>
      </c>
      <c r="K366" s="669">
        <v>0.49359999999999998</v>
      </c>
      <c r="L366" s="669">
        <v>0.49359999999999998</v>
      </c>
      <c r="M366" s="669">
        <v>0.49359999999999998</v>
      </c>
    </row>
    <row r="367" spans="1:13">
      <c r="A367" s="662">
        <v>5.9</v>
      </c>
      <c r="B367" s="669">
        <v>0.66910000000000003</v>
      </c>
      <c r="C367" s="669">
        <v>0.66910000000000003</v>
      </c>
      <c r="D367" s="669">
        <v>0.63890000000000002</v>
      </c>
      <c r="E367" s="669">
        <v>0.63890000000000002</v>
      </c>
      <c r="F367" s="669">
        <v>0.63890000000000002</v>
      </c>
      <c r="G367" s="669">
        <v>0.5675</v>
      </c>
      <c r="H367" s="669">
        <v>0.5675</v>
      </c>
      <c r="I367" s="669">
        <v>0.4919</v>
      </c>
      <c r="J367" s="669">
        <v>0.4919</v>
      </c>
      <c r="K367" s="669">
        <v>0.4919</v>
      </c>
      <c r="L367" s="669">
        <v>0.4919</v>
      </c>
      <c r="M367" s="669">
        <v>0.4919</v>
      </c>
    </row>
    <row r="368" spans="1:13">
      <c r="A368" s="662">
        <v>6</v>
      </c>
      <c r="B368" s="669">
        <v>0.66800000000000004</v>
      </c>
      <c r="C368" s="669">
        <v>0.66800000000000004</v>
      </c>
      <c r="D368" s="669">
        <v>0.63739999999999997</v>
      </c>
      <c r="E368" s="669">
        <v>0.63739999999999997</v>
      </c>
      <c r="F368" s="669">
        <v>0.63739999999999997</v>
      </c>
      <c r="G368" s="669">
        <v>0.56589999999999996</v>
      </c>
      <c r="H368" s="669">
        <v>0.56589999999999996</v>
      </c>
      <c r="I368" s="669">
        <v>0.49020000000000002</v>
      </c>
      <c r="J368" s="669">
        <v>0.49020000000000002</v>
      </c>
      <c r="K368" s="669">
        <v>0.49020000000000002</v>
      </c>
      <c r="L368" s="669">
        <v>0.49020000000000002</v>
      </c>
      <c r="M368" s="669">
        <v>0.49020000000000002</v>
      </c>
    </row>
    <row r="369" spans="1:13">
      <c r="A369" s="662">
        <v>6.1</v>
      </c>
      <c r="B369" s="669">
        <v>0.66690000000000005</v>
      </c>
      <c r="C369" s="669">
        <v>0.66690000000000005</v>
      </c>
      <c r="D369" s="669">
        <v>0.63590000000000002</v>
      </c>
      <c r="E369" s="669">
        <v>0.63590000000000002</v>
      </c>
      <c r="F369" s="669">
        <v>0.63590000000000002</v>
      </c>
      <c r="G369" s="669">
        <v>0.56440000000000001</v>
      </c>
      <c r="H369" s="669">
        <v>0.56440000000000001</v>
      </c>
      <c r="I369" s="669">
        <v>0.48849999999999999</v>
      </c>
      <c r="J369" s="669">
        <v>0.48849999999999999</v>
      </c>
      <c r="K369" s="669">
        <v>0.48849999999999999</v>
      </c>
      <c r="L369" s="669">
        <v>0.48849999999999999</v>
      </c>
      <c r="M369" s="669">
        <v>0.48849999999999999</v>
      </c>
    </row>
    <row r="370" spans="1:13">
      <c r="A370" s="662">
        <v>6.2</v>
      </c>
      <c r="B370" s="669">
        <v>0.66579999999999995</v>
      </c>
      <c r="C370" s="669">
        <v>0.66579999999999995</v>
      </c>
      <c r="D370" s="669">
        <v>0.63439999999999996</v>
      </c>
      <c r="E370" s="669">
        <v>0.63439999999999996</v>
      </c>
      <c r="F370" s="669">
        <v>0.63439999999999996</v>
      </c>
      <c r="G370" s="669">
        <v>0.56289999999999996</v>
      </c>
      <c r="H370" s="669">
        <v>0.56289999999999996</v>
      </c>
      <c r="I370" s="669">
        <v>0.48680000000000001</v>
      </c>
      <c r="J370" s="669">
        <v>0.48680000000000001</v>
      </c>
      <c r="K370" s="669">
        <v>0.48680000000000001</v>
      </c>
      <c r="L370" s="669">
        <v>0.48680000000000001</v>
      </c>
      <c r="M370" s="669">
        <v>0.48680000000000001</v>
      </c>
    </row>
    <row r="371" spans="1:13">
      <c r="A371" s="662">
        <v>6.3</v>
      </c>
      <c r="B371" s="669">
        <v>0.66469999999999996</v>
      </c>
      <c r="C371" s="669">
        <v>0.66469999999999996</v>
      </c>
      <c r="D371" s="669">
        <v>0.63290000000000002</v>
      </c>
      <c r="E371" s="669">
        <v>0.63290000000000002</v>
      </c>
      <c r="F371" s="669">
        <v>0.63290000000000002</v>
      </c>
      <c r="G371" s="669">
        <v>0.56130000000000002</v>
      </c>
      <c r="H371" s="669">
        <v>0.56130000000000002</v>
      </c>
      <c r="I371" s="669">
        <v>0.48509999999999998</v>
      </c>
      <c r="J371" s="669">
        <v>0.48509999999999998</v>
      </c>
      <c r="K371" s="669">
        <v>0.48509999999999998</v>
      </c>
      <c r="L371" s="669">
        <v>0.48509999999999998</v>
      </c>
      <c r="M371" s="669">
        <v>0.48509999999999998</v>
      </c>
    </row>
    <row r="372" spans="1:13">
      <c r="A372" s="662">
        <v>6.4</v>
      </c>
      <c r="B372" s="669">
        <v>0.66359999999999997</v>
      </c>
      <c r="C372" s="669">
        <v>0.66359999999999997</v>
      </c>
      <c r="D372" s="669">
        <v>0.63139999999999996</v>
      </c>
      <c r="E372" s="669">
        <v>0.63139999999999996</v>
      </c>
      <c r="F372" s="669">
        <v>0.63139999999999996</v>
      </c>
      <c r="G372" s="669">
        <v>0.55979999999999996</v>
      </c>
      <c r="H372" s="669">
        <v>0.55979999999999996</v>
      </c>
      <c r="I372" s="669">
        <v>0.48349999999999999</v>
      </c>
      <c r="J372" s="669">
        <v>0.48349999999999999</v>
      </c>
      <c r="K372" s="669">
        <v>0.48349999999999999</v>
      </c>
      <c r="L372" s="669">
        <v>0.48349999999999999</v>
      </c>
      <c r="M372" s="669">
        <v>0.48349999999999999</v>
      </c>
    </row>
    <row r="373" spans="1:13">
      <c r="A373" s="662">
        <v>6.5</v>
      </c>
      <c r="B373" s="669">
        <v>0.66249999999999998</v>
      </c>
      <c r="C373" s="669">
        <v>0.66249999999999998</v>
      </c>
      <c r="D373" s="669">
        <v>0.63</v>
      </c>
      <c r="E373" s="669">
        <v>0.63</v>
      </c>
      <c r="F373" s="669">
        <v>0.63</v>
      </c>
      <c r="G373" s="669">
        <v>0.55820000000000003</v>
      </c>
      <c r="H373" s="669">
        <v>0.55820000000000003</v>
      </c>
      <c r="I373" s="669">
        <v>0.4819</v>
      </c>
      <c r="J373" s="669">
        <v>0.4819</v>
      </c>
      <c r="K373" s="669">
        <v>0.4819</v>
      </c>
      <c r="L373" s="669">
        <v>0.4819</v>
      </c>
      <c r="M373" s="669">
        <v>0.4819</v>
      </c>
    </row>
    <row r="374" spans="1:13">
      <c r="A374" s="662">
        <v>6.6</v>
      </c>
      <c r="B374" s="669">
        <v>0.66149999999999998</v>
      </c>
      <c r="C374" s="669">
        <v>0.66149999999999998</v>
      </c>
      <c r="D374" s="669">
        <v>0.62860000000000005</v>
      </c>
      <c r="E374" s="669">
        <v>0.62860000000000005</v>
      </c>
      <c r="F374" s="669">
        <v>0.62860000000000005</v>
      </c>
      <c r="G374" s="669">
        <v>0.55669999999999997</v>
      </c>
      <c r="H374" s="669">
        <v>0.55669999999999997</v>
      </c>
      <c r="I374" s="669">
        <v>0.4803</v>
      </c>
      <c r="J374" s="669">
        <v>0.4803</v>
      </c>
      <c r="K374" s="669">
        <v>0.4803</v>
      </c>
      <c r="L374" s="669">
        <v>0.4803</v>
      </c>
      <c r="M374" s="669">
        <v>0.4803</v>
      </c>
    </row>
    <row r="375" spans="1:13">
      <c r="A375" s="662">
        <v>6.7</v>
      </c>
      <c r="B375" s="669">
        <v>0.66049999999999998</v>
      </c>
      <c r="C375" s="669">
        <v>0.66049999999999998</v>
      </c>
      <c r="D375" s="669">
        <v>0.62719999999999998</v>
      </c>
      <c r="E375" s="669">
        <v>0.62719999999999998</v>
      </c>
      <c r="F375" s="669">
        <v>0.62719999999999998</v>
      </c>
      <c r="G375" s="669">
        <v>0.55520000000000003</v>
      </c>
      <c r="H375" s="669">
        <v>0.55520000000000003</v>
      </c>
      <c r="I375" s="669">
        <v>0.47870000000000001</v>
      </c>
      <c r="J375" s="669">
        <v>0.47870000000000001</v>
      </c>
      <c r="K375" s="669">
        <v>0.47870000000000001</v>
      </c>
      <c r="L375" s="669">
        <v>0.47870000000000001</v>
      </c>
      <c r="M375" s="669">
        <v>0.47870000000000001</v>
      </c>
    </row>
    <row r="376" spans="1:13">
      <c r="A376" s="662">
        <v>6.8</v>
      </c>
      <c r="B376" s="669">
        <v>0.65949999999999998</v>
      </c>
      <c r="C376" s="669">
        <v>0.65949999999999998</v>
      </c>
      <c r="D376" s="669">
        <v>0.62580000000000002</v>
      </c>
      <c r="E376" s="669">
        <v>0.62580000000000002</v>
      </c>
      <c r="F376" s="669">
        <v>0.62580000000000002</v>
      </c>
      <c r="G376" s="669">
        <v>0.55359999999999998</v>
      </c>
      <c r="H376" s="669">
        <v>0.55359999999999998</v>
      </c>
      <c r="I376" s="669">
        <v>0.47710000000000002</v>
      </c>
      <c r="J376" s="669">
        <v>0.47710000000000002</v>
      </c>
      <c r="K376" s="669">
        <v>0.47710000000000002</v>
      </c>
      <c r="L376" s="669">
        <v>0.47710000000000002</v>
      </c>
      <c r="M376" s="669">
        <v>0.47710000000000002</v>
      </c>
    </row>
    <row r="377" spans="1:13">
      <c r="A377" s="662">
        <v>6.9</v>
      </c>
      <c r="B377" s="669">
        <v>0.65849999999999997</v>
      </c>
      <c r="C377" s="669">
        <v>0.65849999999999997</v>
      </c>
      <c r="D377" s="669">
        <v>0.62439999999999996</v>
      </c>
      <c r="E377" s="669">
        <v>0.62439999999999996</v>
      </c>
      <c r="F377" s="669">
        <v>0.62439999999999996</v>
      </c>
      <c r="G377" s="669">
        <v>0.55220000000000002</v>
      </c>
      <c r="H377" s="669">
        <v>0.55220000000000002</v>
      </c>
      <c r="I377" s="669">
        <v>0.47549999999999998</v>
      </c>
      <c r="J377" s="669">
        <v>0.47549999999999998</v>
      </c>
      <c r="K377" s="669">
        <v>0.47549999999999998</v>
      </c>
      <c r="L377" s="669">
        <v>0.47549999999999998</v>
      </c>
      <c r="M377" s="669">
        <v>0.47549999999999998</v>
      </c>
    </row>
    <row r="378" spans="1:13">
      <c r="A378" s="662">
        <v>7</v>
      </c>
      <c r="B378" s="669">
        <v>0.65749999999999997</v>
      </c>
      <c r="C378" s="669">
        <v>0.65749999999999997</v>
      </c>
      <c r="D378" s="669">
        <v>0.623</v>
      </c>
      <c r="E378" s="669">
        <v>0.623</v>
      </c>
      <c r="F378" s="669">
        <v>0.623</v>
      </c>
      <c r="G378" s="669">
        <v>0.55069999999999997</v>
      </c>
      <c r="H378" s="669">
        <v>0.55069999999999997</v>
      </c>
      <c r="I378" s="669">
        <v>0.47389999999999999</v>
      </c>
      <c r="J378" s="669">
        <v>0.47389999999999999</v>
      </c>
      <c r="K378" s="669">
        <v>0.47389999999999999</v>
      </c>
      <c r="L378" s="669">
        <v>0.47389999999999999</v>
      </c>
      <c r="M378" s="669">
        <v>0.47389999999999999</v>
      </c>
    </row>
    <row r="379" spans="1:13">
      <c r="A379" s="662">
        <v>7.1</v>
      </c>
      <c r="B379" s="669">
        <v>0.65649999999999997</v>
      </c>
      <c r="C379" s="669">
        <v>0.65649999999999997</v>
      </c>
      <c r="D379" s="669">
        <v>0.62160000000000004</v>
      </c>
      <c r="E379" s="669">
        <v>0.62160000000000004</v>
      </c>
      <c r="F379" s="669">
        <v>0.62160000000000004</v>
      </c>
      <c r="G379" s="669">
        <v>0.54930000000000001</v>
      </c>
      <c r="H379" s="669">
        <v>0.54930000000000001</v>
      </c>
      <c r="I379" s="669">
        <v>0.47239999999999999</v>
      </c>
      <c r="J379" s="669">
        <v>0.47239999999999999</v>
      </c>
      <c r="K379" s="669">
        <v>0.47239999999999999</v>
      </c>
      <c r="L379" s="669">
        <v>0.47239999999999999</v>
      </c>
      <c r="M379" s="669">
        <v>0.47239999999999999</v>
      </c>
    </row>
    <row r="380" spans="1:13">
      <c r="A380" s="662">
        <v>7.2</v>
      </c>
      <c r="B380" s="669">
        <v>0.65549999999999997</v>
      </c>
      <c r="C380" s="669">
        <v>0.65549999999999997</v>
      </c>
      <c r="D380" s="669">
        <v>0.62019999999999997</v>
      </c>
      <c r="E380" s="669">
        <v>0.62019999999999997</v>
      </c>
      <c r="F380" s="669">
        <v>0.62019999999999997</v>
      </c>
      <c r="G380" s="669">
        <v>0.54779999999999995</v>
      </c>
      <c r="H380" s="669">
        <v>0.54779999999999995</v>
      </c>
      <c r="I380" s="669">
        <v>0.47089999999999999</v>
      </c>
      <c r="J380" s="669">
        <v>0.47089999999999999</v>
      </c>
      <c r="K380" s="669">
        <v>0.47089999999999999</v>
      </c>
      <c r="L380" s="669">
        <v>0.47089999999999999</v>
      </c>
      <c r="M380" s="669">
        <v>0.47089999999999999</v>
      </c>
    </row>
    <row r="381" spans="1:13">
      <c r="A381" s="662">
        <v>7.3</v>
      </c>
      <c r="B381" s="669">
        <v>0.65449999999999997</v>
      </c>
      <c r="C381" s="669">
        <v>0.65449999999999997</v>
      </c>
      <c r="D381" s="669">
        <v>0.61880000000000002</v>
      </c>
      <c r="E381" s="669">
        <v>0.61880000000000002</v>
      </c>
      <c r="F381" s="669">
        <v>0.61880000000000002</v>
      </c>
      <c r="G381" s="669">
        <v>0.5464</v>
      </c>
      <c r="H381" s="669">
        <v>0.5464</v>
      </c>
      <c r="I381" s="669">
        <v>0.46939999999999998</v>
      </c>
      <c r="J381" s="669">
        <v>0.46939999999999998</v>
      </c>
      <c r="K381" s="669">
        <v>0.46939999999999998</v>
      </c>
      <c r="L381" s="669">
        <v>0.46939999999999998</v>
      </c>
      <c r="M381" s="669">
        <v>0.46939999999999998</v>
      </c>
    </row>
    <row r="382" spans="1:13">
      <c r="A382" s="662">
        <v>7.4</v>
      </c>
      <c r="B382" s="669">
        <v>0.65349999999999997</v>
      </c>
      <c r="C382" s="669">
        <v>0.65349999999999997</v>
      </c>
      <c r="D382" s="669">
        <v>0.61750000000000005</v>
      </c>
      <c r="E382" s="669">
        <v>0.61750000000000005</v>
      </c>
      <c r="F382" s="669">
        <v>0.61750000000000005</v>
      </c>
      <c r="G382" s="669">
        <v>0.54490000000000005</v>
      </c>
      <c r="H382" s="669">
        <v>0.54490000000000005</v>
      </c>
      <c r="I382" s="669">
        <v>0.46779999999999999</v>
      </c>
      <c r="J382" s="669">
        <v>0.46779999999999999</v>
      </c>
      <c r="K382" s="669">
        <v>0.46779999999999999</v>
      </c>
      <c r="L382" s="669">
        <v>0.46779999999999999</v>
      </c>
      <c r="M382" s="669">
        <v>0.46779999999999999</v>
      </c>
    </row>
    <row r="383" spans="1:13">
      <c r="A383" s="662">
        <v>7.5</v>
      </c>
      <c r="B383" s="669">
        <v>0.65249999999999997</v>
      </c>
      <c r="C383" s="669">
        <v>0.65249999999999997</v>
      </c>
      <c r="D383" s="669">
        <v>0.61619999999999997</v>
      </c>
      <c r="E383" s="669">
        <v>0.61619999999999997</v>
      </c>
      <c r="F383" s="669">
        <v>0.61619999999999997</v>
      </c>
      <c r="G383" s="669">
        <v>0.54349999999999998</v>
      </c>
      <c r="H383" s="669">
        <v>0.54349999999999998</v>
      </c>
      <c r="I383" s="669">
        <v>0.46629999999999999</v>
      </c>
      <c r="J383" s="669">
        <v>0.46629999999999999</v>
      </c>
      <c r="K383" s="669">
        <v>0.46629999999999999</v>
      </c>
      <c r="L383" s="669">
        <v>0.46629999999999999</v>
      </c>
      <c r="M383" s="669">
        <v>0.46629999999999999</v>
      </c>
    </row>
    <row r="384" spans="1:13">
      <c r="A384" s="662">
        <v>7.6</v>
      </c>
      <c r="B384" s="669">
        <v>0.65149999999999997</v>
      </c>
      <c r="C384" s="669">
        <v>0.65149999999999997</v>
      </c>
      <c r="D384" s="669">
        <v>0.6149</v>
      </c>
      <c r="E384" s="669">
        <v>0.6149</v>
      </c>
      <c r="F384" s="669">
        <v>0.6149</v>
      </c>
      <c r="G384" s="669">
        <v>0.54200000000000004</v>
      </c>
      <c r="H384" s="669">
        <v>0.54200000000000004</v>
      </c>
      <c r="I384" s="669">
        <v>0.46479999999999999</v>
      </c>
      <c r="J384" s="669">
        <v>0.46479999999999999</v>
      </c>
      <c r="K384" s="669">
        <v>0.46479999999999999</v>
      </c>
      <c r="L384" s="669">
        <v>0.46479999999999999</v>
      </c>
      <c r="M384" s="669">
        <v>0.46479999999999999</v>
      </c>
    </row>
    <row r="385" spans="1:13">
      <c r="A385" s="662">
        <v>7.7</v>
      </c>
      <c r="B385" s="669">
        <v>0.65049999999999997</v>
      </c>
      <c r="C385" s="669">
        <v>0.65049999999999997</v>
      </c>
      <c r="D385" s="669">
        <v>0.61360000000000003</v>
      </c>
      <c r="E385" s="669">
        <v>0.61360000000000003</v>
      </c>
      <c r="F385" s="669">
        <v>0.61360000000000003</v>
      </c>
      <c r="G385" s="669">
        <v>0.54059999999999997</v>
      </c>
      <c r="H385" s="669">
        <v>0.54059999999999997</v>
      </c>
      <c r="I385" s="669">
        <v>0.46329999999999999</v>
      </c>
      <c r="J385" s="669">
        <v>0.46329999999999999</v>
      </c>
      <c r="K385" s="669">
        <v>0.46329999999999999</v>
      </c>
      <c r="L385" s="669">
        <v>0.46329999999999999</v>
      </c>
      <c r="M385" s="669">
        <v>0.46329999999999999</v>
      </c>
    </row>
    <row r="386" spans="1:13">
      <c r="A386" s="662">
        <v>7.8</v>
      </c>
      <c r="B386" s="669">
        <v>0.64949999999999997</v>
      </c>
      <c r="C386" s="669">
        <v>0.64949999999999997</v>
      </c>
      <c r="D386" s="669">
        <v>0.61229999999999996</v>
      </c>
      <c r="E386" s="669">
        <v>0.61229999999999996</v>
      </c>
      <c r="F386" s="669">
        <v>0.61229999999999996</v>
      </c>
      <c r="G386" s="669">
        <v>0.53910000000000002</v>
      </c>
      <c r="H386" s="669">
        <v>0.53910000000000002</v>
      </c>
      <c r="I386" s="669">
        <v>0.4617</v>
      </c>
      <c r="J386" s="669">
        <v>0.4617</v>
      </c>
      <c r="K386" s="669">
        <v>0.4617</v>
      </c>
      <c r="L386" s="669">
        <v>0.4617</v>
      </c>
      <c r="M386" s="669">
        <v>0.4617</v>
      </c>
    </row>
    <row r="387" spans="1:13">
      <c r="A387" s="662">
        <v>7.9</v>
      </c>
      <c r="B387" s="669">
        <v>0.64849999999999997</v>
      </c>
      <c r="C387" s="669">
        <v>0.64849999999999997</v>
      </c>
      <c r="D387" s="669">
        <v>0.61099999999999999</v>
      </c>
      <c r="E387" s="669">
        <v>0.61099999999999999</v>
      </c>
      <c r="F387" s="669">
        <v>0.61099999999999999</v>
      </c>
      <c r="G387" s="669">
        <v>0.53769999999999996</v>
      </c>
      <c r="H387" s="669">
        <v>0.53769999999999996</v>
      </c>
      <c r="I387" s="669">
        <v>0.4602</v>
      </c>
      <c r="J387" s="669">
        <v>0.4602</v>
      </c>
      <c r="K387" s="669">
        <v>0.4602</v>
      </c>
      <c r="L387" s="669">
        <v>0.4602</v>
      </c>
      <c r="M387" s="669">
        <v>0.4602</v>
      </c>
    </row>
    <row r="388" spans="1:13">
      <c r="A388" s="662">
        <v>8</v>
      </c>
      <c r="B388" s="669">
        <v>0.64749999999999996</v>
      </c>
      <c r="C388" s="669">
        <v>0.64749999999999996</v>
      </c>
      <c r="D388" s="669">
        <v>0.60970000000000002</v>
      </c>
      <c r="E388" s="669">
        <v>0.60970000000000002</v>
      </c>
      <c r="F388" s="669">
        <v>0.60970000000000002</v>
      </c>
      <c r="G388" s="669">
        <v>0.53620000000000001</v>
      </c>
      <c r="H388" s="669">
        <v>0.53620000000000001</v>
      </c>
      <c r="I388" s="669">
        <v>0.4587</v>
      </c>
      <c r="J388" s="669">
        <v>0.4587</v>
      </c>
      <c r="K388" s="669">
        <v>0.4587</v>
      </c>
      <c r="L388" s="669">
        <v>0.4587</v>
      </c>
      <c r="M388" s="669">
        <v>0.4587</v>
      </c>
    </row>
    <row r="389" spans="1:13">
      <c r="A389" s="662">
        <v>8.1</v>
      </c>
      <c r="B389" s="669">
        <v>0.64649999999999996</v>
      </c>
      <c r="C389" s="669">
        <v>0.64649999999999996</v>
      </c>
      <c r="D389" s="669">
        <v>0.60840000000000005</v>
      </c>
      <c r="E389" s="669">
        <v>0.60840000000000005</v>
      </c>
      <c r="F389" s="669">
        <v>0.60840000000000005</v>
      </c>
      <c r="G389" s="669">
        <v>0.53480000000000005</v>
      </c>
      <c r="H389" s="669">
        <v>0.53480000000000005</v>
      </c>
      <c r="I389" s="669">
        <v>0.4572</v>
      </c>
      <c r="J389" s="669">
        <v>0.4572</v>
      </c>
      <c r="K389" s="669">
        <v>0.4572</v>
      </c>
      <c r="L389" s="669">
        <v>0.4572</v>
      </c>
      <c r="M389" s="669">
        <v>0.4572</v>
      </c>
    </row>
    <row r="390" spans="1:13">
      <c r="A390" s="662">
        <v>8.1999999999999993</v>
      </c>
      <c r="B390" s="669">
        <v>0.64549999999999996</v>
      </c>
      <c r="C390" s="669">
        <v>0.64549999999999996</v>
      </c>
      <c r="D390" s="669">
        <v>0.60709999999999997</v>
      </c>
      <c r="E390" s="669">
        <v>0.60709999999999997</v>
      </c>
      <c r="F390" s="669">
        <v>0.60709999999999997</v>
      </c>
      <c r="G390" s="669">
        <v>0.5333</v>
      </c>
      <c r="H390" s="669">
        <v>0.5333</v>
      </c>
      <c r="I390" s="669">
        <v>0.45569999999999999</v>
      </c>
      <c r="J390" s="669">
        <v>0.45569999999999999</v>
      </c>
      <c r="K390" s="669">
        <v>0.45569999999999999</v>
      </c>
      <c r="L390" s="669">
        <v>0.45569999999999999</v>
      </c>
      <c r="M390" s="669">
        <v>0.45569999999999999</v>
      </c>
    </row>
    <row r="391" spans="1:13">
      <c r="A391" s="662">
        <v>8.3000000000000007</v>
      </c>
      <c r="B391" s="669">
        <v>0.64449999999999996</v>
      </c>
      <c r="C391" s="669">
        <v>0.64449999999999996</v>
      </c>
      <c r="D391" s="669">
        <v>0.60580000000000001</v>
      </c>
      <c r="E391" s="669">
        <v>0.60580000000000001</v>
      </c>
      <c r="F391" s="669">
        <v>0.60580000000000001</v>
      </c>
      <c r="G391" s="669">
        <v>0.53190000000000004</v>
      </c>
      <c r="H391" s="669">
        <v>0.53190000000000004</v>
      </c>
      <c r="I391" s="669">
        <v>0.45429999999999998</v>
      </c>
      <c r="J391" s="669">
        <v>0.45429999999999998</v>
      </c>
      <c r="K391" s="669">
        <v>0.45429999999999998</v>
      </c>
      <c r="L391" s="669">
        <v>0.45429999999999998</v>
      </c>
      <c r="M391" s="669">
        <v>0.45429999999999998</v>
      </c>
    </row>
    <row r="392" spans="1:13">
      <c r="A392" s="662">
        <v>8.4</v>
      </c>
      <c r="B392" s="669">
        <v>0.64349999999999996</v>
      </c>
      <c r="C392" s="669">
        <v>0.64349999999999996</v>
      </c>
      <c r="D392" s="669">
        <v>0.60450000000000004</v>
      </c>
      <c r="E392" s="669">
        <v>0.60450000000000004</v>
      </c>
      <c r="F392" s="669">
        <v>0.60450000000000004</v>
      </c>
      <c r="G392" s="669">
        <v>0.53039999999999998</v>
      </c>
      <c r="H392" s="669">
        <v>0.53039999999999998</v>
      </c>
      <c r="I392" s="669">
        <v>0.45290000000000002</v>
      </c>
      <c r="J392" s="669">
        <v>0.45290000000000002</v>
      </c>
      <c r="K392" s="669">
        <v>0.45290000000000002</v>
      </c>
      <c r="L392" s="669">
        <v>0.45290000000000002</v>
      </c>
      <c r="M392" s="669">
        <v>0.45290000000000002</v>
      </c>
    </row>
    <row r="393" spans="1:13">
      <c r="A393" s="662">
        <v>8.5</v>
      </c>
      <c r="B393" s="669">
        <v>0.64249999999999996</v>
      </c>
      <c r="C393" s="669">
        <v>0.64249999999999996</v>
      </c>
      <c r="D393" s="669">
        <v>0.60319999999999996</v>
      </c>
      <c r="E393" s="669">
        <v>0.60319999999999996</v>
      </c>
      <c r="F393" s="669">
        <v>0.60319999999999996</v>
      </c>
      <c r="G393" s="669">
        <v>0.52900000000000003</v>
      </c>
      <c r="H393" s="669">
        <v>0.52900000000000003</v>
      </c>
      <c r="I393" s="669">
        <v>0.45140000000000002</v>
      </c>
      <c r="J393" s="669">
        <v>0.45140000000000002</v>
      </c>
      <c r="K393" s="669">
        <v>0.45140000000000002</v>
      </c>
      <c r="L393" s="669">
        <v>0.45140000000000002</v>
      </c>
      <c r="M393" s="669">
        <v>0.45140000000000002</v>
      </c>
    </row>
    <row r="394" spans="1:13">
      <c r="A394" s="662">
        <v>8.6</v>
      </c>
      <c r="B394" s="669">
        <v>0.64149999999999996</v>
      </c>
      <c r="C394" s="669">
        <v>0.64149999999999996</v>
      </c>
      <c r="D394" s="669">
        <v>0.60189999999999999</v>
      </c>
      <c r="E394" s="669">
        <v>0.60189999999999999</v>
      </c>
      <c r="F394" s="669">
        <v>0.60189999999999999</v>
      </c>
      <c r="G394" s="669">
        <v>0.52749999999999997</v>
      </c>
      <c r="H394" s="669">
        <v>0.52749999999999997</v>
      </c>
      <c r="I394" s="669">
        <v>0.45</v>
      </c>
      <c r="J394" s="669">
        <v>0.45</v>
      </c>
      <c r="K394" s="669">
        <v>0.45</v>
      </c>
      <c r="L394" s="669">
        <v>0.45</v>
      </c>
      <c r="M394" s="669">
        <v>0.45</v>
      </c>
    </row>
    <row r="395" spans="1:13">
      <c r="A395" s="662">
        <v>8.6999999999999993</v>
      </c>
      <c r="B395" s="669">
        <v>0.64049999999999996</v>
      </c>
      <c r="C395" s="669">
        <v>0.64049999999999996</v>
      </c>
      <c r="D395" s="669">
        <v>0.60060000000000002</v>
      </c>
      <c r="E395" s="669">
        <v>0.60060000000000002</v>
      </c>
      <c r="F395" s="669">
        <v>0.60060000000000002</v>
      </c>
      <c r="G395" s="669">
        <v>0.52610000000000001</v>
      </c>
      <c r="H395" s="669">
        <v>0.52610000000000001</v>
      </c>
      <c r="I395" s="669">
        <v>0.44850000000000001</v>
      </c>
      <c r="J395" s="669">
        <v>0.44850000000000001</v>
      </c>
      <c r="K395" s="669">
        <v>0.44850000000000001</v>
      </c>
      <c r="L395" s="669">
        <v>0.44850000000000001</v>
      </c>
      <c r="M395" s="669">
        <v>0.44850000000000001</v>
      </c>
    </row>
    <row r="396" spans="1:13">
      <c r="A396" s="662">
        <v>8.8000000000000007</v>
      </c>
      <c r="B396" s="669">
        <v>0.63949999999999996</v>
      </c>
      <c r="C396" s="669">
        <v>0.63949999999999996</v>
      </c>
      <c r="D396" s="669">
        <v>0.59930000000000005</v>
      </c>
      <c r="E396" s="669">
        <v>0.59930000000000005</v>
      </c>
      <c r="F396" s="669">
        <v>0.59930000000000005</v>
      </c>
      <c r="G396" s="669">
        <v>0.52459999999999996</v>
      </c>
      <c r="H396" s="669">
        <v>0.52459999999999996</v>
      </c>
      <c r="I396" s="669">
        <v>0.4471</v>
      </c>
      <c r="J396" s="669">
        <v>0.4471</v>
      </c>
      <c r="K396" s="669">
        <v>0.4471</v>
      </c>
      <c r="L396" s="669">
        <v>0.4471</v>
      </c>
      <c r="M396" s="669">
        <v>0.4471</v>
      </c>
    </row>
    <row r="397" spans="1:13">
      <c r="A397" s="662">
        <v>8.9</v>
      </c>
      <c r="B397" s="669">
        <v>0.63849999999999996</v>
      </c>
      <c r="C397" s="669">
        <v>0.63849999999999996</v>
      </c>
      <c r="D397" s="669">
        <v>0.59799999999999998</v>
      </c>
      <c r="E397" s="669">
        <v>0.59799999999999998</v>
      </c>
      <c r="F397" s="669">
        <v>0.59799999999999998</v>
      </c>
      <c r="G397" s="669">
        <v>0.5232</v>
      </c>
      <c r="H397" s="669">
        <v>0.5232</v>
      </c>
      <c r="I397" s="669">
        <v>0.4456</v>
      </c>
      <c r="J397" s="669">
        <v>0.4456</v>
      </c>
      <c r="K397" s="669">
        <v>0.4456</v>
      </c>
      <c r="L397" s="669">
        <v>0.4456</v>
      </c>
      <c r="M397" s="669">
        <v>0.4456</v>
      </c>
    </row>
    <row r="398" spans="1:13">
      <c r="A398" s="677">
        <v>9</v>
      </c>
      <c r="B398" s="669">
        <v>0.63749999999999996</v>
      </c>
      <c r="C398" s="669">
        <v>0.63749999999999996</v>
      </c>
      <c r="D398" s="669">
        <v>0.59670000000000001</v>
      </c>
      <c r="E398" s="669">
        <v>0.59670000000000001</v>
      </c>
      <c r="F398" s="669">
        <v>0.59670000000000001</v>
      </c>
      <c r="G398" s="669">
        <v>0.52170000000000005</v>
      </c>
      <c r="H398" s="669">
        <v>0.52170000000000005</v>
      </c>
      <c r="I398" s="669">
        <v>0.44429999999999997</v>
      </c>
      <c r="J398" s="669">
        <v>0.44429999999999997</v>
      </c>
      <c r="K398" s="669">
        <v>0.44429999999999997</v>
      </c>
      <c r="L398" s="669">
        <v>0.44429999999999997</v>
      </c>
      <c r="M398" s="669">
        <v>0.44429999999999997</v>
      </c>
    </row>
    <row r="399" spans="1:13">
      <c r="A399" s="677">
        <v>9.1</v>
      </c>
      <c r="B399" s="669">
        <v>0.63649999999999995</v>
      </c>
      <c r="C399" s="669">
        <v>0.63649999999999995</v>
      </c>
      <c r="D399" s="669">
        <v>0.59540000000000004</v>
      </c>
      <c r="E399" s="669">
        <v>0.59540000000000004</v>
      </c>
      <c r="F399" s="669">
        <v>0.59540000000000004</v>
      </c>
      <c r="G399" s="669">
        <v>0.52029999999999998</v>
      </c>
      <c r="H399" s="669">
        <v>0.52029999999999998</v>
      </c>
      <c r="I399" s="669">
        <v>0.44290000000000002</v>
      </c>
      <c r="J399" s="669">
        <v>0.44290000000000002</v>
      </c>
      <c r="K399" s="669">
        <v>0.44290000000000002</v>
      </c>
      <c r="L399" s="669">
        <v>0.44290000000000002</v>
      </c>
      <c r="M399" s="669">
        <v>0.44290000000000002</v>
      </c>
    </row>
    <row r="400" spans="1:13">
      <c r="A400" s="677">
        <v>9.1999999999999993</v>
      </c>
      <c r="B400" s="669">
        <v>0.63549999999999995</v>
      </c>
      <c r="C400" s="669">
        <v>0.63549999999999995</v>
      </c>
      <c r="D400" s="669">
        <v>0.59409999999999996</v>
      </c>
      <c r="E400" s="669">
        <v>0.59409999999999996</v>
      </c>
      <c r="F400" s="669">
        <v>0.59409999999999996</v>
      </c>
      <c r="G400" s="669">
        <v>0.51880000000000004</v>
      </c>
      <c r="H400" s="669">
        <v>0.51880000000000004</v>
      </c>
      <c r="I400" s="669">
        <v>0.44159999999999999</v>
      </c>
      <c r="J400" s="669">
        <v>0.44159999999999999</v>
      </c>
      <c r="K400" s="669">
        <v>0.44159999999999999</v>
      </c>
      <c r="L400" s="669">
        <v>0.44159999999999999</v>
      </c>
      <c r="M400" s="669">
        <v>0.44159999999999999</v>
      </c>
    </row>
    <row r="401" spans="1:13">
      <c r="A401" s="677">
        <v>9.3000000000000007</v>
      </c>
      <c r="B401" s="669">
        <v>0.63449999999999995</v>
      </c>
      <c r="C401" s="669">
        <v>0.63449999999999995</v>
      </c>
      <c r="D401" s="669">
        <v>0.59279999999999999</v>
      </c>
      <c r="E401" s="669">
        <v>0.59279999999999999</v>
      </c>
      <c r="F401" s="669">
        <v>0.59279999999999999</v>
      </c>
      <c r="G401" s="669">
        <v>0.51739999999999997</v>
      </c>
      <c r="H401" s="669">
        <v>0.51739999999999997</v>
      </c>
      <c r="I401" s="669">
        <v>0.44019999999999998</v>
      </c>
      <c r="J401" s="669">
        <v>0.44019999999999998</v>
      </c>
      <c r="K401" s="669">
        <v>0.44019999999999998</v>
      </c>
      <c r="L401" s="669">
        <v>0.44019999999999998</v>
      </c>
      <c r="M401" s="669">
        <v>0.44019999999999998</v>
      </c>
    </row>
    <row r="402" spans="1:13">
      <c r="A402" s="677">
        <v>9.4</v>
      </c>
      <c r="B402" s="669">
        <v>0.63349999999999995</v>
      </c>
      <c r="C402" s="669">
        <v>0.63349999999999995</v>
      </c>
      <c r="D402" s="669">
        <v>0.59150000000000003</v>
      </c>
      <c r="E402" s="669">
        <v>0.59150000000000003</v>
      </c>
      <c r="F402" s="669">
        <v>0.59150000000000003</v>
      </c>
      <c r="G402" s="669">
        <v>0.51600000000000001</v>
      </c>
      <c r="H402" s="669">
        <v>0.51600000000000001</v>
      </c>
      <c r="I402" s="669">
        <v>0.43880000000000002</v>
      </c>
      <c r="J402" s="669">
        <v>0.43880000000000002</v>
      </c>
      <c r="K402" s="669">
        <v>0.43880000000000002</v>
      </c>
      <c r="L402" s="669">
        <v>0.43880000000000002</v>
      </c>
      <c r="M402" s="669">
        <v>0.43880000000000002</v>
      </c>
    </row>
    <row r="403" spans="1:13">
      <c r="A403" s="677">
        <v>9.5</v>
      </c>
      <c r="B403" s="669">
        <v>0.63249999999999995</v>
      </c>
      <c r="C403" s="669">
        <v>0.63249999999999995</v>
      </c>
      <c r="D403" s="669">
        <v>0.59030000000000005</v>
      </c>
      <c r="E403" s="669">
        <v>0.59030000000000005</v>
      </c>
      <c r="F403" s="669">
        <v>0.59030000000000005</v>
      </c>
      <c r="G403" s="669">
        <v>0.51470000000000005</v>
      </c>
      <c r="H403" s="669">
        <v>0.51470000000000005</v>
      </c>
      <c r="I403" s="669">
        <v>0.4375</v>
      </c>
      <c r="J403" s="669">
        <v>0.4375</v>
      </c>
      <c r="K403" s="669">
        <v>0.4375</v>
      </c>
      <c r="L403" s="669">
        <v>0.4375</v>
      </c>
      <c r="M403" s="669">
        <v>0.4375</v>
      </c>
    </row>
    <row r="404" spans="1:13">
      <c r="A404" s="677">
        <v>9.6</v>
      </c>
      <c r="B404" s="669">
        <v>0.63149999999999995</v>
      </c>
      <c r="C404" s="669">
        <v>0.63149999999999995</v>
      </c>
      <c r="D404" s="669">
        <v>0.58909999999999996</v>
      </c>
      <c r="E404" s="669">
        <v>0.58909999999999996</v>
      </c>
      <c r="F404" s="669">
        <v>0.58909999999999996</v>
      </c>
      <c r="G404" s="669">
        <v>0.51329999999999998</v>
      </c>
      <c r="H404" s="669">
        <v>0.51329999999999998</v>
      </c>
      <c r="I404" s="669">
        <v>0.43609999999999999</v>
      </c>
      <c r="J404" s="669">
        <v>0.43609999999999999</v>
      </c>
      <c r="K404" s="669">
        <v>0.43609999999999999</v>
      </c>
      <c r="L404" s="669">
        <v>0.43609999999999999</v>
      </c>
      <c r="M404" s="669">
        <v>0.43609999999999999</v>
      </c>
    </row>
    <row r="405" spans="1:13">
      <c r="A405" s="677">
        <v>9.6999999999999993</v>
      </c>
      <c r="B405" s="669">
        <v>0.63049999999999995</v>
      </c>
      <c r="C405" s="669">
        <v>0.63049999999999995</v>
      </c>
      <c r="D405" s="669">
        <v>0.58789999999999998</v>
      </c>
      <c r="E405" s="669">
        <v>0.58789999999999998</v>
      </c>
      <c r="F405" s="669">
        <v>0.58789999999999998</v>
      </c>
      <c r="G405" s="669">
        <v>0.51200000000000001</v>
      </c>
      <c r="H405" s="669">
        <v>0.51200000000000001</v>
      </c>
      <c r="I405" s="669">
        <v>0.43480000000000002</v>
      </c>
      <c r="J405" s="669">
        <v>0.43480000000000002</v>
      </c>
      <c r="K405" s="669">
        <v>0.43480000000000002</v>
      </c>
      <c r="L405" s="669">
        <v>0.43480000000000002</v>
      </c>
      <c r="M405" s="669">
        <v>0.43480000000000002</v>
      </c>
    </row>
    <row r="406" spans="1:13">
      <c r="A406" s="677">
        <v>9.8000000000000007</v>
      </c>
      <c r="B406" s="669">
        <v>0.62949999999999995</v>
      </c>
      <c r="C406" s="669">
        <v>0.62949999999999995</v>
      </c>
      <c r="D406" s="669">
        <v>0.5867</v>
      </c>
      <c r="E406" s="669">
        <v>0.5867</v>
      </c>
      <c r="F406" s="669">
        <v>0.5867</v>
      </c>
      <c r="G406" s="669">
        <v>0.51060000000000005</v>
      </c>
      <c r="H406" s="669">
        <v>0.51060000000000005</v>
      </c>
      <c r="I406" s="669">
        <v>0.43340000000000001</v>
      </c>
      <c r="J406" s="669">
        <v>0.43340000000000001</v>
      </c>
      <c r="K406" s="669">
        <v>0.43340000000000001</v>
      </c>
      <c r="L406" s="669">
        <v>0.43340000000000001</v>
      </c>
      <c r="M406" s="669">
        <v>0.43340000000000001</v>
      </c>
    </row>
    <row r="407" spans="1:13">
      <c r="A407" s="677">
        <v>9.9</v>
      </c>
      <c r="B407" s="669">
        <v>0.62849999999999995</v>
      </c>
      <c r="C407" s="669">
        <v>0.62849999999999995</v>
      </c>
      <c r="D407" s="669">
        <v>0.58550000000000002</v>
      </c>
      <c r="E407" s="669">
        <v>0.58550000000000002</v>
      </c>
      <c r="F407" s="669">
        <v>0.58550000000000002</v>
      </c>
      <c r="G407" s="669">
        <v>0.50919999999999999</v>
      </c>
      <c r="H407" s="669">
        <v>0.50919999999999999</v>
      </c>
      <c r="I407" s="669">
        <v>0.432</v>
      </c>
      <c r="J407" s="669">
        <v>0.432</v>
      </c>
      <c r="K407" s="669">
        <v>0.432</v>
      </c>
      <c r="L407" s="669">
        <v>0.432</v>
      </c>
      <c r="M407" s="669">
        <v>0.432</v>
      </c>
    </row>
    <row r="408" spans="1:13">
      <c r="A408" s="677">
        <v>10</v>
      </c>
      <c r="B408" s="669">
        <v>0.62749999999999995</v>
      </c>
      <c r="C408" s="669">
        <v>0.62749999999999995</v>
      </c>
      <c r="D408" s="669">
        <v>0.58430000000000004</v>
      </c>
      <c r="E408" s="669">
        <v>0.58430000000000004</v>
      </c>
      <c r="F408" s="669">
        <v>0.58430000000000004</v>
      </c>
      <c r="G408" s="669">
        <v>0.50790000000000002</v>
      </c>
      <c r="H408" s="669">
        <v>0.50790000000000002</v>
      </c>
      <c r="I408" s="669">
        <v>0.43070000000000003</v>
      </c>
      <c r="J408" s="669">
        <v>0.43070000000000003</v>
      </c>
      <c r="K408" s="669">
        <v>0.43070000000000003</v>
      </c>
      <c r="L408" s="669">
        <v>0.43070000000000003</v>
      </c>
      <c r="M408" s="669">
        <v>0.43070000000000003</v>
      </c>
    </row>
  </sheetData>
  <sheetProtection password="C66D" sheet="1" objects="1" scenarios="1" formatCells="0" formatColumns="0" formatRows="0"/>
  <phoneticPr fontId="79"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C38" sqref="C38"/>
    </sheetView>
  </sheetViews>
  <sheetFormatPr defaultRowHeight="14.25"/>
  <cols>
    <col min="1" max="1" width="23.375" style="1544" customWidth="1"/>
    <col min="2" max="2" width="12.5" style="1544" customWidth="1"/>
    <col min="3" max="3" width="12.125" style="1544" customWidth="1"/>
    <col min="4" max="4" width="14.125" style="1544" customWidth="1"/>
    <col min="5" max="5" width="12.5" style="1544" customWidth="1"/>
    <col min="6" max="16384" width="9" style="1544"/>
  </cols>
  <sheetData>
    <row r="1" spans="1:5" ht="21">
      <c r="A1" s="1785" t="s">
        <v>3011</v>
      </c>
    </row>
    <row r="2" spans="1:5" ht="15.75">
      <c r="A2" s="2106" t="s">
        <v>3003</v>
      </c>
      <c r="B2" s="2107" t="e">
        <f ca="1">SUMIF(B6:B13,"&lt;&gt;#ref!",B6:B13)</f>
        <v>#DIV/0!</v>
      </c>
      <c r="C2" s="2106" t="s">
        <v>3004</v>
      </c>
      <c r="D2" s="2106" t="s">
        <v>3005</v>
      </c>
      <c r="E2" s="2107" t="e">
        <f ca="1">SUM(E6:E13)</f>
        <v>#REF!</v>
      </c>
    </row>
    <row r="3" spans="1:5" ht="15.75">
      <c r="A3" s="2106" t="s">
        <v>3006</v>
      </c>
      <c r="B3" s="2107" t="e">
        <f ca="1">ROUND(B2*10000/E2,0)</f>
        <v>#DIV/0!</v>
      </c>
      <c r="C3" s="2106" t="s">
        <v>3012</v>
      </c>
      <c r="D3" s="2108"/>
      <c r="E3" s="2108"/>
    </row>
    <row r="4" spans="1:5" ht="15.75">
      <c r="A4" s="2109"/>
      <c r="B4" s="2108"/>
      <c r="C4" s="2108"/>
      <c r="D4" s="2108"/>
      <c r="E4" s="2108"/>
    </row>
    <row r="5" spans="1:5" ht="28.5">
      <c r="A5" s="2110" t="s">
        <v>3007</v>
      </c>
      <c r="B5" s="2106" t="s">
        <v>3008</v>
      </c>
      <c r="C5" s="2107"/>
      <c r="D5" s="2108"/>
      <c r="E5" s="2106" t="s">
        <v>3009</v>
      </c>
    </row>
    <row r="6" spans="1:5" ht="15.75">
      <c r="A6" s="2111" t="s">
        <v>3010</v>
      </c>
      <c r="B6" s="2107" t="e">
        <f ca="1">SUMIF(INDIRECT("'"&amp;A6&amp;"'"&amp;"!A:A"),"总价",INDIRECT("'"&amp;A6&amp;"'"&amp;"!B:B"))</f>
        <v>#DIV/0!</v>
      </c>
      <c r="C6" s="2106" t="s">
        <v>3004</v>
      </c>
      <c r="D6" s="2108"/>
      <c r="E6" s="1786">
        <f ca="1">SUMIF(INDIRECT("'"&amp;A6&amp;"'"&amp;"!C:C"),"建筑面积",INDIRECT("'"&amp;A6&amp;"'"&amp;"!D:D"))</f>
        <v>0</v>
      </c>
    </row>
    <row r="7" spans="1:5" ht="15.75">
      <c r="A7" s="2111"/>
      <c r="B7" s="2107" t="e">
        <f ca="1">SUMIF(INDIRECT("'"&amp;A7&amp;"'"&amp;"!A:A"),"总价",INDIRECT("'"&amp;A7&amp;"'"&amp;"!B:B"))</f>
        <v>#REF!</v>
      </c>
      <c r="C7" s="2106" t="s">
        <v>3004</v>
      </c>
      <c r="D7" s="2108"/>
      <c r="E7" s="1786" t="e">
        <f t="shared" ref="E7:E13" ca="1" si="0">SUMIF(INDIRECT("'"&amp;A7&amp;"'"&amp;"!C:C"),"建筑面积",INDIRECT("'"&amp;A7&amp;"'"&amp;"!D:D"))</f>
        <v>#REF!</v>
      </c>
    </row>
    <row r="8" spans="1:5" ht="15.75">
      <c r="A8" s="2111"/>
      <c r="B8" s="2107" t="e">
        <f t="shared" ref="B8:B13" ca="1" si="1">SUMIF(INDIRECT("'"&amp;A8&amp;"'"&amp;"!A:A"),"总价",INDIRECT("'"&amp;A8&amp;"'"&amp;"!B:B"))</f>
        <v>#REF!</v>
      </c>
      <c r="C8" s="2106" t="s">
        <v>3004</v>
      </c>
      <c r="D8" s="2108"/>
      <c r="E8" s="1786" t="e">
        <f t="shared" ca="1" si="0"/>
        <v>#REF!</v>
      </c>
    </row>
    <row r="9" spans="1:5" ht="15.75">
      <c r="A9" s="2111"/>
      <c r="B9" s="2107" t="e">
        <f t="shared" ca="1" si="1"/>
        <v>#REF!</v>
      </c>
      <c r="C9" s="2106" t="s">
        <v>3004</v>
      </c>
      <c r="D9" s="2108"/>
      <c r="E9" s="1786" t="e">
        <f t="shared" ca="1" si="0"/>
        <v>#REF!</v>
      </c>
    </row>
    <row r="10" spans="1:5" ht="15.75">
      <c r="A10" s="2111"/>
      <c r="B10" s="2107" t="e">
        <f t="shared" ca="1" si="1"/>
        <v>#REF!</v>
      </c>
      <c r="C10" s="2106" t="s">
        <v>3004</v>
      </c>
      <c r="D10" s="2108"/>
      <c r="E10" s="1786" t="e">
        <f t="shared" ca="1" si="0"/>
        <v>#REF!</v>
      </c>
    </row>
    <row r="11" spans="1:5" ht="15.75">
      <c r="A11" s="2111"/>
      <c r="B11" s="2107" t="e">
        <f t="shared" ca="1" si="1"/>
        <v>#REF!</v>
      </c>
      <c r="C11" s="2106" t="s">
        <v>3004</v>
      </c>
      <c r="D11" s="2108"/>
      <c r="E11" s="1786" t="e">
        <f t="shared" ca="1" si="0"/>
        <v>#REF!</v>
      </c>
    </row>
    <row r="12" spans="1:5" ht="15.75">
      <c r="A12" s="2111"/>
      <c r="B12" s="2107" t="e">
        <f t="shared" ca="1" si="1"/>
        <v>#REF!</v>
      </c>
      <c r="C12" s="2106" t="s">
        <v>3004</v>
      </c>
      <c r="D12" s="2108"/>
      <c r="E12" s="1786" t="e">
        <f t="shared" ca="1" si="0"/>
        <v>#REF!</v>
      </c>
    </row>
    <row r="13" spans="1:5" ht="15.75">
      <c r="A13" s="2111"/>
      <c r="B13" s="2107" t="e">
        <f t="shared" ca="1" si="1"/>
        <v>#REF!</v>
      </c>
      <c r="C13" s="2106" t="s">
        <v>3004</v>
      </c>
      <c r="D13" s="2108"/>
      <c r="E13" s="1786"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C38" sqref="C38"/>
    </sheetView>
  </sheetViews>
  <sheetFormatPr defaultRowHeight="12.75"/>
  <cols>
    <col min="1" max="1" width="9" style="1134"/>
    <col min="2" max="6" width="9" style="1134" customWidth="1"/>
    <col min="7" max="7" width="9" style="1149"/>
    <col min="8" max="8" width="9" style="1134"/>
    <col min="9" max="12" width="9" style="1134" customWidth="1"/>
    <col min="13" max="13" width="2.25" style="1134" customWidth="1"/>
    <col min="14" max="14" width="9" style="1149" customWidth="1"/>
    <col min="15" max="17" width="9" style="1134" customWidth="1"/>
    <col min="18" max="18" width="2.375" style="1134" customWidth="1"/>
    <col min="19" max="19" width="7.125" style="1149" customWidth="1"/>
    <col min="20" max="22" width="7.125" style="1134" customWidth="1"/>
    <col min="23" max="23" width="24.25" style="1134" customWidth="1"/>
    <col min="24" max="25" width="9" style="1134"/>
    <col min="26" max="27" width="11.625" style="1134" customWidth="1"/>
    <col min="28" max="28" width="9" style="1134"/>
    <col min="29" max="29" width="2" style="1134" customWidth="1"/>
    <col min="30" max="16384" width="9" style="1134"/>
  </cols>
  <sheetData>
    <row r="1" spans="1:34" s="1107" customFormat="1">
      <c r="B1" s="4007" t="s">
        <v>1150</v>
      </c>
      <c r="C1" s="4007"/>
      <c r="D1" s="4007"/>
      <c r="E1" s="4007"/>
      <c r="F1" s="4007"/>
      <c r="G1" s="4003" t="s">
        <v>1151</v>
      </c>
      <c r="H1" s="4003"/>
      <c r="I1" s="4003"/>
      <c r="J1" s="4003"/>
      <c r="K1" s="4003"/>
      <c r="L1" s="4003"/>
      <c r="N1" s="4003" t="s">
        <v>1152</v>
      </c>
      <c r="O1" s="4003"/>
      <c r="P1" s="4003"/>
      <c r="Q1" s="4003"/>
      <c r="R1" s="1108"/>
      <c r="S1" s="4003" t="s">
        <v>1153</v>
      </c>
      <c r="T1" s="4003"/>
      <c r="U1" s="4003"/>
      <c r="V1" s="4003"/>
      <c r="X1" s="4002" t="s">
        <v>1154</v>
      </c>
      <c r="Y1" s="4003"/>
      <c r="Z1" s="4003"/>
      <c r="AA1" s="4003"/>
      <c r="AB1" s="4003"/>
      <c r="AD1" s="4002" t="s">
        <v>1155</v>
      </c>
      <c r="AE1" s="4003"/>
      <c r="AF1" s="4003"/>
      <c r="AG1" s="4003"/>
      <c r="AH1" s="4003"/>
    </row>
    <row r="2" spans="1:34" s="1109" customFormat="1" ht="14.25" thickBot="1">
      <c r="B2" s="1110" t="s">
        <v>1156</v>
      </c>
      <c r="C2" s="1110" t="s">
        <v>1157</v>
      </c>
      <c r="D2" s="1111" t="s">
        <v>1158</v>
      </c>
      <c r="E2" s="1111" t="s">
        <v>1159</v>
      </c>
      <c r="F2" s="1110" t="s">
        <v>1160</v>
      </c>
      <c r="G2" s="1112"/>
      <c r="H2" s="1113"/>
      <c r="I2" s="1110" t="s">
        <v>1156</v>
      </c>
      <c r="J2" s="1111" t="s">
        <v>1386</v>
      </c>
      <c r="K2" s="1111" t="s">
        <v>751</v>
      </c>
      <c r="L2" s="1110" t="s">
        <v>1160</v>
      </c>
      <c r="N2" s="1110" t="s">
        <v>1156</v>
      </c>
      <c r="O2" s="1111" t="s">
        <v>1386</v>
      </c>
      <c r="P2" s="1111" t="s">
        <v>751</v>
      </c>
      <c r="Q2" s="1110" t="s">
        <v>1160</v>
      </c>
      <c r="R2" s="1114"/>
      <c r="S2" s="1110" t="s">
        <v>1156</v>
      </c>
      <c r="T2" s="1111" t="s">
        <v>1386</v>
      </c>
      <c r="U2" s="1111" t="s">
        <v>751</v>
      </c>
      <c r="V2" s="1110" t="s">
        <v>1160</v>
      </c>
      <c r="X2" s="1110" t="s">
        <v>1156</v>
      </c>
      <c r="Y2" s="1110" t="s">
        <v>1157</v>
      </c>
      <c r="Z2" s="1111" t="s">
        <v>1158</v>
      </c>
      <c r="AA2" s="1111" t="s">
        <v>1159</v>
      </c>
      <c r="AB2" s="1110" t="s">
        <v>1160</v>
      </c>
      <c r="AD2" s="1110" t="s">
        <v>1156</v>
      </c>
      <c r="AE2" s="1110" t="s">
        <v>1157</v>
      </c>
      <c r="AF2" s="1111" t="s">
        <v>1158</v>
      </c>
      <c r="AG2" s="1111" t="s">
        <v>1159</v>
      </c>
      <c r="AH2" s="1110" t="s">
        <v>1160</v>
      </c>
    </row>
    <row r="3" spans="1:34" s="1115" customFormat="1" ht="14.25">
      <c r="B3" s="1116"/>
      <c r="C3" s="1116"/>
      <c r="D3" s="1117"/>
      <c r="E3" s="1117"/>
      <c r="F3" s="1116"/>
      <c r="G3" s="1118"/>
      <c r="H3" s="1119"/>
      <c r="I3" s="2115"/>
      <c r="J3" s="2115"/>
      <c r="K3" s="2115"/>
      <c r="L3" s="2115"/>
      <c r="N3" s="1118"/>
      <c r="O3" s="1120"/>
      <c r="P3" s="1120"/>
      <c r="Q3" s="1120"/>
      <c r="R3" s="1120"/>
      <c r="S3" s="1118"/>
      <c r="T3" s="1120"/>
      <c r="U3" s="1120"/>
      <c r="V3" s="1120"/>
      <c r="X3" s="1121">
        <f>ROUND(SUMPRODUCT(PRODUCT(1+N3:N$19)),4)</f>
        <v>1.4742</v>
      </c>
      <c r="Y3" s="1121">
        <f>ROUND(SUMPRODUCT(PRODUCT(1+O3:O$19)),4)</f>
        <v>1.2875000000000001</v>
      </c>
      <c r="Z3" s="1121">
        <f t="shared" ref="Z3:Z17" si="0">Y3</f>
        <v>1.2875000000000001</v>
      </c>
      <c r="AA3" s="1121">
        <f>ROUND(SUMPRODUCT(PRODUCT(1+P3:P$19)),4)</f>
        <v>1.5399</v>
      </c>
      <c r="AB3" s="1121">
        <f>ROUND(SUMPRODUCT(PRODUCT(1+Q3:Q$19)),4)</f>
        <v>1.2475000000000001</v>
      </c>
      <c r="AD3" s="1122">
        <f>ROUND(AVERAGE(I3:I$20)/100,4)</f>
        <v>2.4899999999999999E-2</v>
      </c>
      <c r="AE3" s="1122">
        <f>ROUND(AVERAGE(J3:J$20)/100,4)</f>
        <v>1.6400000000000001E-2</v>
      </c>
      <c r="AF3" s="1122">
        <f t="shared" ref="AF3:AF18" si="1">AE3</f>
        <v>1.6400000000000001E-2</v>
      </c>
      <c r="AG3" s="1122">
        <f>ROUND(AVERAGE(K3:K$20)/100,4)</f>
        <v>2.7799999999999998E-2</v>
      </c>
      <c r="AH3" s="1122">
        <f>ROUND(AVERAGE(L3:L$20)/100,4)</f>
        <v>1.3899999999999999E-2</v>
      </c>
    </row>
    <row r="4" spans="1:34" s="1115" customFormat="1">
      <c r="A4" s="1123" t="s">
        <v>3045</v>
      </c>
      <c r="B4" s="1140">
        <f t="shared" ref="B4" si="2">B5*(1+N4)</f>
        <v>453.57903691012211</v>
      </c>
      <c r="C4" s="1140">
        <f t="shared" ref="C4" si="3">C5*(1+O4)</f>
        <v>331.18001284964259</v>
      </c>
      <c r="D4" s="1140">
        <f t="shared" ref="D4" si="4">C4</f>
        <v>331.18001284964259</v>
      </c>
      <c r="E4" s="1140">
        <f t="shared" ref="E4" si="5">E5*(1+P4)</f>
        <v>650.68458238034486</v>
      </c>
      <c r="F4" s="1140">
        <f t="shared" ref="F4" si="6">F5*(1+Q4)</f>
        <v>287.29097305893981</v>
      </c>
      <c r="G4" s="1118">
        <v>2018</v>
      </c>
      <c r="H4" s="1119">
        <v>1</v>
      </c>
      <c r="I4" s="2115">
        <f>ROUND(AVERAGE(I5:I20),2)</f>
        <v>2.4900000000000002</v>
      </c>
      <c r="J4" s="2115">
        <f t="shared" ref="J4:L4" si="7">ROUND(AVERAGE(J5:J20),2)</f>
        <v>1.64</v>
      </c>
      <c r="K4" s="2115">
        <f t="shared" si="7"/>
        <v>2.78</v>
      </c>
      <c r="L4" s="2115">
        <f t="shared" si="7"/>
        <v>1.39</v>
      </c>
      <c r="N4" s="1135">
        <f t="shared" ref="N4:N9" si="8">I4/100</f>
        <v>2.4900000000000002E-2</v>
      </c>
      <c r="O4" s="1136">
        <f t="shared" ref="O4" si="9">J4/100</f>
        <v>1.6399999999999998E-2</v>
      </c>
      <c r="P4" s="1136">
        <f t="shared" ref="P4" si="10">K4/100</f>
        <v>2.7799999999999998E-2</v>
      </c>
      <c r="Q4" s="1136">
        <f t="shared" ref="Q4" si="11">L4/100</f>
        <v>1.3899999999999999E-2</v>
      </c>
      <c r="R4" s="1120"/>
      <c r="S4" s="1118"/>
      <c r="T4" s="1120"/>
      <c r="U4" s="1120"/>
      <c r="V4" s="1120"/>
      <c r="X4" s="1121"/>
      <c r="Y4" s="1121"/>
      <c r="Z4" s="1121"/>
      <c r="AA4" s="1121"/>
      <c r="AB4" s="1121"/>
      <c r="AD4" s="1122"/>
      <c r="AE4" s="1122"/>
      <c r="AF4" s="1122"/>
      <c r="AG4" s="1122"/>
      <c r="AH4" s="1122"/>
    </row>
    <row r="5" spans="1:34" s="1373" customFormat="1">
      <c r="A5" s="1371" t="s">
        <v>3043</v>
      </c>
      <c r="B5" s="1401">
        <f t="shared" ref="B5" si="12">B6*(1+N5)</f>
        <v>442.55931008890832</v>
      </c>
      <c r="C5" s="1401">
        <f t="shared" ref="C5" si="13">C6*(1+O5)</f>
        <v>325.83629756950273</v>
      </c>
      <c r="D5" s="1401">
        <f t="shared" ref="D5" si="14">C5</f>
        <v>325.83629756950273</v>
      </c>
      <c r="E5" s="1401">
        <f t="shared" ref="E5" si="15">E6*(1+P5)</f>
        <v>633.08482426575677</v>
      </c>
      <c r="F5" s="1401">
        <f t="shared" ref="F5" si="16">F6*(1+Q5)</f>
        <v>283.35237504580311</v>
      </c>
      <c r="G5" s="2112">
        <v>2017</v>
      </c>
      <c r="H5" s="1372">
        <v>4</v>
      </c>
      <c r="I5" s="2116">
        <f>ROUND(AVERAGE(I6:I20),2)</f>
        <v>2.4900000000000002</v>
      </c>
      <c r="J5" s="2116">
        <f>ROUND(AVERAGE(J6:J20),2)</f>
        <v>1.64</v>
      </c>
      <c r="K5" s="2116">
        <f>ROUND(AVERAGE(K6:K20),2)</f>
        <v>2.78</v>
      </c>
      <c r="L5" s="2116">
        <f>ROUND(AVERAGE(L6:L20),2)</f>
        <v>1.39</v>
      </c>
      <c r="N5" s="1129">
        <f t="shared" si="8"/>
        <v>2.4900000000000002E-2</v>
      </c>
      <c r="O5" s="1129">
        <f t="shared" ref="O5" si="17">J5/100</f>
        <v>1.6399999999999998E-2</v>
      </c>
      <c r="P5" s="1129">
        <f t="shared" ref="P5" si="18">K5/100</f>
        <v>2.7799999999999998E-2</v>
      </c>
      <c r="Q5" s="1129">
        <f t="shared" ref="Q5" si="19">L5/100</f>
        <v>1.3899999999999999E-2</v>
      </c>
      <c r="R5" s="1374"/>
      <c r="S5" s="1375"/>
      <c r="T5" s="1374"/>
      <c r="U5" s="1374"/>
      <c r="V5" s="1374"/>
      <c r="W5" s="1130"/>
      <c r="X5" s="1368">
        <f>ROUND(SUMPRODUCT(PRODUCT(1+N5:N$19)),4)</f>
        <v>1.4383999999999999</v>
      </c>
      <c r="Y5" s="1368">
        <f>ROUND(SUMPRODUCT(PRODUCT(1+O5:O$19)),4)</f>
        <v>1.2667999999999999</v>
      </c>
      <c r="Z5" s="1368">
        <f t="shared" si="0"/>
        <v>1.2667999999999999</v>
      </c>
      <c r="AA5" s="1368">
        <f>ROUND(SUMPRODUCT(PRODUCT(1+P5:P$19)),4)</f>
        <v>1.4982</v>
      </c>
      <c r="AB5" s="1368">
        <f>ROUND(SUMPRODUCT(PRODUCT(1+Q5:Q$19)),4)</f>
        <v>1.2303999999999999</v>
      </c>
      <c r="AD5" s="1131">
        <f>ROUND(AVERAGE(I5:I$20)/100,4)</f>
        <v>2.4899999999999999E-2</v>
      </c>
      <c r="AE5" s="1131">
        <f>ROUND(AVERAGE(J5:J$20)/100,4)</f>
        <v>1.6400000000000001E-2</v>
      </c>
      <c r="AF5" s="1131">
        <f t="shared" si="1"/>
        <v>1.6400000000000001E-2</v>
      </c>
      <c r="AG5" s="1131">
        <f>ROUND(AVERAGE(K5:K$20)/100,4)</f>
        <v>2.7799999999999998E-2</v>
      </c>
      <c r="AH5" s="1131">
        <f>ROUND(AVERAGE(L5:L$20)/100,4)</f>
        <v>1.3899999999999999E-2</v>
      </c>
    </row>
    <row r="6" spans="1:34" s="1128" customFormat="1" ht="13.5" thickBot="1">
      <c r="A6" s="1123" t="s">
        <v>3044</v>
      </c>
      <c r="B6" s="1140">
        <f t="shared" ref="B6:B7" si="20">B7*(1+N6)</f>
        <v>431.80730811680002</v>
      </c>
      <c r="C6" s="1140">
        <f t="shared" ref="C6:C7" si="21">C7*(1+O6)</f>
        <v>320.57880516480003</v>
      </c>
      <c r="D6" s="1140">
        <f t="shared" ref="D6:D7" si="22">C6</f>
        <v>320.57880516480003</v>
      </c>
      <c r="E6" s="1140">
        <f t="shared" ref="E6:E7" si="23">E7*(1+P6)</f>
        <v>615.96110553196797</v>
      </c>
      <c r="F6" s="1140">
        <f t="shared" ref="F6:F7" si="24">F7*(1+Q6)</f>
        <v>279.46777300108801</v>
      </c>
      <c r="G6" s="2114"/>
      <c r="H6" s="1126">
        <v>3</v>
      </c>
      <c r="I6" s="1126">
        <v>2.98</v>
      </c>
      <c r="J6" s="1126">
        <v>2.11</v>
      </c>
      <c r="K6" s="1126">
        <v>3.24</v>
      </c>
      <c r="L6" s="1141">
        <v>1.72</v>
      </c>
      <c r="M6" s="1134"/>
      <c r="N6" s="1135">
        <f t="shared" si="8"/>
        <v>2.98E-2</v>
      </c>
      <c r="O6" s="1136">
        <f t="shared" ref="O6" si="25">J6/100</f>
        <v>2.1099999999999997E-2</v>
      </c>
      <c r="P6" s="1136">
        <f t="shared" ref="P6" si="26">K6/100</f>
        <v>3.2400000000000005E-2</v>
      </c>
      <c r="Q6" s="1136">
        <f t="shared" ref="Q6" si="27">L6/100</f>
        <v>1.72E-2</v>
      </c>
      <c r="R6" s="1137"/>
      <c r="S6" s="1135"/>
      <c r="T6" s="1136"/>
      <c r="U6" s="1136"/>
      <c r="V6" s="1136"/>
      <c r="W6" s="1400" t="s">
        <v>1162</v>
      </c>
      <c r="X6" s="1398">
        <f>ROUND(SUMPRODUCT(PRODUCT(1+N6:N$19)),4)</f>
        <v>1.4034</v>
      </c>
      <c r="Y6" s="1398">
        <f>ROUND(SUMPRODUCT(PRODUCT(1+O6:O$19)),4)</f>
        <v>1.2463</v>
      </c>
      <c r="Z6" s="1398">
        <f t="shared" si="0"/>
        <v>1.2463</v>
      </c>
      <c r="AA6" s="1398">
        <f>ROUND(SUMPRODUCT(PRODUCT(1+P6:P$19)),4)</f>
        <v>1.4577</v>
      </c>
      <c r="AB6" s="1398">
        <f>ROUND(SUMPRODUCT(PRODUCT(1+Q6:Q$19)),4)</f>
        <v>1.2136</v>
      </c>
      <c r="AC6" s="1400"/>
      <c r="AD6" s="1399">
        <f>ROUND(AVERAGE(I6:I$20)/100,4)</f>
        <v>2.4899999999999999E-2</v>
      </c>
      <c r="AE6" s="1399">
        <f>ROUND(AVERAGE(J6:J$20)/100,4)</f>
        <v>1.6400000000000001E-2</v>
      </c>
      <c r="AF6" s="1399">
        <f t="shared" si="1"/>
        <v>1.6400000000000001E-2</v>
      </c>
      <c r="AG6" s="1399">
        <f>ROUND(AVERAGE(K6:K$20)/100,4)</f>
        <v>2.7799999999999998E-2</v>
      </c>
      <c r="AH6" s="1399">
        <f>ROUND(AVERAGE(L6:L$20)/100,4)</f>
        <v>1.3899999999999999E-2</v>
      </c>
    </row>
    <row r="7" spans="1:34" s="1373" customFormat="1">
      <c r="A7" s="1123" t="s">
        <v>1387</v>
      </c>
      <c r="B7" s="1140">
        <f t="shared" si="20"/>
        <v>419.31181600000002</v>
      </c>
      <c r="C7" s="1140">
        <f t="shared" si="21"/>
        <v>313.95436800000004</v>
      </c>
      <c r="D7" s="1140">
        <f t="shared" si="22"/>
        <v>313.95436800000004</v>
      </c>
      <c r="E7" s="1140">
        <f t="shared" si="23"/>
        <v>596.63028431999999</v>
      </c>
      <c r="F7" s="1140">
        <f t="shared" si="24"/>
        <v>274.74220703999998</v>
      </c>
      <c r="G7" s="2113"/>
      <c r="H7" s="1127">
        <v>2</v>
      </c>
      <c r="I7" s="1127">
        <v>3.4</v>
      </c>
      <c r="J7" s="1127">
        <v>2</v>
      </c>
      <c r="K7" s="1127">
        <v>3.82</v>
      </c>
      <c r="L7" s="1142">
        <v>1.68</v>
      </c>
      <c r="M7" s="1134"/>
      <c r="N7" s="1135">
        <f t="shared" si="8"/>
        <v>3.4000000000000002E-2</v>
      </c>
      <c r="O7" s="1136">
        <f t="shared" ref="O7" si="28">J7/100</f>
        <v>0.02</v>
      </c>
      <c r="P7" s="1136">
        <f t="shared" ref="P7" si="29">K7/100</f>
        <v>3.8199999999999998E-2</v>
      </c>
      <c r="Q7" s="1136">
        <f t="shared" ref="Q7" si="30">L7/100</f>
        <v>1.6799999999999999E-2</v>
      </c>
      <c r="R7" s="1137"/>
      <c r="S7" s="1138"/>
      <c r="T7" s="1139"/>
      <c r="U7" s="1139"/>
      <c r="V7" s="1139"/>
      <c r="W7" s="1115"/>
      <c r="X7" s="1398">
        <f>ROUND(SUMPRODUCT(PRODUCT(1+N7:N$19)),4)</f>
        <v>1.3628</v>
      </c>
      <c r="Y7" s="1398">
        <f>ROUND(SUMPRODUCT(PRODUCT(1+O7:O$19)),4)</f>
        <v>1.2205999999999999</v>
      </c>
      <c r="Z7" s="1398">
        <f t="shared" si="0"/>
        <v>1.2205999999999999</v>
      </c>
      <c r="AA7" s="1398">
        <f>ROUND(SUMPRODUCT(PRODUCT(1+P7:P$19)),4)</f>
        <v>1.4118999999999999</v>
      </c>
      <c r="AB7" s="1398">
        <f>ROUND(SUMPRODUCT(PRODUCT(1+Q7:Q$19)),4)</f>
        <v>1.1930000000000001</v>
      </c>
      <c r="AC7" s="1115"/>
      <c r="AD7" s="1399">
        <f>ROUND(AVERAGE(I7:I$20)/100,4)</f>
        <v>2.46E-2</v>
      </c>
      <c r="AE7" s="1399">
        <f>ROUND(AVERAGE(J7:J$20)/100,4)</f>
        <v>1.6E-2</v>
      </c>
      <c r="AF7" s="1399">
        <f t="shared" si="1"/>
        <v>1.6E-2</v>
      </c>
      <c r="AG7" s="1399">
        <f>ROUND(AVERAGE(K7:K$20)/100,4)</f>
        <v>2.75E-2</v>
      </c>
      <c r="AH7" s="1399">
        <f>ROUND(AVERAGE(L7:L$20)/100,4)</f>
        <v>1.37E-2</v>
      </c>
    </row>
    <row r="8" spans="1:34" s="1128" customFormat="1" ht="13.5" thickBot="1">
      <c r="A8" s="1123" t="s">
        <v>1161</v>
      </c>
      <c r="B8" s="1140">
        <f>B9*(1+N8)</f>
        <v>405.524</v>
      </c>
      <c r="C8" s="1140">
        <f>C9*(1+O8)</f>
        <v>307.79840000000002</v>
      </c>
      <c r="D8" s="1140">
        <f>C8</f>
        <v>307.79840000000002</v>
      </c>
      <c r="E8" s="1140">
        <f>E9*(1+P8)</f>
        <v>574.67759999999998</v>
      </c>
      <c r="F8" s="1140">
        <f>F9*(1+Q8)</f>
        <v>270.20280000000002</v>
      </c>
      <c r="G8" s="2114"/>
      <c r="H8" s="1126">
        <v>1</v>
      </c>
      <c r="I8" s="1126">
        <v>3.45</v>
      </c>
      <c r="J8" s="1126">
        <v>1.92</v>
      </c>
      <c r="K8" s="1126">
        <v>3.92</v>
      </c>
      <c r="L8" s="1141">
        <v>1.58</v>
      </c>
      <c r="M8" s="1134"/>
      <c r="N8" s="1135">
        <f t="shared" si="8"/>
        <v>3.4500000000000003E-2</v>
      </c>
      <c r="O8" s="1136">
        <f t="shared" ref="O8:Q23" si="31">J8/100</f>
        <v>1.9199999999999998E-2</v>
      </c>
      <c r="P8" s="1136">
        <f t="shared" si="31"/>
        <v>3.9199999999999999E-2</v>
      </c>
      <c r="Q8" s="1136">
        <f t="shared" si="31"/>
        <v>1.5800000000000002E-2</v>
      </c>
      <c r="R8" s="1137"/>
      <c r="S8" s="1135">
        <f>B8/B9-1</f>
        <v>3.4499999999999975E-2</v>
      </c>
      <c r="T8" s="1136">
        <f t="shared" ref="T8:V8" si="32">C8/C9-1</f>
        <v>1.9200000000000106E-2</v>
      </c>
      <c r="U8" s="1136">
        <f t="shared" si="32"/>
        <v>1.9200000000000106E-2</v>
      </c>
      <c r="V8" s="1136">
        <f t="shared" si="32"/>
        <v>3.9199999999999902E-2</v>
      </c>
      <c r="W8" s="1400"/>
      <c r="X8" s="1398">
        <f>ROUND(SUMPRODUCT(PRODUCT(1+N8:N$19)),4)</f>
        <v>1.3180000000000001</v>
      </c>
      <c r="Y8" s="1398">
        <f>ROUND(SUMPRODUCT(PRODUCT(1+O8:O$19)),4)</f>
        <v>1.1966000000000001</v>
      </c>
      <c r="Z8" s="1398">
        <f t="shared" si="0"/>
        <v>1.1966000000000001</v>
      </c>
      <c r="AA8" s="1398">
        <f>ROUND(SUMPRODUCT(PRODUCT(1+P8:P$19)),4)</f>
        <v>1.36</v>
      </c>
      <c r="AB8" s="1398">
        <f>ROUND(SUMPRODUCT(PRODUCT(1+Q8:Q$19)),4)</f>
        <v>1.1733</v>
      </c>
      <c r="AC8" s="1400"/>
      <c r="AD8" s="1399">
        <f>ROUND(AVERAGE(I8:I$20)/100,4)</f>
        <v>2.3900000000000001E-2</v>
      </c>
      <c r="AE8" s="1399">
        <f>ROUND(AVERAGE(J8:J$20)/100,4)</f>
        <v>1.5699999999999999E-2</v>
      </c>
      <c r="AF8" s="1399">
        <f t="shared" si="1"/>
        <v>1.5699999999999999E-2</v>
      </c>
      <c r="AG8" s="1399">
        <f>ROUND(AVERAGE(K8:K$20)/100,4)</f>
        <v>2.6599999999999999E-2</v>
      </c>
      <c r="AH8" s="1399">
        <f>ROUND(AVERAGE(L8:L$20)/100,4)</f>
        <v>1.34E-2</v>
      </c>
    </row>
    <row r="9" spans="1:34">
      <c r="A9" s="1123" t="s">
        <v>154</v>
      </c>
      <c r="B9" s="1132">
        <v>392</v>
      </c>
      <c r="C9" s="1132">
        <v>302</v>
      </c>
      <c r="D9" s="1132">
        <f>C9</f>
        <v>302</v>
      </c>
      <c r="E9" s="1132">
        <v>553</v>
      </c>
      <c r="F9" s="1133">
        <v>266</v>
      </c>
      <c r="G9" s="4008">
        <v>2016</v>
      </c>
      <c r="H9" s="1124">
        <v>4</v>
      </c>
      <c r="I9" s="1124">
        <v>4.5599999999999996</v>
      </c>
      <c r="J9" s="1124">
        <v>2.15</v>
      </c>
      <c r="K9" s="1124">
        <v>5.32</v>
      </c>
      <c r="L9" s="1125">
        <v>1.57</v>
      </c>
      <c r="N9" s="1135">
        <f t="shared" si="8"/>
        <v>4.5599999999999995E-2</v>
      </c>
      <c r="O9" s="1136">
        <f t="shared" si="31"/>
        <v>2.1499999999999998E-2</v>
      </c>
      <c r="P9" s="1136">
        <f t="shared" si="31"/>
        <v>5.3200000000000004E-2</v>
      </c>
      <c r="Q9" s="1136">
        <f t="shared" si="31"/>
        <v>1.5700000000000002E-2</v>
      </c>
      <c r="R9" s="1137"/>
      <c r="S9" s="1138"/>
      <c r="T9" s="1139"/>
      <c r="U9" s="1139"/>
      <c r="V9" s="1139"/>
      <c r="X9" s="1121">
        <f>ROUND(SUMPRODUCT(PRODUCT(1+N9:N$19)),4)</f>
        <v>1.274</v>
      </c>
      <c r="Y9" s="1121">
        <f>ROUND(SUMPRODUCT(PRODUCT(1+O9:O$19)),4)</f>
        <v>1.1740999999999999</v>
      </c>
      <c r="Z9" s="1121">
        <f t="shared" si="0"/>
        <v>1.1740999999999999</v>
      </c>
      <c r="AA9" s="1121">
        <f>ROUND(SUMPRODUCT(PRODUCT(1+P9:P$19)),4)</f>
        <v>1.3087</v>
      </c>
      <c r="AB9" s="1121">
        <f>ROUND(SUMPRODUCT(PRODUCT(1+Q9:Q$19)),4)</f>
        <v>1.1551</v>
      </c>
      <c r="AD9" s="1122">
        <f>ROUND(AVERAGE(I9:I$20)/100,4)</f>
        <v>2.3E-2</v>
      </c>
      <c r="AE9" s="1122">
        <f>ROUND(AVERAGE(J9:J$20)/100,4)</f>
        <v>1.55E-2</v>
      </c>
      <c r="AF9" s="1122">
        <f t="shared" si="1"/>
        <v>1.55E-2</v>
      </c>
      <c r="AG9" s="1122">
        <f>ROUND(AVERAGE(K9:K$20)/100,4)</f>
        <v>2.5600000000000001E-2</v>
      </c>
      <c r="AH9" s="1122">
        <f>ROUND(AVERAGE(L9:L$20)/100,4)</f>
        <v>1.32E-2</v>
      </c>
    </row>
    <row r="10" spans="1:34">
      <c r="A10" s="1123" t="s">
        <v>153</v>
      </c>
      <c r="B10" s="1140">
        <f t="shared" ref="B10:C12" si="33">B9/(1+N9)</f>
        <v>374.90436113236416</v>
      </c>
      <c r="C10" s="1140">
        <f t="shared" si="33"/>
        <v>295.64366128242779</v>
      </c>
      <c r="D10" s="1140">
        <f t="shared" ref="D10:D69" si="34">C10</f>
        <v>295.64366128242779</v>
      </c>
      <c r="E10" s="1140">
        <f t="shared" ref="E10:F12" si="35">E9/(1+P9)</f>
        <v>525.06646410938095</v>
      </c>
      <c r="F10" s="1140">
        <f t="shared" si="35"/>
        <v>261.88835286009646</v>
      </c>
      <c r="G10" s="4005"/>
      <c r="H10" s="1126">
        <v>3</v>
      </c>
      <c r="I10" s="1126">
        <v>4.12</v>
      </c>
      <c r="J10" s="1126">
        <v>2</v>
      </c>
      <c r="K10" s="1126">
        <v>4.79</v>
      </c>
      <c r="L10" s="1141">
        <v>1.97</v>
      </c>
      <c r="N10" s="1135">
        <f t="shared" ref="N10:Q44" si="36">I10/100</f>
        <v>4.1200000000000001E-2</v>
      </c>
      <c r="O10" s="1136">
        <f t="shared" si="31"/>
        <v>0.02</v>
      </c>
      <c r="P10" s="1136">
        <f t="shared" si="31"/>
        <v>4.7899999999999998E-2</v>
      </c>
      <c r="Q10" s="1136">
        <f t="shared" si="31"/>
        <v>1.9699999999999999E-2</v>
      </c>
      <c r="R10" s="1137"/>
      <c r="S10" s="1135"/>
      <c r="T10" s="1136"/>
      <c r="U10" s="1136"/>
      <c r="V10" s="1136"/>
      <c r="X10" s="1121">
        <f>ROUND(SUMPRODUCT(PRODUCT(1+N10:N$19)),4)</f>
        <v>1.2184999999999999</v>
      </c>
      <c r="Y10" s="1121">
        <f>ROUND(SUMPRODUCT(PRODUCT(1+O10:O$19)),4)</f>
        <v>1.1494</v>
      </c>
      <c r="Z10" s="1121">
        <f t="shared" si="0"/>
        <v>1.1494</v>
      </c>
      <c r="AA10" s="1121">
        <f>ROUND(SUMPRODUCT(PRODUCT(1+P10:P$19)),4)</f>
        <v>1.2425999999999999</v>
      </c>
      <c r="AB10" s="1121">
        <f>ROUND(SUMPRODUCT(PRODUCT(1+Q10:Q$19)),4)</f>
        <v>1.1372</v>
      </c>
      <c r="AD10" s="1122">
        <f>ROUND(AVERAGE(I10:I$20)/100,4)</f>
        <v>2.0899999999999998E-2</v>
      </c>
      <c r="AE10" s="1122">
        <f>ROUND(AVERAGE(J10:J$20)/100,4)</f>
        <v>1.49E-2</v>
      </c>
      <c r="AF10" s="1122">
        <f t="shared" si="1"/>
        <v>1.49E-2</v>
      </c>
      <c r="AG10" s="1122">
        <f>ROUND(AVERAGE(K10:K$20)/100,4)</f>
        <v>2.3099999999999999E-2</v>
      </c>
      <c r="AH10" s="1122">
        <f>ROUND(AVERAGE(L10:L$20)/100,4)</f>
        <v>1.2999999999999999E-2</v>
      </c>
    </row>
    <row r="11" spans="1:34">
      <c r="A11" s="1123" t="s">
        <v>143</v>
      </c>
      <c r="B11" s="1140">
        <f t="shared" si="33"/>
        <v>360.06949782209392</v>
      </c>
      <c r="C11" s="1140">
        <f t="shared" si="33"/>
        <v>289.84672674747821</v>
      </c>
      <c r="D11" s="1140">
        <f t="shared" si="34"/>
        <v>289.84672674747821</v>
      </c>
      <c r="E11" s="1140">
        <f t="shared" si="35"/>
        <v>501.06543001181495</v>
      </c>
      <c r="F11" s="1140">
        <f t="shared" si="35"/>
        <v>256.82882500744967</v>
      </c>
      <c r="G11" s="4005"/>
      <c r="H11" s="1127">
        <v>2</v>
      </c>
      <c r="I11" s="1127">
        <v>3.85</v>
      </c>
      <c r="J11" s="1127">
        <v>1.95</v>
      </c>
      <c r="K11" s="1127">
        <v>4.4800000000000004</v>
      </c>
      <c r="L11" s="1142">
        <v>1.41</v>
      </c>
      <c r="N11" s="1135">
        <f t="shared" si="36"/>
        <v>3.85E-2</v>
      </c>
      <c r="O11" s="1136">
        <f t="shared" si="31"/>
        <v>1.95E-2</v>
      </c>
      <c r="P11" s="1136">
        <f t="shared" si="31"/>
        <v>4.4800000000000006E-2</v>
      </c>
      <c r="Q11" s="1136">
        <f t="shared" si="31"/>
        <v>1.41E-2</v>
      </c>
      <c r="R11" s="1137"/>
      <c r="S11" s="1135"/>
      <c r="T11" s="1136"/>
      <c r="U11" s="1136"/>
      <c r="V11" s="1136"/>
      <c r="X11" s="1121">
        <f>ROUND(SUMPRODUCT(PRODUCT(1+N11:N$19)),4)</f>
        <v>1.1702999999999999</v>
      </c>
      <c r="Y11" s="1121">
        <f>ROUND(SUMPRODUCT(PRODUCT(1+O11:O$19)),4)</f>
        <v>1.1269</v>
      </c>
      <c r="Z11" s="1121">
        <f t="shared" si="0"/>
        <v>1.1269</v>
      </c>
      <c r="AA11" s="1121">
        <f>ROUND(SUMPRODUCT(PRODUCT(1+P11:P$19)),4)</f>
        <v>1.1858</v>
      </c>
      <c r="AB11" s="1121">
        <f>ROUND(SUMPRODUCT(PRODUCT(1+Q11:Q$19)),4)</f>
        <v>1.1152</v>
      </c>
      <c r="AD11" s="1122">
        <f>ROUND(AVERAGE(I11:I$20)/100,4)</f>
        <v>1.89E-2</v>
      </c>
      <c r="AE11" s="1122">
        <f>ROUND(AVERAGE(J11:J$20)/100,4)</f>
        <v>1.44E-2</v>
      </c>
      <c r="AF11" s="1122">
        <f t="shared" si="1"/>
        <v>1.44E-2</v>
      </c>
      <c r="AG11" s="1122">
        <f>ROUND(AVERAGE(K11:K$20)/100,4)</f>
        <v>2.06E-2</v>
      </c>
      <c r="AH11" s="1122">
        <f>ROUND(AVERAGE(L11:L$20)/100,4)</f>
        <v>1.23E-2</v>
      </c>
    </row>
    <row r="12" spans="1:34" ht="13.5" thickBot="1">
      <c r="A12" s="1123" t="s">
        <v>152</v>
      </c>
      <c r="B12" s="1140">
        <f t="shared" si="33"/>
        <v>346.720748986128</v>
      </c>
      <c r="C12" s="1140">
        <f t="shared" si="33"/>
        <v>284.30282172386285</v>
      </c>
      <c r="D12" s="1140">
        <f t="shared" si="34"/>
        <v>284.30282172386285</v>
      </c>
      <c r="E12" s="1140">
        <f t="shared" si="35"/>
        <v>479.58023546306947</v>
      </c>
      <c r="F12" s="1140">
        <f t="shared" si="35"/>
        <v>253.25788877571213</v>
      </c>
      <c r="G12" s="4006"/>
      <c r="H12" s="1126">
        <v>1</v>
      </c>
      <c r="I12" s="1126">
        <v>4.09</v>
      </c>
      <c r="J12" s="1126">
        <v>2.93</v>
      </c>
      <c r="K12" s="1126">
        <v>4.54</v>
      </c>
      <c r="L12" s="1141">
        <v>1.48</v>
      </c>
      <c r="N12" s="1135">
        <f t="shared" si="36"/>
        <v>4.0899999999999999E-2</v>
      </c>
      <c r="O12" s="1136">
        <f t="shared" si="31"/>
        <v>2.9300000000000003E-2</v>
      </c>
      <c r="P12" s="1136">
        <f t="shared" si="31"/>
        <v>4.5400000000000003E-2</v>
      </c>
      <c r="Q12" s="1136">
        <f t="shared" si="31"/>
        <v>1.4800000000000001E-2</v>
      </c>
      <c r="R12" s="1137"/>
      <c r="S12" s="1143">
        <f>B12/B13-1</f>
        <v>4.1203450408792808E-2</v>
      </c>
      <c r="T12" s="1144">
        <f>C12/C13-1</f>
        <v>2.6363977342465095E-2</v>
      </c>
      <c r="U12" s="1144">
        <f>E12/E13-1</f>
        <v>4.4837114298626357E-2</v>
      </c>
      <c r="V12" s="1144">
        <f>F12/F13-1</f>
        <v>1.7099954922538574E-2</v>
      </c>
      <c r="X12" s="1121">
        <f>ROUND(SUMPRODUCT(PRODUCT(1+N12:N$19)),4)</f>
        <v>1.1269</v>
      </c>
      <c r="Y12" s="1121">
        <f>ROUND(SUMPRODUCT(PRODUCT(1+O12:O$19)),4)</f>
        <v>1.1052999999999999</v>
      </c>
      <c r="Z12" s="1121">
        <f t="shared" si="0"/>
        <v>1.1052999999999999</v>
      </c>
      <c r="AA12" s="1121">
        <f>ROUND(SUMPRODUCT(PRODUCT(1+P12:P$19)),4)</f>
        <v>1.1349</v>
      </c>
      <c r="AB12" s="1121">
        <f>ROUND(SUMPRODUCT(PRODUCT(1+Q12:Q$19)),4)</f>
        <v>1.0996999999999999</v>
      </c>
      <c r="AD12" s="1122">
        <f>ROUND(AVERAGE(I12:I$20)/100,4)</f>
        <v>1.67E-2</v>
      </c>
      <c r="AE12" s="1122">
        <f>ROUND(AVERAGE(J12:J$20)/100,4)</f>
        <v>1.38E-2</v>
      </c>
      <c r="AF12" s="1122">
        <f t="shared" si="1"/>
        <v>1.38E-2</v>
      </c>
      <c r="AG12" s="1122">
        <f>ROUND(AVERAGE(K12:K$20)/100,4)</f>
        <v>1.7899999999999999E-2</v>
      </c>
      <c r="AH12" s="1122">
        <f>ROUND(AVERAGE(L12:L$20)/100,4)</f>
        <v>1.21E-2</v>
      </c>
    </row>
    <row r="13" spans="1:34" ht="13.5" thickBot="1">
      <c r="A13" s="1123" t="s">
        <v>151</v>
      </c>
      <c r="B13" s="1132">
        <v>333</v>
      </c>
      <c r="C13" s="1132">
        <v>277</v>
      </c>
      <c r="D13" s="1132">
        <f t="shared" si="34"/>
        <v>277</v>
      </c>
      <c r="E13" s="1132">
        <v>459</v>
      </c>
      <c r="F13" s="1133">
        <v>249</v>
      </c>
      <c r="G13" s="4004">
        <v>2015</v>
      </c>
      <c r="H13" s="1145">
        <v>4</v>
      </c>
      <c r="I13" s="1145">
        <v>1.63</v>
      </c>
      <c r="J13" s="1145">
        <v>1.1100000000000001</v>
      </c>
      <c r="K13" s="1145">
        <v>1.77</v>
      </c>
      <c r="L13" s="1146">
        <v>1.89</v>
      </c>
      <c r="N13" s="1147">
        <f t="shared" si="36"/>
        <v>1.6299999999999999E-2</v>
      </c>
      <c r="O13" s="1148">
        <f t="shared" si="31"/>
        <v>1.11E-2</v>
      </c>
      <c r="P13" s="1148">
        <f t="shared" si="31"/>
        <v>1.77E-2</v>
      </c>
      <c r="Q13" s="1148">
        <f t="shared" si="31"/>
        <v>1.89E-2</v>
      </c>
      <c r="R13" s="1137"/>
      <c r="X13" s="1121">
        <f>ROUND(SUMPRODUCT(PRODUCT(1+N13:N$19)),4)</f>
        <v>1.0826</v>
      </c>
      <c r="Y13" s="1121">
        <f>ROUND(SUMPRODUCT(PRODUCT(1+O13:O$19)),4)</f>
        <v>1.0738000000000001</v>
      </c>
      <c r="Z13" s="1121">
        <f t="shared" si="0"/>
        <v>1.0738000000000001</v>
      </c>
      <c r="AA13" s="1121">
        <f>ROUND(SUMPRODUCT(PRODUCT(1+P13:P$19)),4)</f>
        <v>1.0855999999999999</v>
      </c>
      <c r="AB13" s="1121">
        <f>ROUND(SUMPRODUCT(PRODUCT(1+Q13:Q$19)),4)</f>
        <v>1.0837000000000001</v>
      </c>
      <c r="AD13" s="1122">
        <f>ROUND(AVERAGE(I13:I$20)/100,4)</f>
        <v>1.37E-2</v>
      </c>
      <c r="AE13" s="1122">
        <f>ROUND(AVERAGE(J13:J$20)/100,4)</f>
        <v>1.1900000000000001E-2</v>
      </c>
      <c r="AF13" s="1122">
        <f t="shared" si="1"/>
        <v>1.1900000000000001E-2</v>
      </c>
      <c r="AG13" s="1122">
        <f>ROUND(AVERAGE(K13:K$20)/100,4)</f>
        <v>1.4500000000000001E-2</v>
      </c>
      <c r="AH13" s="1122">
        <f>ROUND(AVERAGE(L13:L$20)/100,4)</f>
        <v>1.18E-2</v>
      </c>
    </row>
    <row r="14" spans="1:34">
      <c r="A14" s="1123" t="s">
        <v>150</v>
      </c>
      <c r="B14" s="1140">
        <f t="shared" ref="B14:C16" si="37">B13/(1+N13)</f>
        <v>327.65915576109415</v>
      </c>
      <c r="C14" s="1140">
        <f t="shared" si="37"/>
        <v>273.95905449510434</v>
      </c>
      <c r="D14" s="1140">
        <f t="shared" si="34"/>
        <v>273.95905449510434</v>
      </c>
      <c r="E14" s="1140">
        <f t="shared" ref="E14:F16" si="38">E13/(1+P13)</f>
        <v>451.01699911565294</v>
      </c>
      <c r="F14" s="1140">
        <f t="shared" si="38"/>
        <v>244.38119540681129</v>
      </c>
      <c r="G14" s="4005"/>
      <c r="H14" s="1150">
        <v>3</v>
      </c>
      <c r="I14" s="1150">
        <v>1.65</v>
      </c>
      <c r="J14" s="1150">
        <v>0.92</v>
      </c>
      <c r="K14" s="1150">
        <v>1.88</v>
      </c>
      <c r="L14" s="1151">
        <v>1.26</v>
      </c>
      <c r="N14" s="1135">
        <f t="shared" si="36"/>
        <v>1.6500000000000001E-2</v>
      </c>
      <c r="O14" s="1152">
        <f t="shared" si="31"/>
        <v>9.1999999999999998E-3</v>
      </c>
      <c r="P14" s="1152">
        <f t="shared" si="31"/>
        <v>1.8799999999999997E-2</v>
      </c>
      <c r="Q14" s="1152">
        <f t="shared" si="31"/>
        <v>1.26E-2</v>
      </c>
      <c r="R14" s="1137"/>
      <c r="S14" s="1135"/>
      <c r="T14" s="1136"/>
      <c r="U14" s="1136"/>
      <c r="V14" s="1136"/>
      <c r="X14" s="1121">
        <f>ROUND(SUMPRODUCT(PRODUCT(1+N14:N$19)),4)</f>
        <v>1.0651999999999999</v>
      </c>
      <c r="Y14" s="1121">
        <f>ROUND(SUMPRODUCT(PRODUCT(1+O14:O$19)),4)</f>
        <v>1.0621</v>
      </c>
      <c r="Z14" s="1121">
        <f t="shared" si="0"/>
        <v>1.0621</v>
      </c>
      <c r="AA14" s="1121">
        <f>ROUND(SUMPRODUCT(PRODUCT(1+P14:P$19)),4)</f>
        <v>1.0668</v>
      </c>
      <c r="AB14" s="1121">
        <f>ROUND(SUMPRODUCT(PRODUCT(1+Q14:Q$19)),4)</f>
        <v>1.0636000000000001</v>
      </c>
      <c r="AD14" s="1122">
        <f>ROUND(AVERAGE(I14:I$20)/100,4)</f>
        <v>1.3299999999999999E-2</v>
      </c>
      <c r="AE14" s="1122">
        <f>ROUND(AVERAGE(J14:J$20)/100,4)</f>
        <v>1.2E-2</v>
      </c>
      <c r="AF14" s="1122">
        <f t="shared" si="1"/>
        <v>1.2E-2</v>
      </c>
      <c r="AG14" s="1122">
        <f>ROUND(AVERAGE(K14:K$20)/100,4)</f>
        <v>1.4E-2</v>
      </c>
      <c r="AH14" s="1122">
        <f>ROUND(AVERAGE(L14:L$20)/100,4)</f>
        <v>1.0800000000000001E-2</v>
      </c>
    </row>
    <row r="15" spans="1:34">
      <c r="A15" s="1123" t="s">
        <v>149</v>
      </c>
      <c r="B15" s="1140">
        <f t="shared" si="37"/>
        <v>322.34053690220776</v>
      </c>
      <c r="C15" s="1140">
        <f t="shared" si="37"/>
        <v>271.46160770422546</v>
      </c>
      <c r="D15" s="1140">
        <f t="shared" si="34"/>
        <v>271.46160770422546</v>
      </c>
      <c r="E15" s="1140">
        <f t="shared" si="38"/>
        <v>442.69434542172456</v>
      </c>
      <c r="F15" s="1140">
        <f t="shared" si="38"/>
        <v>241.34030753190925</v>
      </c>
      <c r="G15" s="4005"/>
      <c r="H15" s="1127">
        <v>2</v>
      </c>
      <c r="I15" s="1127">
        <v>0.77</v>
      </c>
      <c r="J15" s="1127">
        <v>0.69</v>
      </c>
      <c r="K15" s="1127">
        <v>0.8</v>
      </c>
      <c r="L15" s="1142">
        <v>0.88</v>
      </c>
      <c r="N15" s="1135">
        <f t="shared" si="36"/>
        <v>7.7000000000000002E-3</v>
      </c>
      <c r="O15" s="1152">
        <f t="shared" si="31"/>
        <v>6.8999999999999999E-3</v>
      </c>
      <c r="P15" s="1152">
        <f t="shared" si="31"/>
        <v>8.0000000000000002E-3</v>
      </c>
      <c r="Q15" s="1152">
        <f t="shared" si="31"/>
        <v>8.8000000000000005E-3</v>
      </c>
      <c r="R15" s="1137"/>
      <c r="S15" s="1135"/>
      <c r="T15" s="1136"/>
      <c r="U15" s="1136"/>
      <c r="V15" s="1136"/>
      <c r="X15" s="1121">
        <f>ROUND(SUMPRODUCT(PRODUCT(1+N15:N$19)),4)</f>
        <v>1.048</v>
      </c>
      <c r="Y15" s="1121">
        <f>ROUND(SUMPRODUCT(PRODUCT(1+O15:O$19)),4)</f>
        <v>1.0524</v>
      </c>
      <c r="Z15" s="1121">
        <f t="shared" si="0"/>
        <v>1.0524</v>
      </c>
      <c r="AA15" s="1121">
        <f>ROUND(SUMPRODUCT(PRODUCT(1+P15:P$19)),4)</f>
        <v>1.0470999999999999</v>
      </c>
      <c r="AB15" s="1121">
        <f>ROUND(SUMPRODUCT(PRODUCT(1+Q15:Q$19)),4)</f>
        <v>1.0504</v>
      </c>
      <c r="AD15" s="1122">
        <f>ROUND(AVERAGE(I15:I$20)/100,4)</f>
        <v>1.2800000000000001E-2</v>
      </c>
      <c r="AE15" s="1122">
        <f>ROUND(AVERAGE(J15:J$20)/100,4)</f>
        <v>1.2500000000000001E-2</v>
      </c>
      <c r="AF15" s="1122">
        <f t="shared" si="1"/>
        <v>1.2500000000000001E-2</v>
      </c>
      <c r="AG15" s="1122">
        <f>ROUND(AVERAGE(K15:K$20)/100,4)</f>
        <v>1.32E-2</v>
      </c>
      <c r="AH15" s="1122">
        <f>ROUND(AVERAGE(L15:L$20)/100,4)</f>
        <v>1.0500000000000001E-2</v>
      </c>
    </row>
    <row r="16" spans="1:34">
      <c r="A16" s="1123" t="s">
        <v>148</v>
      </c>
      <c r="B16" s="1140">
        <f t="shared" si="37"/>
        <v>319.87748030386797</v>
      </c>
      <c r="C16" s="1140">
        <f t="shared" si="37"/>
        <v>269.60135833173649</v>
      </c>
      <c r="D16" s="1140">
        <f t="shared" si="34"/>
        <v>269.60135833173649</v>
      </c>
      <c r="E16" s="1140">
        <f t="shared" si="38"/>
        <v>439.18089823583784</v>
      </c>
      <c r="F16" s="1140">
        <f t="shared" si="38"/>
        <v>239.23503918706311</v>
      </c>
      <c r="G16" s="4006"/>
      <c r="H16" s="1126">
        <v>1</v>
      </c>
      <c r="I16" s="1126">
        <v>0.51</v>
      </c>
      <c r="J16" s="1126">
        <v>0.54</v>
      </c>
      <c r="K16" s="1126">
        <v>0.48</v>
      </c>
      <c r="L16" s="1141">
        <v>0.93</v>
      </c>
      <c r="N16" s="1143">
        <f t="shared" si="36"/>
        <v>5.1000000000000004E-3</v>
      </c>
      <c r="O16" s="1144">
        <f t="shared" si="31"/>
        <v>5.4000000000000003E-3</v>
      </c>
      <c r="P16" s="1144">
        <f t="shared" si="31"/>
        <v>4.7999999999999996E-3</v>
      </c>
      <c r="Q16" s="1144">
        <f t="shared" si="31"/>
        <v>9.300000000000001E-3</v>
      </c>
      <c r="R16" s="1137"/>
      <c r="S16" s="1143">
        <f>B16/B17-1</f>
        <v>5.9040261127922822E-3</v>
      </c>
      <c r="T16" s="1144">
        <f>C16/C17-1</f>
        <v>5.9752176557332781E-3</v>
      </c>
      <c r="U16" s="1144">
        <f>E16/E17-1</f>
        <v>4.9906138119859556E-3</v>
      </c>
      <c r="V16" s="1144">
        <f>F16/F17-1</f>
        <v>9.4305450930933787E-3</v>
      </c>
      <c r="X16" s="1121">
        <f>ROUND(SUMPRODUCT(PRODUCT(1+N16:N$19)),4)</f>
        <v>1.0399</v>
      </c>
      <c r="Y16" s="1121">
        <f>ROUND(SUMPRODUCT(PRODUCT(1+O16:O$19)),4)</f>
        <v>1.0451999999999999</v>
      </c>
      <c r="Z16" s="1121">
        <f t="shared" si="0"/>
        <v>1.0451999999999999</v>
      </c>
      <c r="AA16" s="1121">
        <f>ROUND(SUMPRODUCT(PRODUCT(1+P16:P$19)),4)</f>
        <v>1.0387999999999999</v>
      </c>
      <c r="AB16" s="1121">
        <f>ROUND(SUMPRODUCT(PRODUCT(1+Q16:Q$19)),4)</f>
        <v>1.0411999999999999</v>
      </c>
      <c r="AD16" s="1122">
        <f>ROUND(AVERAGE(I16:I$20)/100,4)</f>
        <v>1.38E-2</v>
      </c>
      <c r="AE16" s="1122">
        <f>ROUND(AVERAGE(J16:J$20)/100,4)</f>
        <v>1.3599999999999999E-2</v>
      </c>
      <c r="AF16" s="1122">
        <f t="shared" si="1"/>
        <v>1.3599999999999999E-2</v>
      </c>
      <c r="AG16" s="1122">
        <f>ROUND(AVERAGE(K16:K$20)/100,4)</f>
        <v>1.4200000000000001E-2</v>
      </c>
      <c r="AH16" s="1122">
        <f>ROUND(AVERAGE(L16:L$20)/100,4)</f>
        <v>1.0800000000000001E-2</v>
      </c>
    </row>
    <row r="17" spans="1:34" ht="13.5" thickBot="1">
      <c r="A17" s="1123" t="s">
        <v>147</v>
      </c>
      <c r="B17" s="1153">
        <v>318</v>
      </c>
      <c r="C17" s="1153">
        <v>268</v>
      </c>
      <c r="D17" s="1153">
        <f t="shared" si="34"/>
        <v>268</v>
      </c>
      <c r="E17" s="1153">
        <v>437</v>
      </c>
      <c r="F17" s="1154">
        <v>237</v>
      </c>
      <c r="G17" s="4004">
        <v>2014</v>
      </c>
      <c r="H17" s="1145">
        <v>4</v>
      </c>
      <c r="I17" s="1145">
        <v>0.21</v>
      </c>
      <c r="J17" s="1145">
        <v>0.41</v>
      </c>
      <c r="K17" s="1145">
        <v>0.12</v>
      </c>
      <c r="L17" s="1146">
        <v>0.89</v>
      </c>
      <c r="N17" s="1135">
        <f t="shared" si="36"/>
        <v>2.0999999999999999E-3</v>
      </c>
      <c r="O17" s="1136">
        <f t="shared" si="31"/>
        <v>4.0999999999999995E-3</v>
      </c>
      <c r="P17" s="1136">
        <f t="shared" si="31"/>
        <v>1.1999999999999999E-3</v>
      </c>
      <c r="Q17" s="1136">
        <f t="shared" si="31"/>
        <v>8.8999999999999999E-3</v>
      </c>
      <c r="R17" s="1137"/>
      <c r="S17" s="1138"/>
      <c r="T17" s="1139"/>
      <c r="U17" s="1139"/>
      <c r="V17" s="1139"/>
      <c r="X17" s="1121">
        <f>ROUND(SUMPRODUCT(PRODUCT(1+N17:N$19)),4)</f>
        <v>1.0347</v>
      </c>
      <c r="Y17" s="1121">
        <f>ROUND(SUMPRODUCT(PRODUCT(1+O17:O$19)),4)</f>
        <v>1.0395000000000001</v>
      </c>
      <c r="Z17" s="1121">
        <f t="shared" si="0"/>
        <v>1.0395000000000001</v>
      </c>
      <c r="AA17" s="1121">
        <f>ROUND(SUMPRODUCT(PRODUCT(1+P17:P$19)),4)</f>
        <v>1.0338000000000001</v>
      </c>
      <c r="AB17" s="1121">
        <f>ROUND(SUMPRODUCT(PRODUCT(1+Q17:Q$19)),4)</f>
        <v>1.0316000000000001</v>
      </c>
      <c r="AD17" s="1122">
        <f>ROUND(AVERAGE(I17:I$20)/100,4)</f>
        <v>1.6E-2</v>
      </c>
      <c r="AE17" s="1122">
        <f>ROUND(AVERAGE(J17:J$20)/100,4)</f>
        <v>1.5599999999999999E-2</v>
      </c>
      <c r="AF17" s="1122">
        <f t="shared" si="1"/>
        <v>1.5599999999999999E-2</v>
      </c>
      <c r="AG17" s="1122">
        <f>ROUND(AVERAGE(K17:K$20)/100,4)</f>
        <v>1.66E-2</v>
      </c>
      <c r="AH17" s="1122">
        <f>ROUND(AVERAGE(L17:L$20)/100,4)</f>
        <v>1.12E-2</v>
      </c>
    </row>
    <row r="18" spans="1:34">
      <c r="A18" s="1123" t="s">
        <v>146</v>
      </c>
      <c r="B18" s="1140">
        <f t="shared" ref="B18:C20" si="39">B17/(1+N17)</f>
        <v>317.33359944117353</v>
      </c>
      <c r="C18" s="1140">
        <f t="shared" si="39"/>
        <v>266.90568668459315</v>
      </c>
      <c r="D18" s="1140">
        <f t="shared" si="34"/>
        <v>266.90568668459315</v>
      </c>
      <c r="E18" s="1140">
        <f t="shared" ref="E18:F20" si="40">E17/(1+P17)</f>
        <v>436.47622852576905</v>
      </c>
      <c r="F18" s="1140">
        <f t="shared" si="40"/>
        <v>234.90930716622066</v>
      </c>
      <c r="G18" s="4005"/>
      <c r="H18" s="1155">
        <v>3</v>
      </c>
      <c r="I18" s="1155">
        <v>0.83</v>
      </c>
      <c r="J18" s="1155">
        <v>1.47</v>
      </c>
      <c r="K18" s="1155">
        <v>0.65</v>
      </c>
      <c r="L18" s="1156">
        <v>0.72</v>
      </c>
      <c r="N18" s="1135">
        <f t="shared" si="36"/>
        <v>8.3000000000000001E-3</v>
      </c>
      <c r="O18" s="1136">
        <f t="shared" si="31"/>
        <v>1.47E-2</v>
      </c>
      <c r="P18" s="1136">
        <f t="shared" si="31"/>
        <v>6.5000000000000006E-3</v>
      </c>
      <c r="Q18" s="1136">
        <f t="shared" si="31"/>
        <v>7.1999999999999998E-3</v>
      </c>
      <c r="R18" s="1137"/>
      <c r="S18" s="1135"/>
      <c r="T18" s="1136"/>
      <c r="U18" s="1136"/>
      <c r="V18" s="1136"/>
      <c r="X18" s="1121">
        <f>ROUND(SUMPRODUCT(PRODUCT(1+N18:N$19)),4)</f>
        <v>1.0325</v>
      </c>
      <c r="Y18" s="1121">
        <f>ROUND(SUMPRODUCT(PRODUCT(1+O18:O$19)),4)</f>
        <v>1.0353000000000001</v>
      </c>
      <c r="Z18" s="1121">
        <f t="shared" ref="Z18:Z19" si="41">Y18</f>
        <v>1.0353000000000001</v>
      </c>
      <c r="AA18" s="1121">
        <f>ROUND(SUMPRODUCT(PRODUCT(1+P18:P$19)),4)</f>
        <v>1.0326</v>
      </c>
      <c r="AB18" s="1121">
        <f>ROUND(SUMPRODUCT(PRODUCT(1+Q18:Q$19)),4)</f>
        <v>1.0225</v>
      </c>
      <c r="AD18" s="1122">
        <f>ROUND(AVERAGE(I18:I$20)/100,4)</f>
        <v>2.07E-2</v>
      </c>
      <c r="AE18" s="1122">
        <f>ROUND(AVERAGE(J18:J$20)/100,4)</f>
        <v>1.95E-2</v>
      </c>
      <c r="AF18" s="1122">
        <f t="shared" si="1"/>
        <v>1.95E-2</v>
      </c>
      <c r="AG18" s="1122">
        <f>ROUND(AVERAGE(K18:K$20)/100,4)</f>
        <v>2.1700000000000001E-2</v>
      </c>
      <c r="AH18" s="1122">
        <f>ROUND(AVERAGE(L18:L$20)/100,4)</f>
        <v>1.2E-2</v>
      </c>
    </row>
    <row r="19" spans="1:34" ht="13.5" thickBot="1">
      <c r="A19" s="1123" t="s">
        <v>145</v>
      </c>
      <c r="B19" s="1140">
        <f t="shared" si="39"/>
        <v>314.72141172386546</v>
      </c>
      <c r="C19" s="1140">
        <f t="shared" si="39"/>
        <v>263.03901319069001</v>
      </c>
      <c r="D19" s="1140">
        <f t="shared" si="34"/>
        <v>263.03901319069001</v>
      </c>
      <c r="E19" s="1140">
        <f t="shared" si="40"/>
        <v>433.65745506782821</v>
      </c>
      <c r="F19" s="1140">
        <f t="shared" si="40"/>
        <v>233.23005080045735</v>
      </c>
      <c r="G19" s="4005"/>
      <c r="H19" s="1145">
        <v>2</v>
      </c>
      <c r="I19" s="1145">
        <v>2.4</v>
      </c>
      <c r="J19" s="1145">
        <v>2.0299999999999998</v>
      </c>
      <c r="K19" s="1145">
        <v>2.59</v>
      </c>
      <c r="L19" s="1146">
        <v>1.52</v>
      </c>
      <c r="N19" s="1135">
        <f t="shared" si="36"/>
        <v>2.4E-2</v>
      </c>
      <c r="O19" s="1136">
        <f t="shared" si="31"/>
        <v>2.0299999999999999E-2</v>
      </c>
      <c r="P19" s="1136">
        <f t="shared" si="31"/>
        <v>2.5899999999999999E-2</v>
      </c>
      <c r="Q19" s="1136">
        <f t="shared" si="31"/>
        <v>1.52E-2</v>
      </c>
      <c r="R19" s="1137"/>
      <c r="S19" s="1135"/>
      <c r="T19" s="1136"/>
      <c r="U19" s="1136"/>
      <c r="V19" s="1136"/>
      <c r="X19" s="1121">
        <f>1+N19</f>
        <v>1.024</v>
      </c>
      <c r="Y19" s="1121">
        <f>1+O19</f>
        <v>1.0203</v>
      </c>
      <c r="Z19" s="1121">
        <f t="shared" si="41"/>
        <v>1.0203</v>
      </c>
      <c r="AA19" s="1121">
        <f>1+P19</f>
        <v>1.0259</v>
      </c>
      <c r="AB19" s="1121">
        <f>1+Q19</f>
        <v>1.0152000000000001</v>
      </c>
      <c r="AD19" s="1122">
        <f>ROUND(AVERAGE(I19:I$20)/100,4)</f>
        <v>2.69E-2</v>
      </c>
      <c r="AE19" s="1122">
        <f>ROUND(AVERAGE(J19:J$20)/100,4)</f>
        <v>2.1899999999999999E-2</v>
      </c>
      <c r="AF19" s="1122">
        <f t="shared" ref="AF19" si="42">AE19</f>
        <v>2.1899999999999999E-2</v>
      </c>
      <c r="AG19" s="1122">
        <f>ROUND(AVERAGE(K19:K$20)/100,4)</f>
        <v>2.9399999999999999E-2</v>
      </c>
      <c r="AH19" s="1122">
        <f>ROUND(AVERAGE(L19:L$20)/100,4)</f>
        <v>1.44E-2</v>
      </c>
    </row>
    <row r="20" spans="1:34" s="1161" customFormat="1" ht="13.5" thickBot="1">
      <c r="A20" s="1157" t="s">
        <v>144</v>
      </c>
      <c r="B20" s="1158">
        <f t="shared" si="39"/>
        <v>307.34512863658733</v>
      </c>
      <c r="C20" s="1158">
        <f t="shared" si="39"/>
        <v>257.80556031626975</v>
      </c>
      <c r="D20" s="1158">
        <f t="shared" si="34"/>
        <v>257.80556031626975</v>
      </c>
      <c r="E20" s="1158">
        <f t="shared" si="40"/>
        <v>422.70928459677179</v>
      </c>
      <c r="F20" s="1158">
        <f t="shared" si="40"/>
        <v>229.73803270336617</v>
      </c>
      <c r="G20" s="4006"/>
      <c r="H20" s="1159">
        <v>1</v>
      </c>
      <c r="I20" s="1159">
        <v>2.97</v>
      </c>
      <c r="J20" s="1159">
        <v>2.34</v>
      </c>
      <c r="K20" s="1159">
        <v>3.28</v>
      </c>
      <c r="L20" s="1160">
        <v>1.36</v>
      </c>
      <c r="N20" s="1162">
        <f t="shared" si="36"/>
        <v>2.9700000000000001E-2</v>
      </c>
      <c r="O20" s="1163">
        <f t="shared" si="31"/>
        <v>2.3399999999999997E-2</v>
      </c>
      <c r="P20" s="1163">
        <f t="shared" si="31"/>
        <v>3.2799999999999996E-2</v>
      </c>
      <c r="Q20" s="1163">
        <f t="shared" si="31"/>
        <v>1.3600000000000001E-2</v>
      </c>
      <c r="R20" s="1164"/>
      <c r="S20" s="1165">
        <f>B20/B21-1</f>
        <v>2.7910129219355539E-2</v>
      </c>
      <c r="T20" s="1166">
        <f>C20/C21-1</f>
        <v>2.3037937762975247E-2</v>
      </c>
      <c r="U20" s="1166">
        <f>E20/E21-1</f>
        <v>3.3519033243940788E-2</v>
      </c>
      <c r="V20" s="1166">
        <f>F20/F21-1</f>
        <v>1.2061818076502862E-2</v>
      </c>
      <c r="W20" s="1167" t="s">
        <v>1163</v>
      </c>
      <c r="X20" s="1168">
        <v>1</v>
      </c>
      <c r="Y20" s="1168">
        <v>1</v>
      </c>
      <c r="Z20" s="1168">
        <v>1</v>
      </c>
      <c r="AA20" s="1168">
        <v>1</v>
      </c>
      <c r="AB20" s="1168">
        <v>1</v>
      </c>
      <c r="AD20" s="1369">
        <f>I20/100</f>
        <v>2.9700000000000001E-2</v>
      </c>
      <c r="AE20" s="1369">
        <f>J20/100</f>
        <v>2.3399999999999997E-2</v>
      </c>
      <c r="AF20" s="1369">
        <f>AE20</f>
        <v>2.3399999999999997E-2</v>
      </c>
      <c r="AG20" s="1369">
        <f>K20/100</f>
        <v>3.2799999999999996E-2</v>
      </c>
      <c r="AH20" s="1369">
        <f>L20/100</f>
        <v>1.3600000000000001E-2</v>
      </c>
    </row>
    <row r="21" spans="1:34" ht="13.5" thickBot="1">
      <c r="A21" s="1123" t="s">
        <v>1164</v>
      </c>
      <c r="B21" s="1132">
        <v>299</v>
      </c>
      <c r="C21" s="1132">
        <v>252</v>
      </c>
      <c r="D21" s="1132">
        <f t="shared" si="34"/>
        <v>252</v>
      </c>
      <c r="E21" s="1132">
        <v>409</v>
      </c>
      <c r="F21" s="1133">
        <v>227</v>
      </c>
      <c r="G21" s="4009">
        <v>2013</v>
      </c>
      <c r="H21" s="1169">
        <v>4</v>
      </c>
      <c r="I21" s="1169">
        <v>1.83</v>
      </c>
      <c r="J21" s="1169">
        <v>1.68</v>
      </c>
      <c r="K21" s="1169">
        <v>1.97</v>
      </c>
      <c r="L21" s="1170">
        <v>0.87</v>
      </c>
      <c r="N21" s="1147">
        <f t="shared" si="36"/>
        <v>1.83E-2</v>
      </c>
      <c r="O21" s="1148">
        <f t="shared" si="31"/>
        <v>1.6799999999999999E-2</v>
      </c>
      <c r="P21" s="1148">
        <f t="shared" si="31"/>
        <v>1.9699999999999999E-2</v>
      </c>
      <c r="Q21" s="1148">
        <f t="shared" si="31"/>
        <v>8.6999999999999994E-3</v>
      </c>
      <c r="R21" s="1137"/>
      <c r="S21" s="1138"/>
      <c r="T21" s="1139"/>
      <c r="U21" s="1139"/>
      <c r="V21" s="1139"/>
      <c r="X21" s="1139"/>
      <c r="Y21" s="1139"/>
      <c r="Z21" s="1139"/>
    </row>
    <row r="22" spans="1:34">
      <c r="A22" s="1123" t="s">
        <v>1165</v>
      </c>
      <c r="B22" s="1140">
        <f t="shared" ref="B22:C24" si="43">B21/(1+N21)</f>
        <v>293.62663262299913</v>
      </c>
      <c r="C22" s="1140">
        <f t="shared" si="43"/>
        <v>247.83634933123525</v>
      </c>
      <c r="D22" s="1140">
        <f t="shared" si="34"/>
        <v>247.83634933123525</v>
      </c>
      <c r="E22" s="1140">
        <f t="shared" ref="E22:F24" si="44">E21/(1+P21)</f>
        <v>401.09836226341076</v>
      </c>
      <c r="F22" s="1140">
        <f t="shared" si="44"/>
        <v>225.04213343908003</v>
      </c>
      <c r="G22" s="4010"/>
      <c r="H22" s="1150">
        <v>3</v>
      </c>
      <c r="I22" s="1150">
        <v>1.86</v>
      </c>
      <c r="J22" s="1150">
        <v>1.72</v>
      </c>
      <c r="K22" s="1150">
        <v>1.98</v>
      </c>
      <c r="L22" s="1151">
        <v>0.88</v>
      </c>
      <c r="N22" s="1135">
        <f t="shared" si="36"/>
        <v>1.8600000000000002E-2</v>
      </c>
      <c r="O22" s="1152">
        <f t="shared" si="31"/>
        <v>1.72E-2</v>
      </c>
      <c r="P22" s="1152">
        <f t="shared" si="31"/>
        <v>1.9799999999999998E-2</v>
      </c>
      <c r="Q22" s="1152">
        <f t="shared" si="31"/>
        <v>8.8000000000000005E-3</v>
      </c>
      <c r="R22" s="1137"/>
      <c r="S22" s="1135"/>
      <c r="T22" s="1136"/>
      <c r="U22" s="1136"/>
      <c r="V22" s="1136"/>
    </row>
    <row r="23" spans="1:34">
      <c r="A23" s="1123" t="s">
        <v>1166</v>
      </c>
      <c r="B23" s="1140">
        <f t="shared" si="43"/>
        <v>288.2649053828776</v>
      </c>
      <c r="C23" s="1140">
        <f t="shared" si="43"/>
        <v>243.64564425013293</v>
      </c>
      <c r="D23" s="1140">
        <f t="shared" si="34"/>
        <v>243.64564425013293</v>
      </c>
      <c r="E23" s="1140">
        <f t="shared" si="44"/>
        <v>393.31080825986544</v>
      </c>
      <c r="F23" s="1140">
        <f t="shared" si="44"/>
        <v>223.07903790551154</v>
      </c>
      <c r="G23" s="4010"/>
      <c r="H23" s="1127">
        <v>2</v>
      </c>
      <c r="I23" s="1127">
        <v>2.04</v>
      </c>
      <c r="J23" s="1127">
        <v>2.33</v>
      </c>
      <c r="K23" s="1127">
        <v>2.0699999999999998</v>
      </c>
      <c r="L23" s="1142">
        <v>0.69</v>
      </c>
      <c r="N23" s="1135">
        <f t="shared" si="36"/>
        <v>2.0400000000000001E-2</v>
      </c>
      <c r="O23" s="1152">
        <f t="shared" si="31"/>
        <v>2.3300000000000001E-2</v>
      </c>
      <c r="P23" s="1152">
        <f t="shared" si="31"/>
        <v>2.07E-2</v>
      </c>
      <c r="Q23" s="1152">
        <f t="shared" si="31"/>
        <v>6.8999999999999999E-3</v>
      </c>
      <c r="R23" s="1137"/>
      <c r="S23" s="1135"/>
      <c r="T23" s="1136"/>
      <c r="U23" s="1136"/>
      <c r="V23" s="1136"/>
      <c r="X23" s="1171"/>
      <c r="Y23" s="1172"/>
    </row>
    <row r="24" spans="1:34">
      <c r="A24" s="1123" t="s">
        <v>1167</v>
      </c>
      <c r="B24" s="1140">
        <f t="shared" si="43"/>
        <v>282.50186729015837</v>
      </c>
      <c r="C24" s="1140">
        <f t="shared" si="43"/>
        <v>238.09796174155468</v>
      </c>
      <c r="D24" s="1140">
        <f t="shared" si="34"/>
        <v>238.09796174155468</v>
      </c>
      <c r="E24" s="1140">
        <f t="shared" si="44"/>
        <v>385.33438646014054</v>
      </c>
      <c r="F24" s="1140">
        <f t="shared" si="44"/>
        <v>221.55034055567739</v>
      </c>
      <c r="G24" s="4011"/>
      <c r="H24" s="1126">
        <v>1</v>
      </c>
      <c r="I24" s="1126">
        <v>1.67</v>
      </c>
      <c r="J24" s="1126">
        <v>1.31</v>
      </c>
      <c r="K24" s="1126">
        <v>1.85</v>
      </c>
      <c r="L24" s="1141">
        <v>0.96</v>
      </c>
      <c r="N24" s="1143">
        <f t="shared" si="36"/>
        <v>1.67E-2</v>
      </c>
      <c r="O24" s="1144">
        <f t="shared" si="36"/>
        <v>1.3100000000000001E-2</v>
      </c>
      <c r="P24" s="1144">
        <f t="shared" si="36"/>
        <v>1.8500000000000003E-2</v>
      </c>
      <c r="Q24" s="1144">
        <f t="shared" si="36"/>
        <v>9.5999999999999992E-3</v>
      </c>
      <c r="R24" s="1137"/>
      <c r="S24" s="1143">
        <f>B24/B25-1</f>
        <v>1.6193767230785472E-2</v>
      </c>
      <c r="T24" s="1144">
        <f>C24/C25-1</f>
        <v>1.7512657015190891E-2</v>
      </c>
      <c r="U24" s="1144">
        <f>E24/E25-1</f>
        <v>1.6713420739157048E-2</v>
      </c>
      <c r="V24" s="1144">
        <f>F24/F25-1</f>
        <v>7.0470025258062563E-3</v>
      </c>
      <c r="X24" s="1173"/>
      <c r="Y24" s="1122"/>
      <c r="Z24" s="1122"/>
    </row>
    <row r="25" spans="1:34" ht="13.5" thickBot="1">
      <c r="A25" s="1123" t="s">
        <v>1168</v>
      </c>
      <c r="B25" s="1174">
        <v>278</v>
      </c>
      <c r="C25" s="1174">
        <v>234</v>
      </c>
      <c r="D25" s="1174">
        <f t="shared" si="34"/>
        <v>234</v>
      </c>
      <c r="E25" s="1174">
        <v>379</v>
      </c>
      <c r="F25" s="1175">
        <v>220</v>
      </c>
      <c r="G25" s="4004">
        <v>2012</v>
      </c>
      <c r="H25" s="1145">
        <v>4</v>
      </c>
      <c r="I25" s="1145">
        <v>0.91</v>
      </c>
      <c r="J25" s="1145">
        <v>0.68</v>
      </c>
      <c r="K25" s="1145">
        <v>0.98</v>
      </c>
      <c r="L25" s="1146">
        <v>0.9</v>
      </c>
      <c r="N25" s="1135">
        <f t="shared" si="36"/>
        <v>9.1000000000000004E-3</v>
      </c>
      <c r="O25" s="1136">
        <f t="shared" si="36"/>
        <v>6.8000000000000005E-3</v>
      </c>
      <c r="P25" s="1136">
        <f t="shared" si="36"/>
        <v>9.7999999999999997E-3</v>
      </c>
      <c r="Q25" s="1136">
        <f t="shared" si="36"/>
        <v>9.0000000000000011E-3</v>
      </c>
      <c r="R25" s="1137"/>
      <c r="S25" s="1138"/>
      <c r="T25" s="1139"/>
      <c r="U25" s="1139"/>
      <c r="V25" s="1139"/>
      <c r="X25" s="1139"/>
      <c r="Y25" s="1139"/>
      <c r="Z25" s="1139"/>
    </row>
    <row r="26" spans="1:34">
      <c r="A26" s="1123" t="s">
        <v>1169</v>
      </c>
      <c r="B26" s="1140">
        <f>B25/(1+N25)</f>
        <v>275.49301357645425</v>
      </c>
      <c r="C26" s="1140">
        <f>C25/(1+O25)</f>
        <v>232.41954707985698</v>
      </c>
      <c r="D26" s="1140">
        <f t="shared" si="34"/>
        <v>232.41954707985698</v>
      </c>
      <c r="E26" s="1140">
        <f t="shared" ref="E26:F28" si="45">E25/(1+P25)</f>
        <v>375.32184591008121</v>
      </c>
      <c r="F26" s="1140">
        <f t="shared" si="45"/>
        <v>218.03766105054513</v>
      </c>
      <c r="G26" s="4005"/>
      <c r="H26" s="1150">
        <v>3</v>
      </c>
      <c r="I26" s="1150">
        <v>0.09</v>
      </c>
      <c r="J26" s="1150">
        <v>0.28999999999999998</v>
      </c>
      <c r="K26" s="1150">
        <v>-0.01</v>
      </c>
      <c r="L26" s="1151">
        <v>0.57999999999999996</v>
      </c>
      <c r="N26" s="1135">
        <f t="shared" si="36"/>
        <v>8.9999999999999998E-4</v>
      </c>
      <c r="O26" s="1136">
        <f t="shared" si="36"/>
        <v>2.8999999999999998E-3</v>
      </c>
      <c r="P26" s="1136">
        <f t="shared" si="36"/>
        <v>-1E-4</v>
      </c>
      <c r="Q26" s="1136">
        <f t="shared" si="36"/>
        <v>5.7999999999999996E-3</v>
      </c>
      <c r="R26" s="1137"/>
      <c r="S26" s="1135"/>
      <c r="T26" s="1136"/>
      <c r="U26" s="1136"/>
      <c r="V26" s="1136"/>
    </row>
    <row r="27" spans="1:34">
      <c r="A27" s="1123" t="s">
        <v>1170</v>
      </c>
      <c r="B27" s="1140">
        <f>B26/(1+N26)</f>
        <v>275.24529281292263</v>
      </c>
      <c r="C27" s="1140">
        <f>C26/(1+O26)</f>
        <v>231.74747938962707</v>
      </c>
      <c r="D27" s="1140">
        <f t="shared" si="34"/>
        <v>231.74747938962707</v>
      </c>
      <c r="E27" s="1140">
        <f t="shared" si="45"/>
        <v>375.35938184826603</v>
      </c>
      <c r="F27" s="1140">
        <f t="shared" si="45"/>
        <v>216.78033510692495</v>
      </c>
      <c r="G27" s="4005"/>
      <c r="H27" s="1127">
        <v>2</v>
      </c>
      <c r="I27" s="1127">
        <v>0.02</v>
      </c>
      <c r="J27" s="1127">
        <v>0.12</v>
      </c>
      <c r="K27" s="1127">
        <v>-0.08</v>
      </c>
      <c r="L27" s="1142">
        <v>1.24</v>
      </c>
      <c r="N27" s="1135">
        <f t="shared" si="36"/>
        <v>2.0000000000000001E-4</v>
      </c>
      <c r="O27" s="1136">
        <f t="shared" si="36"/>
        <v>1.1999999999999999E-3</v>
      </c>
      <c r="P27" s="1136">
        <f t="shared" si="36"/>
        <v>-8.0000000000000004E-4</v>
      </c>
      <c r="Q27" s="1136">
        <f t="shared" si="36"/>
        <v>1.24E-2</v>
      </c>
      <c r="R27" s="1137"/>
      <c r="S27" s="1135"/>
      <c r="T27" s="1136"/>
      <c r="U27" s="1136"/>
      <c r="V27" s="1136"/>
    </row>
    <row r="28" spans="1:34" ht="13.5" thickBot="1">
      <c r="A28" s="1123" t="s">
        <v>1171</v>
      </c>
      <c r="B28" s="1140">
        <f>B27/(1+N27)</f>
        <v>275.19025476197027</v>
      </c>
      <c r="C28" s="1176">
        <v>232</v>
      </c>
      <c r="D28" s="1176">
        <f t="shared" si="34"/>
        <v>232</v>
      </c>
      <c r="E28" s="1140">
        <f t="shared" si="45"/>
        <v>375.65990977608692</v>
      </c>
      <c r="F28" s="1140">
        <f t="shared" si="45"/>
        <v>214.12518283971252</v>
      </c>
      <c r="G28" s="4006"/>
      <c r="H28" s="1126">
        <v>1</v>
      </c>
      <c r="I28" s="1126">
        <v>0.02</v>
      </c>
      <c r="J28" s="1126">
        <v>0.13</v>
      </c>
      <c r="K28" s="1126">
        <v>-0.04</v>
      </c>
      <c r="L28" s="1141">
        <v>0.46</v>
      </c>
      <c r="N28" s="1135">
        <f t="shared" si="36"/>
        <v>2.0000000000000001E-4</v>
      </c>
      <c r="O28" s="1136">
        <f t="shared" si="36"/>
        <v>1.2999999999999999E-3</v>
      </c>
      <c r="P28" s="1136">
        <f t="shared" si="36"/>
        <v>-4.0000000000000002E-4</v>
      </c>
      <c r="Q28" s="1136">
        <f t="shared" si="36"/>
        <v>4.5999999999999999E-3</v>
      </c>
      <c r="R28" s="1137"/>
      <c r="S28" s="1143">
        <f>B28/B29-1</f>
        <v>6.9183549807361189E-4</v>
      </c>
      <c r="T28" s="1144">
        <f>C28/C29-1</f>
        <v>0</v>
      </c>
      <c r="U28" s="1144">
        <f>E28/E29-1</f>
        <v>-9.0449527636460303E-4</v>
      </c>
      <c r="V28" s="1144">
        <f>F28/F29-1</f>
        <v>5.2825485432512753E-3</v>
      </c>
      <c r="X28" s="1122"/>
      <c r="Y28" s="1122"/>
      <c r="Z28" s="1122"/>
    </row>
    <row r="29" spans="1:34" ht="13.5" thickBot="1">
      <c r="A29" s="1123" t="s">
        <v>1172</v>
      </c>
      <c r="B29" s="1132">
        <v>275</v>
      </c>
      <c r="C29" s="1132">
        <v>232</v>
      </c>
      <c r="D29" s="1132">
        <f t="shared" si="34"/>
        <v>232</v>
      </c>
      <c r="E29" s="1132">
        <v>376</v>
      </c>
      <c r="F29" s="1133">
        <v>213</v>
      </c>
      <c r="G29" s="4004">
        <v>2011</v>
      </c>
      <c r="H29" s="1145">
        <v>4</v>
      </c>
      <c r="I29" s="1145">
        <v>-0.2</v>
      </c>
      <c r="J29" s="1145">
        <v>0.04</v>
      </c>
      <c r="K29" s="1145">
        <v>-0.34</v>
      </c>
      <c r="L29" s="1146">
        <v>0.46</v>
      </c>
      <c r="N29" s="1147">
        <f t="shared" si="36"/>
        <v>-2E-3</v>
      </c>
      <c r="O29" s="1148">
        <f t="shared" si="36"/>
        <v>4.0000000000000002E-4</v>
      </c>
      <c r="P29" s="1148">
        <f t="shared" si="36"/>
        <v>-3.4000000000000002E-3</v>
      </c>
      <c r="Q29" s="1148">
        <f t="shared" si="36"/>
        <v>4.5999999999999999E-3</v>
      </c>
      <c r="R29" s="1137"/>
      <c r="S29" s="1138"/>
      <c r="T29" s="1139"/>
      <c r="U29" s="1139"/>
      <c r="V29" s="1139"/>
      <c r="X29" s="1139"/>
      <c r="Y29" s="1139"/>
      <c r="Z29" s="1139"/>
    </row>
    <row r="30" spans="1:34">
      <c r="A30" s="1123" t="s">
        <v>1173</v>
      </c>
      <c r="B30" s="1140">
        <f t="shared" ref="B30:C32" si="46">B29/(1+N29)</f>
        <v>275.55110220440883</v>
      </c>
      <c r="C30" s="1140">
        <f t="shared" si="46"/>
        <v>231.90723710515795</v>
      </c>
      <c r="D30" s="1140">
        <f t="shared" si="34"/>
        <v>231.90723710515795</v>
      </c>
      <c r="E30" s="1140">
        <f t="shared" ref="E30:F32" si="47">E29/(1+P29)</f>
        <v>377.28276138872161</v>
      </c>
      <c r="F30" s="1140">
        <f t="shared" si="47"/>
        <v>212.02468644236512</v>
      </c>
      <c r="G30" s="4005">
        <v>2011</v>
      </c>
      <c r="H30" s="1150">
        <v>3</v>
      </c>
      <c r="I30" s="1150">
        <v>0.13</v>
      </c>
      <c r="J30" s="1150">
        <v>0.75</v>
      </c>
      <c r="K30" s="1150">
        <v>-0.08</v>
      </c>
      <c r="L30" s="1151">
        <v>0.53</v>
      </c>
      <c r="N30" s="1135">
        <f t="shared" si="36"/>
        <v>1.2999999999999999E-3</v>
      </c>
      <c r="O30" s="1152">
        <f t="shared" si="36"/>
        <v>7.4999999999999997E-3</v>
      </c>
      <c r="P30" s="1152">
        <f t="shared" si="36"/>
        <v>-8.0000000000000004E-4</v>
      </c>
      <c r="Q30" s="1152">
        <f t="shared" si="36"/>
        <v>5.3E-3</v>
      </c>
      <c r="R30" s="1137"/>
      <c r="S30" s="1135"/>
      <c r="T30" s="1136"/>
      <c r="U30" s="1136"/>
      <c r="V30" s="1136"/>
    </row>
    <row r="31" spans="1:34">
      <c r="A31" s="1123" t="s">
        <v>1174</v>
      </c>
      <c r="B31" s="1140">
        <f t="shared" si="46"/>
        <v>275.19335084830601</v>
      </c>
      <c r="C31" s="1140">
        <f t="shared" si="46"/>
        <v>230.18088050139744</v>
      </c>
      <c r="D31" s="1140">
        <f t="shared" si="34"/>
        <v>230.18088050139744</v>
      </c>
      <c r="E31" s="1140">
        <f t="shared" si="47"/>
        <v>377.58482925212331</v>
      </c>
      <c r="F31" s="1140">
        <f t="shared" si="47"/>
        <v>210.90687997847917</v>
      </c>
      <c r="G31" s="4005">
        <v>2011</v>
      </c>
      <c r="H31" s="1127">
        <v>2</v>
      </c>
      <c r="I31" s="1127">
        <v>-0.4</v>
      </c>
      <c r="J31" s="1127">
        <v>0.17</v>
      </c>
      <c r="K31" s="1127">
        <v>-0.57999999999999996</v>
      </c>
      <c r="L31" s="1142">
        <v>-0.2</v>
      </c>
      <c r="N31" s="1135">
        <f t="shared" si="36"/>
        <v>-4.0000000000000001E-3</v>
      </c>
      <c r="O31" s="1152">
        <f t="shared" si="36"/>
        <v>1.7000000000000001E-3</v>
      </c>
      <c r="P31" s="1152">
        <f t="shared" si="36"/>
        <v>-5.7999999999999996E-3</v>
      </c>
      <c r="Q31" s="1152">
        <f t="shared" si="36"/>
        <v>-2E-3</v>
      </c>
      <c r="R31" s="1137"/>
      <c r="S31" s="1135"/>
      <c r="T31" s="1136"/>
      <c r="U31" s="1136"/>
      <c r="V31" s="1136"/>
    </row>
    <row r="32" spans="1:34" ht="13.5" thickBot="1">
      <c r="A32" s="1123" t="s">
        <v>1175</v>
      </c>
      <c r="B32" s="1140">
        <f t="shared" si="46"/>
        <v>276.29854502841971</v>
      </c>
      <c r="C32" s="1140">
        <f t="shared" si="46"/>
        <v>229.79023709833027</v>
      </c>
      <c r="D32" s="1140">
        <f t="shared" si="34"/>
        <v>229.79023709833027</v>
      </c>
      <c r="E32" s="1140">
        <f t="shared" si="47"/>
        <v>379.78759731655936</v>
      </c>
      <c r="F32" s="1140">
        <f t="shared" si="47"/>
        <v>211.32953905659235</v>
      </c>
      <c r="G32" s="4006">
        <v>2011</v>
      </c>
      <c r="H32" s="1126">
        <v>1</v>
      </c>
      <c r="I32" s="1126">
        <v>2.65</v>
      </c>
      <c r="J32" s="1126">
        <v>3.76</v>
      </c>
      <c r="K32" s="1126">
        <v>1.89</v>
      </c>
      <c r="L32" s="1141">
        <v>7.95</v>
      </c>
      <c r="N32" s="1143">
        <f t="shared" si="36"/>
        <v>2.6499999999999999E-2</v>
      </c>
      <c r="O32" s="1144">
        <f t="shared" si="36"/>
        <v>3.7599999999999995E-2</v>
      </c>
      <c r="P32" s="1144">
        <f t="shared" si="36"/>
        <v>1.89E-2</v>
      </c>
      <c r="Q32" s="1144">
        <f t="shared" si="36"/>
        <v>7.9500000000000001E-2</v>
      </c>
      <c r="R32" s="1137"/>
      <c r="S32" s="1143">
        <f>B32/B33-1</f>
        <v>2.713213765211786E-2</v>
      </c>
      <c r="T32" s="1144">
        <f>C32/C33-1</f>
        <v>3.9774828499231862E-2</v>
      </c>
      <c r="U32" s="1144">
        <f>E32/E33-1</f>
        <v>1.8197311840641772E-2</v>
      </c>
      <c r="V32" s="1144">
        <f>F32/F33-1</f>
        <v>7.8211933962205826E-2</v>
      </c>
      <c r="X32" s="1122"/>
      <c r="Y32" s="1122"/>
      <c r="Z32" s="1122"/>
    </row>
    <row r="33" spans="1:26" ht="13.5" thickBot="1">
      <c r="A33" s="1123" t="s">
        <v>1176</v>
      </c>
      <c r="B33" s="1132">
        <v>269</v>
      </c>
      <c r="C33" s="1132">
        <v>221</v>
      </c>
      <c r="D33" s="1132">
        <f t="shared" si="34"/>
        <v>221</v>
      </c>
      <c r="E33" s="1132">
        <v>373</v>
      </c>
      <c r="F33" s="1133">
        <v>196</v>
      </c>
      <c r="G33" s="4004">
        <v>2010</v>
      </c>
      <c r="H33" s="1145">
        <v>4</v>
      </c>
      <c r="I33" s="1145">
        <v>5.72</v>
      </c>
      <c r="J33" s="1145">
        <v>6.57</v>
      </c>
      <c r="K33" s="1145">
        <v>5.72</v>
      </c>
      <c r="L33" s="1146">
        <v>2.72</v>
      </c>
      <c r="N33" s="1135">
        <f t="shared" si="36"/>
        <v>5.7200000000000001E-2</v>
      </c>
      <c r="O33" s="1136">
        <f t="shared" si="36"/>
        <v>6.5700000000000008E-2</v>
      </c>
      <c r="P33" s="1136">
        <f t="shared" si="36"/>
        <v>5.7200000000000001E-2</v>
      </c>
      <c r="Q33" s="1136">
        <f t="shared" si="36"/>
        <v>2.7200000000000002E-2</v>
      </c>
      <c r="R33" s="1137"/>
      <c r="S33" s="1138"/>
      <c r="T33" s="1139"/>
      <c r="U33" s="1139"/>
      <c r="V33" s="1139"/>
      <c r="X33" s="1139"/>
      <c r="Y33" s="1139"/>
      <c r="Z33" s="1139"/>
    </row>
    <row r="34" spans="1:26">
      <c r="A34" s="1123" t="s">
        <v>1177</v>
      </c>
      <c r="B34" s="1140">
        <f t="shared" ref="B34:C36" si="48">B33/(1+N33)</f>
        <v>254.44570563753314</v>
      </c>
      <c r="C34" s="1140">
        <f t="shared" si="48"/>
        <v>207.37543398705074</v>
      </c>
      <c r="D34" s="1140">
        <f t="shared" si="34"/>
        <v>207.37543398705074</v>
      </c>
      <c r="E34" s="1140">
        <f t="shared" ref="E34:F36" si="49">E33/(1+P33)</f>
        <v>352.81876655315932</v>
      </c>
      <c r="F34" s="1140">
        <f t="shared" si="49"/>
        <v>190.809968847352</v>
      </c>
      <c r="G34" s="4005">
        <v>2010</v>
      </c>
      <c r="H34" s="1150">
        <v>3</v>
      </c>
      <c r="I34" s="1150">
        <v>4.7300000000000004</v>
      </c>
      <c r="J34" s="1150">
        <v>3.9</v>
      </c>
      <c r="K34" s="1150">
        <v>5.03</v>
      </c>
      <c r="L34" s="1151">
        <v>4.21</v>
      </c>
      <c r="N34" s="1135">
        <f t="shared" si="36"/>
        <v>4.7300000000000002E-2</v>
      </c>
      <c r="O34" s="1136">
        <f t="shared" si="36"/>
        <v>3.9E-2</v>
      </c>
      <c r="P34" s="1136">
        <f t="shared" si="36"/>
        <v>5.0300000000000004E-2</v>
      </c>
      <c r="Q34" s="1136">
        <f t="shared" si="36"/>
        <v>4.2099999999999999E-2</v>
      </c>
      <c r="R34" s="1137"/>
      <c r="S34" s="1135"/>
      <c r="T34" s="1136"/>
      <c r="U34" s="1136"/>
      <c r="V34" s="1136"/>
    </row>
    <row r="35" spans="1:26">
      <c r="A35" s="1123" t="s">
        <v>1178</v>
      </c>
      <c r="B35" s="1140">
        <f t="shared" si="48"/>
        <v>242.95398227588385</v>
      </c>
      <c r="C35" s="1140">
        <f t="shared" si="48"/>
        <v>199.59137053614126</v>
      </c>
      <c r="D35" s="1140">
        <f t="shared" si="34"/>
        <v>199.59137053614126</v>
      </c>
      <c r="E35" s="1140">
        <f t="shared" si="49"/>
        <v>335.92189522342125</v>
      </c>
      <c r="F35" s="1140">
        <f t="shared" si="49"/>
        <v>183.10139991109489</v>
      </c>
      <c r="G35" s="4005">
        <v>2010</v>
      </c>
      <c r="H35" s="1127">
        <v>2</v>
      </c>
      <c r="I35" s="1127">
        <v>4.6900000000000004</v>
      </c>
      <c r="J35" s="1127">
        <v>3.55</v>
      </c>
      <c r="K35" s="1127">
        <v>5.07</v>
      </c>
      <c r="L35" s="1142">
        <v>4.2300000000000004</v>
      </c>
      <c r="N35" s="1135">
        <f t="shared" si="36"/>
        <v>4.6900000000000004E-2</v>
      </c>
      <c r="O35" s="1136">
        <f t="shared" si="36"/>
        <v>3.5499999999999997E-2</v>
      </c>
      <c r="P35" s="1136">
        <f t="shared" si="36"/>
        <v>5.0700000000000002E-2</v>
      </c>
      <c r="Q35" s="1136">
        <f t="shared" si="36"/>
        <v>4.2300000000000004E-2</v>
      </c>
      <c r="R35" s="1137"/>
      <c r="S35" s="1135"/>
      <c r="T35" s="1136"/>
      <c r="U35" s="1136"/>
      <c r="V35" s="1136"/>
    </row>
    <row r="36" spans="1:26" ht="13.5" thickBot="1">
      <c r="A36" s="1123" t="s">
        <v>1179</v>
      </c>
      <c r="B36" s="1140">
        <f t="shared" si="48"/>
        <v>232.06990378821649</v>
      </c>
      <c r="C36" s="1140">
        <f t="shared" si="48"/>
        <v>192.74878854286936</v>
      </c>
      <c r="D36" s="1140">
        <f t="shared" si="34"/>
        <v>192.74878854286936</v>
      </c>
      <c r="E36" s="1140">
        <f t="shared" si="49"/>
        <v>319.71247284992984</v>
      </c>
      <c r="F36" s="1140">
        <f t="shared" si="49"/>
        <v>175.67053622862409</v>
      </c>
      <c r="G36" s="4006">
        <v>2010</v>
      </c>
      <c r="H36" s="1126">
        <v>1</v>
      </c>
      <c r="I36" s="1126">
        <v>5.4</v>
      </c>
      <c r="J36" s="1126">
        <v>3.2</v>
      </c>
      <c r="K36" s="1126">
        <v>6.16</v>
      </c>
      <c r="L36" s="1141">
        <v>4.51</v>
      </c>
      <c r="N36" s="1135">
        <f t="shared" si="36"/>
        <v>5.4000000000000006E-2</v>
      </c>
      <c r="O36" s="1136">
        <f t="shared" si="36"/>
        <v>3.2000000000000001E-2</v>
      </c>
      <c r="P36" s="1136">
        <f t="shared" si="36"/>
        <v>6.1600000000000002E-2</v>
      </c>
      <c r="Q36" s="1136">
        <f t="shared" si="36"/>
        <v>4.5100000000000001E-2</v>
      </c>
      <c r="R36" s="1137"/>
      <c r="S36" s="1143">
        <f>B36/B37-1</f>
        <v>5.4863199037347599E-2</v>
      </c>
      <c r="T36" s="1144">
        <f>C36/C37-1</f>
        <v>3.0742184721226584E-2</v>
      </c>
      <c r="U36" s="1144">
        <f>E36/E37-1</f>
        <v>6.2167683886810154E-2</v>
      </c>
      <c r="V36" s="1144">
        <f>F36/F37-1</f>
        <v>4.5657953741810031E-2</v>
      </c>
      <c r="X36" s="1122"/>
      <c r="Y36" s="1122"/>
      <c r="Z36" s="1122"/>
    </row>
    <row r="37" spans="1:26" ht="13.5" thickBot="1">
      <c r="A37" s="1123" t="s">
        <v>1180</v>
      </c>
      <c r="B37" s="1132">
        <v>220</v>
      </c>
      <c r="C37" s="1132">
        <v>187</v>
      </c>
      <c r="D37" s="1132">
        <f t="shared" si="34"/>
        <v>187</v>
      </c>
      <c r="E37" s="1132">
        <v>301</v>
      </c>
      <c r="F37" s="1133">
        <v>168</v>
      </c>
      <c r="G37" s="4004">
        <v>2009</v>
      </c>
      <c r="H37" s="1145">
        <v>4</v>
      </c>
      <c r="I37" s="1145">
        <v>2.2999999999999998</v>
      </c>
      <c r="J37" s="1145">
        <v>1.04</v>
      </c>
      <c r="K37" s="1145">
        <v>2.84</v>
      </c>
      <c r="L37" s="1146">
        <v>0.67</v>
      </c>
      <c r="N37" s="1147">
        <f t="shared" si="36"/>
        <v>2.3E-2</v>
      </c>
      <c r="O37" s="1148">
        <f t="shared" si="36"/>
        <v>1.04E-2</v>
      </c>
      <c r="P37" s="1148">
        <f t="shared" si="36"/>
        <v>2.8399999999999998E-2</v>
      </c>
      <c r="Q37" s="1148">
        <f t="shared" si="36"/>
        <v>6.7000000000000002E-3</v>
      </c>
      <c r="R37" s="1137"/>
      <c r="S37" s="1138"/>
      <c r="T37" s="1139"/>
      <c r="U37" s="1139"/>
      <c r="V37" s="1139"/>
      <c r="X37" s="1139"/>
      <c r="Y37" s="1139"/>
      <c r="Z37" s="1139"/>
    </row>
    <row r="38" spans="1:26">
      <c r="A38" s="1123" t="s">
        <v>1181</v>
      </c>
      <c r="B38" s="1140">
        <f t="shared" ref="B38:C40" si="50">B37/(1+N37)</f>
        <v>215.05376344086022</v>
      </c>
      <c r="C38" s="1140">
        <f t="shared" si="50"/>
        <v>185.0752177355503</v>
      </c>
      <c r="D38" s="1140">
        <f t="shared" si="34"/>
        <v>185.0752177355503</v>
      </c>
      <c r="E38" s="1140">
        <f t="shared" ref="E38:F40" si="51">E37/(1+P37)</f>
        <v>292.68767016725008</v>
      </c>
      <c r="F38" s="1140">
        <f t="shared" si="51"/>
        <v>166.88189132810174</v>
      </c>
      <c r="G38" s="4005">
        <v>2009</v>
      </c>
      <c r="H38" s="1150">
        <v>3</v>
      </c>
      <c r="I38" s="1150">
        <v>2.1</v>
      </c>
      <c r="J38" s="1150">
        <v>1.86</v>
      </c>
      <c r="K38" s="1150">
        <v>2.29</v>
      </c>
      <c r="L38" s="1151">
        <v>0.85</v>
      </c>
      <c r="N38" s="1135">
        <f t="shared" si="36"/>
        <v>2.1000000000000001E-2</v>
      </c>
      <c r="O38" s="1152">
        <f t="shared" si="36"/>
        <v>1.8600000000000002E-2</v>
      </c>
      <c r="P38" s="1152">
        <f t="shared" si="36"/>
        <v>2.29E-2</v>
      </c>
      <c r="Q38" s="1152">
        <f t="shared" si="36"/>
        <v>8.5000000000000006E-3</v>
      </c>
      <c r="R38" s="1137"/>
      <c r="S38" s="1135"/>
      <c r="T38" s="1136"/>
      <c r="U38" s="1136"/>
      <c r="V38" s="1136"/>
    </row>
    <row r="39" spans="1:26">
      <c r="A39" s="1123" t="s">
        <v>1182</v>
      </c>
      <c r="B39" s="1140">
        <f t="shared" si="50"/>
        <v>210.630522469011</v>
      </c>
      <c r="C39" s="1140">
        <f t="shared" si="50"/>
        <v>181.69567812247232</v>
      </c>
      <c r="D39" s="1140">
        <f t="shared" si="34"/>
        <v>181.69567812247232</v>
      </c>
      <c r="E39" s="1140">
        <f t="shared" si="51"/>
        <v>286.13517466736738</v>
      </c>
      <c r="F39" s="1140">
        <f t="shared" si="51"/>
        <v>165.47535084591149</v>
      </c>
      <c r="G39" s="4005">
        <v>2009</v>
      </c>
      <c r="H39" s="1127">
        <v>2</v>
      </c>
      <c r="I39" s="1127">
        <v>0.86</v>
      </c>
      <c r="J39" s="1127">
        <v>-1.1299999999999999</v>
      </c>
      <c r="K39" s="1127">
        <v>1.79</v>
      </c>
      <c r="L39" s="1142">
        <v>-2.0699999999999998</v>
      </c>
      <c r="N39" s="1135">
        <f t="shared" si="36"/>
        <v>8.6E-3</v>
      </c>
      <c r="O39" s="1152">
        <f t="shared" si="36"/>
        <v>-1.1299999999999999E-2</v>
      </c>
      <c r="P39" s="1152">
        <f t="shared" si="36"/>
        <v>1.7899999999999999E-2</v>
      </c>
      <c r="Q39" s="1152">
        <f t="shared" si="36"/>
        <v>-2.07E-2</v>
      </c>
      <c r="R39" s="1137"/>
      <c r="S39" s="1135"/>
      <c r="T39" s="1136"/>
      <c r="U39" s="1136"/>
      <c r="V39" s="1136"/>
    </row>
    <row r="40" spans="1:26">
      <c r="A40" s="1123" t="s">
        <v>1183</v>
      </c>
      <c r="B40" s="1140">
        <f t="shared" si="50"/>
        <v>208.83454537875372</v>
      </c>
      <c r="C40" s="1140">
        <f t="shared" si="50"/>
        <v>183.77230517090351</v>
      </c>
      <c r="D40" s="1140">
        <f t="shared" si="34"/>
        <v>183.77230517090351</v>
      </c>
      <c r="E40" s="1140">
        <f t="shared" si="51"/>
        <v>281.10342338870947</v>
      </c>
      <c r="F40" s="1140">
        <f t="shared" si="51"/>
        <v>168.97309388942256</v>
      </c>
      <c r="G40" s="4006">
        <v>2009</v>
      </c>
      <c r="H40" s="1126">
        <v>1</v>
      </c>
      <c r="I40" s="1126">
        <v>-2.64</v>
      </c>
      <c r="J40" s="1126">
        <v>-2.5299999999999998</v>
      </c>
      <c r="K40" s="1126">
        <v>-3.02</v>
      </c>
      <c r="L40" s="1141">
        <v>1.52</v>
      </c>
      <c r="N40" s="1143">
        <f t="shared" si="36"/>
        <v>-2.64E-2</v>
      </c>
      <c r="O40" s="1144">
        <f t="shared" si="36"/>
        <v>-2.53E-2</v>
      </c>
      <c r="P40" s="1144">
        <f t="shared" si="36"/>
        <v>-3.0200000000000001E-2</v>
      </c>
      <c r="Q40" s="1144">
        <f t="shared" si="36"/>
        <v>1.52E-2</v>
      </c>
      <c r="R40" s="1137"/>
      <c r="S40" s="1143">
        <f>B40/B41-1</f>
        <v>-2.4137638417038754E-2</v>
      </c>
      <c r="T40" s="1144">
        <f>C40/C41-1</f>
        <v>-2.248773845264096E-2</v>
      </c>
      <c r="U40" s="1144">
        <f>E40/E41-1</f>
        <v>-2.7323794502735366E-2</v>
      </c>
      <c r="V40" s="1144">
        <f>F40/F41-1</f>
        <v>1.7910204153148035E-2</v>
      </c>
      <c r="X40" s="1122"/>
      <c r="Y40" s="1122"/>
      <c r="Z40" s="1122"/>
    </row>
    <row r="41" spans="1:26" ht="13.5" thickBot="1">
      <c r="A41" s="1123" t="s">
        <v>1184</v>
      </c>
      <c r="B41" s="1174">
        <v>214</v>
      </c>
      <c r="C41" s="1174">
        <v>188</v>
      </c>
      <c r="D41" s="1174">
        <f t="shared" si="34"/>
        <v>188</v>
      </c>
      <c r="E41" s="1174">
        <v>289</v>
      </c>
      <c r="F41" s="1175">
        <v>166</v>
      </c>
      <c r="G41" s="4004">
        <v>2008</v>
      </c>
      <c r="H41" s="1145">
        <v>4</v>
      </c>
      <c r="I41" s="1145">
        <v>1.73</v>
      </c>
      <c r="J41" s="1145">
        <v>0.03</v>
      </c>
      <c r="K41" s="1145">
        <v>2.59</v>
      </c>
      <c r="L41" s="1146">
        <v>-1.66</v>
      </c>
      <c r="N41" s="1135">
        <f t="shared" si="36"/>
        <v>1.7299999999999999E-2</v>
      </c>
      <c r="O41" s="1136">
        <f t="shared" si="36"/>
        <v>2.9999999999999997E-4</v>
      </c>
      <c r="P41" s="1136">
        <f t="shared" si="36"/>
        <v>2.5899999999999999E-2</v>
      </c>
      <c r="Q41" s="1136">
        <f t="shared" si="36"/>
        <v>-1.66E-2</v>
      </c>
      <c r="R41" s="1137"/>
      <c r="S41" s="1138"/>
      <c r="T41" s="1139"/>
      <c r="U41" s="1139"/>
      <c r="V41" s="1139"/>
      <c r="X41" s="1139"/>
      <c r="Y41" s="1139"/>
      <c r="Z41" s="1139"/>
    </row>
    <row r="42" spans="1:26">
      <c r="A42" s="1123" t="s">
        <v>1185</v>
      </c>
      <c r="B42" s="1140">
        <f t="shared" ref="B42:C44" si="52">B41/(1+N41)</f>
        <v>210.36075887152265</v>
      </c>
      <c r="C42" s="1140">
        <f t="shared" si="52"/>
        <v>187.94361691492554</v>
      </c>
      <c r="D42" s="1140">
        <f t="shared" si="34"/>
        <v>187.94361691492554</v>
      </c>
      <c r="E42" s="1140">
        <f t="shared" ref="E42:F44" si="53">E41/(1+P41)</f>
        <v>281.70386977288234</v>
      </c>
      <c r="F42" s="1140">
        <f t="shared" si="53"/>
        <v>168.80211511083994</v>
      </c>
      <c r="G42" s="4005">
        <v>2008</v>
      </c>
      <c r="H42" s="1150">
        <v>3</v>
      </c>
      <c r="I42" s="1150">
        <v>1.96</v>
      </c>
      <c r="J42" s="1150">
        <v>2.36</v>
      </c>
      <c r="K42" s="1150">
        <v>1.82</v>
      </c>
      <c r="L42" s="1151">
        <v>2.2200000000000002</v>
      </c>
      <c r="N42" s="1135">
        <f t="shared" si="36"/>
        <v>1.9599999999999999E-2</v>
      </c>
      <c r="O42" s="1136">
        <f t="shared" si="36"/>
        <v>2.3599999999999999E-2</v>
      </c>
      <c r="P42" s="1136">
        <f t="shared" si="36"/>
        <v>1.8200000000000001E-2</v>
      </c>
      <c r="Q42" s="1136">
        <f t="shared" si="36"/>
        <v>2.2200000000000001E-2</v>
      </c>
      <c r="R42" s="1137"/>
      <c r="S42" s="1135"/>
      <c r="T42" s="1136"/>
      <c r="U42" s="1136"/>
      <c r="V42" s="1136"/>
    </row>
    <row r="43" spans="1:26">
      <c r="A43" s="1123" t="s">
        <v>1186</v>
      </c>
      <c r="B43" s="1140">
        <f t="shared" si="52"/>
        <v>206.31694671589116</v>
      </c>
      <c r="C43" s="1140">
        <f t="shared" si="52"/>
        <v>183.61041121036101</v>
      </c>
      <c r="D43" s="1140">
        <f t="shared" si="34"/>
        <v>183.61041121036101</v>
      </c>
      <c r="E43" s="1140">
        <f t="shared" si="53"/>
        <v>276.66850301795557</v>
      </c>
      <c r="F43" s="1140">
        <f t="shared" si="53"/>
        <v>165.1360938278614</v>
      </c>
      <c r="G43" s="4005">
        <v>2008</v>
      </c>
      <c r="H43" s="1127">
        <v>2</v>
      </c>
      <c r="I43" s="1127">
        <v>4.93</v>
      </c>
      <c r="J43" s="1127">
        <v>7.38</v>
      </c>
      <c r="K43" s="1127">
        <v>3.98</v>
      </c>
      <c r="L43" s="1142">
        <v>6.86</v>
      </c>
      <c r="N43" s="1135">
        <f t="shared" si="36"/>
        <v>4.9299999999999997E-2</v>
      </c>
      <c r="O43" s="1136">
        <f t="shared" si="36"/>
        <v>7.3800000000000004E-2</v>
      </c>
      <c r="P43" s="1136">
        <f t="shared" si="36"/>
        <v>3.9800000000000002E-2</v>
      </c>
      <c r="Q43" s="1136">
        <f t="shared" si="36"/>
        <v>6.8600000000000008E-2</v>
      </c>
      <c r="R43" s="1137"/>
      <c r="S43" s="1135"/>
      <c r="T43" s="1136"/>
      <c r="U43" s="1136"/>
      <c r="V43" s="1136"/>
    </row>
    <row r="44" spans="1:26" s="1180" customFormat="1" ht="13.5" thickBot="1">
      <c r="A44" s="1123" t="s">
        <v>1187</v>
      </c>
      <c r="B44" s="1177">
        <f t="shared" si="52"/>
        <v>196.62341248059772</v>
      </c>
      <c r="C44" s="1177">
        <f t="shared" si="52"/>
        <v>170.99125648199012</v>
      </c>
      <c r="D44" s="1177">
        <f t="shared" si="34"/>
        <v>170.99125648199012</v>
      </c>
      <c r="E44" s="1177">
        <f t="shared" si="53"/>
        <v>266.07857570490052</v>
      </c>
      <c r="F44" s="1177">
        <f t="shared" si="53"/>
        <v>154.53499328828505</v>
      </c>
      <c r="G44" s="4006">
        <v>2008</v>
      </c>
      <c r="H44" s="1178">
        <v>1</v>
      </c>
      <c r="I44" s="1178">
        <v>4.1399999999999997</v>
      </c>
      <c r="J44" s="1178">
        <v>3.45</v>
      </c>
      <c r="K44" s="1178">
        <v>4.95</v>
      </c>
      <c r="L44" s="1179">
        <v>4.82</v>
      </c>
      <c r="N44" s="1181">
        <f t="shared" si="36"/>
        <v>4.1399999999999999E-2</v>
      </c>
      <c r="O44" s="1182">
        <f t="shared" si="36"/>
        <v>3.4500000000000003E-2</v>
      </c>
      <c r="P44" s="1182">
        <f t="shared" si="36"/>
        <v>4.9500000000000002E-2</v>
      </c>
      <c r="Q44" s="1182">
        <f t="shared" si="36"/>
        <v>4.82E-2</v>
      </c>
      <c r="R44" s="1183"/>
      <c r="S44" s="1181">
        <f>B44/B45-1</f>
        <v>4.5869215322328349E-2</v>
      </c>
      <c r="T44" s="1182">
        <f>C44/C45-1</f>
        <v>3.6310645345394743E-2</v>
      </c>
      <c r="U44" s="1182">
        <f>E44/E45-1</f>
        <v>4.7553447657088688E-2</v>
      </c>
      <c r="V44" s="1182">
        <f>F44/F45-1</f>
        <v>4.4155360055980086E-2</v>
      </c>
      <c r="X44" s="1184"/>
      <c r="Y44" s="1184"/>
      <c r="Z44" s="1184"/>
    </row>
    <row r="45" spans="1:26" ht="13.5" thickBot="1">
      <c r="A45" s="1123" t="s">
        <v>1188</v>
      </c>
      <c r="B45" s="1132">
        <v>188</v>
      </c>
      <c r="C45" s="1132">
        <v>165</v>
      </c>
      <c r="D45" s="1132">
        <f t="shared" si="34"/>
        <v>165</v>
      </c>
      <c r="E45" s="1132">
        <v>254</v>
      </c>
      <c r="F45" s="1133">
        <v>148</v>
      </c>
      <c r="G45" s="4004">
        <v>2007</v>
      </c>
      <c r="H45" s="1185">
        <v>4</v>
      </c>
      <c r="I45" s="1185">
        <v>5.51</v>
      </c>
      <c r="J45" s="1185">
        <v>4.8899999999999997</v>
      </c>
      <c r="K45" s="1185">
        <v>6.43</v>
      </c>
      <c r="L45" s="1186">
        <v>5.36</v>
      </c>
      <c r="N45" s="1187">
        <f t="shared" ref="N45:O48" si="54">B45/B46-1</f>
        <v>4.1339718365245526E-2</v>
      </c>
      <c r="O45" s="1188">
        <f t="shared" si="54"/>
        <v>4.0324492593776018E-2</v>
      </c>
      <c r="P45" s="1188">
        <f t="shared" ref="P45:Q48" si="55">E45/E46-1</f>
        <v>6.1625555347990968E-2</v>
      </c>
      <c r="Q45" s="1188">
        <f t="shared" si="55"/>
        <v>4.6757569250590603E-2</v>
      </c>
      <c r="R45" s="1137"/>
      <c r="S45" s="1138"/>
      <c r="T45" s="1139"/>
      <c r="U45" s="1139"/>
      <c r="V45" s="1139"/>
      <c r="X45" s="1139"/>
      <c r="Y45" s="1139"/>
      <c r="Z45" s="1139"/>
    </row>
    <row r="46" spans="1:26">
      <c r="A46" s="1123" t="s">
        <v>1189</v>
      </c>
      <c r="B46" s="1140">
        <f t="shared" ref="B46:C48" si="56">B47+(B$45-B$49)*I46/SUM(I$45:I$48)</f>
        <v>180.5366651097618</v>
      </c>
      <c r="C46" s="1140">
        <f t="shared" si="56"/>
        <v>158.60435967302453</v>
      </c>
      <c r="D46" s="1140">
        <f t="shared" si="34"/>
        <v>158.60435967302453</v>
      </c>
      <c r="E46" s="1140">
        <f t="shared" ref="E46:F48" si="57">E47+(E$45-E$49)*K46/SUM(K$45:K$48)</f>
        <v>239.25573260785075</v>
      </c>
      <c r="F46" s="1140">
        <f t="shared" si="57"/>
        <v>141.38899430740037</v>
      </c>
      <c r="G46" s="4005">
        <v>2007</v>
      </c>
      <c r="H46" s="1150">
        <v>3</v>
      </c>
      <c r="I46" s="1150">
        <v>8.65</v>
      </c>
      <c r="J46" s="1150">
        <v>8.06</v>
      </c>
      <c r="K46" s="1150">
        <v>9.94</v>
      </c>
      <c r="L46" s="1151">
        <v>5.8</v>
      </c>
      <c r="N46" s="1187">
        <f t="shared" si="54"/>
        <v>6.940217571740015E-2</v>
      </c>
      <c r="O46" s="1188">
        <f t="shared" si="54"/>
        <v>7.1197482471153428E-2</v>
      </c>
      <c r="P46" s="1188">
        <f t="shared" si="55"/>
        <v>0.10529679922579582</v>
      </c>
      <c r="Q46" s="1188">
        <f t="shared" si="55"/>
        <v>5.3292245059512133E-2</v>
      </c>
      <c r="R46" s="1137"/>
      <c r="S46" s="1135"/>
      <c r="T46" s="1136"/>
      <c r="U46" s="1136"/>
      <c r="V46" s="1136"/>
      <c r="X46" s="1189"/>
      <c r="Y46" s="1189"/>
      <c r="Z46" s="1189"/>
    </row>
    <row r="47" spans="1:26">
      <c r="A47" s="1123" t="s">
        <v>1190</v>
      </c>
      <c r="B47" s="1140">
        <f t="shared" si="56"/>
        <v>168.82017748715555</v>
      </c>
      <c r="C47" s="1140">
        <f t="shared" si="56"/>
        <v>148.06267029972753</v>
      </c>
      <c r="D47" s="1140">
        <f t="shared" si="34"/>
        <v>148.06267029972753</v>
      </c>
      <c r="E47" s="1140">
        <f t="shared" si="57"/>
        <v>216.46288379323747</v>
      </c>
      <c r="F47" s="1140">
        <f t="shared" si="57"/>
        <v>134.23529411764704</v>
      </c>
      <c r="G47" s="4005">
        <v>2007</v>
      </c>
      <c r="H47" s="1127">
        <v>2</v>
      </c>
      <c r="I47" s="1127">
        <v>3.67</v>
      </c>
      <c r="J47" s="1127">
        <v>2.3199999999999998</v>
      </c>
      <c r="K47" s="1127">
        <v>5.0199999999999996</v>
      </c>
      <c r="L47" s="1142">
        <v>6.71</v>
      </c>
      <c r="N47" s="1187">
        <f t="shared" si="54"/>
        <v>3.0339138143848032E-2</v>
      </c>
      <c r="O47" s="1188">
        <f t="shared" si="54"/>
        <v>2.0922341588790472E-2</v>
      </c>
      <c r="P47" s="1188">
        <f t="shared" si="55"/>
        <v>5.6164796592717003E-2</v>
      </c>
      <c r="Q47" s="1188">
        <f t="shared" si="55"/>
        <v>6.5704536723887319E-2</v>
      </c>
      <c r="R47" s="1137"/>
      <c r="S47" s="1135"/>
      <c r="T47" s="1136"/>
      <c r="U47" s="1136"/>
      <c r="V47" s="1136"/>
      <c r="X47" s="1189"/>
      <c r="Y47" s="1189"/>
      <c r="Z47" s="1189"/>
    </row>
    <row r="48" spans="1:26">
      <c r="A48" s="1123" t="s">
        <v>1191</v>
      </c>
      <c r="B48" s="1140">
        <f t="shared" si="56"/>
        <v>163.84913591779542</v>
      </c>
      <c r="C48" s="1140">
        <f t="shared" si="56"/>
        <v>145.0283378746594</v>
      </c>
      <c r="D48" s="1140">
        <f t="shared" si="34"/>
        <v>145.0283378746594</v>
      </c>
      <c r="E48" s="1140">
        <f t="shared" si="57"/>
        <v>204.95180722891567</v>
      </c>
      <c r="F48" s="1140">
        <f t="shared" si="57"/>
        <v>125.95920303605313</v>
      </c>
      <c r="G48" s="4006">
        <v>2007</v>
      </c>
      <c r="H48" s="1126">
        <v>1</v>
      </c>
      <c r="I48" s="1126">
        <v>3.58</v>
      </c>
      <c r="J48" s="1126">
        <v>3.08</v>
      </c>
      <c r="K48" s="1126">
        <v>4.34</v>
      </c>
      <c r="L48" s="1141">
        <v>3.21</v>
      </c>
      <c r="N48" s="1190">
        <f t="shared" si="54"/>
        <v>3.0497710174814063E-2</v>
      </c>
      <c r="O48" s="1191">
        <f t="shared" si="54"/>
        <v>2.8569772160704998E-2</v>
      </c>
      <c r="P48" s="1191">
        <f t="shared" si="55"/>
        <v>5.1034908866234296E-2</v>
      </c>
      <c r="Q48" s="1191">
        <f t="shared" si="55"/>
        <v>3.245248390207478E-2</v>
      </c>
      <c r="R48" s="1137"/>
      <c r="S48" s="1143">
        <f>B48/B49-1</f>
        <v>3.0497710174814063E-2</v>
      </c>
      <c r="T48" s="1144">
        <f>C48/C49-1</f>
        <v>2.8569772160704998E-2</v>
      </c>
      <c r="U48" s="1144">
        <f>E48/E49-1</f>
        <v>5.1034908866234296E-2</v>
      </c>
      <c r="V48" s="1144">
        <f>F48/F49-1</f>
        <v>3.245248390207478E-2</v>
      </c>
      <c r="X48" s="1189"/>
      <c r="Y48" s="1189"/>
      <c r="Z48" s="1189"/>
    </row>
    <row r="49" spans="1:26" ht="13.5" thickBot="1">
      <c r="A49" s="1123" t="s">
        <v>1192</v>
      </c>
      <c r="B49" s="1153">
        <v>159</v>
      </c>
      <c r="C49" s="1153">
        <v>141</v>
      </c>
      <c r="D49" s="1153">
        <f t="shared" si="34"/>
        <v>141</v>
      </c>
      <c r="E49" s="1153">
        <v>195</v>
      </c>
      <c r="F49" s="1154">
        <v>122</v>
      </c>
      <c r="G49" s="4004">
        <v>2006</v>
      </c>
      <c r="H49" s="1145">
        <v>4</v>
      </c>
      <c r="I49" s="1145">
        <v>3.79</v>
      </c>
      <c r="J49" s="1145">
        <v>2.21</v>
      </c>
      <c r="K49" s="1145">
        <v>5.65</v>
      </c>
      <c r="L49" s="1146">
        <v>5.41</v>
      </c>
      <c r="N49" s="1187">
        <f t="shared" ref="N49:O52" si="58">I49/SUM(I$49:I$52)*(B$49/B$53-1)</f>
        <v>7.245466462748526E-2</v>
      </c>
      <c r="O49" s="1188">
        <f t="shared" si="58"/>
        <v>2.3237230038062766E-2</v>
      </c>
      <c r="P49" s="1188">
        <f t="shared" ref="P49:Q52" si="59">K49/SUM(K$49:K$52)*(E$49/E$53-1)</f>
        <v>0.16146893866323722</v>
      </c>
      <c r="Q49" s="1188">
        <f t="shared" si="59"/>
        <v>5.0755230321793784E-2</v>
      </c>
      <c r="R49" s="1137"/>
      <c r="S49" s="1138"/>
      <c r="T49" s="1139"/>
      <c r="U49" s="1139"/>
      <c r="V49" s="1139"/>
      <c r="X49" s="1189"/>
      <c r="Y49" s="1189"/>
      <c r="Z49" s="1189"/>
    </row>
    <row r="50" spans="1:26">
      <c r="A50" s="1123" t="s">
        <v>1193</v>
      </c>
      <c r="B50" s="1140">
        <f t="shared" ref="B50:C52" si="60">B51+(B$49-B$53)*I50/SUM(I$49:I$52)</f>
        <v>149.00125628140702</v>
      </c>
      <c r="C50" s="1140">
        <f t="shared" si="60"/>
        <v>137.95592286501378</v>
      </c>
      <c r="D50" s="1140">
        <f t="shared" si="34"/>
        <v>137.95592286501378</v>
      </c>
      <c r="E50" s="1140">
        <f t="shared" ref="E50:F52" si="61">E51+(E$49-E$53)*K50/SUM(K$49:K$52)</f>
        <v>169.97231450719823</v>
      </c>
      <c r="F50" s="1140">
        <f t="shared" si="61"/>
        <v>116.21390374331551</v>
      </c>
      <c r="G50" s="4005">
        <v>2006</v>
      </c>
      <c r="H50" s="1150">
        <v>3</v>
      </c>
      <c r="I50" s="1150">
        <v>0.92</v>
      </c>
      <c r="J50" s="1150">
        <v>1.08</v>
      </c>
      <c r="K50" s="1150">
        <v>0.73</v>
      </c>
      <c r="L50" s="1151">
        <v>1.08</v>
      </c>
      <c r="N50" s="1187">
        <f t="shared" si="58"/>
        <v>1.7587939698492462E-2</v>
      </c>
      <c r="O50" s="1188">
        <f t="shared" si="58"/>
        <v>1.1355750425840628E-2</v>
      </c>
      <c r="P50" s="1188">
        <f t="shared" si="59"/>
        <v>2.0862358446754544E-2</v>
      </c>
      <c r="Q50" s="1188">
        <f t="shared" si="59"/>
        <v>1.0132282578103011E-2</v>
      </c>
      <c r="R50" s="1137"/>
      <c r="S50" s="1135"/>
      <c r="T50" s="1136"/>
      <c r="U50" s="1136"/>
      <c r="V50" s="1136"/>
      <c r="X50" s="1189"/>
      <c r="Y50" s="1189"/>
      <c r="Z50" s="1189"/>
    </row>
    <row r="51" spans="1:26">
      <c r="A51" s="1123" t="s">
        <v>1194</v>
      </c>
      <c r="B51" s="1140">
        <f t="shared" si="60"/>
        <v>146.57412060301507</v>
      </c>
      <c r="C51" s="1140">
        <f t="shared" si="60"/>
        <v>136.46831955922866</v>
      </c>
      <c r="D51" s="1140">
        <f t="shared" si="34"/>
        <v>136.46831955922866</v>
      </c>
      <c r="E51" s="1140">
        <f t="shared" si="61"/>
        <v>166.73864894795128</v>
      </c>
      <c r="F51" s="1140">
        <f t="shared" si="61"/>
        <v>115.05882352941177</v>
      </c>
      <c r="G51" s="4005">
        <v>2006</v>
      </c>
      <c r="H51" s="1127">
        <v>2</v>
      </c>
      <c r="I51" s="1127">
        <v>0.96</v>
      </c>
      <c r="J51" s="1127">
        <v>0.25</v>
      </c>
      <c r="K51" s="1127">
        <v>1.9</v>
      </c>
      <c r="L51" s="1142">
        <v>0.95</v>
      </c>
      <c r="N51" s="1187">
        <f t="shared" si="58"/>
        <v>1.8352632728861701E-2</v>
      </c>
      <c r="O51" s="1188">
        <f t="shared" si="58"/>
        <v>2.6286459319075526E-3</v>
      </c>
      <c r="P51" s="1188">
        <f t="shared" si="59"/>
        <v>5.4299289107991269E-2</v>
      </c>
      <c r="Q51" s="1188">
        <f t="shared" si="59"/>
        <v>8.9126559714794995E-3</v>
      </c>
      <c r="R51" s="1137"/>
      <c r="S51" s="1135"/>
      <c r="T51" s="1136"/>
      <c r="U51" s="1136"/>
      <c r="V51" s="1136"/>
      <c r="X51" s="1189"/>
      <c r="Y51" s="1189"/>
      <c r="Z51" s="1189"/>
    </row>
    <row r="52" spans="1:26">
      <c r="A52" s="1123" t="s">
        <v>1195</v>
      </c>
      <c r="B52" s="1140">
        <f t="shared" si="60"/>
        <v>144.04145728643215</v>
      </c>
      <c r="C52" s="1140">
        <f t="shared" si="60"/>
        <v>136.12396694214877</v>
      </c>
      <c r="D52" s="1140">
        <f t="shared" si="34"/>
        <v>136.12396694214877</v>
      </c>
      <c r="E52" s="1140">
        <f t="shared" si="61"/>
        <v>158.32225913621264</v>
      </c>
      <c r="F52" s="1140">
        <f t="shared" si="61"/>
        <v>114.04278074866311</v>
      </c>
      <c r="G52" s="4006">
        <v>2006</v>
      </c>
      <c r="H52" s="1126">
        <v>1</v>
      </c>
      <c r="I52" s="1126">
        <v>2.29</v>
      </c>
      <c r="J52" s="1126">
        <v>3.72</v>
      </c>
      <c r="K52" s="1126">
        <v>0.75</v>
      </c>
      <c r="L52" s="1141">
        <v>0.04</v>
      </c>
      <c r="N52" s="1190">
        <f t="shared" si="58"/>
        <v>4.3778675988638847E-2</v>
      </c>
      <c r="O52" s="1191">
        <f t="shared" si="58"/>
        <v>3.9114251466784385E-2</v>
      </c>
      <c r="P52" s="1191">
        <f t="shared" si="59"/>
        <v>2.1433929911049188E-2</v>
      </c>
      <c r="Q52" s="1191">
        <f t="shared" si="59"/>
        <v>3.7526972511492629E-4</v>
      </c>
      <c r="R52" s="1137"/>
      <c r="S52" s="1143">
        <f>B52/B53-1</f>
        <v>4.3778675988638716E-2</v>
      </c>
      <c r="T52" s="1144">
        <f>C52/C53-1</f>
        <v>3.91142514667846E-2</v>
      </c>
      <c r="U52" s="1144">
        <f>E52/E53-1</f>
        <v>2.143392991104931E-2</v>
      </c>
      <c r="V52" s="1144">
        <f>F52/F53-1</f>
        <v>3.7526972511492396E-4</v>
      </c>
      <c r="X52" s="1189"/>
      <c r="Y52" s="1189"/>
      <c r="Z52" s="1189"/>
    </row>
    <row r="53" spans="1:26" ht="13.5" thickBot="1">
      <c r="A53" s="1123" t="s">
        <v>1196</v>
      </c>
      <c r="B53" s="1153">
        <v>138</v>
      </c>
      <c r="C53" s="1153">
        <v>131</v>
      </c>
      <c r="D53" s="1153">
        <f t="shared" si="34"/>
        <v>131</v>
      </c>
      <c r="E53" s="1153">
        <v>155</v>
      </c>
      <c r="F53" s="1154">
        <v>114</v>
      </c>
      <c r="G53" s="4004">
        <v>2005</v>
      </c>
      <c r="H53" s="1145">
        <v>4</v>
      </c>
      <c r="I53" s="1145">
        <v>3.29</v>
      </c>
      <c r="J53" s="1145">
        <v>1.44</v>
      </c>
      <c r="K53" s="1145">
        <v>0.66</v>
      </c>
      <c r="L53" s="1146">
        <v>7.78</v>
      </c>
      <c r="N53" s="1187">
        <f t="shared" ref="N53:O56" si="62">I53/SUM(I$53:I$56)*(B$53/B$57-1)</f>
        <v>9.9404603216919935E-2</v>
      </c>
      <c r="O53" s="1188">
        <f t="shared" si="62"/>
        <v>4.7636550760861554E-2</v>
      </c>
      <c r="P53" s="1188">
        <f t="shared" ref="P53:Q56" si="63">K53/SUM(K$53:K$56)*(E$53/E$57-1)</f>
        <v>8.3756345177664976E-2</v>
      </c>
      <c r="Q53" s="1188">
        <f t="shared" si="63"/>
        <v>5.2148766661559584E-2</v>
      </c>
      <c r="R53" s="1137"/>
      <c r="S53" s="1138"/>
      <c r="T53" s="1139"/>
      <c r="U53" s="1139"/>
      <c r="V53" s="1139"/>
      <c r="X53" s="1189"/>
      <c r="Y53" s="1189"/>
      <c r="Z53" s="1189"/>
    </row>
    <row r="54" spans="1:26">
      <c r="A54" s="1123" t="s">
        <v>1197</v>
      </c>
      <c r="B54" s="1140">
        <f t="shared" ref="B54:C56" si="64">B55+(B$53-B$57)*I54/SUM(I$53:I$56)</f>
        <v>125.9720430107527</v>
      </c>
      <c r="C54" s="1140">
        <f t="shared" si="64"/>
        <v>125.1883408071749</v>
      </c>
      <c r="D54" s="1140">
        <f t="shared" si="34"/>
        <v>125.1883408071749</v>
      </c>
      <c r="E54" s="1140">
        <f t="shared" ref="E54:F56" si="65">E55+(E$53-E$57)*K54/SUM(K$53:K$56)</f>
        <v>144.61421319796952</v>
      </c>
      <c r="F54" s="1140">
        <f t="shared" si="65"/>
        <v>108.42008196721311</v>
      </c>
      <c r="G54" s="4005">
        <v>2005</v>
      </c>
      <c r="H54" s="1150">
        <v>3</v>
      </c>
      <c r="I54" s="1150">
        <v>0.46</v>
      </c>
      <c r="J54" s="1150">
        <v>0.32</v>
      </c>
      <c r="K54" s="1150">
        <v>0.42</v>
      </c>
      <c r="L54" s="1151">
        <v>0.64</v>
      </c>
      <c r="N54" s="1187">
        <f t="shared" si="62"/>
        <v>1.3898515951301874E-2</v>
      </c>
      <c r="O54" s="1188">
        <f t="shared" si="62"/>
        <v>1.0585900169080346E-2</v>
      </c>
      <c r="P54" s="1188">
        <f t="shared" si="63"/>
        <v>5.3299492385786795E-2</v>
      </c>
      <c r="Q54" s="1188">
        <f t="shared" si="63"/>
        <v>4.2898728359123568E-3</v>
      </c>
      <c r="R54" s="1137"/>
      <c r="S54" s="1135"/>
      <c r="T54" s="1136"/>
      <c r="U54" s="1136"/>
      <c r="V54" s="1136"/>
      <c r="X54" s="1189"/>
      <c r="Y54" s="1189"/>
      <c r="Z54" s="1189"/>
    </row>
    <row r="55" spans="1:26">
      <c r="A55" s="1123" t="s">
        <v>1198</v>
      </c>
      <c r="B55" s="1140">
        <f t="shared" si="64"/>
        <v>124.29032258064517</v>
      </c>
      <c r="C55" s="1140">
        <f t="shared" si="64"/>
        <v>123.8968609865471</v>
      </c>
      <c r="D55" s="1140">
        <f t="shared" si="34"/>
        <v>123.8968609865471</v>
      </c>
      <c r="E55" s="1140">
        <f t="shared" si="65"/>
        <v>138.00507614213197</v>
      </c>
      <c r="F55" s="1140">
        <f t="shared" si="65"/>
        <v>107.96106557377048</v>
      </c>
      <c r="G55" s="4005">
        <v>2005</v>
      </c>
      <c r="H55" s="1127">
        <v>2</v>
      </c>
      <c r="I55" s="1127">
        <v>0.47</v>
      </c>
      <c r="J55" s="1127">
        <v>0.1</v>
      </c>
      <c r="K55" s="1127">
        <v>0.52</v>
      </c>
      <c r="L55" s="1142">
        <v>0.79</v>
      </c>
      <c r="N55" s="1187">
        <f t="shared" si="62"/>
        <v>1.420065760241713E-2</v>
      </c>
      <c r="O55" s="1188">
        <f t="shared" si="62"/>
        <v>3.3080938028376083E-3</v>
      </c>
      <c r="P55" s="1188">
        <f t="shared" si="63"/>
        <v>6.598984771573603E-2</v>
      </c>
      <c r="Q55" s="1188">
        <f t="shared" si="63"/>
        <v>5.2953117818293153E-3</v>
      </c>
      <c r="R55" s="1137"/>
      <c r="S55" s="1135"/>
      <c r="T55" s="1136"/>
      <c r="U55" s="1136"/>
      <c r="V55" s="1136"/>
      <c r="X55" s="1189"/>
      <c r="Y55" s="1189"/>
      <c r="Z55" s="1189"/>
    </row>
    <row r="56" spans="1:26">
      <c r="A56" s="1123" t="s">
        <v>1199</v>
      </c>
      <c r="B56" s="1140">
        <f t="shared" si="64"/>
        <v>122.57204301075269</v>
      </c>
      <c r="C56" s="1140">
        <f t="shared" si="64"/>
        <v>123.4932735426009</v>
      </c>
      <c r="D56" s="1140">
        <f t="shared" si="34"/>
        <v>123.4932735426009</v>
      </c>
      <c r="E56" s="1140">
        <f t="shared" si="65"/>
        <v>129.82233502538071</v>
      </c>
      <c r="F56" s="1140">
        <f t="shared" si="65"/>
        <v>107.39446721311475</v>
      </c>
      <c r="G56" s="4006">
        <v>2005</v>
      </c>
      <c r="H56" s="1126">
        <v>1</v>
      </c>
      <c r="I56" s="1126">
        <v>0.43</v>
      </c>
      <c r="J56" s="1126">
        <v>0.37</v>
      </c>
      <c r="K56" s="1126">
        <v>0.37</v>
      </c>
      <c r="L56" s="1141">
        <v>0.55000000000000004</v>
      </c>
      <c r="N56" s="1190">
        <f t="shared" si="62"/>
        <v>1.2992090997956099E-2</v>
      </c>
      <c r="O56" s="1191">
        <f t="shared" si="62"/>
        <v>1.2239947070499151E-2</v>
      </c>
      <c r="P56" s="1191">
        <f t="shared" si="63"/>
        <v>4.6954314720812178E-2</v>
      </c>
      <c r="Q56" s="1191">
        <f t="shared" si="63"/>
        <v>3.6866094683621815E-3</v>
      </c>
      <c r="R56" s="1137"/>
      <c r="S56" s="1143">
        <f>B56/B57-1</f>
        <v>1.2992090997956174E-2</v>
      </c>
      <c r="T56" s="1144">
        <f>C56/C57-1</f>
        <v>1.2239947070499246E-2</v>
      </c>
      <c r="U56" s="1144">
        <f>E56/E57-1</f>
        <v>4.695431472081224E-2</v>
      </c>
      <c r="V56" s="1144">
        <f>F56/F57-1</f>
        <v>3.6866094683620787E-3</v>
      </c>
      <c r="X56" s="1189"/>
      <c r="Y56" s="1189"/>
      <c r="Z56" s="1189"/>
    </row>
    <row r="57" spans="1:26" ht="13.5" thickBot="1">
      <c r="A57" s="1123" t="s">
        <v>1200</v>
      </c>
      <c r="B57" s="1174">
        <v>121</v>
      </c>
      <c r="C57" s="1174">
        <v>122</v>
      </c>
      <c r="D57" s="1174">
        <f t="shared" si="34"/>
        <v>122</v>
      </c>
      <c r="E57" s="1174">
        <v>124</v>
      </c>
      <c r="F57" s="1175">
        <v>107</v>
      </c>
      <c r="G57" s="4004">
        <v>2004</v>
      </c>
      <c r="H57" s="1145">
        <v>4</v>
      </c>
      <c r="I57" s="1145">
        <v>0.33</v>
      </c>
      <c r="J57" s="1145">
        <v>0.5</v>
      </c>
      <c r="K57" s="1145">
        <v>0.5</v>
      </c>
      <c r="L57" s="1146">
        <v>0</v>
      </c>
      <c r="N57" s="1187">
        <f t="shared" ref="N57:O60" si="66">I57/SUM(I$57:I$60)*(B$57/B$61-1)</f>
        <v>1.3391770148526898E-2</v>
      </c>
      <c r="O57" s="1188">
        <f t="shared" si="66"/>
        <v>1.063264221158958E-2</v>
      </c>
      <c r="P57" s="1188">
        <f t="shared" ref="P57:Q60" si="67">K57/SUM(K$57:K$60)*(E$57/E$61-1)</f>
        <v>2.2244466688911134E-2</v>
      </c>
      <c r="Q57" s="1188">
        <f t="shared" si="67"/>
        <v>0</v>
      </c>
      <c r="R57" s="1137"/>
      <c r="S57" s="1138"/>
      <c r="T57" s="1139"/>
      <c r="U57" s="1139"/>
      <c r="V57" s="1139"/>
      <c r="X57" s="1189"/>
      <c r="Y57" s="1189"/>
      <c r="Z57" s="1189"/>
    </row>
    <row r="58" spans="1:26">
      <c r="A58" s="1123" t="s">
        <v>1201</v>
      </c>
      <c r="B58" s="1140">
        <f t="shared" ref="B58:C60" si="68">B59+(B$57-B$61)*I58/SUM(I$57:I$60)</f>
        <v>119.51351351351352</v>
      </c>
      <c r="C58" s="1140">
        <f t="shared" si="68"/>
        <v>120.7878787878788</v>
      </c>
      <c r="D58" s="1140">
        <f t="shared" si="34"/>
        <v>120.7878787878788</v>
      </c>
      <c r="E58" s="1140">
        <f t="shared" ref="E58:F60" si="69">E59+(E$57-E$61)*K58/SUM(K$57:K$60)</f>
        <v>121.5975975975976</v>
      </c>
      <c r="F58" s="1140">
        <f t="shared" si="69"/>
        <v>107</v>
      </c>
      <c r="G58" s="4005">
        <v>2004</v>
      </c>
      <c r="H58" s="1150">
        <v>3</v>
      </c>
      <c r="I58" s="1150">
        <v>0.56000000000000005</v>
      </c>
      <c r="J58" s="1150">
        <v>0.8</v>
      </c>
      <c r="K58" s="1150">
        <v>0.83</v>
      </c>
      <c r="L58" s="1151">
        <v>0.06</v>
      </c>
      <c r="N58" s="1187">
        <f t="shared" si="66"/>
        <v>2.2725428130833527E-2</v>
      </c>
      <c r="O58" s="1188">
        <f t="shared" si="66"/>
        <v>1.7012227538543329E-2</v>
      </c>
      <c r="P58" s="1188">
        <f t="shared" si="67"/>
        <v>3.6925814703592477E-2</v>
      </c>
      <c r="Q58" s="1188">
        <f t="shared" si="67"/>
        <v>2.8846153846153744E-2</v>
      </c>
      <c r="R58" s="1137"/>
      <c r="S58" s="1135"/>
      <c r="T58" s="1136"/>
      <c r="U58" s="1136"/>
      <c r="V58" s="1136"/>
      <c r="X58" s="1189"/>
      <c r="Y58" s="1189"/>
      <c r="Z58" s="1189"/>
    </row>
    <row r="59" spans="1:26">
      <c r="A59" s="1123" t="s">
        <v>1202</v>
      </c>
      <c r="B59" s="1140">
        <f t="shared" si="68"/>
        <v>116.99099099099099</v>
      </c>
      <c r="C59" s="1140">
        <f t="shared" si="68"/>
        <v>118.84848484848486</v>
      </c>
      <c r="D59" s="1140">
        <f t="shared" si="34"/>
        <v>118.84848484848486</v>
      </c>
      <c r="E59" s="1140">
        <f t="shared" si="69"/>
        <v>117.60960960960961</v>
      </c>
      <c r="F59" s="1140">
        <f t="shared" si="69"/>
        <v>104</v>
      </c>
      <c r="G59" s="4005">
        <v>2004</v>
      </c>
      <c r="H59" s="1127">
        <v>2</v>
      </c>
      <c r="I59" s="1127">
        <v>1</v>
      </c>
      <c r="J59" s="1127">
        <v>1.5</v>
      </c>
      <c r="K59" s="1127">
        <v>1.5</v>
      </c>
      <c r="L59" s="1142">
        <v>0</v>
      </c>
      <c r="N59" s="1187">
        <f t="shared" si="66"/>
        <v>4.0581121662202721E-2</v>
      </c>
      <c r="O59" s="1188">
        <f t="shared" si="66"/>
        <v>3.1897926634768738E-2</v>
      </c>
      <c r="P59" s="1188">
        <f t="shared" si="67"/>
        <v>6.6733400066733395E-2</v>
      </c>
      <c r="Q59" s="1188">
        <f t="shared" si="67"/>
        <v>0</v>
      </c>
      <c r="R59" s="1137"/>
      <c r="S59" s="1135"/>
      <c r="T59" s="1136"/>
      <c r="U59" s="1136"/>
      <c r="V59" s="1136"/>
      <c r="X59" s="1189"/>
      <c r="Y59" s="1189"/>
      <c r="Z59" s="1189"/>
    </row>
    <row r="60" spans="1:26" s="1180" customFormat="1" ht="13.5" thickBot="1">
      <c r="A60" s="1123" t="s">
        <v>1203</v>
      </c>
      <c r="B60" s="1177">
        <f t="shared" si="68"/>
        <v>112.48648648648648</v>
      </c>
      <c r="C60" s="1177">
        <f t="shared" si="68"/>
        <v>115.21212121212122</v>
      </c>
      <c r="D60" s="1177">
        <f t="shared" si="34"/>
        <v>115.21212121212122</v>
      </c>
      <c r="E60" s="1177">
        <f t="shared" si="69"/>
        <v>110.4024024024024</v>
      </c>
      <c r="F60" s="1177">
        <f t="shared" si="69"/>
        <v>104</v>
      </c>
      <c r="G60" s="4006">
        <v>2004</v>
      </c>
      <c r="H60" s="1178">
        <v>1</v>
      </c>
      <c r="I60" s="1178">
        <v>0.33</v>
      </c>
      <c r="J60" s="1178">
        <v>0.5</v>
      </c>
      <c r="K60" s="1178">
        <v>0.5</v>
      </c>
      <c r="L60" s="1179">
        <v>0</v>
      </c>
      <c r="N60" s="1192">
        <f t="shared" si="66"/>
        <v>1.3391770148526898E-2</v>
      </c>
      <c r="O60" s="1193">
        <f t="shared" si="66"/>
        <v>1.063264221158958E-2</v>
      </c>
      <c r="P60" s="1193">
        <f t="shared" si="67"/>
        <v>2.2244466688911134E-2</v>
      </c>
      <c r="Q60" s="1193">
        <f t="shared" si="67"/>
        <v>0</v>
      </c>
      <c r="R60" s="1183"/>
      <c r="S60" s="1181">
        <f>B60/B61-1</f>
        <v>1.3391770148526883E-2</v>
      </c>
      <c r="T60" s="1182">
        <f>C60/C61-1</f>
        <v>1.063264221158966E-2</v>
      </c>
      <c r="U60" s="1182">
        <f>E60/E61-1</f>
        <v>2.2244466688911224E-2</v>
      </c>
      <c r="V60" s="1182">
        <f>F60/F61-1</f>
        <v>0</v>
      </c>
      <c r="X60" s="1194"/>
      <c r="Y60" s="1194"/>
      <c r="Z60" s="1194"/>
    </row>
    <row r="61" spans="1:26" ht="13.5" thickBot="1">
      <c r="A61" s="1123" t="s">
        <v>1204</v>
      </c>
      <c r="B61" s="1195">
        <v>111</v>
      </c>
      <c r="C61" s="1195">
        <v>114</v>
      </c>
      <c r="D61" s="1195">
        <f t="shared" si="34"/>
        <v>114</v>
      </c>
      <c r="E61" s="1195">
        <v>108</v>
      </c>
      <c r="F61" s="1196">
        <v>104</v>
      </c>
      <c r="G61" s="4004">
        <v>2003</v>
      </c>
      <c r="H61" s="1185">
        <v>4</v>
      </c>
      <c r="I61" s="1197"/>
      <c r="J61" s="1197"/>
      <c r="K61" s="1197"/>
      <c r="L61" s="1197"/>
      <c r="N61" s="1198"/>
      <c r="O61" s="1197"/>
      <c r="P61" s="1197"/>
      <c r="Q61" s="1197"/>
      <c r="S61" s="1198"/>
      <c r="T61" s="1197"/>
      <c r="U61" s="1197"/>
      <c r="V61" s="1197"/>
      <c r="X61" s="1189"/>
      <c r="Y61" s="1189"/>
      <c r="Z61" s="1189"/>
    </row>
    <row r="62" spans="1:26">
      <c r="A62" s="1123" t="s">
        <v>1205</v>
      </c>
      <c r="B62" s="1199">
        <f t="shared" ref="B62:C64" si="70">B63+(B$61-B$65)/4</f>
        <v>109.75</v>
      </c>
      <c r="C62" s="1199">
        <f t="shared" si="70"/>
        <v>112.25</v>
      </c>
      <c r="D62" s="1199">
        <f t="shared" si="34"/>
        <v>112.25</v>
      </c>
      <c r="E62" s="1199">
        <f t="shared" ref="E62:F64" si="71">E63+(E$61-E$65)/4</f>
        <v>107.25</v>
      </c>
      <c r="F62" s="1199">
        <f t="shared" si="71"/>
        <v>103.5</v>
      </c>
      <c r="G62" s="4005">
        <v>2003</v>
      </c>
      <c r="H62" s="1150">
        <v>3</v>
      </c>
      <c r="I62" s="1197"/>
      <c r="J62" s="1197"/>
      <c r="K62" s="1197"/>
      <c r="L62" s="1197"/>
      <c r="X62" s="1189"/>
      <c r="Y62" s="1189"/>
      <c r="Z62" s="1189"/>
    </row>
    <row r="63" spans="1:26">
      <c r="A63" s="1123" t="s">
        <v>1206</v>
      </c>
      <c r="B63" s="1199">
        <f t="shared" si="70"/>
        <v>108.5</v>
      </c>
      <c r="C63" s="1199">
        <f t="shared" si="70"/>
        <v>110.5</v>
      </c>
      <c r="D63" s="1199">
        <f t="shared" si="34"/>
        <v>110.5</v>
      </c>
      <c r="E63" s="1199">
        <f t="shared" si="71"/>
        <v>106.5</v>
      </c>
      <c r="F63" s="1199">
        <f t="shared" si="71"/>
        <v>103</v>
      </c>
      <c r="G63" s="4005">
        <v>2003</v>
      </c>
      <c r="H63" s="1127">
        <v>2</v>
      </c>
      <c r="I63" s="1197"/>
      <c r="J63" s="1197"/>
      <c r="K63" s="1197"/>
      <c r="L63" s="1197"/>
      <c r="X63" s="1189"/>
      <c r="Y63" s="1189"/>
      <c r="Z63" s="1189"/>
    </row>
    <row r="64" spans="1:26" ht="13.5" thickBot="1">
      <c r="A64" s="1123" t="s">
        <v>1207</v>
      </c>
      <c r="B64" s="1199">
        <f t="shared" si="70"/>
        <v>107.25</v>
      </c>
      <c r="C64" s="1199">
        <f t="shared" si="70"/>
        <v>108.75</v>
      </c>
      <c r="D64" s="1199">
        <f t="shared" si="34"/>
        <v>108.75</v>
      </c>
      <c r="E64" s="1199">
        <f t="shared" si="71"/>
        <v>105.75</v>
      </c>
      <c r="F64" s="1199">
        <f t="shared" si="71"/>
        <v>102.5</v>
      </c>
      <c r="G64" s="4006">
        <v>2003</v>
      </c>
      <c r="H64" s="1200">
        <v>1</v>
      </c>
      <c r="I64" s="1197"/>
      <c r="J64" s="1197"/>
      <c r="K64" s="1197"/>
      <c r="L64" s="1197"/>
      <c r="S64" s="1135"/>
      <c r="T64" s="1136"/>
      <c r="U64" s="1136"/>
      <c r="X64" s="1189"/>
      <c r="Y64" s="1189"/>
      <c r="Z64" s="1189"/>
    </row>
    <row r="65" spans="1:26" ht="13.5" thickBot="1">
      <c r="A65" s="1123" t="s">
        <v>1208</v>
      </c>
      <c r="B65" s="1201">
        <v>106</v>
      </c>
      <c r="C65" s="1201">
        <v>107</v>
      </c>
      <c r="D65" s="1201">
        <f t="shared" si="34"/>
        <v>107</v>
      </c>
      <c r="E65" s="1201">
        <v>105</v>
      </c>
      <c r="F65" s="1202">
        <v>102</v>
      </c>
      <c r="G65" s="4004">
        <v>2002</v>
      </c>
      <c r="H65" s="1145">
        <v>4</v>
      </c>
      <c r="I65" s="1197"/>
      <c r="J65" s="1197"/>
      <c r="K65" s="1197"/>
      <c r="L65" s="1197"/>
      <c r="N65" s="1198"/>
      <c r="O65" s="1197"/>
      <c r="P65" s="1197"/>
      <c r="Q65" s="1197"/>
      <c r="S65" s="1198"/>
      <c r="T65" s="1197"/>
      <c r="U65" s="1197"/>
      <c r="V65" s="1197"/>
      <c r="X65" s="1189"/>
      <c r="Y65" s="1189"/>
      <c r="Z65" s="1189"/>
    </row>
    <row r="66" spans="1:26">
      <c r="A66" s="1123" t="s">
        <v>1209</v>
      </c>
      <c r="B66" s="1199">
        <f t="shared" ref="B66:C68" si="72">B67+(B$65-B$69)/4</f>
        <v>105</v>
      </c>
      <c r="C66" s="1199">
        <f t="shared" si="72"/>
        <v>106</v>
      </c>
      <c r="D66" s="1199">
        <f t="shared" si="34"/>
        <v>106</v>
      </c>
      <c r="E66" s="1199">
        <f t="shared" ref="E66:F68" si="73">E67+(E$65-E$69)/4</f>
        <v>104.5</v>
      </c>
      <c r="F66" s="1199">
        <f t="shared" si="73"/>
        <v>101.5</v>
      </c>
      <c r="G66" s="4005">
        <v>2002</v>
      </c>
      <c r="H66" s="1150">
        <v>3</v>
      </c>
      <c r="I66" s="1197"/>
      <c r="J66" s="1197"/>
      <c r="K66" s="1197"/>
      <c r="L66" s="1197"/>
      <c r="X66" s="1189"/>
      <c r="Y66" s="1189"/>
      <c r="Z66" s="1189"/>
    </row>
    <row r="67" spans="1:26">
      <c r="A67" s="1123" t="s">
        <v>1210</v>
      </c>
      <c r="B67" s="1199">
        <f t="shared" si="72"/>
        <v>104</v>
      </c>
      <c r="C67" s="1199">
        <f t="shared" si="72"/>
        <v>105</v>
      </c>
      <c r="D67" s="1199">
        <f t="shared" si="34"/>
        <v>105</v>
      </c>
      <c r="E67" s="1199">
        <f t="shared" si="73"/>
        <v>104</v>
      </c>
      <c r="F67" s="1199">
        <f t="shared" si="73"/>
        <v>101</v>
      </c>
      <c r="G67" s="4005">
        <v>2002</v>
      </c>
      <c r="H67" s="1127">
        <v>2</v>
      </c>
      <c r="I67" s="1197"/>
      <c r="J67" s="1197"/>
      <c r="K67" s="1197"/>
      <c r="L67" s="1197"/>
      <c r="X67" s="1189"/>
      <c r="Y67" s="1189"/>
      <c r="Z67" s="1189"/>
    </row>
    <row r="68" spans="1:26" s="1161" customFormat="1" ht="13.5" thickBot="1">
      <c r="A68" s="1157" t="s">
        <v>1211</v>
      </c>
      <c r="B68" s="1203">
        <f t="shared" si="72"/>
        <v>103</v>
      </c>
      <c r="C68" s="1203">
        <f t="shared" si="72"/>
        <v>104</v>
      </c>
      <c r="D68" s="1203">
        <f t="shared" si="34"/>
        <v>104</v>
      </c>
      <c r="E68" s="1203">
        <f t="shared" si="73"/>
        <v>103.5</v>
      </c>
      <c r="F68" s="1203">
        <f t="shared" si="73"/>
        <v>100.5</v>
      </c>
      <c r="G68" s="4006">
        <v>2002</v>
      </c>
      <c r="H68" s="1204">
        <v>1</v>
      </c>
      <c r="I68" s="1205"/>
      <c r="J68" s="1205"/>
      <c r="K68" s="1205"/>
      <c r="L68" s="1205"/>
      <c r="N68" s="1206"/>
      <c r="S68" s="1206"/>
      <c r="X68" s="1207"/>
      <c r="Y68" s="1207"/>
      <c r="Z68" s="1207"/>
    </row>
    <row r="69" spans="1:26" ht="13.5" thickBot="1">
      <c r="B69" s="1208">
        <v>102</v>
      </c>
      <c r="C69" s="1209">
        <v>103</v>
      </c>
      <c r="D69" s="1209">
        <f t="shared" si="34"/>
        <v>103</v>
      </c>
      <c r="E69" s="1209">
        <v>103</v>
      </c>
      <c r="F69" s="1210">
        <v>100</v>
      </c>
      <c r="I69" s="1197"/>
      <c r="J69" s="1197"/>
      <c r="K69" s="1197"/>
      <c r="L69" s="1197"/>
      <c r="N69" s="1198"/>
      <c r="O69" s="1197"/>
      <c r="P69" s="1197"/>
      <c r="Q69" s="1197"/>
      <c r="S69" s="1198"/>
      <c r="T69" s="1197"/>
      <c r="U69" s="1197"/>
      <c r="V69" s="1197"/>
      <c r="X69" s="1139"/>
      <c r="Y69" s="1139"/>
      <c r="Z69" s="1139"/>
    </row>
    <row r="71" spans="1:26" s="1212" customFormat="1">
      <c r="A71" s="1211" t="s">
        <v>1212</v>
      </c>
      <c r="G71" s="1213"/>
      <c r="N71" s="1213"/>
      <c r="S71" s="1213"/>
    </row>
    <row r="72" spans="1:26" s="1212" customFormat="1">
      <c r="A72" s="1212" t="s">
        <v>1213</v>
      </c>
      <c r="G72" s="1213"/>
      <c r="N72" s="1213"/>
      <c r="S72" s="1213"/>
    </row>
    <row r="73" spans="1:26" s="1212" customFormat="1">
      <c r="A73" s="1212" t="s">
        <v>1214</v>
      </c>
      <c r="G73" s="1213"/>
      <c r="I73" s="1214"/>
      <c r="J73" s="1214"/>
      <c r="K73" s="1214"/>
      <c r="L73" s="1214"/>
      <c r="N73" s="1215"/>
      <c r="O73" s="1214"/>
      <c r="P73" s="1214"/>
      <c r="Q73" s="1214"/>
      <c r="S73" s="1215"/>
      <c r="T73" s="1214"/>
      <c r="U73" s="1214"/>
      <c r="V73" s="1214"/>
    </row>
    <row r="74" spans="1:26" s="1212" customFormat="1">
      <c r="A74" s="1212" t="s">
        <v>1215</v>
      </c>
      <c r="G74" s="1213"/>
      <c r="N74" s="1213"/>
      <c r="S74" s="1213"/>
    </row>
    <row r="81" spans="7:22" ht="13.5" thickBot="1"/>
    <row r="82" spans="7:22">
      <c r="G82" s="1134"/>
      <c r="S82" s="1216" t="s">
        <v>1216</v>
      </c>
      <c r="T82" s="1217" t="s">
        <v>1217</v>
      </c>
      <c r="U82" s="1217" t="s">
        <v>1218</v>
      </c>
      <c r="V82" s="1217" t="s">
        <v>1219</v>
      </c>
    </row>
    <row r="83" spans="7:22">
      <c r="G83" s="1134"/>
      <c r="N83" s="1138"/>
      <c r="O83" s="1139"/>
      <c r="P83" s="1139"/>
      <c r="Q83" s="1139"/>
      <c r="S83" s="1218">
        <v>2006</v>
      </c>
      <c r="T83" s="1219">
        <v>15.1</v>
      </c>
      <c r="U83" s="1219">
        <v>7.43</v>
      </c>
      <c r="V83" s="1219">
        <v>26.26</v>
      </c>
    </row>
    <row r="84" spans="7:22">
      <c r="G84" s="1134"/>
      <c r="N84" s="1138"/>
      <c r="O84" s="1139"/>
      <c r="P84" s="1139"/>
      <c r="Q84" s="1139"/>
      <c r="S84" s="1220">
        <v>2005</v>
      </c>
      <c r="T84" s="1221">
        <v>13.9</v>
      </c>
      <c r="U84" s="1221">
        <v>7.49</v>
      </c>
      <c r="V84" s="1221">
        <v>24.92</v>
      </c>
    </row>
    <row r="85" spans="7:22">
      <c r="G85" s="1134"/>
      <c r="N85" s="1138"/>
      <c r="O85" s="1139"/>
      <c r="P85" s="1139"/>
      <c r="Q85" s="1139"/>
      <c r="S85" s="1218">
        <v>2004</v>
      </c>
      <c r="T85" s="1219">
        <v>9.48</v>
      </c>
      <c r="U85" s="1219">
        <v>7.2</v>
      </c>
      <c r="V85" s="1219">
        <v>14.68</v>
      </c>
    </row>
    <row r="86" spans="7:22">
      <c r="G86" s="1134"/>
      <c r="N86" s="1138"/>
      <c r="O86" s="1139"/>
      <c r="P86" s="1139"/>
      <c r="Q86" s="1139"/>
      <c r="S86" s="1220">
        <v>2003</v>
      </c>
      <c r="T86" s="1221">
        <v>4.5</v>
      </c>
      <c r="U86" s="1221">
        <v>6.12</v>
      </c>
      <c r="V86" s="1221">
        <v>2.34</v>
      </c>
    </row>
    <row r="87" spans="7:22" ht="13.5" thickBot="1">
      <c r="G87" s="1134"/>
      <c r="N87" s="1138"/>
      <c r="O87" s="1139"/>
      <c r="P87" s="1139"/>
      <c r="Q87" s="1139"/>
      <c r="S87" s="1222">
        <v>2002</v>
      </c>
      <c r="T87" s="1223">
        <v>3.59</v>
      </c>
      <c r="U87" s="1223">
        <v>4.54</v>
      </c>
      <c r="V87" s="1223">
        <v>2.5499999999999998</v>
      </c>
    </row>
    <row r="88" spans="7:22">
      <c r="G88" s="1134"/>
      <c r="N88" s="1138"/>
      <c r="O88" s="1139"/>
      <c r="P88" s="1139"/>
      <c r="Q88" s="1139"/>
    </row>
    <row r="89" spans="7:22">
      <c r="G89" s="1134"/>
      <c r="N89" s="1138"/>
      <c r="O89" s="1139"/>
      <c r="P89" s="1139"/>
      <c r="Q89" s="1139"/>
    </row>
    <row r="90" spans="7:22">
      <c r="G90" s="1134"/>
      <c r="N90" s="1138"/>
      <c r="O90" s="1139"/>
      <c r="P90" s="1139"/>
      <c r="Q90" s="1139"/>
    </row>
    <row r="91" spans="7:22">
      <c r="G91" s="1134"/>
      <c r="N91" s="1138"/>
      <c r="O91" s="1139"/>
      <c r="P91" s="1139"/>
      <c r="Q91" s="1139"/>
    </row>
    <row r="92" spans="7:22">
      <c r="G92" s="1134"/>
      <c r="N92" s="1138"/>
      <c r="O92" s="1139"/>
      <c r="P92" s="1139"/>
      <c r="Q92" s="1139"/>
    </row>
    <row r="93" spans="7:22">
      <c r="G93" s="1134"/>
      <c r="N93" s="1138"/>
      <c r="O93" s="1139"/>
      <c r="P93" s="1139"/>
      <c r="Q93" s="1139"/>
    </row>
    <row r="94" spans="7:22">
      <c r="G94" s="1134"/>
      <c r="N94" s="1138"/>
      <c r="O94" s="1139"/>
      <c r="P94" s="1139"/>
      <c r="Q94" s="1139"/>
    </row>
    <row r="95" spans="7:22">
      <c r="G95" s="1134"/>
      <c r="N95" s="1138"/>
      <c r="O95" s="1139"/>
      <c r="P95" s="1139"/>
      <c r="Q95" s="1139"/>
    </row>
    <row r="96" spans="7:22">
      <c r="G96" s="1134"/>
      <c r="N96" s="1138"/>
      <c r="O96" s="1139"/>
      <c r="P96" s="1139"/>
      <c r="Q96" s="1139"/>
    </row>
    <row r="97" spans="7:19">
      <c r="G97" s="1134"/>
      <c r="N97" s="1138"/>
      <c r="O97" s="1139"/>
      <c r="P97" s="1139"/>
      <c r="Q97" s="1139"/>
    </row>
    <row r="98" spans="7:19">
      <c r="G98" s="1134"/>
      <c r="N98" s="1138"/>
      <c r="O98" s="1139"/>
      <c r="P98" s="1139"/>
      <c r="Q98" s="1139"/>
      <c r="S98" s="1134"/>
    </row>
    <row r="99" spans="7:19">
      <c r="G99" s="1134"/>
      <c r="N99" s="1138"/>
      <c r="O99" s="1139"/>
      <c r="P99" s="1139"/>
      <c r="Q99" s="1139"/>
      <c r="S99" s="1134"/>
    </row>
    <row r="100" spans="7:19">
      <c r="G100" s="1134"/>
      <c r="N100" s="1138"/>
      <c r="O100" s="1139"/>
      <c r="P100" s="1139"/>
      <c r="Q100" s="1139"/>
      <c r="S100" s="1134"/>
    </row>
    <row r="101" spans="7:19">
      <c r="G101" s="1134"/>
      <c r="N101" s="1138"/>
      <c r="O101" s="1139"/>
      <c r="P101" s="1139"/>
      <c r="Q101" s="1139"/>
      <c r="S101" s="1134"/>
    </row>
    <row r="102" spans="7:19">
      <c r="G102" s="1134"/>
      <c r="N102" s="1138"/>
      <c r="O102" s="1139"/>
      <c r="P102" s="1139"/>
      <c r="Q102" s="1139"/>
      <c r="S102" s="1134"/>
    </row>
    <row r="103" spans="7:19">
      <c r="G103" s="1134"/>
      <c r="N103" s="1138"/>
      <c r="O103" s="1139"/>
      <c r="P103" s="1139"/>
      <c r="Q103" s="1139"/>
      <c r="S103" s="1134"/>
    </row>
  </sheetData>
  <sheetProtection sheet="1" objects="1" scenarios="1" formatCells="0"/>
  <mergeCells count="21">
    <mergeCell ref="G53:G56"/>
    <mergeCell ref="G57:G60"/>
    <mergeCell ref="G61:G64"/>
    <mergeCell ref="G65:G68"/>
    <mergeCell ref="G29:G32"/>
    <mergeCell ref="G33:G36"/>
    <mergeCell ref="G37:G40"/>
    <mergeCell ref="G41:G44"/>
    <mergeCell ref="G45:G48"/>
    <mergeCell ref="G49:G52"/>
    <mergeCell ref="X1:AB1"/>
    <mergeCell ref="AD1:AH1"/>
    <mergeCell ref="G25:G28"/>
    <mergeCell ref="B1:F1"/>
    <mergeCell ref="G1:L1"/>
    <mergeCell ref="N1:Q1"/>
    <mergeCell ref="S1:V1"/>
    <mergeCell ref="G9:G12"/>
    <mergeCell ref="G13:G16"/>
    <mergeCell ref="G17:G20"/>
    <mergeCell ref="G21:G24"/>
  </mergeCells>
  <phoneticPr fontId="14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139" customWidth="1"/>
    <col min="2" max="2" width="29.25" style="121" customWidth="1"/>
    <col min="3" max="3" width="12.125" style="121" customWidth="1"/>
    <col min="4" max="5" width="11.25" style="142" customWidth="1"/>
    <col min="6" max="6" width="9.5" style="121" customWidth="1"/>
    <col min="7" max="7" width="31.875" style="121" customWidth="1"/>
    <col min="8" max="254" width="9" style="121" customWidth="1"/>
    <col min="255" max="16384" width="8.375" style="121"/>
  </cols>
  <sheetData>
    <row r="1" spans="1:7" s="70" customFormat="1" ht="20.25">
      <c r="A1" s="66" t="s">
        <v>83</v>
      </c>
      <c r="B1" s="67"/>
      <c r="C1" s="68"/>
      <c r="D1" s="68"/>
      <c r="E1" s="68"/>
      <c r="F1" s="68"/>
      <c r="G1" s="69"/>
    </row>
    <row r="2" spans="1:7" s="70" customFormat="1" ht="18" customHeight="1">
      <c r="A2" s="71" t="s">
        <v>84</v>
      </c>
      <c r="B2" s="72">
        <f ca="1">C52</f>
        <v>38685</v>
      </c>
      <c r="C2" s="2" t="s">
        <v>133</v>
      </c>
      <c r="D2" s="69"/>
      <c r="E2" s="69"/>
      <c r="F2" s="69"/>
      <c r="G2" s="69"/>
    </row>
    <row r="3" spans="1:7" s="70" customFormat="1" ht="18" customHeight="1" thickBot="1">
      <c r="A3" s="73" t="s">
        <v>85</v>
      </c>
      <c r="B3" s="74">
        <f ca="1">ROUND(B2*10000/'数据-汇总表'!E3,0)</f>
        <v>8690</v>
      </c>
      <c r="C3" s="2" t="s">
        <v>134</v>
      </c>
      <c r="D3" s="69"/>
      <c r="E3" s="69"/>
      <c r="F3" s="69"/>
      <c r="G3" s="69"/>
    </row>
    <row r="4" spans="1:7" s="78" customFormat="1" ht="15.75">
      <c r="A4" s="75" t="s">
        <v>86</v>
      </c>
      <c r="B4" s="76"/>
      <c r="C4" s="76"/>
      <c r="D4" s="76"/>
      <c r="E4" s="76"/>
      <c r="F4" s="76"/>
      <c r="G4" s="77"/>
    </row>
    <row r="5" spans="1:7" s="84" customFormat="1" ht="13.5" customHeight="1">
      <c r="A5" s="125" t="s">
        <v>1054</v>
      </c>
      <c r="B5" s="80" t="s">
        <v>87</v>
      </c>
      <c r="C5" s="81">
        <f>C6+C7+C8</f>
        <v>20610</v>
      </c>
      <c r="D5" s="81" t="s">
        <v>88</v>
      </c>
      <c r="E5" s="82" t="s">
        <v>89</v>
      </c>
      <c r="F5" s="82" t="s">
        <v>90</v>
      </c>
      <c r="G5" s="83"/>
    </row>
    <row r="6" spans="1:7" s="84" customFormat="1" ht="13.5" customHeight="1">
      <c r="A6" s="714" t="s">
        <v>791</v>
      </c>
      <c r="B6" s="85" t="s">
        <v>91</v>
      </c>
      <c r="C6" s="86">
        <v>20000</v>
      </c>
      <c r="D6" s="87"/>
      <c r="E6" s="88"/>
      <c r="F6" s="88"/>
      <c r="G6" s="89"/>
    </row>
    <row r="7" spans="1:7" s="84" customFormat="1" ht="13.5" customHeight="1">
      <c r="A7" s="714" t="s">
        <v>792</v>
      </c>
      <c r="B7" s="85" t="s">
        <v>57</v>
      </c>
      <c r="C7" s="90">
        <f>ROUND(C6*F7,0)</f>
        <v>610</v>
      </c>
      <c r="D7" s="90"/>
      <c r="E7" s="88"/>
      <c r="F7" s="91">
        <f>'数据-取费表'!B48+'数据-取费表'!B49</f>
        <v>3.0499999999999999E-2</v>
      </c>
      <c r="G7" s="89"/>
    </row>
    <row r="8" spans="1:7" s="93" customFormat="1">
      <c r="A8" s="714" t="s">
        <v>793</v>
      </c>
      <c r="B8" s="85" t="s">
        <v>92</v>
      </c>
      <c r="C8" s="90" t="str">
        <f>IF(G8="已包含在土地购买价格中","0",'数据-取费表'!B29)</f>
        <v>0</v>
      </c>
      <c r="D8" s="92"/>
      <c r="E8" s="90"/>
      <c r="F8" s="91"/>
      <c r="G8" s="1" t="s">
        <v>1148</v>
      </c>
    </row>
    <row r="9" spans="1:7" s="84" customFormat="1" ht="13.5" customHeight="1">
      <c r="A9" s="715" t="s">
        <v>800</v>
      </c>
      <c r="B9" s="94" t="s">
        <v>93</v>
      </c>
      <c r="C9" s="95">
        <f>ROUND(D9*E9/10000,0)</f>
        <v>0</v>
      </c>
      <c r="D9" s="797">
        <f>'数据-汇总表'!E5</f>
        <v>0</v>
      </c>
      <c r="E9" s="95">
        <f>'数据-取费表'!B27</f>
        <v>0</v>
      </c>
      <c r="F9" s="91"/>
      <c r="G9" s="96"/>
    </row>
    <row r="10" spans="1:7" s="84" customFormat="1" ht="13.5" customHeight="1">
      <c r="A10" s="715" t="s">
        <v>801</v>
      </c>
      <c r="B10" s="94" t="s">
        <v>94</v>
      </c>
      <c r="C10" s="95">
        <f>ROUND(D10*E10/10000,0)</f>
        <v>0</v>
      </c>
      <c r="D10" s="797">
        <f>'数据-汇总表'!E6</f>
        <v>44516.22</v>
      </c>
      <c r="E10" s="95">
        <f>'数据-取费表'!B28</f>
        <v>0</v>
      </c>
      <c r="F10" s="91"/>
      <c r="G10" s="96"/>
    </row>
    <row r="11" spans="1:7" s="84" customFormat="1" ht="13.5" hidden="1" customHeight="1">
      <c r="A11" s="97" t="s">
        <v>7</v>
      </c>
      <c r="B11" s="85" t="s">
        <v>95</v>
      </c>
      <c r="C11" s="81"/>
      <c r="D11" s="799"/>
      <c r="E11" s="88"/>
      <c r="F11" s="88"/>
      <c r="G11" s="89"/>
    </row>
    <row r="12" spans="1:7" s="84" customFormat="1" ht="13.5" hidden="1" customHeight="1">
      <c r="A12" s="97" t="s">
        <v>8</v>
      </c>
      <c r="B12" s="85" t="s">
        <v>96</v>
      </c>
      <c r="C12" s="81">
        <v>0</v>
      </c>
      <c r="D12" s="799"/>
      <c r="E12" s="98"/>
      <c r="F12" s="91">
        <v>3.0499999999999999E-2</v>
      </c>
      <c r="G12" s="89"/>
    </row>
    <row r="13" spans="1:7" s="84" customFormat="1" ht="13.5" hidden="1" customHeight="1">
      <c r="A13" s="97" t="s">
        <v>9</v>
      </c>
      <c r="B13" s="85" t="s">
        <v>97</v>
      </c>
      <c r="C13" s="81"/>
      <c r="D13" s="799"/>
      <c r="E13" s="88"/>
      <c r="F13" s="88"/>
      <c r="G13" s="89"/>
    </row>
    <row r="14" spans="1:7" s="84" customFormat="1" ht="13.5" hidden="1" customHeight="1">
      <c r="A14" s="97" t="s">
        <v>10</v>
      </c>
      <c r="B14" s="85" t="s">
        <v>92</v>
      </c>
      <c r="C14" s="81"/>
      <c r="D14" s="799"/>
      <c r="E14" s="88"/>
      <c r="F14" s="88"/>
      <c r="G14" s="89" t="s">
        <v>98</v>
      </c>
    </row>
    <row r="15" spans="1:7" s="84" customFormat="1" ht="13.5" hidden="1" customHeight="1">
      <c r="A15" s="97" t="s">
        <v>11</v>
      </c>
      <c r="B15" s="85" t="s">
        <v>99</v>
      </c>
      <c r="C15" s="90"/>
      <c r="D15" s="799"/>
      <c r="E15" s="88"/>
      <c r="F15" s="88"/>
      <c r="G15" s="89" t="s">
        <v>100</v>
      </c>
    </row>
    <row r="16" spans="1:7" s="84" customFormat="1" ht="13.5" hidden="1" customHeight="1">
      <c r="A16" s="97" t="s">
        <v>12</v>
      </c>
      <c r="B16" s="85" t="s">
        <v>92</v>
      </c>
      <c r="C16" s="90"/>
      <c r="D16" s="799"/>
      <c r="E16" s="88"/>
      <c r="F16" s="88"/>
      <c r="G16" s="89"/>
    </row>
    <row r="17" spans="1:7" s="84" customFormat="1" ht="13.5" hidden="1" customHeight="1">
      <c r="A17" s="97" t="s">
        <v>13</v>
      </c>
      <c r="B17" s="85" t="s">
        <v>101</v>
      </c>
      <c r="C17" s="99"/>
      <c r="D17" s="800"/>
      <c r="E17" s="99"/>
      <c r="F17" s="99"/>
      <c r="G17" s="89" t="s">
        <v>100</v>
      </c>
    </row>
    <row r="18" spans="1:7" s="84" customFormat="1" ht="13.5" hidden="1" customHeight="1">
      <c r="A18" s="97" t="s">
        <v>14</v>
      </c>
      <c r="B18" s="85" t="s">
        <v>102</v>
      </c>
      <c r="C18" s="90">
        <v>0</v>
      </c>
      <c r="D18" s="799"/>
      <c r="E18" s="88"/>
      <c r="F18" s="91">
        <v>3.0499999999999999E-2</v>
      </c>
      <c r="G18" s="89" t="s">
        <v>103</v>
      </c>
    </row>
    <row r="19" spans="1:7" s="93" customFormat="1" ht="13.5" customHeight="1">
      <c r="A19" s="713" t="s">
        <v>1055</v>
      </c>
      <c r="B19" s="80" t="s">
        <v>111</v>
      </c>
      <c r="C19" s="81">
        <f>IF(G19="已包含在土地取得成本中","0",ROUND(D19*E19/10000,0))</f>
        <v>890</v>
      </c>
      <c r="D19" s="801">
        <f>'数据-汇总表'!E3</f>
        <v>44516.22</v>
      </c>
      <c r="E19" s="81">
        <f>'数据-取费表'!B31</f>
        <v>200</v>
      </c>
      <c r="F19" s="101"/>
      <c r="G19" s="1" t="s">
        <v>1074</v>
      </c>
    </row>
    <row r="20" spans="1:7" s="84" customFormat="1" ht="13.5" customHeight="1">
      <c r="A20" s="713" t="s">
        <v>1057</v>
      </c>
      <c r="B20" s="80" t="s">
        <v>104</v>
      </c>
      <c r="C20" s="102">
        <f>ROUND((C5+C19)*F20,0)</f>
        <v>645</v>
      </c>
      <c r="D20" s="102"/>
      <c r="E20" s="102"/>
      <c r="F20" s="103">
        <f>'数据-取费表'!B37</f>
        <v>0.03</v>
      </c>
      <c r="G20" s="969" t="s">
        <v>1068</v>
      </c>
    </row>
    <row r="21" spans="1:7" s="84" customFormat="1" ht="13.5" customHeight="1">
      <c r="A21" s="713" t="s">
        <v>1059</v>
      </c>
      <c r="B21" s="80" t="s">
        <v>105</v>
      </c>
      <c r="C21" s="105">
        <f>F21</f>
        <v>0.03</v>
      </c>
      <c r="D21" s="106" t="s">
        <v>126</v>
      </c>
      <c r="E21" s="102"/>
      <c r="F21" s="103">
        <f>'数据-取费表'!B38</f>
        <v>0.03</v>
      </c>
      <c r="G21" s="104" t="s">
        <v>106</v>
      </c>
    </row>
    <row r="22" spans="1:7" s="84" customFormat="1" ht="13.5" customHeight="1">
      <c r="A22" s="713" t="s">
        <v>786</v>
      </c>
      <c r="B22" s="80" t="s">
        <v>107</v>
      </c>
      <c r="C22" s="1033">
        <f ca="1">ROUND(SUM(C23:C25),0)</f>
        <v>2122</v>
      </c>
      <c r="D22" s="105">
        <f ca="1">C26</f>
        <v>1.4E-3</v>
      </c>
      <c r="E22" s="106" t="s">
        <v>126</v>
      </c>
      <c r="F22" s="107">
        <f ca="1">'数据-取费表'!B40</f>
        <v>4.7500000000000001E-2</v>
      </c>
      <c r="G22" s="969" t="str">
        <f>IF('数据-取费表'!B22&lt;=1,"单利计息","复利计息")</f>
        <v>复利计息</v>
      </c>
    </row>
    <row r="23" spans="1:7" s="84" customFormat="1" ht="13.5" customHeight="1">
      <c r="A23" s="716" t="s">
        <v>794</v>
      </c>
      <c r="B23" s="85" t="s">
        <v>1061</v>
      </c>
      <c r="C23" s="1034">
        <f ca="1">ROUND(IF('数据-取费表'!B22&lt;=1,C5*F22*'数据-取费表'!B23,C5*(POWER((1+F22),'数据-取费表'!B23)-1)),0)</f>
        <v>2004</v>
      </c>
      <c r="D23" s="108"/>
      <c r="E23" s="108"/>
      <c r="F23" s="109"/>
      <c r="G23" s="110" t="s">
        <v>108</v>
      </c>
    </row>
    <row r="24" spans="1:7" s="84" customFormat="1" ht="13.5" customHeight="1">
      <c r="A24" s="716" t="s">
        <v>792</v>
      </c>
      <c r="B24" s="85" t="s">
        <v>1056</v>
      </c>
      <c r="C24" s="1034">
        <f ca="1">ROUND(IF('数据-取费表'!B22&lt;=1,C19*F22*('数据-取费表'!B19/2+'数据-取费表'!B21),C19*(POWER((1+F22),('数据-取费表'!B19/2+'数据-取费表'!B21))-1)),0)</f>
        <v>87</v>
      </c>
      <c r="D24" s="108"/>
      <c r="E24" s="108"/>
      <c r="F24" s="109"/>
      <c r="G24" s="110" t="s">
        <v>109</v>
      </c>
    </row>
    <row r="25" spans="1:7" s="84" customFormat="1" ht="24">
      <c r="A25" s="716" t="s">
        <v>793</v>
      </c>
      <c r="B25" s="85" t="s">
        <v>1058</v>
      </c>
      <c r="C25" s="1034">
        <f ca="1">ROUND(IF('数据-取费表'!B22&lt;=1,C20*F22*'数据-取费表'!B23/2,C20*(POWER((1+F22),'数据-取费表'!B23/2)-1)),0)</f>
        <v>31</v>
      </c>
      <c r="D25" s="108"/>
      <c r="E25" s="111"/>
      <c r="F25" s="109"/>
      <c r="G25" s="112" t="s">
        <v>110</v>
      </c>
    </row>
    <row r="26" spans="1:7" s="84" customFormat="1">
      <c r="A26" s="716" t="s">
        <v>795</v>
      </c>
      <c r="B26" s="85" t="s">
        <v>1060</v>
      </c>
      <c r="C26" s="108">
        <f ca="1">ROUND(IF('数据-取费表'!B22&lt;=1,F21*F22*'数据-取费表'!B23/2,F21*(POWER((1+F22),'数据-取费表'!B23/2)-1)),4)</f>
        <v>1.4E-3</v>
      </c>
      <c r="D26" s="108"/>
      <c r="E26" s="111"/>
      <c r="F26" s="109"/>
      <c r="G26" s="113"/>
    </row>
    <row r="27" spans="1:7" s="84" customFormat="1" ht="24.75">
      <c r="A27" s="713" t="s">
        <v>787</v>
      </c>
      <c r="B27" s="114" t="s">
        <v>112</v>
      </c>
      <c r="C27" s="115">
        <f>C28</f>
        <v>4429</v>
      </c>
      <c r="D27" s="105">
        <f>C29</f>
        <v>6.0000000000000001E-3</v>
      </c>
      <c r="E27" s="106" t="s">
        <v>126</v>
      </c>
      <c r="F27" s="116">
        <f>'数据-取费表'!Q16</f>
        <v>0.2</v>
      </c>
      <c r="G27" s="117" t="s">
        <v>1069</v>
      </c>
    </row>
    <row r="28" spans="1:7" s="84" customFormat="1" ht="13.5" customHeight="1">
      <c r="A28" s="716" t="s">
        <v>794</v>
      </c>
      <c r="B28" s="118" t="s">
        <v>1062</v>
      </c>
      <c r="C28" s="119">
        <f>ROUND((C5+C19+C20)*F27*'数据-取费表'!B21/'数据-取费表'!B20,0)</f>
        <v>4429</v>
      </c>
      <c r="D28" s="105"/>
      <c r="E28" s="106"/>
      <c r="F28" s="116"/>
      <c r="G28" s="117"/>
    </row>
    <row r="29" spans="1:7" s="84" customFormat="1" ht="13.5" customHeight="1">
      <c r="A29" s="716" t="s">
        <v>792</v>
      </c>
      <c r="B29" s="118" t="s">
        <v>1063</v>
      </c>
      <c r="C29" s="108">
        <f>ROUND(C21*F27*'数据-取费表'!B21/'数据-取费表'!B20,4)</f>
        <v>6.0000000000000001E-3</v>
      </c>
      <c r="D29" s="105"/>
      <c r="E29" s="106"/>
      <c r="F29" s="116"/>
      <c r="G29" s="117"/>
    </row>
    <row r="30" spans="1:7" s="84" customFormat="1" ht="13.5" customHeight="1">
      <c r="A30" s="713" t="s">
        <v>788</v>
      </c>
      <c r="B30" s="80" t="s">
        <v>58</v>
      </c>
      <c r="C30" s="105">
        <f>F30</f>
        <v>5.6000000000000001E-2</v>
      </c>
      <c r="D30" s="106" t="s">
        <v>127</v>
      </c>
      <c r="E30" s="111"/>
      <c r="F30" s="107">
        <f>'数据-取费表'!B41</f>
        <v>5.6000000000000001E-2</v>
      </c>
      <c r="G30" s="104" t="s">
        <v>113</v>
      </c>
    </row>
    <row r="31" spans="1:7" ht="16.5" customHeight="1">
      <c r="A31" s="79">
        <v>1</v>
      </c>
      <c r="B31" s="80" t="s">
        <v>128</v>
      </c>
      <c r="C31" s="81">
        <f ca="1">ROUND((C5+C19+C20+C22+C27)/(1-C21-D22-D27-C30/(1+'数据-取费表'!B42)),0)</f>
        <v>31559</v>
      </c>
      <c r="D31" s="100"/>
      <c r="E31" s="81"/>
      <c r="F31" s="120"/>
      <c r="G31" s="104" t="s">
        <v>1070</v>
      </c>
    </row>
    <row r="32" spans="1:7" s="78" customFormat="1" ht="15.75">
      <c r="A32" s="122" t="s">
        <v>114</v>
      </c>
      <c r="B32" s="123"/>
      <c r="C32" s="123"/>
      <c r="D32" s="123"/>
      <c r="E32" s="123"/>
      <c r="F32" s="123"/>
      <c r="G32" s="124"/>
    </row>
    <row r="33" spans="1:7" s="84" customFormat="1" ht="13.5" customHeight="1">
      <c r="A33" s="125" t="s">
        <v>782</v>
      </c>
      <c r="B33" s="80" t="s">
        <v>115</v>
      </c>
      <c r="C33" s="126">
        <f>SUM(C34:C38)</f>
        <v>5146</v>
      </c>
      <c r="D33" s="102"/>
      <c r="E33" s="82"/>
      <c r="F33" s="111"/>
      <c r="G33" s="104"/>
    </row>
    <row r="34" spans="1:7" s="128" customFormat="1" ht="13.5" customHeight="1">
      <c r="A34" s="716" t="s">
        <v>794</v>
      </c>
      <c r="B34" s="85" t="s">
        <v>59</v>
      </c>
      <c r="C34" s="90">
        <f>IF(F34=100%,'数据-取费表'!M16-SUMIF('数据-取费表'!C:C,"公共配套",'数据-取费表'!M:M),'数据-取费表'!O16-SUMIF('数据-取费表'!C:C,"公共配套",'数据-取费表'!O:O))</f>
        <v>3996</v>
      </c>
      <c r="D34" s="87"/>
      <c r="E34" s="90"/>
      <c r="F34" s="127">
        <f>IF('数据-取费表'!B24=0,1,'数据-取费表'!N16)</f>
        <v>1</v>
      </c>
      <c r="G34" s="89" t="s">
        <v>116</v>
      </c>
    </row>
    <row r="35" spans="1:7" ht="13.5" customHeight="1">
      <c r="A35" s="716" t="s">
        <v>796</v>
      </c>
      <c r="B35" s="85" t="s">
        <v>60</v>
      </c>
      <c r="C35" s="90">
        <f>ROUND(C34*F35,0)</f>
        <v>200</v>
      </c>
      <c r="D35" s="90"/>
      <c r="E35" s="90"/>
      <c r="F35" s="129">
        <f>'数据-取费表'!B33</f>
        <v>0.05</v>
      </c>
      <c r="G35" s="89" t="s">
        <v>117</v>
      </c>
    </row>
    <row r="36" spans="1:7" ht="24">
      <c r="A36" s="716" t="s">
        <v>797</v>
      </c>
      <c r="B36" s="85" t="s">
        <v>61</v>
      </c>
      <c r="C36" s="90">
        <f>ROUND(IF(SUMIF('数据-取费表'!C:C,"住宅",IF(F34=100%,'数据-取费表'!M:M,'数据-取费表'!O:O))=0,0,IF(F36=0,SUMIF('数据-取费表'!C:C,"公共配套",IF(F34=100%,'数据-取费表'!M:M,'数据-取费表'!O:O)),SUMIF('数据-取费表'!C:C,"住宅",IF(F34=100%,'数据-取费表'!M:M,'数据-取费表'!O:O))*F36)),0)</f>
        <v>0</v>
      </c>
      <c r="D36" s="90"/>
      <c r="E36" s="90"/>
      <c r="F36" s="129">
        <f>'数据-取费表'!B34</f>
        <v>0</v>
      </c>
      <c r="G36" s="130" t="s">
        <v>62</v>
      </c>
    </row>
    <row r="37" spans="1:7" s="128" customFormat="1" ht="13.5" customHeight="1">
      <c r="A37" s="716" t="s">
        <v>798</v>
      </c>
      <c r="B37" s="85" t="s">
        <v>118</v>
      </c>
      <c r="C37" s="119">
        <f>ROUND(E37*D37*F34/10000,0)</f>
        <v>890</v>
      </c>
      <c r="D37" s="87">
        <f>'数据-汇总表'!E3</f>
        <v>44516.22</v>
      </c>
      <c r="E37" s="119">
        <f>'数据-取费表'!B35</f>
        <v>200</v>
      </c>
      <c r="F37" s="129"/>
      <c r="G37" s="131" t="s">
        <v>119</v>
      </c>
    </row>
    <row r="38" spans="1:7" ht="13.5" customHeight="1">
      <c r="A38" s="716" t="s">
        <v>799</v>
      </c>
      <c r="B38" s="85" t="s">
        <v>63</v>
      </c>
      <c r="C38" s="90">
        <f>ROUND(C34*F38,0)</f>
        <v>60</v>
      </c>
      <c r="D38" s="90"/>
      <c r="E38" s="90"/>
      <c r="F38" s="129">
        <f>'数据-取费表'!B36</f>
        <v>1.4999999999999999E-2</v>
      </c>
      <c r="G38" s="89" t="s">
        <v>117</v>
      </c>
    </row>
    <row r="39" spans="1:7" s="84" customFormat="1" ht="13.5" customHeight="1">
      <c r="A39" s="713" t="s">
        <v>783</v>
      </c>
      <c r="B39" s="80" t="s">
        <v>104</v>
      </c>
      <c r="C39" s="102">
        <f>ROUND(C33*F20,0)</f>
        <v>154</v>
      </c>
      <c r="D39" s="102"/>
      <c r="E39" s="102"/>
      <c r="F39" s="103"/>
      <c r="G39" s="969" t="s">
        <v>1071</v>
      </c>
    </row>
    <row r="40" spans="1:7" s="84" customFormat="1" ht="13.5" customHeight="1">
      <c r="A40" s="713" t="s">
        <v>784</v>
      </c>
      <c r="B40" s="80" t="s">
        <v>105</v>
      </c>
      <c r="C40" s="132">
        <f>F21</f>
        <v>0.03</v>
      </c>
      <c r="D40" s="106" t="s">
        <v>129</v>
      </c>
      <c r="E40" s="102"/>
      <c r="F40" s="103"/>
      <c r="G40" s="104" t="s">
        <v>120</v>
      </c>
    </row>
    <row r="41" spans="1:7" s="84" customFormat="1" ht="13.5" customHeight="1">
      <c r="A41" s="713" t="s">
        <v>785</v>
      </c>
      <c r="B41" s="80" t="s">
        <v>107</v>
      </c>
      <c r="C41" s="102">
        <f ca="1">ROUND(SUM(C42:C43),0)</f>
        <v>251</v>
      </c>
      <c r="D41" s="105">
        <f ca="1">C44</f>
        <v>1.4E-3</v>
      </c>
      <c r="E41" s="106" t="s">
        <v>129</v>
      </c>
      <c r="F41" s="107"/>
      <c r="G41" s="969" t="str">
        <f>IF('数据-取费表'!B22&lt;=1,"单利计息","复利计息")</f>
        <v>复利计息</v>
      </c>
    </row>
    <row r="42" spans="1:7" ht="13.5" customHeight="1">
      <c r="A42" s="716" t="s">
        <v>794</v>
      </c>
      <c r="B42" s="85" t="s">
        <v>1061</v>
      </c>
      <c r="C42" s="108">
        <f ca="1">ROUND(IF('数据-取费表'!B22&lt;=1,C33*F22*'数据-取费表'!B21/2,C33*(POWER((1+F22),'数据-取费表'!B21/2)-1)),0)</f>
        <v>244</v>
      </c>
      <c r="D42" s="108"/>
      <c r="E42" s="108"/>
      <c r="F42" s="109"/>
      <c r="G42" s="3823" t="s">
        <v>121</v>
      </c>
    </row>
    <row r="43" spans="1:7" ht="13.5" customHeight="1">
      <c r="A43" s="716" t="s">
        <v>792</v>
      </c>
      <c r="B43" s="85" t="s">
        <v>1064</v>
      </c>
      <c r="C43" s="108">
        <f ca="1">ROUND(IF('数据-取费表'!B22&lt;=1,C39*F22*'数据-取费表'!B21/2,C39*(POWER((1+F22),'数据-取费表'!B21/2)-1)),0)</f>
        <v>7</v>
      </c>
      <c r="D43" s="108"/>
      <c r="E43" s="108"/>
      <c r="F43" s="109"/>
      <c r="G43" s="3824"/>
    </row>
    <row r="44" spans="1:7" ht="13.5" customHeight="1">
      <c r="A44" s="716" t="s">
        <v>793</v>
      </c>
      <c r="B44" s="85" t="s">
        <v>1066</v>
      </c>
      <c r="C44" s="108">
        <f ca="1">ROUND(IF('数据-取费表'!B22&lt;=1,C40*F22*'数据-取费表'!B21/2,C40*(POWER((1+F22),'数据-取费表'!B21/2)-1)),4)</f>
        <v>1.4E-3</v>
      </c>
      <c r="D44" s="108"/>
      <c r="E44" s="108"/>
      <c r="F44" s="109"/>
      <c r="G44" s="3825"/>
    </row>
    <row r="45" spans="1:7" s="84" customFormat="1" ht="13.5" customHeight="1">
      <c r="A45" s="713" t="s">
        <v>786</v>
      </c>
      <c r="B45" s="114" t="s">
        <v>112</v>
      </c>
      <c r="C45" s="115">
        <f>C46</f>
        <v>1060</v>
      </c>
      <c r="D45" s="105">
        <f>C47</f>
        <v>6.0000000000000001E-3</v>
      </c>
      <c r="E45" s="106" t="s">
        <v>129</v>
      </c>
      <c r="F45" s="116"/>
      <c r="G45" s="117" t="s">
        <v>1072</v>
      </c>
    </row>
    <row r="46" spans="1:7" s="84" customFormat="1" ht="13.5" customHeight="1">
      <c r="A46" s="716" t="s">
        <v>794</v>
      </c>
      <c r="B46" s="118" t="s">
        <v>1065</v>
      </c>
      <c r="C46" s="119">
        <f>ROUND((C33+C39)*F27,0)</f>
        <v>1060</v>
      </c>
      <c r="D46" s="133"/>
      <c r="E46" s="106"/>
      <c r="F46" s="116"/>
      <c r="G46" s="117"/>
    </row>
    <row r="47" spans="1:7" s="84" customFormat="1" ht="13.5" customHeight="1">
      <c r="A47" s="716" t="s">
        <v>792</v>
      </c>
      <c r="B47" s="118" t="s">
        <v>1067</v>
      </c>
      <c r="C47" s="108">
        <f>ROUND(C40*F27,4)</f>
        <v>6.0000000000000001E-3</v>
      </c>
      <c r="D47" s="133"/>
      <c r="E47" s="106"/>
      <c r="F47" s="116"/>
      <c r="G47" s="117"/>
    </row>
    <row r="48" spans="1:7" s="84" customFormat="1" ht="13.5" customHeight="1">
      <c r="A48" s="713" t="s">
        <v>787</v>
      </c>
      <c r="B48" s="80" t="s">
        <v>122</v>
      </c>
      <c r="C48" s="132">
        <f>F30</f>
        <v>5.6000000000000001E-2</v>
      </c>
      <c r="D48" s="106" t="s">
        <v>130</v>
      </c>
      <c r="E48" s="102"/>
      <c r="F48" s="107"/>
      <c r="G48" s="104" t="s">
        <v>123</v>
      </c>
    </row>
    <row r="49" spans="1:7" ht="16.5" customHeight="1">
      <c r="A49" s="713" t="s">
        <v>788</v>
      </c>
      <c r="B49" s="80" t="s">
        <v>131</v>
      </c>
      <c r="C49" s="102">
        <f ca="1">ROUND((C33+C39+C41+C45)/(1-C40-D41-D45-C48/(1+'数据-取费表'!B42)),0)</f>
        <v>7271</v>
      </c>
      <c r="D49" s="102"/>
      <c r="E49" s="102"/>
      <c r="F49" s="134"/>
      <c r="G49" s="104" t="s">
        <v>1073</v>
      </c>
    </row>
    <row r="50" spans="1:7" s="128" customFormat="1" ht="24">
      <c r="A50" s="713" t="s">
        <v>789</v>
      </c>
      <c r="B50" s="80" t="s">
        <v>124</v>
      </c>
      <c r="C50" s="102"/>
      <c r="D50" s="102"/>
      <c r="E50" s="102"/>
      <c r="F50" s="134">
        <f>IF('数据-取费表'!B24=0,'数据-取费表'!N16,1)</f>
        <v>0.98</v>
      </c>
      <c r="G50" s="117" t="s">
        <v>125</v>
      </c>
    </row>
    <row r="51" spans="1:7" ht="16.5" customHeight="1">
      <c r="A51" s="713" t="s">
        <v>790</v>
      </c>
      <c r="B51" s="80" t="s">
        <v>132</v>
      </c>
      <c r="C51" s="102">
        <f ca="1">ROUND(C49*F50,0)</f>
        <v>7126</v>
      </c>
      <c r="D51" s="102"/>
      <c r="E51" s="102"/>
      <c r="F51" s="134"/>
      <c r="G51" s="104" t="s">
        <v>64</v>
      </c>
    </row>
    <row r="52" spans="1:7" s="78" customFormat="1" ht="16.5" thickBot="1">
      <c r="A52" s="135" t="s">
        <v>65</v>
      </c>
      <c r="B52" s="136"/>
      <c r="C52" s="137">
        <f ca="1">C31+C51</f>
        <v>38685</v>
      </c>
      <c r="D52" s="136"/>
      <c r="E52" s="136"/>
      <c r="F52" s="136"/>
      <c r="G52" s="138"/>
    </row>
    <row r="55" spans="1:7" ht="15">
      <c r="B55" s="140" t="s">
        <v>66</v>
      </c>
      <c r="C55" s="141"/>
    </row>
    <row r="56" spans="1:7">
      <c r="B56" s="143" t="s">
        <v>67</v>
      </c>
      <c r="C56" s="144">
        <f ca="1">ROUND(C51/C52,3)</f>
        <v>0.184</v>
      </c>
    </row>
    <row r="57" spans="1:7">
      <c r="B57" s="143" t="s">
        <v>68</v>
      </c>
      <c r="C57" s="145">
        <f ca="1">1-C56</f>
        <v>0.81600000000000006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618" customWidth="1"/>
    <col min="2" max="5" width="10.25" style="576" customWidth="1"/>
    <col min="6" max="6" width="9" style="576"/>
    <col min="7" max="8" width="9" style="591"/>
    <col min="9" max="16384" width="9" style="576"/>
  </cols>
  <sheetData>
    <row r="1" spans="1:19">
      <c r="A1" s="4012" t="s">
        <v>156</v>
      </c>
      <c r="B1" s="4012"/>
      <c r="C1" s="4012"/>
      <c r="D1" s="4012"/>
      <c r="E1" s="4012"/>
      <c r="F1" s="4012"/>
      <c r="H1" s="593" t="s">
        <v>157</v>
      </c>
      <c r="I1" s="594" t="s">
        <v>158</v>
      </c>
      <c r="J1" s="594" t="s">
        <v>159</v>
      </c>
      <c r="K1" s="594" t="s">
        <v>160</v>
      </c>
      <c r="L1" s="594" t="s">
        <v>161</v>
      </c>
      <c r="M1" s="594" t="s">
        <v>162</v>
      </c>
      <c r="N1" s="594" t="s">
        <v>163</v>
      </c>
      <c r="O1" s="594" t="s">
        <v>164</v>
      </c>
      <c r="P1" s="594" t="s">
        <v>165</v>
      </c>
      <c r="Q1" s="594" t="s">
        <v>166</v>
      </c>
      <c r="R1" s="594" t="s">
        <v>167</v>
      </c>
      <c r="S1" s="595" t="s">
        <v>168</v>
      </c>
    </row>
    <row r="2" spans="1:19" ht="14.25" thickBot="1">
      <c r="A2" s="4013" t="s">
        <v>169</v>
      </c>
      <c r="B2" s="4013"/>
      <c r="C2" s="4013"/>
      <c r="D2" s="4013"/>
      <c r="E2" s="4013"/>
      <c r="F2" s="4013"/>
      <c r="H2" s="596" t="s">
        <v>170</v>
      </c>
      <c r="I2" s="597" t="s">
        <v>171</v>
      </c>
      <c r="J2" s="597" t="s">
        <v>172</v>
      </c>
      <c r="K2" s="597" t="s">
        <v>173</v>
      </c>
      <c r="L2" s="597" t="s">
        <v>174</v>
      </c>
      <c r="M2" s="597" t="s">
        <v>175</v>
      </c>
      <c r="N2" s="597" t="s">
        <v>176</v>
      </c>
      <c r="O2" s="597" t="s">
        <v>177</v>
      </c>
      <c r="P2" s="597" t="s">
        <v>178</v>
      </c>
      <c r="Q2" s="597" t="s">
        <v>179</v>
      </c>
      <c r="R2" s="597" t="s">
        <v>180</v>
      </c>
      <c r="S2" s="597" t="s">
        <v>181</v>
      </c>
    </row>
    <row r="3" spans="1:19" s="592" customFormat="1" ht="19.5" customHeight="1">
      <c r="A3" s="4014" t="s">
        <v>182</v>
      </c>
      <c r="B3" s="598"/>
      <c r="C3" s="599" t="s">
        <v>183</v>
      </c>
      <c r="D3" s="599" t="s">
        <v>184</v>
      </c>
      <c r="E3" s="599" t="s">
        <v>751</v>
      </c>
      <c r="F3" s="599" t="s">
        <v>186</v>
      </c>
      <c r="G3" s="600"/>
      <c r="H3" s="596" t="s">
        <v>187</v>
      </c>
      <c r="I3" s="597" t="s">
        <v>188</v>
      </c>
      <c r="J3" s="597" t="s">
        <v>189</v>
      </c>
      <c r="K3" s="597" t="s">
        <v>190</v>
      </c>
      <c r="L3" s="597" t="s">
        <v>191</v>
      </c>
      <c r="M3" s="597" t="s">
        <v>192</v>
      </c>
      <c r="N3" s="597" t="s">
        <v>193</v>
      </c>
      <c r="O3" s="597" t="s">
        <v>194</v>
      </c>
      <c r="P3" s="597" t="s">
        <v>195</v>
      </c>
      <c r="Q3" s="597" t="s">
        <v>196</v>
      </c>
      <c r="R3" s="597" t="s">
        <v>197</v>
      </c>
      <c r="S3" s="597" t="s">
        <v>198</v>
      </c>
    </row>
    <row r="4" spans="1:19" s="592" customFormat="1" ht="19.5" customHeight="1" thickBot="1">
      <c r="A4" s="4015"/>
      <c r="B4" s="601" t="s">
        <v>199</v>
      </c>
      <c r="C4" s="601" t="s">
        <v>200</v>
      </c>
      <c r="D4" s="601" t="s">
        <v>200</v>
      </c>
      <c r="E4" s="601" t="s">
        <v>200</v>
      </c>
      <c r="F4" s="602" t="s">
        <v>200</v>
      </c>
      <c r="G4" s="600"/>
      <c r="H4" s="596" t="s">
        <v>201</v>
      </c>
      <c r="I4" s="597" t="s">
        <v>138</v>
      </c>
      <c r="J4" s="597" t="s">
        <v>202</v>
      </c>
      <c r="K4" s="597" t="s">
        <v>203</v>
      </c>
      <c r="L4" s="597" t="s">
        <v>204</v>
      </c>
      <c r="M4" s="597" t="s">
        <v>205</v>
      </c>
      <c r="N4" s="597" t="s">
        <v>206</v>
      </c>
      <c r="O4" s="597" t="s">
        <v>207</v>
      </c>
      <c r="P4" s="597" t="s">
        <v>208</v>
      </c>
      <c r="Q4" s="597" t="s">
        <v>209</v>
      </c>
      <c r="R4" s="597" t="s">
        <v>210</v>
      </c>
      <c r="S4" s="597" t="s">
        <v>211</v>
      </c>
    </row>
    <row r="5" spans="1:19" ht="14.25" customHeight="1" thickBot="1">
      <c r="A5" s="603" t="s">
        <v>816</v>
      </c>
      <c r="B5" s="604" t="s">
        <v>817</v>
      </c>
      <c r="C5" s="604">
        <v>29530</v>
      </c>
      <c r="D5" s="604">
        <v>28130</v>
      </c>
      <c r="E5" s="604">
        <v>27930</v>
      </c>
      <c r="F5" s="605">
        <v>11300</v>
      </c>
      <c r="G5" s="600"/>
      <c r="H5" s="596" t="s">
        <v>213</v>
      </c>
      <c r="I5" s="597" t="s">
        <v>214</v>
      </c>
      <c r="J5" s="597" t="s">
        <v>215</v>
      </c>
      <c r="K5" s="597" t="s">
        <v>216</v>
      </c>
      <c r="L5" s="597" t="s">
        <v>217</v>
      </c>
      <c r="M5" s="597" t="s">
        <v>218</v>
      </c>
      <c r="N5" s="597" t="s">
        <v>219</v>
      </c>
      <c r="O5" s="597" t="s">
        <v>220</v>
      </c>
      <c r="P5" s="597" t="s">
        <v>221</v>
      </c>
      <c r="Q5" s="597" t="s">
        <v>222</v>
      </c>
      <c r="R5" s="597" t="s">
        <v>223</v>
      </c>
      <c r="S5" s="597" t="s">
        <v>224</v>
      </c>
    </row>
    <row r="6" spans="1:19" ht="14.25" customHeight="1" thickBot="1">
      <c r="A6" s="603" t="s">
        <v>212</v>
      </c>
      <c r="B6" s="597" t="s">
        <v>187</v>
      </c>
      <c r="C6" s="597">
        <v>30290</v>
      </c>
      <c r="D6" s="597">
        <v>29210</v>
      </c>
      <c r="E6" s="597">
        <v>28860</v>
      </c>
      <c r="F6" s="606">
        <v>12600</v>
      </c>
      <c r="G6" s="600"/>
      <c r="H6" s="596" t="s">
        <v>225</v>
      </c>
      <c r="I6" s="597" t="s">
        <v>226</v>
      </c>
      <c r="J6" s="597" t="s">
        <v>227</v>
      </c>
      <c r="K6" s="597" t="s">
        <v>228</v>
      </c>
      <c r="L6" s="597" t="s">
        <v>229</v>
      </c>
      <c r="M6" s="597" t="s">
        <v>230</v>
      </c>
      <c r="N6" s="597" t="s">
        <v>231</v>
      </c>
      <c r="O6" s="597" t="s">
        <v>232</v>
      </c>
      <c r="P6" s="597" t="s">
        <v>233</v>
      </c>
      <c r="Q6" s="597" t="s">
        <v>234</v>
      </c>
      <c r="R6" s="597" t="s">
        <v>235</v>
      </c>
      <c r="S6" s="597" t="s">
        <v>236</v>
      </c>
    </row>
    <row r="7" spans="1:19" ht="14.25" customHeight="1" thickBot="1">
      <c r="A7" s="603" t="s">
        <v>212</v>
      </c>
      <c r="B7" s="607" t="s">
        <v>201</v>
      </c>
      <c r="C7" s="597">
        <v>29350</v>
      </c>
      <c r="D7" s="597">
        <v>28410</v>
      </c>
      <c r="E7" s="597">
        <v>27990</v>
      </c>
      <c r="F7" s="606">
        <v>12300</v>
      </c>
      <c r="G7" s="600"/>
      <c r="I7" s="597" t="s">
        <v>237</v>
      </c>
      <c r="J7" s="597" t="s">
        <v>238</v>
      </c>
      <c r="K7" s="597" t="s">
        <v>239</v>
      </c>
      <c r="L7" s="597" t="s">
        <v>240</v>
      </c>
      <c r="M7" s="597" t="s">
        <v>241</v>
      </c>
      <c r="N7" s="597" t="s">
        <v>242</v>
      </c>
      <c r="O7" s="597" t="s">
        <v>243</v>
      </c>
      <c r="P7" s="597" t="s">
        <v>244</v>
      </c>
      <c r="Q7" s="597" t="s">
        <v>245</v>
      </c>
      <c r="R7" s="597" t="s">
        <v>246</v>
      </c>
      <c r="S7" s="607" t="s">
        <v>247</v>
      </c>
    </row>
    <row r="8" spans="1:19" ht="14.25" customHeight="1" thickBot="1">
      <c r="A8" s="603" t="s">
        <v>212</v>
      </c>
      <c r="B8" s="597" t="s">
        <v>213</v>
      </c>
      <c r="C8" s="597">
        <v>30890</v>
      </c>
      <c r="D8" s="597">
        <v>29780</v>
      </c>
      <c r="E8" s="597">
        <v>29270</v>
      </c>
      <c r="F8" s="606">
        <v>11600</v>
      </c>
      <c r="G8" s="600"/>
      <c r="I8" s="597" t="s">
        <v>248</v>
      </c>
      <c r="J8" s="597" t="s">
        <v>249</v>
      </c>
      <c r="K8" s="597" t="s">
        <v>250</v>
      </c>
      <c r="L8" s="597" t="s">
        <v>251</v>
      </c>
      <c r="M8" s="597" t="s">
        <v>252</v>
      </c>
      <c r="N8" s="597" t="s">
        <v>253</v>
      </c>
      <c r="O8" s="597" t="s">
        <v>254</v>
      </c>
      <c r="P8" s="597" t="s">
        <v>255</v>
      </c>
      <c r="Q8" s="597" t="s">
        <v>256</v>
      </c>
      <c r="R8" s="597" t="s">
        <v>257</v>
      </c>
      <c r="S8" s="597" t="s">
        <v>258</v>
      </c>
    </row>
    <row r="9" spans="1:19" ht="14.25" customHeight="1" thickBot="1">
      <c r="A9" s="603" t="s">
        <v>212</v>
      </c>
      <c r="B9" s="608" t="s">
        <v>225</v>
      </c>
      <c r="C9" s="609">
        <v>28140</v>
      </c>
      <c r="D9" s="609"/>
      <c r="E9" s="609"/>
      <c r="F9" s="610"/>
      <c r="G9" s="600"/>
      <c r="I9" s="597" t="s">
        <v>259</v>
      </c>
      <c r="J9" s="597" t="s">
        <v>260</v>
      </c>
      <c r="K9" s="597" t="s">
        <v>261</v>
      </c>
      <c r="L9" s="597" t="s">
        <v>262</v>
      </c>
      <c r="M9" s="597" t="s">
        <v>263</v>
      </c>
      <c r="N9" s="597" t="s">
        <v>264</v>
      </c>
      <c r="O9" s="597" t="s">
        <v>265</v>
      </c>
      <c r="P9" s="597" t="s">
        <v>266</v>
      </c>
      <c r="Q9" s="597" t="s">
        <v>267</v>
      </c>
      <c r="R9" s="597" t="s">
        <v>268</v>
      </c>
    </row>
    <row r="10" spans="1:19" ht="14.25" customHeight="1" thickBot="1">
      <c r="A10" s="603" t="s">
        <v>269</v>
      </c>
      <c r="B10" s="604" t="s">
        <v>270</v>
      </c>
      <c r="C10" s="604">
        <v>27450</v>
      </c>
      <c r="D10" s="604">
        <v>26180</v>
      </c>
      <c r="E10" s="604">
        <v>25980</v>
      </c>
      <c r="F10" s="605">
        <v>8910</v>
      </c>
      <c r="G10" s="600"/>
      <c r="I10" s="597" t="s">
        <v>271</v>
      </c>
      <c r="J10" s="597" t="s">
        <v>272</v>
      </c>
      <c r="K10" s="597" t="s">
        <v>273</v>
      </c>
      <c r="L10" s="597" t="s">
        <v>274</v>
      </c>
      <c r="M10" s="597" t="s">
        <v>275</v>
      </c>
      <c r="N10" s="597" t="s">
        <v>276</v>
      </c>
      <c r="O10" s="597" t="s">
        <v>277</v>
      </c>
      <c r="P10" s="597" t="s">
        <v>278</v>
      </c>
      <c r="Q10" s="597" t="s">
        <v>279</v>
      </c>
      <c r="R10" s="597" t="s">
        <v>280</v>
      </c>
    </row>
    <row r="11" spans="1:19" ht="14.25" customHeight="1" thickBot="1">
      <c r="A11" s="603" t="s">
        <v>269</v>
      </c>
      <c r="B11" s="607" t="s">
        <v>188</v>
      </c>
      <c r="C11" s="597">
        <v>22950</v>
      </c>
      <c r="D11" s="597">
        <v>22630</v>
      </c>
      <c r="E11" s="597">
        <v>22030</v>
      </c>
      <c r="F11" s="611">
        <v>8330</v>
      </c>
      <c r="G11" s="600"/>
      <c r="I11" s="597" t="s">
        <v>281</v>
      </c>
      <c r="J11" s="597" t="s">
        <v>282</v>
      </c>
      <c r="K11" s="597" t="s">
        <v>283</v>
      </c>
      <c r="L11" s="597" t="s">
        <v>284</v>
      </c>
      <c r="M11" s="597" t="s">
        <v>285</v>
      </c>
      <c r="N11" s="597" t="s">
        <v>286</v>
      </c>
      <c r="O11" s="597" t="s">
        <v>287</v>
      </c>
      <c r="P11" s="597" t="s">
        <v>288</v>
      </c>
      <c r="Q11" s="597" t="s">
        <v>289</v>
      </c>
      <c r="R11" s="597" t="s">
        <v>290</v>
      </c>
    </row>
    <row r="12" spans="1:19" ht="14.25" customHeight="1" thickBot="1">
      <c r="A12" s="603" t="s">
        <v>269</v>
      </c>
      <c r="B12" s="607" t="s">
        <v>138</v>
      </c>
      <c r="C12" s="597">
        <v>24940</v>
      </c>
      <c r="D12" s="597">
        <v>23180</v>
      </c>
      <c r="E12" s="597">
        <v>22910</v>
      </c>
      <c r="F12" s="611">
        <v>7180</v>
      </c>
      <c r="G12" s="600"/>
      <c r="I12" s="597" t="s">
        <v>291</v>
      </c>
      <c r="J12" s="597" t="s">
        <v>292</v>
      </c>
      <c r="K12" s="597" t="s">
        <v>293</v>
      </c>
      <c r="L12" s="597" t="s">
        <v>294</v>
      </c>
      <c r="M12" s="597" t="s">
        <v>295</v>
      </c>
      <c r="N12" s="597" t="s">
        <v>296</v>
      </c>
      <c r="O12" s="597" t="s">
        <v>297</v>
      </c>
      <c r="P12" s="597" t="s">
        <v>298</v>
      </c>
      <c r="Q12" s="597" t="s">
        <v>299</v>
      </c>
      <c r="R12" s="597" t="s">
        <v>300</v>
      </c>
    </row>
    <row r="13" spans="1:19" ht="14.25" customHeight="1" thickBot="1">
      <c r="A13" s="603" t="s">
        <v>269</v>
      </c>
      <c r="B13" s="607" t="s">
        <v>214</v>
      </c>
      <c r="C13" s="597">
        <v>24140</v>
      </c>
      <c r="D13" s="597">
        <v>22270</v>
      </c>
      <c r="E13" s="597">
        <v>21950</v>
      </c>
      <c r="F13" s="611">
        <v>7600</v>
      </c>
      <c r="G13" s="600"/>
      <c r="I13" s="597" t="s">
        <v>301</v>
      </c>
      <c r="J13" s="597" t="s">
        <v>302</v>
      </c>
      <c r="K13" s="597" t="s">
        <v>303</v>
      </c>
      <c r="L13" s="597" t="s">
        <v>304</v>
      </c>
      <c r="M13" s="597" t="s">
        <v>305</v>
      </c>
      <c r="N13" s="597" t="s">
        <v>306</v>
      </c>
      <c r="O13" s="597" t="s">
        <v>307</v>
      </c>
      <c r="P13" s="597" t="s">
        <v>308</v>
      </c>
      <c r="Q13" s="597" t="s">
        <v>309</v>
      </c>
      <c r="R13" s="597" t="s">
        <v>310</v>
      </c>
    </row>
    <row r="14" spans="1:19" ht="14.25" customHeight="1" thickBot="1">
      <c r="A14" s="603" t="s">
        <v>269</v>
      </c>
      <c r="B14" s="607" t="s">
        <v>226</v>
      </c>
      <c r="C14" s="597">
        <v>25600</v>
      </c>
      <c r="D14" s="597">
        <v>22260</v>
      </c>
      <c r="E14" s="597">
        <v>22110</v>
      </c>
      <c r="F14" s="611">
        <v>7630</v>
      </c>
      <c r="G14" s="600"/>
      <c r="I14" s="597" t="s">
        <v>311</v>
      </c>
      <c r="J14" s="597" t="s">
        <v>312</v>
      </c>
      <c r="K14" s="597" t="s">
        <v>313</v>
      </c>
      <c r="L14" s="597" t="s">
        <v>314</v>
      </c>
      <c r="M14" s="597" t="s">
        <v>315</v>
      </c>
      <c r="N14" s="597" t="s">
        <v>316</v>
      </c>
      <c r="O14" s="597" t="s">
        <v>317</v>
      </c>
      <c r="P14" s="597" t="s">
        <v>318</v>
      </c>
      <c r="Q14" s="597" t="s">
        <v>319</v>
      </c>
      <c r="R14" s="597" t="s">
        <v>320</v>
      </c>
    </row>
    <row r="15" spans="1:19" ht="14.25" customHeight="1" thickBot="1">
      <c r="A15" s="603" t="s">
        <v>269</v>
      </c>
      <c r="B15" s="607" t="s">
        <v>237</v>
      </c>
      <c r="C15" s="597">
        <v>24760</v>
      </c>
      <c r="D15" s="597">
        <v>24440</v>
      </c>
      <c r="E15" s="597">
        <v>24130</v>
      </c>
      <c r="F15" s="611">
        <v>9480</v>
      </c>
      <c r="G15" s="600"/>
      <c r="I15" s="597" t="s">
        <v>322</v>
      </c>
      <c r="J15" s="597" t="s">
        <v>323</v>
      </c>
      <c r="K15" s="597" t="s">
        <v>324</v>
      </c>
      <c r="L15" s="597" t="s">
        <v>325</v>
      </c>
      <c r="M15" s="597" t="s">
        <v>326</v>
      </c>
      <c r="N15" s="597" t="s">
        <v>327</v>
      </c>
      <c r="O15" s="597" t="s">
        <v>328</v>
      </c>
      <c r="P15" s="597" t="s">
        <v>329</v>
      </c>
      <c r="Q15" s="597" t="s">
        <v>330</v>
      </c>
      <c r="R15" s="597" t="s">
        <v>331</v>
      </c>
    </row>
    <row r="16" spans="1:19" ht="14.25" customHeight="1" thickBot="1">
      <c r="A16" s="603" t="s">
        <v>269</v>
      </c>
      <c r="B16" s="607" t="s">
        <v>248</v>
      </c>
      <c r="C16" s="597">
        <v>22220</v>
      </c>
      <c r="D16" s="597">
        <v>22310</v>
      </c>
      <c r="E16" s="597">
        <v>22000</v>
      </c>
      <c r="F16" s="611">
        <v>8900</v>
      </c>
      <c r="G16" s="600"/>
      <c r="I16" s="597" t="s">
        <v>333</v>
      </c>
      <c r="J16" s="597" t="s">
        <v>334</v>
      </c>
      <c r="K16" s="597" t="s">
        <v>335</v>
      </c>
      <c r="L16" s="597" t="s">
        <v>336</v>
      </c>
      <c r="M16" s="597" t="s">
        <v>337</v>
      </c>
      <c r="N16" s="597" t="s">
        <v>338</v>
      </c>
      <c r="O16" s="597" t="s">
        <v>339</v>
      </c>
      <c r="P16" s="597" t="s">
        <v>340</v>
      </c>
      <c r="Q16" s="597" t="s">
        <v>341</v>
      </c>
      <c r="R16" s="597" t="s">
        <v>342</v>
      </c>
    </row>
    <row r="17" spans="1:18" ht="14.25" customHeight="1" thickBot="1">
      <c r="A17" s="603" t="s">
        <v>269</v>
      </c>
      <c r="B17" s="607" t="s">
        <v>259</v>
      </c>
      <c r="C17" s="597">
        <v>24700</v>
      </c>
      <c r="D17" s="597">
        <v>25150</v>
      </c>
      <c r="E17" s="597">
        <v>24700</v>
      </c>
      <c r="F17" s="612"/>
      <c r="G17" s="600"/>
      <c r="I17" s="597" t="s">
        <v>343</v>
      </c>
      <c r="J17" s="597" t="s">
        <v>344</v>
      </c>
      <c r="K17" s="597" t="s">
        <v>345</v>
      </c>
      <c r="L17" s="597" t="s">
        <v>346</v>
      </c>
      <c r="M17" s="597" t="s">
        <v>347</v>
      </c>
      <c r="N17" s="597" t="s">
        <v>348</v>
      </c>
      <c r="O17" s="597" t="s">
        <v>349</v>
      </c>
      <c r="P17" s="597" t="s">
        <v>350</v>
      </c>
      <c r="Q17" s="597" t="s">
        <v>351</v>
      </c>
      <c r="R17" s="597" t="s">
        <v>352</v>
      </c>
    </row>
    <row r="18" spans="1:18" ht="14.25" customHeight="1" thickBot="1">
      <c r="A18" s="603" t="s">
        <v>269</v>
      </c>
      <c r="B18" s="607" t="s">
        <v>271</v>
      </c>
      <c r="C18" s="597">
        <v>22350</v>
      </c>
      <c r="D18" s="597">
        <v>24340</v>
      </c>
      <c r="E18" s="597">
        <v>24100</v>
      </c>
      <c r="F18" s="612"/>
      <c r="G18" s="600"/>
      <c r="I18" s="597" t="s">
        <v>353</v>
      </c>
      <c r="J18" s="597" t="s">
        <v>354</v>
      </c>
      <c r="K18" s="597" t="s">
        <v>355</v>
      </c>
      <c r="L18" s="597" t="s">
        <v>356</v>
      </c>
      <c r="M18" s="597" t="s">
        <v>357</v>
      </c>
      <c r="N18" s="597" t="s">
        <v>358</v>
      </c>
      <c r="O18" s="597" t="s">
        <v>359</v>
      </c>
      <c r="P18" s="597" t="s">
        <v>360</v>
      </c>
      <c r="Q18" s="597" t="s">
        <v>361</v>
      </c>
      <c r="R18" s="597" t="s">
        <v>362</v>
      </c>
    </row>
    <row r="19" spans="1:18" ht="14.25" customHeight="1" thickBot="1">
      <c r="A19" s="603" t="s">
        <v>269</v>
      </c>
      <c r="B19" s="607" t="s">
        <v>281</v>
      </c>
      <c r="C19" s="597">
        <v>23430</v>
      </c>
      <c r="D19" s="597">
        <v>21580</v>
      </c>
      <c r="E19" s="597">
        <v>21350</v>
      </c>
      <c r="F19" s="612"/>
      <c r="G19" s="600"/>
      <c r="I19" s="597" t="s">
        <v>363</v>
      </c>
      <c r="J19" s="597" t="s">
        <v>364</v>
      </c>
      <c r="K19" s="597" t="s">
        <v>365</v>
      </c>
      <c r="L19" s="597" t="s">
        <v>366</v>
      </c>
      <c r="M19" s="597" t="s">
        <v>367</v>
      </c>
      <c r="N19" s="597" t="s">
        <v>368</v>
      </c>
      <c r="O19" s="597" t="s">
        <v>369</v>
      </c>
      <c r="P19" s="597" t="s">
        <v>370</v>
      </c>
      <c r="Q19" s="597" t="s">
        <v>371</v>
      </c>
      <c r="R19" s="597" t="s">
        <v>372</v>
      </c>
    </row>
    <row r="20" spans="1:18" ht="14.25" customHeight="1" thickBot="1">
      <c r="A20" s="603" t="s">
        <v>269</v>
      </c>
      <c r="B20" s="607" t="s">
        <v>291</v>
      </c>
      <c r="C20" s="597">
        <v>27660</v>
      </c>
      <c r="D20" s="597">
        <v>24240</v>
      </c>
      <c r="E20" s="597">
        <v>24020</v>
      </c>
      <c r="F20" s="612"/>
      <c r="I20" s="597" t="s">
        <v>373</v>
      </c>
      <c r="J20" s="597" t="s">
        <v>374</v>
      </c>
      <c r="K20" s="597" t="s">
        <v>375</v>
      </c>
      <c r="L20" s="597" t="s">
        <v>376</v>
      </c>
      <c r="M20" s="597" t="s">
        <v>377</v>
      </c>
      <c r="N20" s="597" t="s">
        <v>378</v>
      </c>
      <c r="O20" s="597" t="s">
        <v>379</v>
      </c>
      <c r="P20" s="597" t="s">
        <v>380</v>
      </c>
      <c r="Q20" s="597" t="s">
        <v>381</v>
      </c>
      <c r="R20" s="597" t="s">
        <v>382</v>
      </c>
    </row>
    <row r="21" spans="1:18" ht="14.25" customHeight="1" thickBot="1">
      <c r="A21" s="603" t="s">
        <v>269</v>
      </c>
      <c r="B21" s="607" t="s">
        <v>301</v>
      </c>
      <c r="C21" s="597">
        <v>24720</v>
      </c>
      <c r="D21" s="597">
        <v>21670</v>
      </c>
      <c r="E21" s="597">
        <v>21510</v>
      </c>
      <c r="F21" s="612"/>
      <c r="J21" s="597" t="s">
        <v>383</v>
      </c>
      <c r="K21" s="597" t="s">
        <v>384</v>
      </c>
      <c r="L21" s="597" t="s">
        <v>385</v>
      </c>
      <c r="M21" s="597" t="s">
        <v>386</v>
      </c>
      <c r="N21" s="597" t="s">
        <v>387</v>
      </c>
      <c r="O21" s="597" t="s">
        <v>388</v>
      </c>
      <c r="P21" s="597" t="s">
        <v>389</v>
      </c>
      <c r="Q21" s="597" t="s">
        <v>390</v>
      </c>
      <c r="R21" s="597" t="s">
        <v>391</v>
      </c>
    </row>
    <row r="22" spans="1:18" ht="14.25" customHeight="1" thickBot="1">
      <c r="A22" s="603" t="s">
        <v>269</v>
      </c>
      <c r="B22" s="607" t="s">
        <v>392</v>
      </c>
      <c r="C22" s="597">
        <v>26530</v>
      </c>
      <c r="D22" s="597">
        <v>22980</v>
      </c>
      <c r="E22" s="597">
        <v>22650</v>
      </c>
      <c r="F22" s="612"/>
      <c r="K22" s="597" t="s">
        <v>393</v>
      </c>
      <c r="L22" s="597" t="s">
        <v>394</v>
      </c>
      <c r="M22" s="597" t="s">
        <v>395</v>
      </c>
      <c r="N22" s="597" t="s">
        <v>396</v>
      </c>
      <c r="O22" s="597" t="s">
        <v>397</v>
      </c>
      <c r="P22" s="597" t="s">
        <v>398</v>
      </c>
      <c r="Q22" s="597" t="s">
        <v>399</v>
      </c>
      <c r="R22" s="607" t="s">
        <v>400</v>
      </c>
    </row>
    <row r="23" spans="1:18" ht="14.25" customHeight="1" thickBot="1">
      <c r="A23" s="603" t="s">
        <v>269</v>
      </c>
      <c r="B23" s="607" t="s">
        <v>322</v>
      </c>
      <c r="C23" s="597">
        <v>24700</v>
      </c>
      <c r="D23" s="597">
        <v>27290</v>
      </c>
      <c r="E23" s="597">
        <v>26710</v>
      </c>
      <c r="F23" s="612"/>
      <c r="K23" s="597" t="s">
        <v>401</v>
      </c>
      <c r="L23" s="597" t="s">
        <v>402</v>
      </c>
      <c r="M23" s="597" t="s">
        <v>403</v>
      </c>
      <c r="N23" s="597" t="s">
        <v>404</v>
      </c>
      <c r="O23" s="597" t="s">
        <v>405</v>
      </c>
      <c r="P23" s="597" t="s">
        <v>406</v>
      </c>
      <c r="Q23" s="597" t="s">
        <v>407</v>
      </c>
    </row>
    <row r="24" spans="1:18" ht="14.25" customHeight="1" thickBot="1">
      <c r="A24" s="603" t="s">
        <v>269</v>
      </c>
      <c r="B24" s="607" t="s">
        <v>333</v>
      </c>
      <c r="C24" s="597">
        <v>23070</v>
      </c>
      <c r="D24" s="597">
        <v>24130</v>
      </c>
      <c r="E24" s="597">
        <v>23860</v>
      </c>
      <c r="F24" s="612"/>
      <c r="K24" s="597" t="s">
        <v>408</v>
      </c>
      <c r="L24" s="597" t="s">
        <v>409</v>
      </c>
      <c r="M24" s="597" t="s">
        <v>410</v>
      </c>
      <c r="N24" s="597" t="s">
        <v>411</v>
      </c>
      <c r="O24" s="597" t="s">
        <v>412</v>
      </c>
      <c r="P24" s="597" t="s">
        <v>413</v>
      </c>
      <c r="Q24" s="597" t="s">
        <v>414</v>
      </c>
    </row>
    <row r="25" spans="1:18" ht="14.25" customHeight="1" thickBot="1">
      <c r="A25" s="603" t="s">
        <v>269</v>
      </c>
      <c r="B25" s="607" t="s">
        <v>343</v>
      </c>
      <c r="C25" s="597">
        <v>27550</v>
      </c>
      <c r="D25" s="597">
        <v>25850</v>
      </c>
      <c r="E25" s="597">
        <v>25340</v>
      </c>
      <c r="F25" s="612"/>
      <c r="K25" s="597" t="s">
        <v>415</v>
      </c>
      <c r="L25" s="597" t="s">
        <v>416</v>
      </c>
      <c r="M25" s="597" t="s">
        <v>417</v>
      </c>
      <c r="N25" s="597" t="s">
        <v>418</v>
      </c>
      <c r="O25" s="597" t="s">
        <v>419</v>
      </c>
      <c r="P25" s="597" t="s">
        <v>420</v>
      </c>
      <c r="Q25" s="597" t="s">
        <v>421</v>
      </c>
    </row>
    <row r="26" spans="1:18" ht="14.25" customHeight="1" thickBot="1">
      <c r="A26" s="603" t="s">
        <v>269</v>
      </c>
      <c r="B26" s="607" t="s">
        <v>353</v>
      </c>
      <c r="C26" s="597"/>
      <c r="D26" s="597">
        <v>23900</v>
      </c>
      <c r="E26" s="597">
        <v>23590</v>
      </c>
      <c r="F26" s="612"/>
      <c r="K26" s="597" t="s">
        <v>422</v>
      </c>
      <c r="L26" s="597" t="s">
        <v>423</v>
      </c>
      <c r="M26" s="597" t="s">
        <v>424</v>
      </c>
      <c r="N26" s="597" t="s">
        <v>425</v>
      </c>
      <c r="O26" s="597" t="s">
        <v>426</v>
      </c>
      <c r="P26" s="597" t="s">
        <v>427</v>
      </c>
      <c r="Q26" s="597" t="s">
        <v>428</v>
      </c>
    </row>
    <row r="27" spans="1:18" ht="14.25" customHeight="1" thickBot="1">
      <c r="A27" s="603" t="s">
        <v>269</v>
      </c>
      <c r="B27" s="607" t="s">
        <v>363</v>
      </c>
      <c r="C27" s="597"/>
      <c r="D27" s="597">
        <v>22850</v>
      </c>
      <c r="E27" s="597">
        <v>21920</v>
      </c>
      <c r="F27" s="612"/>
      <c r="K27" s="597" t="s">
        <v>429</v>
      </c>
      <c r="L27" s="597" t="s">
        <v>430</v>
      </c>
      <c r="M27" s="597" t="s">
        <v>431</v>
      </c>
      <c r="N27" s="597" t="s">
        <v>432</v>
      </c>
      <c r="O27" s="597" t="s">
        <v>433</v>
      </c>
      <c r="P27" s="597" t="s">
        <v>434</v>
      </c>
      <c r="Q27" s="597" t="s">
        <v>435</v>
      </c>
    </row>
    <row r="28" spans="1:18" ht="14.25" customHeight="1" thickBot="1">
      <c r="A28" s="613" t="s">
        <v>269</v>
      </c>
      <c r="B28" s="608" t="s">
        <v>373</v>
      </c>
      <c r="C28" s="609"/>
      <c r="D28" s="609">
        <v>26610</v>
      </c>
      <c r="E28" s="609">
        <v>26370</v>
      </c>
      <c r="F28" s="610"/>
      <c r="K28" s="597" t="s">
        <v>436</v>
      </c>
      <c r="L28" s="597" t="s">
        <v>437</v>
      </c>
      <c r="M28" s="597" t="s">
        <v>438</v>
      </c>
      <c r="N28" s="597" t="s">
        <v>439</v>
      </c>
      <c r="O28" s="597" t="s">
        <v>440</v>
      </c>
      <c r="P28" s="597" t="s">
        <v>441</v>
      </c>
    </row>
    <row r="29" spans="1:18" ht="14.25" customHeight="1" thickBot="1">
      <c r="A29" s="603" t="s">
        <v>442</v>
      </c>
      <c r="B29" s="604" t="s">
        <v>443</v>
      </c>
      <c r="C29" s="604">
        <v>22090</v>
      </c>
      <c r="D29" s="604">
        <v>21860</v>
      </c>
      <c r="E29" s="604">
        <v>19380</v>
      </c>
      <c r="F29" s="605">
        <v>6610</v>
      </c>
      <c r="L29" s="597" t="s">
        <v>444</v>
      </c>
      <c r="M29" s="597" t="s">
        <v>445</v>
      </c>
      <c r="N29" s="597" t="s">
        <v>446</v>
      </c>
      <c r="O29" s="597" t="s">
        <v>447</v>
      </c>
      <c r="P29" s="597" t="s">
        <v>448</v>
      </c>
    </row>
    <row r="30" spans="1:18" ht="14.25" customHeight="1" thickBot="1">
      <c r="A30" s="603" t="s">
        <v>442</v>
      </c>
      <c r="B30" s="607" t="s">
        <v>189</v>
      </c>
      <c r="C30" s="597">
        <v>21380</v>
      </c>
      <c r="D30" s="597">
        <v>19930</v>
      </c>
      <c r="E30" s="597">
        <v>19860</v>
      </c>
      <c r="F30" s="611">
        <v>6010</v>
      </c>
      <c r="L30" s="597" t="s">
        <v>449</v>
      </c>
      <c r="M30" s="597" t="s">
        <v>450</v>
      </c>
      <c r="N30" s="597" t="s">
        <v>451</v>
      </c>
      <c r="O30" s="597" t="s">
        <v>1053</v>
      </c>
      <c r="P30" s="597" t="s">
        <v>452</v>
      </c>
    </row>
    <row r="31" spans="1:18" ht="14.25" customHeight="1" thickBot="1">
      <c r="A31" s="603" t="s">
        <v>442</v>
      </c>
      <c r="B31" s="607" t="s">
        <v>202</v>
      </c>
      <c r="C31" s="597">
        <v>21670</v>
      </c>
      <c r="D31" s="597">
        <v>20660</v>
      </c>
      <c r="E31" s="597">
        <v>20290</v>
      </c>
      <c r="F31" s="611">
        <v>5840</v>
      </c>
      <c r="L31" s="597" t="s">
        <v>453</v>
      </c>
      <c r="M31" s="597" t="s">
        <v>454</v>
      </c>
      <c r="N31" s="597" t="s">
        <v>455</v>
      </c>
      <c r="O31" s="597" t="s">
        <v>456</v>
      </c>
      <c r="P31" s="597" t="s">
        <v>457</v>
      </c>
    </row>
    <row r="32" spans="1:18" ht="14.25" customHeight="1" thickBot="1">
      <c r="A32" s="603" t="s">
        <v>442</v>
      </c>
      <c r="B32" s="607" t="s">
        <v>215</v>
      </c>
      <c r="C32" s="597">
        <v>22280</v>
      </c>
      <c r="D32" s="597">
        <v>21800</v>
      </c>
      <c r="E32" s="597">
        <v>17650</v>
      </c>
      <c r="F32" s="611">
        <v>4690</v>
      </c>
      <c r="L32" s="597" t="s">
        <v>458</v>
      </c>
      <c r="M32" s="597" t="s">
        <v>459</v>
      </c>
      <c r="N32" s="597" t="s">
        <v>460</v>
      </c>
      <c r="O32" s="597" t="s">
        <v>461</v>
      </c>
      <c r="P32" s="597" t="s">
        <v>462</v>
      </c>
    </row>
    <row r="33" spans="1:16" ht="14.25" customHeight="1" thickBot="1">
      <c r="A33" s="603" t="s">
        <v>442</v>
      </c>
      <c r="B33" s="607" t="s">
        <v>227</v>
      </c>
      <c r="C33" s="597">
        <v>22130</v>
      </c>
      <c r="D33" s="597">
        <v>20460</v>
      </c>
      <c r="E33" s="597">
        <v>18500</v>
      </c>
      <c r="F33" s="611">
        <v>5340</v>
      </c>
      <c r="L33" s="597" t="s">
        <v>463</v>
      </c>
      <c r="M33" s="597" t="s">
        <v>464</v>
      </c>
      <c r="N33" s="597" t="s">
        <v>465</v>
      </c>
      <c r="O33" s="597" t="s">
        <v>466</v>
      </c>
      <c r="P33" s="597" t="s">
        <v>467</v>
      </c>
    </row>
    <row r="34" spans="1:16" ht="14.25" customHeight="1" thickBot="1">
      <c r="A34" s="603" t="s">
        <v>442</v>
      </c>
      <c r="B34" s="607" t="s">
        <v>238</v>
      </c>
      <c r="C34" s="597">
        <v>22070</v>
      </c>
      <c r="D34" s="597">
        <v>20110</v>
      </c>
      <c r="E34" s="597">
        <v>18830</v>
      </c>
      <c r="F34" s="611">
        <v>5190</v>
      </c>
      <c r="L34" s="597" t="s">
        <v>468</v>
      </c>
      <c r="M34" s="597" t="s">
        <v>469</v>
      </c>
      <c r="N34" s="597" t="s">
        <v>470</v>
      </c>
      <c r="O34" s="597" t="s">
        <v>471</v>
      </c>
      <c r="P34" s="597" t="s">
        <v>472</v>
      </c>
    </row>
    <row r="35" spans="1:16" ht="14.25" customHeight="1" thickBot="1">
      <c r="A35" s="603" t="s">
        <v>442</v>
      </c>
      <c r="B35" s="607" t="s">
        <v>249</v>
      </c>
      <c r="C35" s="597">
        <v>22240</v>
      </c>
      <c r="D35" s="597">
        <v>19550</v>
      </c>
      <c r="E35" s="597">
        <v>19220</v>
      </c>
      <c r="F35" s="611">
        <v>5800</v>
      </c>
      <c r="L35" s="597" t="s">
        <v>473</v>
      </c>
      <c r="M35" s="597" t="s">
        <v>474</v>
      </c>
      <c r="N35" s="597" t="s">
        <v>475</v>
      </c>
      <c r="O35" s="597" t="s">
        <v>476</v>
      </c>
      <c r="P35" s="597" t="s">
        <v>477</v>
      </c>
    </row>
    <row r="36" spans="1:16" ht="14.25" customHeight="1" thickBot="1">
      <c r="A36" s="603" t="s">
        <v>442</v>
      </c>
      <c r="B36" s="607" t="s">
        <v>260</v>
      </c>
      <c r="C36" s="597">
        <v>19750</v>
      </c>
      <c r="D36" s="597">
        <v>19790</v>
      </c>
      <c r="E36" s="597">
        <v>18510</v>
      </c>
      <c r="F36" s="611">
        <v>6520</v>
      </c>
      <c r="M36" s="597" t="s">
        <v>478</v>
      </c>
      <c r="N36" s="597" t="s">
        <v>479</v>
      </c>
      <c r="O36" s="597" t="s">
        <v>480</v>
      </c>
      <c r="P36" s="597" t="s">
        <v>481</v>
      </c>
    </row>
    <row r="37" spans="1:16" ht="14.25" customHeight="1" thickBot="1">
      <c r="A37" s="603" t="s">
        <v>442</v>
      </c>
      <c r="B37" s="607" t="s">
        <v>272</v>
      </c>
      <c r="C37" s="597">
        <v>22380</v>
      </c>
      <c r="D37" s="597">
        <v>18530</v>
      </c>
      <c r="E37" s="597">
        <v>17930</v>
      </c>
      <c r="F37" s="611">
        <v>6270</v>
      </c>
      <c r="M37" s="597" t="s">
        <v>482</v>
      </c>
      <c r="N37" s="597" t="s">
        <v>483</v>
      </c>
      <c r="O37" s="597" t="s">
        <v>484</v>
      </c>
      <c r="P37" s="597" t="s">
        <v>485</v>
      </c>
    </row>
    <row r="38" spans="1:16" ht="14.25" customHeight="1" thickBot="1">
      <c r="A38" s="603" t="s">
        <v>442</v>
      </c>
      <c r="B38" s="607" t="s">
        <v>282</v>
      </c>
      <c r="C38" s="597">
        <v>20200</v>
      </c>
      <c r="D38" s="597">
        <v>20070</v>
      </c>
      <c r="E38" s="597">
        <v>19950</v>
      </c>
      <c r="F38" s="611"/>
      <c r="M38" s="597" t="s">
        <v>486</v>
      </c>
      <c r="N38" s="597" t="s">
        <v>487</v>
      </c>
      <c r="O38" s="597" t="s">
        <v>488</v>
      </c>
      <c r="P38" s="597" t="s">
        <v>489</v>
      </c>
    </row>
    <row r="39" spans="1:16" ht="14.25" customHeight="1" thickBot="1">
      <c r="A39" s="603" t="s">
        <v>442</v>
      </c>
      <c r="B39" s="607" t="s">
        <v>292</v>
      </c>
      <c r="C39" s="597">
        <v>19300</v>
      </c>
      <c r="D39" s="597">
        <v>20360</v>
      </c>
      <c r="E39" s="597">
        <v>20230</v>
      </c>
      <c r="F39" s="611"/>
      <c r="M39" s="597" t="s">
        <v>490</v>
      </c>
      <c r="N39" s="597" t="s">
        <v>491</v>
      </c>
      <c r="O39" s="597" t="s">
        <v>492</v>
      </c>
      <c r="P39" s="597" t="s">
        <v>493</v>
      </c>
    </row>
    <row r="40" spans="1:16" ht="14.25" customHeight="1" thickBot="1">
      <c r="A40" s="603" t="s">
        <v>442</v>
      </c>
      <c r="B40" s="607" t="s">
        <v>302</v>
      </c>
      <c r="C40" s="597">
        <v>20210</v>
      </c>
      <c r="D40" s="597">
        <v>19060</v>
      </c>
      <c r="E40" s="597">
        <v>18890</v>
      </c>
      <c r="F40" s="611"/>
      <c r="M40" s="597" t="s">
        <v>494</v>
      </c>
      <c r="N40" s="597" t="s">
        <v>495</v>
      </c>
      <c r="O40" s="597" t="s">
        <v>496</v>
      </c>
      <c r="P40" s="597" t="s">
        <v>497</v>
      </c>
    </row>
    <row r="41" spans="1:16" ht="14.25" customHeight="1" thickBot="1">
      <c r="A41" s="603" t="s">
        <v>442</v>
      </c>
      <c r="B41" s="607" t="s">
        <v>312</v>
      </c>
      <c r="C41" s="597">
        <v>20560</v>
      </c>
      <c r="D41" s="597">
        <v>21040</v>
      </c>
      <c r="E41" s="597">
        <v>20740</v>
      </c>
      <c r="F41" s="611"/>
      <c r="M41" s="607" t="s">
        <v>498</v>
      </c>
      <c r="N41" s="607" t="s">
        <v>499</v>
      </c>
      <c r="P41" s="607" t="s">
        <v>500</v>
      </c>
    </row>
    <row r="42" spans="1:16" ht="14.25" customHeight="1" thickBot="1">
      <c r="A42" s="603" t="s">
        <v>442</v>
      </c>
      <c r="B42" s="607" t="s">
        <v>323</v>
      </c>
      <c r="C42" s="597">
        <v>19280</v>
      </c>
      <c r="D42" s="597">
        <v>22940</v>
      </c>
      <c r="E42" s="597">
        <v>22500</v>
      </c>
      <c r="F42" s="611"/>
      <c r="M42" s="597" t="s">
        <v>501</v>
      </c>
      <c r="N42" s="597" t="s">
        <v>502</v>
      </c>
      <c r="P42" s="597" t="s">
        <v>503</v>
      </c>
    </row>
    <row r="43" spans="1:16" ht="14.25" customHeight="1" thickBot="1">
      <c r="A43" s="603" t="s">
        <v>442</v>
      </c>
      <c r="B43" s="607" t="s">
        <v>334</v>
      </c>
      <c r="C43" s="597">
        <v>21520</v>
      </c>
      <c r="D43" s="597">
        <v>19230</v>
      </c>
      <c r="E43" s="597">
        <v>18540</v>
      </c>
      <c r="F43" s="611"/>
      <c r="M43" s="597" t="s">
        <v>504</v>
      </c>
      <c r="N43" s="597" t="s">
        <v>505</v>
      </c>
      <c r="P43" s="597" t="s">
        <v>506</v>
      </c>
    </row>
    <row r="44" spans="1:16" ht="14.25" customHeight="1" thickBot="1">
      <c r="A44" s="603" t="s">
        <v>442</v>
      </c>
      <c r="B44" s="607" t="s">
        <v>344</v>
      </c>
      <c r="C44" s="597">
        <v>23260</v>
      </c>
      <c r="D44" s="597">
        <v>21180</v>
      </c>
      <c r="E44" s="597">
        <v>20730</v>
      </c>
      <c r="F44" s="611"/>
      <c r="M44" s="597" t="s">
        <v>507</v>
      </c>
      <c r="N44" s="597" t="s">
        <v>508</v>
      </c>
      <c r="P44" s="597" t="s">
        <v>509</v>
      </c>
    </row>
    <row r="45" spans="1:16" ht="14.25" customHeight="1" thickBot="1">
      <c r="A45" s="603" t="s">
        <v>442</v>
      </c>
      <c r="B45" s="607" t="s">
        <v>354</v>
      </c>
      <c r="C45" s="597">
        <v>19610</v>
      </c>
      <c r="D45" s="597">
        <v>18090</v>
      </c>
      <c r="E45" s="597">
        <v>17970</v>
      </c>
      <c r="F45" s="611"/>
      <c r="M45" s="597" t="s">
        <v>510</v>
      </c>
      <c r="N45" s="597" t="s">
        <v>511</v>
      </c>
      <c r="P45" s="597" t="s">
        <v>512</v>
      </c>
    </row>
    <row r="46" spans="1:16" ht="14.25" customHeight="1" thickBot="1">
      <c r="A46" s="603" t="s">
        <v>442</v>
      </c>
      <c r="B46" s="607" t="s">
        <v>364</v>
      </c>
      <c r="C46" s="597">
        <v>21660</v>
      </c>
      <c r="D46" s="597">
        <v>19190</v>
      </c>
      <c r="E46" s="597">
        <v>19790</v>
      </c>
      <c r="F46" s="611"/>
      <c r="M46" s="597" t="s">
        <v>513</v>
      </c>
      <c r="N46" s="597" t="s">
        <v>514</v>
      </c>
      <c r="P46" s="597" t="s">
        <v>515</v>
      </c>
    </row>
    <row r="47" spans="1:16" ht="14.25" customHeight="1" thickBot="1">
      <c r="A47" s="603" t="s">
        <v>442</v>
      </c>
      <c r="B47" s="607" t="s">
        <v>374</v>
      </c>
      <c r="C47" s="597">
        <v>18220</v>
      </c>
      <c r="D47" s="597"/>
      <c r="E47" s="597">
        <v>17220</v>
      </c>
      <c r="F47" s="611"/>
      <c r="M47" s="597" t="s">
        <v>516</v>
      </c>
      <c r="N47" s="597" t="s">
        <v>517</v>
      </c>
    </row>
    <row r="48" spans="1:16" ht="14.25" customHeight="1" thickBot="1">
      <c r="A48" s="603" t="s">
        <v>442</v>
      </c>
      <c r="B48" s="608" t="s">
        <v>383</v>
      </c>
      <c r="C48" s="609">
        <v>19430</v>
      </c>
      <c r="D48" s="609"/>
      <c r="E48" s="609">
        <v>17830</v>
      </c>
      <c r="F48" s="614"/>
      <c r="M48" s="597" t="s">
        <v>518</v>
      </c>
      <c r="N48" s="597" t="s">
        <v>519</v>
      </c>
    </row>
    <row r="49" spans="1:14" ht="14.25" customHeight="1" thickBot="1">
      <c r="A49" s="603" t="s">
        <v>137</v>
      </c>
      <c r="B49" s="604" t="s">
        <v>520</v>
      </c>
      <c r="C49" s="604">
        <v>17090</v>
      </c>
      <c r="D49" s="604">
        <v>16950</v>
      </c>
      <c r="E49" s="604">
        <v>16310</v>
      </c>
      <c r="F49" s="605">
        <v>4540</v>
      </c>
      <c r="M49" s="597" t="s">
        <v>521</v>
      </c>
      <c r="N49" s="597" t="s">
        <v>522</v>
      </c>
    </row>
    <row r="50" spans="1:14" ht="14.25" customHeight="1" thickBot="1">
      <c r="A50" s="603" t="s">
        <v>137</v>
      </c>
      <c r="B50" s="597" t="s">
        <v>190</v>
      </c>
      <c r="C50" s="597">
        <v>19040</v>
      </c>
      <c r="D50" s="597">
        <v>16960</v>
      </c>
      <c r="E50" s="597">
        <v>14800</v>
      </c>
      <c r="F50" s="611">
        <v>3940</v>
      </c>
    </row>
    <row r="51" spans="1:14" ht="14.25" customHeight="1" thickBot="1">
      <c r="A51" s="603" t="s">
        <v>137</v>
      </c>
      <c r="B51" s="597" t="s">
        <v>203</v>
      </c>
      <c r="C51" s="597">
        <v>17040</v>
      </c>
      <c r="D51" s="597">
        <v>16930</v>
      </c>
      <c r="E51" s="597">
        <v>15030</v>
      </c>
      <c r="F51" s="611">
        <v>4120</v>
      </c>
    </row>
    <row r="52" spans="1:14" ht="14.25" customHeight="1" thickBot="1">
      <c r="A52" s="603" t="s">
        <v>137</v>
      </c>
      <c r="B52" s="597" t="s">
        <v>216</v>
      </c>
      <c r="C52" s="597">
        <v>17110</v>
      </c>
      <c r="D52" s="597">
        <v>17750</v>
      </c>
      <c r="E52" s="597">
        <v>17310</v>
      </c>
      <c r="F52" s="611">
        <v>3220</v>
      </c>
    </row>
    <row r="53" spans="1:14" ht="14.25" customHeight="1" thickBot="1">
      <c r="A53" s="603" t="s">
        <v>137</v>
      </c>
      <c r="B53" s="597" t="s">
        <v>228</v>
      </c>
      <c r="C53" s="597">
        <v>17810</v>
      </c>
      <c r="D53" s="597">
        <v>17260</v>
      </c>
      <c r="E53" s="597">
        <v>17090</v>
      </c>
      <c r="F53" s="611">
        <v>3520</v>
      </c>
    </row>
    <row r="54" spans="1:14" ht="14.25" customHeight="1" thickBot="1">
      <c r="A54" s="603" t="s">
        <v>137</v>
      </c>
      <c r="B54" s="597" t="s">
        <v>239</v>
      </c>
      <c r="C54" s="597">
        <v>17410</v>
      </c>
      <c r="D54" s="597">
        <v>16780</v>
      </c>
      <c r="E54" s="597">
        <v>16370</v>
      </c>
      <c r="F54" s="611">
        <v>3410</v>
      </c>
    </row>
    <row r="55" spans="1:14" ht="14.25" customHeight="1" thickBot="1">
      <c r="A55" s="603" t="s">
        <v>137</v>
      </c>
      <c r="B55" s="597" t="s">
        <v>250</v>
      </c>
      <c r="C55" s="597">
        <v>16930</v>
      </c>
      <c r="D55" s="597">
        <v>14720</v>
      </c>
      <c r="E55" s="597">
        <v>15000</v>
      </c>
      <c r="F55" s="611">
        <v>3710</v>
      </c>
    </row>
    <row r="56" spans="1:14" ht="14.25" customHeight="1" thickBot="1">
      <c r="A56" s="603" t="s">
        <v>137</v>
      </c>
      <c r="B56" s="597" t="s">
        <v>261</v>
      </c>
      <c r="C56" s="597">
        <v>14930</v>
      </c>
      <c r="D56" s="597">
        <v>15850</v>
      </c>
      <c r="E56" s="597">
        <v>14320</v>
      </c>
      <c r="F56" s="611">
        <v>3960</v>
      </c>
    </row>
    <row r="57" spans="1:14" ht="14.25" customHeight="1" thickBot="1">
      <c r="A57" s="603" t="s">
        <v>137</v>
      </c>
      <c r="B57" s="597" t="s">
        <v>273</v>
      </c>
      <c r="C57" s="597">
        <v>16160</v>
      </c>
      <c r="D57" s="597">
        <v>16190</v>
      </c>
      <c r="E57" s="597">
        <v>15650</v>
      </c>
      <c r="F57" s="611">
        <v>4200</v>
      </c>
    </row>
    <row r="58" spans="1:14" ht="14.25" customHeight="1" thickBot="1">
      <c r="A58" s="603" t="s">
        <v>137</v>
      </c>
      <c r="B58" s="597" t="s">
        <v>283</v>
      </c>
      <c r="C58" s="597">
        <v>16360</v>
      </c>
      <c r="D58" s="597">
        <v>14050</v>
      </c>
      <c r="E58" s="597">
        <v>16070</v>
      </c>
      <c r="F58" s="611">
        <v>3990</v>
      </c>
    </row>
    <row r="59" spans="1:14" ht="14.25" customHeight="1" thickBot="1">
      <c r="A59" s="603" t="s">
        <v>137</v>
      </c>
      <c r="B59" s="597" t="s">
        <v>293</v>
      </c>
      <c r="C59" s="597">
        <v>14160</v>
      </c>
      <c r="D59" s="597">
        <v>16620</v>
      </c>
      <c r="E59" s="597">
        <v>13940</v>
      </c>
      <c r="F59" s="611">
        <v>4260</v>
      </c>
    </row>
    <row r="60" spans="1:14" ht="14.25" customHeight="1" thickBot="1">
      <c r="A60" s="603" t="s">
        <v>137</v>
      </c>
      <c r="B60" s="597" t="s">
        <v>303</v>
      </c>
      <c r="C60" s="597">
        <v>16750</v>
      </c>
      <c r="D60" s="597">
        <v>13910</v>
      </c>
      <c r="E60" s="597">
        <v>16550</v>
      </c>
      <c r="F60" s="611">
        <v>4550</v>
      </c>
    </row>
    <row r="61" spans="1:14" ht="14.25" customHeight="1" thickBot="1">
      <c r="A61" s="603" t="s">
        <v>137</v>
      </c>
      <c r="B61" s="597" t="s">
        <v>313</v>
      </c>
      <c r="C61" s="597">
        <v>14000</v>
      </c>
      <c r="D61" s="597">
        <v>14550</v>
      </c>
      <c r="E61" s="597">
        <v>13860</v>
      </c>
      <c r="F61" s="615"/>
    </row>
    <row r="62" spans="1:14" ht="14.25" customHeight="1" thickBot="1">
      <c r="A62" s="603" t="s">
        <v>137</v>
      </c>
      <c r="B62" s="597" t="s">
        <v>324</v>
      </c>
      <c r="C62" s="597">
        <v>14660</v>
      </c>
      <c r="D62" s="597">
        <v>17450</v>
      </c>
      <c r="E62" s="597">
        <v>14470</v>
      </c>
      <c r="F62" s="615"/>
    </row>
    <row r="63" spans="1:14" ht="14.25" customHeight="1" thickBot="1">
      <c r="A63" s="603" t="s">
        <v>137</v>
      </c>
      <c r="B63" s="597" t="s">
        <v>335</v>
      </c>
      <c r="C63" s="597">
        <v>17610</v>
      </c>
      <c r="D63" s="597">
        <v>16500</v>
      </c>
      <c r="E63" s="597">
        <v>17330</v>
      </c>
      <c r="F63" s="615"/>
    </row>
    <row r="64" spans="1:14" ht="14.25" customHeight="1" thickBot="1">
      <c r="A64" s="603" t="s">
        <v>137</v>
      </c>
      <c r="B64" s="597" t="s">
        <v>345</v>
      </c>
      <c r="C64" s="597">
        <v>16590</v>
      </c>
      <c r="D64" s="597">
        <v>15130</v>
      </c>
      <c r="E64" s="597">
        <v>16420</v>
      </c>
      <c r="F64" s="615"/>
    </row>
    <row r="65" spans="1:6" s="591" customFormat="1" ht="14.25" customHeight="1" thickBot="1">
      <c r="A65" s="603" t="s">
        <v>137</v>
      </c>
      <c r="B65" s="597" t="s">
        <v>355</v>
      </c>
      <c r="C65" s="597">
        <v>15220</v>
      </c>
      <c r="D65" s="597">
        <v>14660</v>
      </c>
      <c r="E65" s="597">
        <v>15060</v>
      </c>
      <c r="F65" s="611"/>
    </row>
    <row r="66" spans="1:6" s="591" customFormat="1" ht="14.25" customHeight="1" thickBot="1">
      <c r="A66" s="603" t="s">
        <v>137</v>
      </c>
      <c r="B66" s="597" t="s">
        <v>365</v>
      </c>
      <c r="C66" s="597">
        <v>14720</v>
      </c>
      <c r="D66" s="597">
        <v>15970</v>
      </c>
      <c r="E66" s="597">
        <v>14610</v>
      </c>
      <c r="F66" s="611"/>
    </row>
    <row r="67" spans="1:6" s="591" customFormat="1" ht="14.25" customHeight="1" thickBot="1">
      <c r="A67" s="603" t="s">
        <v>137</v>
      </c>
      <c r="B67" s="597" t="s">
        <v>375</v>
      </c>
      <c r="C67" s="597">
        <v>16080</v>
      </c>
      <c r="D67" s="597">
        <v>14840</v>
      </c>
      <c r="E67" s="597">
        <v>15630</v>
      </c>
      <c r="F67" s="611"/>
    </row>
    <row r="68" spans="1:6" s="591" customFormat="1" ht="14.25" customHeight="1" thickBot="1">
      <c r="A68" s="603" t="s">
        <v>137</v>
      </c>
      <c r="B68" s="597" t="s">
        <v>384</v>
      </c>
      <c r="C68" s="597">
        <v>14940</v>
      </c>
      <c r="D68" s="597">
        <v>18000</v>
      </c>
      <c r="E68" s="597">
        <v>14040</v>
      </c>
      <c r="F68" s="611"/>
    </row>
    <row r="69" spans="1:6" s="591" customFormat="1" ht="14.25" customHeight="1" thickBot="1">
      <c r="A69" s="603" t="s">
        <v>137</v>
      </c>
      <c r="B69" s="597" t="s">
        <v>393</v>
      </c>
      <c r="C69" s="597">
        <v>18810</v>
      </c>
      <c r="D69" s="597">
        <v>15100</v>
      </c>
      <c r="E69" s="597">
        <v>14710</v>
      </c>
      <c r="F69" s="611"/>
    </row>
    <row r="70" spans="1:6" s="591" customFormat="1" ht="14.25" customHeight="1" thickBot="1">
      <c r="A70" s="603" t="s">
        <v>137</v>
      </c>
      <c r="B70" s="597" t="s">
        <v>401</v>
      </c>
      <c r="C70" s="597">
        <v>18270</v>
      </c>
      <c r="D70" s="597"/>
      <c r="E70" s="597"/>
      <c r="F70" s="611"/>
    </row>
    <row r="71" spans="1:6" s="591" customFormat="1" ht="14.25" customHeight="1" thickBot="1">
      <c r="A71" s="603" t="s">
        <v>137</v>
      </c>
      <c r="B71" s="597" t="s">
        <v>408</v>
      </c>
      <c r="C71" s="597">
        <v>15230</v>
      </c>
      <c r="D71" s="597"/>
      <c r="E71" s="597"/>
      <c r="F71" s="611"/>
    </row>
    <row r="72" spans="1:6" s="591" customFormat="1" ht="14.25" customHeight="1" thickBot="1">
      <c r="A72" s="603" t="s">
        <v>137</v>
      </c>
      <c r="B72" s="597" t="s">
        <v>415</v>
      </c>
      <c r="C72" s="597"/>
      <c r="D72" s="597"/>
      <c r="E72" s="597"/>
      <c r="F72" s="611">
        <v>4120</v>
      </c>
    </row>
    <row r="73" spans="1:6" s="591" customFormat="1" ht="14.25" customHeight="1" thickBot="1">
      <c r="A73" s="603" t="s">
        <v>137</v>
      </c>
      <c r="B73" s="597" t="s">
        <v>422</v>
      </c>
      <c r="C73" s="597"/>
      <c r="D73" s="597"/>
      <c r="E73" s="597"/>
      <c r="F73" s="611">
        <v>3930</v>
      </c>
    </row>
    <row r="74" spans="1:6" s="591" customFormat="1" ht="14.25" customHeight="1" thickBot="1">
      <c r="A74" s="603" t="s">
        <v>137</v>
      </c>
      <c r="B74" s="597" t="s">
        <v>429</v>
      </c>
      <c r="C74" s="597"/>
      <c r="D74" s="597"/>
      <c r="E74" s="597"/>
      <c r="F74" s="611">
        <v>4060</v>
      </c>
    </row>
    <row r="75" spans="1:6" s="591" customFormat="1" ht="14.25" customHeight="1" thickBot="1">
      <c r="A75" s="603" t="s">
        <v>137</v>
      </c>
      <c r="B75" s="609" t="s">
        <v>436</v>
      </c>
      <c r="C75" s="609"/>
      <c r="D75" s="609"/>
      <c r="E75" s="609"/>
      <c r="F75" s="614">
        <v>3750</v>
      </c>
    </row>
    <row r="76" spans="1:6" s="591" customFormat="1" ht="14.25" customHeight="1" thickBot="1">
      <c r="A76" s="603" t="s">
        <v>523</v>
      </c>
      <c r="B76" s="604" t="s">
        <v>524</v>
      </c>
      <c r="C76" s="604">
        <v>14690</v>
      </c>
      <c r="D76" s="604">
        <v>14640</v>
      </c>
      <c r="E76" s="604">
        <v>14590</v>
      </c>
      <c r="F76" s="605">
        <v>3060</v>
      </c>
    </row>
    <row r="77" spans="1:6" s="591" customFormat="1" ht="14.25" customHeight="1" thickBot="1">
      <c r="A77" s="603" t="s">
        <v>523</v>
      </c>
      <c r="B77" s="597" t="s">
        <v>191</v>
      </c>
      <c r="C77" s="597">
        <v>12550</v>
      </c>
      <c r="D77" s="597">
        <v>12480</v>
      </c>
      <c r="E77" s="597">
        <v>12450</v>
      </c>
      <c r="F77" s="611">
        <v>2590</v>
      </c>
    </row>
    <row r="78" spans="1:6" s="591" customFormat="1" ht="14.25" customHeight="1" thickBot="1">
      <c r="A78" s="603" t="s">
        <v>523</v>
      </c>
      <c r="B78" s="597" t="s">
        <v>204</v>
      </c>
      <c r="C78" s="597">
        <v>14360</v>
      </c>
      <c r="D78" s="597">
        <v>14320</v>
      </c>
      <c r="E78" s="597">
        <v>12510</v>
      </c>
      <c r="F78" s="611">
        <v>2700</v>
      </c>
    </row>
    <row r="79" spans="1:6" s="591" customFormat="1" ht="14.25" customHeight="1" thickBot="1">
      <c r="A79" s="603" t="s">
        <v>523</v>
      </c>
      <c r="B79" s="597" t="s">
        <v>217</v>
      </c>
      <c r="C79" s="597">
        <v>12590</v>
      </c>
      <c r="D79" s="597">
        <v>12540</v>
      </c>
      <c r="E79" s="597">
        <v>12350</v>
      </c>
      <c r="F79" s="611">
        <v>2740</v>
      </c>
    </row>
    <row r="80" spans="1:6" s="591" customFormat="1" ht="14.25" customHeight="1" thickBot="1">
      <c r="A80" s="603" t="s">
        <v>523</v>
      </c>
      <c r="B80" s="597" t="s">
        <v>229</v>
      </c>
      <c r="C80" s="597">
        <v>12450</v>
      </c>
      <c r="D80" s="597">
        <v>12370</v>
      </c>
      <c r="E80" s="597">
        <v>10790</v>
      </c>
      <c r="F80" s="611">
        <v>2290</v>
      </c>
    </row>
    <row r="81" spans="1:6" s="591" customFormat="1" ht="14.25" customHeight="1" thickBot="1">
      <c r="A81" s="603" t="s">
        <v>523</v>
      </c>
      <c r="B81" s="597" t="s">
        <v>240</v>
      </c>
      <c r="C81" s="597">
        <v>14210</v>
      </c>
      <c r="D81" s="597">
        <v>14150</v>
      </c>
      <c r="E81" s="597">
        <v>12730</v>
      </c>
      <c r="F81" s="611">
        <v>2240</v>
      </c>
    </row>
    <row r="82" spans="1:6" s="591" customFormat="1" ht="14.25" customHeight="1" thickBot="1">
      <c r="A82" s="603" t="s">
        <v>523</v>
      </c>
      <c r="B82" s="597" t="s">
        <v>251</v>
      </c>
      <c r="C82" s="597">
        <v>10860</v>
      </c>
      <c r="D82" s="597">
        <v>10820</v>
      </c>
      <c r="E82" s="597">
        <v>14720</v>
      </c>
      <c r="F82" s="611">
        <v>2490</v>
      </c>
    </row>
    <row r="83" spans="1:6" s="591" customFormat="1" ht="14.25" customHeight="1" thickBot="1">
      <c r="A83" s="603" t="s">
        <v>523</v>
      </c>
      <c r="B83" s="597" t="s">
        <v>262</v>
      </c>
      <c r="C83" s="597">
        <v>12810</v>
      </c>
      <c r="D83" s="597">
        <v>12760</v>
      </c>
      <c r="E83" s="597">
        <v>14830</v>
      </c>
      <c r="F83" s="611">
        <v>2450</v>
      </c>
    </row>
    <row r="84" spans="1:6" s="591" customFormat="1" ht="14.25" customHeight="1" thickBot="1">
      <c r="A84" s="603" t="s">
        <v>523</v>
      </c>
      <c r="B84" s="597" t="s">
        <v>274</v>
      </c>
      <c r="C84" s="597">
        <v>14950</v>
      </c>
      <c r="D84" s="597">
        <v>14810</v>
      </c>
      <c r="E84" s="597">
        <v>12590</v>
      </c>
      <c r="F84" s="611">
        <v>2540</v>
      </c>
    </row>
    <row r="85" spans="1:6" s="591" customFormat="1" ht="14.25" customHeight="1" thickBot="1">
      <c r="A85" s="603" t="s">
        <v>523</v>
      </c>
      <c r="B85" s="597" t="s">
        <v>284</v>
      </c>
      <c r="C85" s="597">
        <v>14960</v>
      </c>
      <c r="D85" s="597">
        <v>14890</v>
      </c>
      <c r="E85" s="597">
        <v>12840</v>
      </c>
      <c r="F85" s="611">
        <v>2840</v>
      </c>
    </row>
    <row r="86" spans="1:6" s="591" customFormat="1" ht="14.25" customHeight="1" thickBot="1">
      <c r="A86" s="603" t="s">
        <v>523</v>
      </c>
      <c r="B86" s="597" t="s">
        <v>294</v>
      </c>
      <c r="C86" s="597">
        <v>12730</v>
      </c>
      <c r="D86" s="597">
        <v>12660</v>
      </c>
      <c r="E86" s="597">
        <v>13310</v>
      </c>
      <c r="F86" s="611">
        <v>3140</v>
      </c>
    </row>
    <row r="87" spans="1:6" s="591" customFormat="1" ht="14.25" customHeight="1" thickBot="1">
      <c r="A87" s="603" t="s">
        <v>523</v>
      </c>
      <c r="B87" s="597" t="s">
        <v>304</v>
      </c>
      <c r="C87" s="597">
        <v>12940</v>
      </c>
      <c r="D87" s="597">
        <v>12890</v>
      </c>
      <c r="E87" s="597">
        <v>11580</v>
      </c>
      <c r="F87" s="615"/>
    </row>
    <row r="88" spans="1:6" s="591" customFormat="1" ht="14.25" customHeight="1" thickBot="1">
      <c r="A88" s="603" t="s">
        <v>523</v>
      </c>
      <c r="B88" s="597" t="s">
        <v>314</v>
      </c>
      <c r="C88" s="597">
        <v>13430</v>
      </c>
      <c r="D88" s="597">
        <v>13360</v>
      </c>
      <c r="E88" s="597">
        <v>12790</v>
      </c>
      <c r="F88" s="615"/>
    </row>
    <row r="89" spans="1:6" s="591" customFormat="1" ht="14.25" customHeight="1" thickBot="1">
      <c r="A89" s="603" t="s">
        <v>523</v>
      </c>
      <c r="B89" s="597" t="s">
        <v>325</v>
      </c>
      <c r="C89" s="597">
        <v>11680</v>
      </c>
      <c r="D89" s="597">
        <v>11630</v>
      </c>
      <c r="E89" s="597">
        <v>11320</v>
      </c>
      <c r="F89" s="615"/>
    </row>
    <row r="90" spans="1:6" s="591" customFormat="1" ht="14.25" customHeight="1" thickBot="1">
      <c r="A90" s="603" t="s">
        <v>523</v>
      </c>
      <c r="B90" s="597" t="s">
        <v>336</v>
      </c>
      <c r="C90" s="597">
        <v>12890</v>
      </c>
      <c r="D90" s="597">
        <v>12820</v>
      </c>
      <c r="E90" s="597">
        <v>12710</v>
      </c>
      <c r="F90" s="615"/>
    </row>
    <row r="91" spans="1:6" s="591" customFormat="1" ht="14.25" customHeight="1" thickBot="1">
      <c r="A91" s="603" t="s">
        <v>523</v>
      </c>
      <c r="B91" s="597" t="s">
        <v>346</v>
      </c>
      <c r="C91" s="597">
        <v>11410</v>
      </c>
      <c r="D91" s="597">
        <v>11360</v>
      </c>
      <c r="E91" s="597">
        <v>12670</v>
      </c>
      <c r="F91" s="615"/>
    </row>
    <row r="92" spans="1:6" s="591" customFormat="1" ht="14.25" customHeight="1" thickBot="1">
      <c r="A92" s="603" t="s">
        <v>523</v>
      </c>
      <c r="B92" s="597" t="s">
        <v>356</v>
      </c>
      <c r="C92" s="597">
        <v>12770</v>
      </c>
      <c r="D92" s="597">
        <v>12740</v>
      </c>
      <c r="E92" s="597">
        <v>11970</v>
      </c>
      <c r="F92" s="615"/>
    </row>
    <row r="93" spans="1:6" s="591" customFormat="1" ht="14.25" customHeight="1" thickBot="1">
      <c r="A93" s="603" t="s">
        <v>523</v>
      </c>
      <c r="B93" s="597" t="s">
        <v>366</v>
      </c>
      <c r="C93" s="597">
        <v>12740</v>
      </c>
      <c r="D93" s="597">
        <v>12700</v>
      </c>
      <c r="E93" s="597">
        <v>12540</v>
      </c>
      <c r="F93" s="615"/>
    </row>
    <row r="94" spans="1:6" s="591" customFormat="1" ht="14.25" customHeight="1" thickBot="1">
      <c r="A94" s="603" t="s">
        <v>523</v>
      </c>
      <c r="B94" s="597" t="s">
        <v>376</v>
      </c>
      <c r="C94" s="597">
        <v>12020</v>
      </c>
      <c r="D94" s="597">
        <v>11990</v>
      </c>
      <c r="E94" s="597">
        <v>13110</v>
      </c>
      <c r="F94" s="615"/>
    </row>
    <row r="95" spans="1:6" s="591" customFormat="1" ht="14.25" customHeight="1" thickBot="1">
      <c r="A95" s="603" t="s">
        <v>523</v>
      </c>
      <c r="B95" s="597" t="s">
        <v>385</v>
      </c>
      <c r="C95" s="597">
        <v>12620</v>
      </c>
      <c r="D95" s="597">
        <v>12580</v>
      </c>
      <c r="E95" s="597">
        <v>13160</v>
      </c>
      <c r="F95" s="611"/>
    </row>
    <row r="96" spans="1:6" s="591" customFormat="1" ht="14.25" customHeight="1" thickBot="1">
      <c r="A96" s="603" t="s">
        <v>523</v>
      </c>
      <c r="B96" s="597" t="s">
        <v>394</v>
      </c>
      <c r="C96" s="597">
        <v>13200</v>
      </c>
      <c r="D96" s="597">
        <v>13150</v>
      </c>
      <c r="E96" s="597">
        <v>12900</v>
      </c>
      <c r="F96" s="611"/>
    </row>
    <row r="97" spans="1:6" s="591" customFormat="1" ht="14.25" customHeight="1" thickBot="1">
      <c r="A97" s="603" t="s">
        <v>523</v>
      </c>
      <c r="B97" s="597" t="s">
        <v>402</v>
      </c>
      <c r="C97" s="597">
        <v>13270</v>
      </c>
      <c r="D97" s="597">
        <v>13210</v>
      </c>
      <c r="E97" s="597">
        <v>11080</v>
      </c>
      <c r="F97" s="611"/>
    </row>
    <row r="98" spans="1:6" s="591" customFormat="1" ht="14.25" customHeight="1" thickBot="1">
      <c r="A98" s="603" t="s">
        <v>523</v>
      </c>
      <c r="B98" s="597" t="s">
        <v>409</v>
      </c>
      <c r="C98" s="597">
        <v>13010</v>
      </c>
      <c r="D98" s="597">
        <v>12930</v>
      </c>
      <c r="E98" s="597">
        <v>12840</v>
      </c>
      <c r="F98" s="611"/>
    </row>
    <row r="99" spans="1:6" s="591" customFormat="1" ht="14.25" customHeight="1" thickBot="1">
      <c r="A99" s="603" t="s">
        <v>523</v>
      </c>
      <c r="B99" s="597" t="s">
        <v>416</v>
      </c>
      <c r="C99" s="597">
        <v>11190</v>
      </c>
      <c r="D99" s="597">
        <v>11130</v>
      </c>
      <c r="E99" s="597"/>
      <c r="F99" s="611"/>
    </row>
    <row r="100" spans="1:6" s="591" customFormat="1" ht="14.25" customHeight="1" thickBot="1">
      <c r="A100" s="603" t="s">
        <v>523</v>
      </c>
      <c r="B100" s="597" t="s">
        <v>423</v>
      </c>
      <c r="C100" s="597">
        <v>14280</v>
      </c>
      <c r="D100" s="597">
        <v>14180</v>
      </c>
      <c r="E100" s="597"/>
      <c r="F100" s="611"/>
    </row>
    <row r="101" spans="1:6" s="591" customFormat="1" ht="14.25" customHeight="1" thickBot="1">
      <c r="A101" s="603" t="s">
        <v>523</v>
      </c>
      <c r="B101" s="597" t="s">
        <v>430</v>
      </c>
      <c r="C101" s="597">
        <v>12960</v>
      </c>
      <c r="D101" s="597">
        <v>12890</v>
      </c>
      <c r="E101" s="597"/>
      <c r="F101" s="611"/>
    </row>
    <row r="102" spans="1:6" s="591" customFormat="1" ht="14.25" customHeight="1" thickBot="1">
      <c r="A102" s="603" t="s">
        <v>523</v>
      </c>
      <c r="B102" s="597" t="s">
        <v>437</v>
      </c>
      <c r="C102" s="597"/>
      <c r="D102" s="597"/>
      <c r="E102" s="597"/>
      <c r="F102" s="611">
        <v>3100</v>
      </c>
    </row>
    <row r="103" spans="1:6" s="591" customFormat="1" ht="14.25" customHeight="1" thickBot="1">
      <c r="A103" s="603" t="s">
        <v>523</v>
      </c>
      <c r="B103" s="597" t="s">
        <v>444</v>
      </c>
      <c r="C103" s="597"/>
      <c r="D103" s="597"/>
      <c r="E103" s="597"/>
      <c r="F103" s="611">
        <v>2320</v>
      </c>
    </row>
    <row r="104" spans="1:6" s="591" customFormat="1" ht="14.25" customHeight="1" thickBot="1">
      <c r="A104" s="603" t="s">
        <v>523</v>
      </c>
      <c r="B104" s="597" t="s">
        <v>449</v>
      </c>
      <c r="C104" s="597"/>
      <c r="D104" s="597"/>
      <c r="E104" s="597"/>
      <c r="F104" s="611">
        <v>2320</v>
      </c>
    </row>
    <row r="105" spans="1:6" s="591" customFormat="1" ht="14.25" customHeight="1" thickBot="1">
      <c r="A105" s="603" t="s">
        <v>523</v>
      </c>
      <c r="B105" s="597" t="s">
        <v>453</v>
      </c>
      <c r="C105" s="597"/>
      <c r="D105" s="597"/>
      <c r="E105" s="597"/>
      <c r="F105" s="611">
        <v>2320</v>
      </c>
    </row>
    <row r="106" spans="1:6" s="591" customFormat="1" ht="14.25" customHeight="1" thickBot="1">
      <c r="A106" s="603" t="s">
        <v>523</v>
      </c>
      <c r="B106" s="597" t="s">
        <v>458</v>
      </c>
      <c r="C106" s="597"/>
      <c r="D106" s="597"/>
      <c r="E106" s="597"/>
      <c r="F106" s="611">
        <v>2320</v>
      </c>
    </row>
    <row r="107" spans="1:6" s="591" customFormat="1" ht="14.25" customHeight="1" thickBot="1">
      <c r="A107" s="603" t="s">
        <v>523</v>
      </c>
      <c r="B107" s="597" t="s">
        <v>463</v>
      </c>
      <c r="C107" s="597"/>
      <c r="D107" s="597"/>
      <c r="E107" s="597"/>
      <c r="F107" s="611">
        <v>2280</v>
      </c>
    </row>
    <row r="108" spans="1:6" s="591" customFormat="1" ht="14.25" customHeight="1" thickBot="1">
      <c r="A108" s="603" t="s">
        <v>523</v>
      </c>
      <c r="B108" s="597" t="s">
        <v>468</v>
      </c>
      <c r="C108" s="597"/>
      <c r="D108" s="597"/>
      <c r="E108" s="597"/>
      <c r="F108" s="611">
        <v>2280</v>
      </c>
    </row>
    <row r="109" spans="1:6" s="591" customFormat="1" ht="14.25" customHeight="1" thickBot="1">
      <c r="A109" s="603" t="s">
        <v>523</v>
      </c>
      <c r="B109" s="609" t="s">
        <v>473</v>
      </c>
      <c r="C109" s="609"/>
      <c r="D109" s="609"/>
      <c r="E109" s="609"/>
      <c r="F109" s="614">
        <v>2280</v>
      </c>
    </row>
    <row r="110" spans="1:6" s="591" customFormat="1" ht="14.25" customHeight="1" thickBot="1">
      <c r="A110" s="603" t="s">
        <v>56</v>
      </c>
      <c r="B110" s="604" t="s">
        <v>525</v>
      </c>
      <c r="C110" s="604">
        <v>10520</v>
      </c>
      <c r="D110" s="604">
        <v>10490</v>
      </c>
      <c r="E110" s="604">
        <v>10760</v>
      </c>
      <c r="F110" s="605">
        <v>2160</v>
      </c>
    </row>
    <row r="111" spans="1:6" s="591" customFormat="1" ht="14.25" customHeight="1" thickBot="1">
      <c r="A111" s="603" t="s">
        <v>56</v>
      </c>
      <c r="B111" s="597" t="s">
        <v>192</v>
      </c>
      <c r="C111" s="597">
        <v>10090</v>
      </c>
      <c r="D111" s="597">
        <v>10060</v>
      </c>
      <c r="E111" s="597">
        <v>10300</v>
      </c>
      <c r="F111" s="611">
        <v>2010</v>
      </c>
    </row>
    <row r="112" spans="1:6" s="591" customFormat="1" ht="14.25" customHeight="1" thickBot="1">
      <c r="A112" s="603" t="s">
        <v>56</v>
      </c>
      <c r="B112" s="597" t="s">
        <v>205</v>
      </c>
      <c r="C112" s="597">
        <v>9910</v>
      </c>
      <c r="D112" s="597">
        <v>9850</v>
      </c>
      <c r="E112" s="597">
        <v>9960</v>
      </c>
      <c r="F112" s="611">
        <v>2090</v>
      </c>
    </row>
    <row r="113" spans="1:6" s="591" customFormat="1" ht="14.25" customHeight="1" thickBot="1">
      <c r="A113" s="603" t="s">
        <v>56</v>
      </c>
      <c r="B113" s="597" t="s">
        <v>218</v>
      </c>
      <c r="C113" s="597">
        <v>11430</v>
      </c>
      <c r="D113" s="597">
        <v>11400</v>
      </c>
      <c r="E113" s="597">
        <v>11710</v>
      </c>
      <c r="F113" s="611">
        <v>2050</v>
      </c>
    </row>
    <row r="114" spans="1:6" s="591" customFormat="1" ht="14.25" customHeight="1" thickBot="1">
      <c r="A114" s="603" t="s">
        <v>56</v>
      </c>
      <c r="B114" s="597" t="s">
        <v>230</v>
      </c>
      <c r="C114" s="597">
        <v>11390</v>
      </c>
      <c r="D114" s="597">
        <v>11350</v>
      </c>
      <c r="E114" s="597">
        <v>11640</v>
      </c>
      <c r="F114" s="611">
        <v>1620</v>
      </c>
    </row>
    <row r="115" spans="1:6" s="591" customFormat="1" ht="14.25" customHeight="1" thickBot="1">
      <c r="A115" s="603" t="s">
        <v>56</v>
      </c>
      <c r="B115" s="597" t="s">
        <v>241</v>
      </c>
      <c r="C115" s="597">
        <v>9930</v>
      </c>
      <c r="D115" s="597">
        <v>9900</v>
      </c>
      <c r="E115" s="597">
        <v>10160</v>
      </c>
      <c r="F115" s="611">
        <v>1580</v>
      </c>
    </row>
    <row r="116" spans="1:6" s="591" customFormat="1" ht="14.25" customHeight="1" thickBot="1">
      <c r="A116" s="603" t="s">
        <v>56</v>
      </c>
      <c r="B116" s="597" t="s">
        <v>252</v>
      </c>
      <c r="C116" s="597">
        <v>9150</v>
      </c>
      <c r="D116" s="597">
        <v>9120</v>
      </c>
      <c r="E116" s="597">
        <v>9380</v>
      </c>
      <c r="F116" s="611">
        <v>1750</v>
      </c>
    </row>
    <row r="117" spans="1:6" s="591" customFormat="1" ht="14.25" customHeight="1" thickBot="1">
      <c r="A117" s="603" t="s">
        <v>56</v>
      </c>
      <c r="B117" s="597" t="s">
        <v>263</v>
      </c>
      <c r="C117" s="597">
        <v>10680</v>
      </c>
      <c r="D117" s="597">
        <v>10650</v>
      </c>
      <c r="E117" s="597">
        <v>10970</v>
      </c>
      <c r="F117" s="611">
        <v>1730</v>
      </c>
    </row>
    <row r="118" spans="1:6" s="591" customFormat="1" ht="14.25" customHeight="1" thickBot="1">
      <c r="A118" s="603" t="s">
        <v>56</v>
      </c>
      <c r="B118" s="597" t="s">
        <v>275</v>
      </c>
      <c r="C118" s="597">
        <v>10080</v>
      </c>
      <c r="D118" s="597">
        <v>10050</v>
      </c>
      <c r="E118" s="597">
        <v>10350</v>
      </c>
      <c r="F118" s="611">
        <v>1920</v>
      </c>
    </row>
    <row r="119" spans="1:6" s="591" customFormat="1" ht="14.25" customHeight="1" thickBot="1">
      <c r="A119" s="603" t="s">
        <v>56</v>
      </c>
      <c r="B119" s="597" t="s">
        <v>285</v>
      </c>
      <c r="C119" s="597">
        <v>9450</v>
      </c>
      <c r="D119" s="597">
        <v>9410</v>
      </c>
      <c r="E119" s="597">
        <v>9680</v>
      </c>
      <c r="F119" s="611">
        <v>1880</v>
      </c>
    </row>
    <row r="120" spans="1:6" s="591" customFormat="1" ht="14.25" customHeight="1" thickBot="1">
      <c r="A120" s="603" t="s">
        <v>56</v>
      </c>
      <c r="B120" s="597" t="s">
        <v>295</v>
      </c>
      <c r="C120" s="597">
        <v>8730</v>
      </c>
      <c r="D120" s="597">
        <v>8700</v>
      </c>
      <c r="E120" s="597">
        <v>8950</v>
      </c>
      <c r="F120" s="611">
        <v>1830</v>
      </c>
    </row>
    <row r="121" spans="1:6" s="591" customFormat="1" ht="14.25" customHeight="1" thickBot="1">
      <c r="A121" s="603" t="s">
        <v>56</v>
      </c>
      <c r="B121" s="597" t="s">
        <v>305</v>
      </c>
      <c r="C121" s="597">
        <v>10070</v>
      </c>
      <c r="D121" s="597">
        <v>10040</v>
      </c>
      <c r="E121" s="597">
        <v>10270</v>
      </c>
      <c r="F121" s="611">
        <v>1960</v>
      </c>
    </row>
    <row r="122" spans="1:6" s="591" customFormat="1" ht="14.25" customHeight="1" thickBot="1">
      <c r="A122" s="603" t="s">
        <v>56</v>
      </c>
      <c r="B122" s="597" t="s">
        <v>315</v>
      </c>
      <c r="C122" s="597">
        <v>10500</v>
      </c>
      <c r="D122" s="597">
        <v>10470</v>
      </c>
      <c r="E122" s="597">
        <v>10780</v>
      </c>
      <c r="F122" s="611">
        <v>2180</v>
      </c>
    </row>
    <row r="123" spans="1:6" s="591" customFormat="1" ht="14.25" customHeight="1" thickBot="1">
      <c r="A123" s="603" t="s">
        <v>56</v>
      </c>
      <c r="B123" s="597" t="s">
        <v>326</v>
      </c>
      <c r="C123" s="597">
        <v>10390</v>
      </c>
      <c r="D123" s="597">
        <v>10360</v>
      </c>
      <c r="E123" s="597">
        <v>10660</v>
      </c>
      <c r="F123" s="611">
        <v>2040</v>
      </c>
    </row>
    <row r="124" spans="1:6" s="591" customFormat="1" ht="14.25" customHeight="1" thickBot="1">
      <c r="A124" s="603" t="s">
        <v>56</v>
      </c>
      <c r="B124" s="597" t="s">
        <v>337</v>
      </c>
      <c r="C124" s="597">
        <v>10390</v>
      </c>
      <c r="D124" s="597">
        <v>10360</v>
      </c>
      <c r="E124" s="597">
        <v>10680</v>
      </c>
      <c r="F124" s="615"/>
    </row>
    <row r="125" spans="1:6" s="591" customFormat="1" ht="14.25" customHeight="1" thickBot="1">
      <c r="A125" s="603" t="s">
        <v>56</v>
      </c>
      <c r="B125" s="597" t="s">
        <v>347</v>
      </c>
      <c r="C125" s="597">
        <v>10440</v>
      </c>
      <c r="D125" s="597">
        <v>10410</v>
      </c>
      <c r="E125" s="597">
        <v>10710</v>
      </c>
      <c r="F125" s="615"/>
    </row>
    <row r="126" spans="1:6" s="591" customFormat="1" ht="14.25" customHeight="1" thickBot="1">
      <c r="A126" s="603" t="s">
        <v>56</v>
      </c>
      <c r="B126" s="597" t="s">
        <v>357</v>
      </c>
      <c r="C126" s="597">
        <v>10780</v>
      </c>
      <c r="D126" s="597">
        <v>10750</v>
      </c>
      <c r="E126" s="597">
        <v>11080</v>
      </c>
      <c r="F126" s="615"/>
    </row>
    <row r="127" spans="1:6" s="591" customFormat="1" ht="14.25" customHeight="1" thickBot="1">
      <c r="A127" s="603" t="s">
        <v>56</v>
      </c>
      <c r="B127" s="597" t="s">
        <v>367</v>
      </c>
      <c r="C127" s="597">
        <v>10100</v>
      </c>
      <c r="D127" s="597">
        <v>10070</v>
      </c>
      <c r="E127" s="597">
        <v>10350</v>
      </c>
      <c r="F127" s="615"/>
    </row>
    <row r="128" spans="1:6" s="591" customFormat="1" ht="14.25" customHeight="1" thickBot="1">
      <c r="A128" s="603" t="s">
        <v>56</v>
      </c>
      <c r="B128" s="597" t="s">
        <v>377</v>
      </c>
      <c r="C128" s="597">
        <v>9200</v>
      </c>
      <c r="D128" s="597">
        <v>9160</v>
      </c>
      <c r="E128" s="597">
        <v>9660</v>
      </c>
      <c r="F128" s="615"/>
    </row>
    <row r="129" spans="1:6" s="591" customFormat="1" ht="14.25" customHeight="1" thickBot="1">
      <c r="A129" s="603" t="s">
        <v>56</v>
      </c>
      <c r="B129" s="597" t="s">
        <v>386</v>
      </c>
      <c r="C129" s="597">
        <v>10340</v>
      </c>
      <c r="D129" s="597">
        <v>10310</v>
      </c>
      <c r="E129" s="597">
        <v>10580</v>
      </c>
      <c r="F129" s="615"/>
    </row>
    <row r="130" spans="1:6" s="591" customFormat="1" ht="14.25" customHeight="1" thickBot="1">
      <c r="A130" s="603" t="s">
        <v>56</v>
      </c>
      <c r="B130" s="597" t="s">
        <v>395</v>
      </c>
      <c r="C130" s="597">
        <v>9680</v>
      </c>
      <c r="D130" s="597">
        <v>9660</v>
      </c>
      <c r="E130" s="597">
        <v>9950</v>
      </c>
      <c r="F130" s="615"/>
    </row>
    <row r="131" spans="1:6" s="591" customFormat="1" ht="14.25" customHeight="1" thickBot="1">
      <c r="A131" s="603" t="s">
        <v>56</v>
      </c>
      <c r="B131" s="597" t="s">
        <v>403</v>
      </c>
      <c r="C131" s="597">
        <v>9540</v>
      </c>
      <c r="D131" s="597">
        <v>9510</v>
      </c>
      <c r="E131" s="597">
        <v>9790</v>
      </c>
      <c r="F131" s="615"/>
    </row>
    <row r="132" spans="1:6" s="591" customFormat="1" ht="14.25" customHeight="1" thickBot="1">
      <c r="A132" s="603" t="s">
        <v>56</v>
      </c>
      <c r="B132" s="597" t="s">
        <v>410</v>
      </c>
      <c r="C132" s="597">
        <v>9320</v>
      </c>
      <c r="D132" s="597">
        <v>9290</v>
      </c>
      <c r="E132" s="597">
        <v>9570</v>
      </c>
      <c r="F132" s="615"/>
    </row>
    <row r="133" spans="1:6" s="591" customFormat="1" ht="14.25" customHeight="1" thickBot="1">
      <c r="A133" s="603" t="s">
        <v>56</v>
      </c>
      <c r="B133" s="597" t="s">
        <v>417</v>
      </c>
      <c r="C133" s="597">
        <v>10310</v>
      </c>
      <c r="D133" s="597">
        <v>10280</v>
      </c>
      <c r="E133" s="597">
        <v>10530</v>
      </c>
      <c r="F133" s="615"/>
    </row>
    <row r="134" spans="1:6" s="591" customFormat="1" ht="14.25" customHeight="1" thickBot="1">
      <c r="A134" s="603" t="s">
        <v>56</v>
      </c>
      <c r="B134" s="597" t="s">
        <v>424</v>
      </c>
      <c r="C134" s="597">
        <v>10370</v>
      </c>
      <c r="D134" s="597">
        <v>10310</v>
      </c>
      <c r="E134" s="597">
        <v>10240</v>
      </c>
      <c r="F134" s="611">
        <v>2060</v>
      </c>
    </row>
    <row r="135" spans="1:6" s="591" customFormat="1" ht="14.25" customHeight="1" thickBot="1">
      <c r="A135" s="603" t="s">
        <v>56</v>
      </c>
      <c r="B135" s="597" t="s">
        <v>431</v>
      </c>
      <c r="C135" s="597">
        <v>9300</v>
      </c>
      <c r="D135" s="597">
        <v>9270</v>
      </c>
      <c r="E135" s="597">
        <v>9350</v>
      </c>
      <c r="F135" s="615"/>
    </row>
    <row r="136" spans="1:6" s="591" customFormat="1" ht="14.25" customHeight="1" thickBot="1">
      <c r="A136" s="603" t="s">
        <v>56</v>
      </c>
      <c r="B136" s="597" t="s">
        <v>438</v>
      </c>
      <c r="C136" s="597">
        <v>10160</v>
      </c>
      <c r="D136" s="597">
        <v>10110</v>
      </c>
      <c r="E136" s="597">
        <v>10080</v>
      </c>
      <c r="F136" s="615"/>
    </row>
    <row r="137" spans="1:6" s="591" customFormat="1" ht="14.25" customHeight="1" thickBot="1">
      <c r="A137" s="603" t="s">
        <v>56</v>
      </c>
      <c r="B137" s="597" t="s">
        <v>445</v>
      </c>
      <c r="C137" s="597">
        <v>9200</v>
      </c>
      <c r="D137" s="597">
        <v>9170</v>
      </c>
      <c r="E137" s="597">
        <v>9450</v>
      </c>
      <c r="F137" s="615"/>
    </row>
    <row r="138" spans="1:6" s="591" customFormat="1" ht="14.25" customHeight="1" thickBot="1">
      <c r="A138" s="603" t="s">
        <v>56</v>
      </c>
      <c r="B138" s="597" t="s">
        <v>450</v>
      </c>
      <c r="C138" s="597">
        <v>9690</v>
      </c>
      <c r="D138" s="597">
        <v>9660</v>
      </c>
      <c r="E138" s="597">
        <v>9840</v>
      </c>
      <c r="F138" s="615"/>
    </row>
    <row r="139" spans="1:6" s="591" customFormat="1" ht="14.25" customHeight="1" thickBot="1">
      <c r="A139" s="603" t="s">
        <v>56</v>
      </c>
      <c r="B139" s="597" t="s">
        <v>454</v>
      </c>
      <c r="C139" s="597">
        <v>10290</v>
      </c>
      <c r="D139" s="597">
        <v>10260</v>
      </c>
      <c r="E139" s="597">
        <v>10550</v>
      </c>
      <c r="F139" s="611">
        <v>1700</v>
      </c>
    </row>
    <row r="140" spans="1:6" s="591" customFormat="1" ht="14.25" customHeight="1" thickBot="1">
      <c r="A140" s="603" t="s">
        <v>56</v>
      </c>
      <c r="B140" s="597" t="s">
        <v>459</v>
      </c>
      <c r="C140" s="597">
        <v>9740</v>
      </c>
      <c r="D140" s="597">
        <v>9710</v>
      </c>
      <c r="E140" s="597">
        <v>10000</v>
      </c>
      <c r="F140" s="611">
        <v>2000</v>
      </c>
    </row>
    <row r="141" spans="1:6" s="591" customFormat="1" ht="14.25" customHeight="1" thickBot="1">
      <c r="A141" s="603" t="s">
        <v>56</v>
      </c>
      <c r="B141" s="597" t="s">
        <v>464</v>
      </c>
      <c r="C141" s="597">
        <v>9810</v>
      </c>
      <c r="D141" s="597">
        <v>9770</v>
      </c>
      <c r="E141" s="597">
        <v>10060</v>
      </c>
      <c r="F141" s="615"/>
    </row>
    <row r="142" spans="1:6" s="591" customFormat="1" ht="14.25" customHeight="1" thickBot="1">
      <c r="A142" s="603" t="s">
        <v>56</v>
      </c>
      <c r="B142" s="597" t="s">
        <v>469</v>
      </c>
      <c r="C142" s="597">
        <v>9300</v>
      </c>
      <c r="D142" s="597">
        <v>9270</v>
      </c>
      <c r="E142" s="597">
        <v>9530</v>
      </c>
      <c r="F142" s="615"/>
    </row>
    <row r="143" spans="1:6" s="591" customFormat="1" ht="14.25" customHeight="1" thickBot="1">
      <c r="A143" s="603" t="s">
        <v>56</v>
      </c>
      <c r="B143" s="597" t="s">
        <v>474</v>
      </c>
      <c r="C143" s="597">
        <v>10080</v>
      </c>
      <c r="D143" s="597">
        <v>10050</v>
      </c>
      <c r="E143" s="597">
        <v>10340</v>
      </c>
      <c r="F143" s="615"/>
    </row>
    <row r="144" spans="1:6" s="591" customFormat="1" ht="14.25" customHeight="1" thickBot="1">
      <c r="A144" s="603" t="s">
        <v>56</v>
      </c>
      <c r="B144" s="597" t="s">
        <v>478</v>
      </c>
      <c r="C144" s="597">
        <v>9820</v>
      </c>
      <c r="D144" s="597">
        <v>9750</v>
      </c>
      <c r="E144" s="597">
        <v>9900</v>
      </c>
      <c r="F144" s="615"/>
    </row>
    <row r="145" spans="1:6" s="591" customFormat="1" ht="14.25" customHeight="1" thickBot="1">
      <c r="A145" s="603" t="s">
        <v>56</v>
      </c>
      <c r="B145" s="597" t="s">
        <v>482</v>
      </c>
      <c r="C145" s="597"/>
      <c r="D145" s="597"/>
      <c r="E145" s="597"/>
      <c r="F145" s="611">
        <v>1740</v>
      </c>
    </row>
    <row r="146" spans="1:6" s="591" customFormat="1" ht="14.25" customHeight="1" thickBot="1">
      <c r="A146" s="603" t="s">
        <v>56</v>
      </c>
      <c r="B146" s="597" t="s">
        <v>486</v>
      </c>
      <c r="C146" s="597"/>
      <c r="D146" s="597"/>
      <c r="E146" s="597"/>
      <c r="F146" s="611">
        <v>1740</v>
      </c>
    </row>
    <row r="147" spans="1:6" s="591" customFormat="1" ht="14.25" customHeight="1" thickBot="1">
      <c r="A147" s="603" t="s">
        <v>56</v>
      </c>
      <c r="B147" s="597" t="s">
        <v>490</v>
      </c>
      <c r="C147" s="597"/>
      <c r="D147" s="597"/>
      <c r="E147" s="597"/>
      <c r="F147" s="611">
        <v>1740</v>
      </c>
    </row>
    <row r="148" spans="1:6" s="591" customFormat="1" ht="14.25" customHeight="1" thickBot="1">
      <c r="A148" s="603" t="s">
        <v>56</v>
      </c>
      <c r="B148" s="597" t="s">
        <v>494</v>
      </c>
      <c r="C148" s="597"/>
      <c r="D148" s="597"/>
      <c r="E148" s="597"/>
      <c r="F148" s="611">
        <v>1740</v>
      </c>
    </row>
    <row r="149" spans="1:6" s="591" customFormat="1" ht="14.25" customHeight="1" thickBot="1">
      <c r="A149" s="603" t="s">
        <v>56</v>
      </c>
      <c r="B149" s="597" t="s">
        <v>498</v>
      </c>
      <c r="C149" s="597"/>
      <c r="D149" s="597"/>
      <c r="E149" s="597"/>
      <c r="F149" s="611">
        <v>1740</v>
      </c>
    </row>
    <row r="150" spans="1:6" s="591" customFormat="1" ht="14.25" customHeight="1" thickBot="1">
      <c r="A150" s="603" t="s">
        <v>56</v>
      </c>
      <c r="B150" s="597" t="s">
        <v>501</v>
      </c>
      <c r="C150" s="597"/>
      <c r="D150" s="597"/>
      <c r="E150" s="597"/>
      <c r="F150" s="611">
        <v>1610</v>
      </c>
    </row>
    <row r="151" spans="1:6" s="591" customFormat="1" ht="14.25" customHeight="1" thickBot="1">
      <c r="A151" s="603" t="s">
        <v>56</v>
      </c>
      <c r="B151" s="597" t="s">
        <v>504</v>
      </c>
      <c r="C151" s="597"/>
      <c r="D151" s="597"/>
      <c r="E151" s="597"/>
      <c r="F151" s="611">
        <v>1610</v>
      </c>
    </row>
    <row r="152" spans="1:6" s="591" customFormat="1" ht="14.25" customHeight="1" thickBot="1">
      <c r="A152" s="603" t="s">
        <v>56</v>
      </c>
      <c r="B152" s="597" t="s">
        <v>507</v>
      </c>
      <c r="C152" s="597"/>
      <c r="D152" s="597"/>
      <c r="E152" s="597"/>
      <c r="F152" s="611">
        <v>1610</v>
      </c>
    </row>
    <row r="153" spans="1:6" s="591" customFormat="1" ht="14.25" customHeight="1" thickBot="1">
      <c r="A153" s="603" t="s">
        <v>56</v>
      </c>
      <c r="B153" s="597" t="s">
        <v>510</v>
      </c>
      <c r="C153" s="597"/>
      <c r="D153" s="597"/>
      <c r="E153" s="597"/>
      <c r="F153" s="611">
        <v>1610</v>
      </c>
    </row>
    <row r="154" spans="1:6" s="591" customFormat="1" ht="14.25" customHeight="1" thickBot="1">
      <c r="A154" s="603" t="s">
        <v>56</v>
      </c>
      <c r="B154" s="597" t="s">
        <v>513</v>
      </c>
      <c r="C154" s="597"/>
      <c r="D154" s="597"/>
      <c r="E154" s="597"/>
      <c r="F154" s="611">
        <v>1610</v>
      </c>
    </row>
    <row r="155" spans="1:6" s="591" customFormat="1" ht="14.25" customHeight="1" thickBot="1">
      <c r="A155" s="603" t="s">
        <v>56</v>
      </c>
      <c r="B155" s="597" t="s">
        <v>516</v>
      </c>
      <c r="C155" s="597"/>
      <c r="D155" s="597"/>
      <c r="E155" s="597"/>
      <c r="F155" s="611">
        <v>1800</v>
      </c>
    </row>
    <row r="156" spans="1:6" s="591" customFormat="1" ht="14.25" customHeight="1" thickBot="1">
      <c r="A156" s="603" t="s">
        <v>56</v>
      </c>
      <c r="B156" s="597" t="s">
        <v>518</v>
      </c>
      <c r="C156" s="597"/>
      <c r="D156" s="597"/>
      <c r="E156" s="597"/>
      <c r="F156" s="611">
        <v>1910</v>
      </c>
    </row>
    <row r="157" spans="1:6" s="591" customFormat="1" ht="14.25" customHeight="1" thickBot="1">
      <c r="A157" s="603" t="s">
        <v>56</v>
      </c>
      <c r="B157" s="609" t="s">
        <v>521</v>
      </c>
      <c r="C157" s="609"/>
      <c r="D157" s="609"/>
      <c r="E157" s="609"/>
      <c r="F157" s="614">
        <v>1500</v>
      </c>
    </row>
    <row r="158" spans="1:6" s="591" customFormat="1" ht="14.25" customHeight="1" thickBot="1">
      <c r="A158" s="603" t="s">
        <v>526</v>
      </c>
      <c r="B158" s="604" t="s">
        <v>527</v>
      </c>
      <c r="C158" s="604">
        <v>8170</v>
      </c>
      <c r="D158" s="604">
        <v>8140</v>
      </c>
      <c r="E158" s="604">
        <v>8590</v>
      </c>
      <c r="F158" s="605">
        <v>1450</v>
      </c>
    </row>
    <row r="159" spans="1:6" s="591" customFormat="1" ht="14.25" customHeight="1" thickBot="1">
      <c r="A159" s="603" t="s">
        <v>526</v>
      </c>
      <c r="B159" s="597" t="s">
        <v>193</v>
      </c>
      <c r="C159" s="597">
        <v>7410</v>
      </c>
      <c r="D159" s="597">
        <v>7370</v>
      </c>
      <c r="E159" s="597">
        <v>8030</v>
      </c>
      <c r="F159" s="611">
        <v>1510</v>
      </c>
    </row>
    <row r="160" spans="1:6" s="591" customFormat="1" ht="14.25" customHeight="1" thickBot="1">
      <c r="A160" s="603" t="s">
        <v>526</v>
      </c>
      <c r="B160" s="597" t="s">
        <v>206</v>
      </c>
      <c r="C160" s="597">
        <v>7240</v>
      </c>
      <c r="D160" s="597">
        <v>7210</v>
      </c>
      <c r="E160" s="597">
        <v>7860</v>
      </c>
      <c r="F160" s="611">
        <v>1370</v>
      </c>
    </row>
    <row r="161" spans="1:6" s="591" customFormat="1" ht="14.25" customHeight="1" thickBot="1">
      <c r="A161" s="603" t="s">
        <v>526</v>
      </c>
      <c r="B161" s="597" t="s">
        <v>219</v>
      </c>
      <c r="C161" s="597">
        <v>7720</v>
      </c>
      <c r="D161" s="597">
        <v>7690</v>
      </c>
      <c r="E161" s="597">
        <v>8200</v>
      </c>
      <c r="F161" s="611">
        <v>1190</v>
      </c>
    </row>
    <row r="162" spans="1:6" s="591" customFormat="1" ht="14.25" customHeight="1" thickBot="1">
      <c r="A162" s="603" t="s">
        <v>526</v>
      </c>
      <c r="B162" s="597" t="s">
        <v>231</v>
      </c>
      <c r="C162" s="597">
        <v>6900</v>
      </c>
      <c r="D162" s="597">
        <v>6870</v>
      </c>
      <c r="E162" s="597">
        <v>7500</v>
      </c>
      <c r="F162" s="611">
        <v>1390</v>
      </c>
    </row>
    <row r="163" spans="1:6" s="591" customFormat="1" ht="14.25" customHeight="1" thickBot="1">
      <c r="A163" s="603" t="s">
        <v>526</v>
      </c>
      <c r="B163" s="597" t="s">
        <v>242</v>
      </c>
      <c r="C163" s="597">
        <v>7120</v>
      </c>
      <c r="D163" s="597">
        <v>7090</v>
      </c>
      <c r="E163" s="597">
        <v>7690</v>
      </c>
      <c r="F163" s="611">
        <v>1230</v>
      </c>
    </row>
    <row r="164" spans="1:6" s="591" customFormat="1" ht="14.25" customHeight="1" thickBot="1">
      <c r="A164" s="603" t="s">
        <v>526</v>
      </c>
      <c r="B164" s="597" t="s">
        <v>253</v>
      </c>
      <c r="C164" s="597">
        <v>6560</v>
      </c>
      <c r="D164" s="597">
        <v>6530</v>
      </c>
      <c r="E164" s="597">
        <v>7110</v>
      </c>
      <c r="F164" s="611">
        <v>1340</v>
      </c>
    </row>
    <row r="165" spans="1:6" s="591" customFormat="1" ht="14.25" customHeight="1" thickBot="1">
      <c r="A165" s="603" t="s">
        <v>526</v>
      </c>
      <c r="B165" s="597" t="s">
        <v>264</v>
      </c>
      <c r="C165" s="597">
        <v>7450</v>
      </c>
      <c r="D165" s="597">
        <v>7430</v>
      </c>
      <c r="E165" s="597">
        <v>8110</v>
      </c>
      <c r="F165" s="611">
        <v>1290</v>
      </c>
    </row>
    <row r="166" spans="1:6" s="591" customFormat="1" ht="14.25" customHeight="1" thickBot="1">
      <c r="A166" s="603" t="s">
        <v>526</v>
      </c>
      <c r="B166" s="597" t="s">
        <v>276</v>
      </c>
      <c r="C166" s="597">
        <v>7490</v>
      </c>
      <c r="D166" s="597">
        <v>7460</v>
      </c>
      <c r="E166" s="597">
        <v>8150</v>
      </c>
      <c r="F166" s="611">
        <v>1350</v>
      </c>
    </row>
    <row r="167" spans="1:6" s="591" customFormat="1" ht="14.25" customHeight="1" thickBot="1">
      <c r="A167" s="603" t="s">
        <v>526</v>
      </c>
      <c r="B167" s="597" t="s">
        <v>286</v>
      </c>
      <c r="C167" s="597">
        <v>7540</v>
      </c>
      <c r="D167" s="597">
        <v>7510</v>
      </c>
      <c r="E167" s="597">
        <v>8030</v>
      </c>
      <c r="F167" s="615"/>
    </row>
    <row r="168" spans="1:6" s="591" customFormat="1" ht="14.25" customHeight="1" thickBot="1">
      <c r="A168" s="603" t="s">
        <v>526</v>
      </c>
      <c r="B168" s="597" t="s">
        <v>296</v>
      </c>
      <c r="C168" s="597">
        <v>7210</v>
      </c>
      <c r="D168" s="597">
        <v>7180</v>
      </c>
      <c r="E168" s="597">
        <v>7830</v>
      </c>
      <c r="F168" s="615"/>
    </row>
    <row r="169" spans="1:6" s="591" customFormat="1" ht="14.25" customHeight="1" thickBot="1">
      <c r="A169" s="603" t="s">
        <v>526</v>
      </c>
      <c r="B169" s="597" t="s">
        <v>306</v>
      </c>
      <c r="C169" s="597">
        <v>7040</v>
      </c>
      <c r="D169" s="597">
        <v>7020</v>
      </c>
      <c r="E169" s="597">
        <v>7670</v>
      </c>
      <c r="F169" s="615"/>
    </row>
    <row r="170" spans="1:6" s="591" customFormat="1" ht="14.25" customHeight="1" thickBot="1">
      <c r="A170" s="603" t="s">
        <v>526</v>
      </c>
      <c r="B170" s="597" t="s">
        <v>316</v>
      </c>
      <c r="C170" s="597">
        <v>8040</v>
      </c>
      <c r="D170" s="597">
        <v>7190</v>
      </c>
      <c r="E170" s="597">
        <v>7850</v>
      </c>
      <c r="F170" s="615"/>
    </row>
    <row r="171" spans="1:6" s="591" customFormat="1" ht="14.25" customHeight="1" thickBot="1">
      <c r="A171" s="603" t="s">
        <v>526</v>
      </c>
      <c r="B171" s="597" t="s">
        <v>327</v>
      </c>
      <c r="C171" s="597">
        <v>7860</v>
      </c>
      <c r="D171" s="597">
        <v>7720</v>
      </c>
      <c r="E171" s="597">
        <v>8150</v>
      </c>
      <c r="F171" s="611">
        <v>1110</v>
      </c>
    </row>
    <row r="172" spans="1:6" s="591" customFormat="1" ht="14.25" customHeight="1" thickBot="1">
      <c r="A172" s="603" t="s">
        <v>526</v>
      </c>
      <c r="B172" s="597" t="s">
        <v>338</v>
      </c>
      <c r="C172" s="597">
        <v>7210</v>
      </c>
      <c r="D172" s="597">
        <v>7170</v>
      </c>
      <c r="E172" s="597">
        <v>7320</v>
      </c>
      <c r="F172" s="615"/>
    </row>
    <row r="173" spans="1:6" s="591" customFormat="1" ht="14.25" customHeight="1" thickBot="1">
      <c r="A173" s="603" t="s">
        <v>526</v>
      </c>
      <c r="B173" s="597" t="s">
        <v>348</v>
      </c>
      <c r="C173" s="597">
        <v>6860</v>
      </c>
      <c r="D173" s="597">
        <v>6810</v>
      </c>
      <c r="E173" s="597">
        <v>7440</v>
      </c>
      <c r="F173" s="615"/>
    </row>
    <row r="174" spans="1:6" s="591" customFormat="1" ht="14.25" customHeight="1" thickBot="1">
      <c r="A174" s="603" t="s">
        <v>526</v>
      </c>
      <c r="B174" s="597" t="s">
        <v>358</v>
      </c>
      <c r="C174" s="597">
        <v>7120</v>
      </c>
      <c r="D174" s="597">
        <v>7090</v>
      </c>
      <c r="E174" s="597">
        <v>7500</v>
      </c>
      <c r="F174" s="611">
        <v>1490</v>
      </c>
    </row>
    <row r="175" spans="1:6" s="591" customFormat="1" ht="14.25" customHeight="1" thickBot="1">
      <c r="A175" s="603" t="s">
        <v>526</v>
      </c>
      <c r="B175" s="597" t="s">
        <v>368</v>
      </c>
      <c r="C175" s="597">
        <v>7850</v>
      </c>
      <c r="D175" s="597">
        <v>7820</v>
      </c>
      <c r="E175" s="597">
        <v>8120</v>
      </c>
      <c r="F175" s="611">
        <v>1530</v>
      </c>
    </row>
    <row r="176" spans="1:6" s="591" customFormat="1" ht="14.25" customHeight="1" thickBot="1">
      <c r="A176" s="603" t="s">
        <v>526</v>
      </c>
      <c r="B176" s="597" t="s">
        <v>378</v>
      </c>
      <c r="C176" s="597">
        <v>7620</v>
      </c>
      <c r="D176" s="597">
        <v>7570</v>
      </c>
      <c r="E176" s="597">
        <v>7990</v>
      </c>
      <c r="F176" s="611">
        <v>1480</v>
      </c>
    </row>
    <row r="177" spans="1:6" s="591" customFormat="1" ht="14.25" customHeight="1" thickBot="1">
      <c r="A177" s="603" t="s">
        <v>526</v>
      </c>
      <c r="B177" s="597" t="s">
        <v>387</v>
      </c>
      <c r="C177" s="597">
        <v>8590</v>
      </c>
      <c r="D177" s="597">
        <v>8570</v>
      </c>
      <c r="E177" s="597">
        <v>8740</v>
      </c>
      <c r="F177" s="611">
        <v>1540</v>
      </c>
    </row>
    <row r="178" spans="1:6" s="591" customFormat="1" ht="14.25" customHeight="1" thickBot="1">
      <c r="A178" s="603" t="s">
        <v>526</v>
      </c>
      <c r="B178" s="597" t="s">
        <v>396</v>
      </c>
      <c r="C178" s="597">
        <v>7510</v>
      </c>
      <c r="D178" s="597">
        <v>7470</v>
      </c>
      <c r="E178" s="597">
        <v>8090</v>
      </c>
      <c r="F178" s="611">
        <v>1320</v>
      </c>
    </row>
    <row r="179" spans="1:6" s="591" customFormat="1" ht="14.25" customHeight="1" thickBot="1">
      <c r="A179" s="603" t="s">
        <v>526</v>
      </c>
      <c r="B179" s="597" t="s">
        <v>404</v>
      </c>
      <c r="C179" s="597">
        <v>6380</v>
      </c>
      <c r="D179" s="597">
        <v>6340</v>
      </c>
      <c r="E179" s="597">
        <v>6810</v>
      </c>
      <c r="F179" s="615"/>
    </row>
    <row r="180" spans="1:6" s="591" customFormat="1" ht="14.25" customHeight="1" thickBot="1">
      <c r="A180" s="603" t="s">
        <v>526</v>
      </c>
      <c r="B180" s="597" t="s">
        <v>411</v>
      </c>
      <c r="C180" s="597">
        <v>7830</v>
      </c>
      <c r="D180" s="597">
        <v>7800</v>
      </c>
      <c r="E180" s="597">
        <v>7780</v>
      </c>
      <c r="F180" s="611">
        <v>1440</v>
      </c>
    </row>
    <row r="181" spans="1:6" s="591" customFormat="1" ht="14.25" customHeight="1" thickBot="1">
      <c r="A181" s="603" t="s">
        <v>526</v>
      </c>
      <c r="B181" s="597" t="s">
        <v>418</v>
      </c>
      <c r="C181" s="597">
        <v>7110</v>
      </c>
      <c r="D181" s="597">
        <v>7080</v>
      </c>
      <c r="E181" s="597">
        <v>7730</v>
      </c>
      <c r="F181" s="611">
        <v>1350</v>
      </c>
    </row>
    <row r="182" spans="1:6" s="591" customFormat="1" ht="14.25" customHeight="1" thickBot="1">
      <c r="A182" s="603" t="s">
        <v>526</v>
      </c>
      <c r="B182" s="597" t="s">
        <v>425</v>
      </c>
      <c r="C182" s="597">
        <v>7310</v>
      </c>
      <c r="D182" s="597">
        <v>7280</v>
      </c>
      <c r="E182" s="597">
        <v>7950</v>
      </c>
      <c r="F182" s="611">
        <v>1220</v>
      </c>
    </row>
    <row r="183" spans="1:6" s="591" customFormat="1" ht="14.25" customHeight="1" thickBot="1">
      <c r="A183" s="603" t="s">
        <v>526</v>
      </c>
      <c r="B183" s="597" t="s">
        <v>432</v>
      </c>
      <c r="C183" s="597">
        <v>7470</v>
      </c>
      <c r="D183" s="597">
        <v>7440</v>
      </c>
      <c r="E183" s="597">
        <v>7880</v>
      </c>
      <c r="F183" s="615"/>
    </row>
    <row r="184" spans="1:6" s="591" customFormat="1" ht="14.25" customHeight="1" thickBot="1">
      <c r="A184" s="603" t="s">
        <v>526</v>
      </c>
      <c r="B184" s="597" t="s">
        <v>439</v>
      </c>
      <c r="C184" s="597">
        <v>6960</v>
      </c>
      <c r="D184" s="597">
        <v>6930</v>
      </c>
      <c r="E184" s="597">
        <v>7570</v>
      </c>
      <c r="F184" s="615"/>
    </row>
    <row r="185" spans="1:6" s="591" customFormat="1" ht="14.25" customHeight="1" thickBot="1">
      <c r="A185" s="603" t="s">
        <v>526</v>
      </c>
      <c r="B185" s="597" t="s">
        <v>446</v>
      </c>
      <c r="C185" s="597">
        <v>7260</v>
      </c>
      <c r="D185" s="597">
        <v>7230</v>
      </c>
      <c r="E185" s="597">
        <v>7710</v>
      </c>
      <c r="F185" s="611">
        <v>1360</v>
      </c>
    </row>
    <row r="186" spans="1:6" s="591" customFormat="1" ht="14.25" customHeight="1" thickBot="1">
      <c r="A186" s="603" t="s">
        <v>526</v>
      </c>
      <c r="B186" s="597" t="s">
        <v>451</v>
      </c>
      <c r="C186" s="597"/>
      <c r="D186" s="597"/>
      <c r="E186" s="597"/>
      <c r="F186" s="611">
        <v>1560</v>
      </c>
    </row>
    <row r="187" spans="1:6" s="591" customFormat="1" ht="14.25" customHeight="1" thickBot="1">
      <c r="A187" s="603" t="s">
        <v>526</v>
      </c>
      <c r="B187" s="597" t="s">
        <v>455</v>
      </c>
      <c r="C187" s="597"/>
      <c r="D187" s="597"/>
      <c r="E187" s="597"/>
      <c r="F187" s="611">
        <v>1560</v>
      </c>
    </row>
    <row r="188" spans="1:6" s="591" customFormat="1" ht="14.25" customHeight="1" thickBot="1">
      <c r="A188" s="603" t="s">
        <v>526</v>
      </c>
      <c r="B188" s="597" t="s">
        <v>460</v>
      </c>
      <c r="C188" s="597"/>
      <c r="D188" s="597"/>
      <c r="E188" s="597"/>
      <c r="F188" s="611">
        <v>1560</v>
      </c>
    </row>
    <row r="189" spans="1:6" s="591" customFormat="1" ht="14.25" customHeight="1" thickBot="1">
      <c r="A189" s="603" t="s">
        <v>526</v>
      </c>
      <c r="B189" s="597" t="s">
        <v>465</v>
      </c>
      <c r="C189" s="597"/>
      <c r="D189" s="597"/>
      <c r="E189" s="597"/>
      <c r="F189" s="611">
        <v>1320</v>
      </c>
    </row>
    <row r="190" spans="1:6" s="591" customFormat="1" ht="14.25" customHeight="1" thickBot="1">
      <c r="A190" s="603" t="s">
        <v>526</v>
      </c>
      <c r="B190" s="597" t="s">
        <v>470</v>
      </c>
      <c r="C190" s="597"/>
      <c r="D190" s="597"/>
      <c r="E190" s="597"/>
      <c r="F190" s="611">
        <v>1320</v>
      </c>
    </row>
    <row r="191" spans="1:6" s="591" customFormat="1" ht="14.25" customHeight="1" thickBot="1">
      <c r="A191" s="603" t="s">
        <v>526</v>
      </c>
      <c r="B191" s="597" t="s">
        <v>475</v>
      </c>
      <c r="C191" s="597"/>
      <c r="D191" s="597"/>
      <c r="E191" s="597"/>
      <c r="F191" s="611">
        <v>1320</v>
      </c>
    </row>
    <row r="192" spans="1:6" s="591" customFormat="1" ht="14.25" customHeight="1" thickBot="1">
      <c r="A192" s="603" t="s">
        <v>526</v>
      </c>
      <c r="B192" s="597" t="s">
        <v>479</v>
      </c>
      <c r="C192" s="597"/>
      <c r="D192" s="597"/>
      <c r="E192" s="597"/>
      <c r="F192" s="611">
        <v>1100</v>
      </c>
    </row>
    <row r="193" spans="1:6" s="591" customFormat="1" ht="14.25" customHeight="1" thickBot="1">
      <c r="A193" s="603" t="s">
        <v>526</v>
      </c>
      <c r="B193" s="597" t="s">
        <v>483</v>
      </c>
      <c r="C193" s="597"/>
      <c r="D193" s="597"/>
      <c r="E193" s="597"/>
      <c r="F193" s="611">
        <v>1100</v>
      </c>
    </row>
    <row r="194" spans="1:6" s="591" customFormat="1" ht="14.25" customHeight="1" thickBot="1">
      <c r="A194" s="603" t="s">
        <v>526</v>
      </c>
      <c r="B194" s="597" t="s">
        <v>487</v>
      </c>
      <c r="C194" s="597"/>
      <c r="D194" s="597"/>
      <c r="E194" s="597"/>
      <c r="F194" s="611">
        <v>1080</v>
      </c>
    </row>
    <row r="195" spans="1:6" s="591" customFormat="1" ht="14.25" customHeight="1" thickBot="1">
      <c r="A195" s="603" t="s">
        <v>526</v>
      </c>
      <c r="B195" s="597" t="s">
        <v>491</v>
      </c>
      <c r="C195" s="597"/>
      <c r="D195" s="597"/>
      <c r="E195" s="597"/>
      <c r="F195" s="611">
        <v>1270</v>
      </c>
    </row>
    <row r="196" spans="1:6" s="591" customFormat="1" ht="14.25" customHeight="1" thickBot="1">
      <c r="A196" s="603" t="s">
        <v>526</v>
      </c>
      <c r="B196" s="597" t="s">
        <v>495</v>
      </c>
      <c r="C196" s="597"/>
      <c r="D196" s="597"/>
      <c r="E196" s="597"/>
      <c r="F196" s="611">
        <v>1150</v>
      </c>
    </row>
    <row r="197" spans="1:6" s="591" customFormat="1" ht="14.25" customHeight="1" thickBot="1">
      <c r="A197" s="603" t="s">
        <v>526</v>
      </c>
      <c r="B197" s="597" t="s">
        <v>499</v>
      </c>
      <c r="C197" s="597"/>
      <c r="D197" s="597"/>
      <c r="E197" s="597"/>
      <c r="F197" s="611">
        <v>1330</v>
      </c>
    </row>
    <row r="198" spans="1:6" s="591" customFormat="1" ht="14.25" customHeight="1" thickBot="1">
      <c r="A198" s="603" t="s">
        <v>526</v>
      </c>
      <c r="B198" s="597" t="s">
        <v>502</v>
      </c>
      <c r="C198" s="597"/>
      <c r="D198" s="597"/>
      <c r="E198" s="597"/>
      <c r="F198" s="611">
        <v>1170</v>
      </c>
    </row>
    <row r="199" spans="1:6" s="591" customFormat="1" ht="14.25" customHeight="1" thickBot="1">
      <c r="A199" s="603" t="s">
        <v>526</v>
      </c>
      <c r="B199" s="597" t="s">
        <v>505</v>
      </c>
      <c r="C199" s="597"/>
      <c r="D199" s="597"/>
      <c r="E199" s="597"/>
      <c r="F199" s="611">
        <v>1120</v>
      </c>
    </row>
    <row r="200" spans="1:6" s="591" customFormat="1" ht="14.25" customHeight="1" thickBot="1">
      <c r="A200" s="603" t="s">
        <v>526</v>
      </c>
      <c r="B200" s="597" t="s">
        <v>508</v>
      </c>
      <c r="C200" s="597"/>
      <c r="D200" s="597"/>
      <c r="E200" s="597"/>
      <c r="F200" s="611">
        <v>1120</v>
      </c>
    </row>
    <row r="201" spans="1:6" s="591" customFormat="1" ht="14.25" customHeight="1" thickBot="1">
      <c r="A201" s="603" t="s">
        <v>526</v>
      </c>
      <c r="B201" s="597" t="s">
        <v>511</v>
      </c>
      <c r="C201" s="597"/>
      <c r="D201" s="597"/>
      <c r="E201" s="597"/>
      <c r="F201" s="611">
        <v>1540</v>
      </c>
    </row>
    <row r="202" spans="1:6" s="591" customFormat="1" ht="14.25" customHeight="1" thickBot="1">
      <c r="A202" s="603" t="s">
        <v>526</v>
      </c>
      <c r="B202" s="597" t="s">
        <v>514</v>
      </c>
      <c r="C202" s="597"/>
      <c r="D202" s="597"/>
      <c r="E202" s="597"/>
      <c r="F202" s="611">
        <v>1310</v>
      </c>
    </row>
    <row r="203" spans="1:6" s="591" customFormat="1" ht="14.25" customHeight="1" thickBot="1">
      <c r="A203" s="603" t="s">
        <v>526</v>
      </c>
      <c r="B203" s="597" t="s">
        <v>517</v>
      </c>
      <c r="C203" s="597"/>
      <c r="D203" s="597"/>
      <c r="E203" s="597"/>
      <c r="F203" s="611">
        <v>1310</v>
      </c>
    </row>
    <row r="204" spans="1:6" s="591" customFormat="1" ht="14.25" customHeight="1" thickBot="1">
      <c r="A204" s="603" t="s">
        <v>526</v>
      </c>
      <c r="B204" s="597" t="s">
        <v>519</v>
      </c>
      <c r="C204" s="597"/>
      <c r="D204" s="597"/>
      <c r="E204" s="597"/>
      <c r="F204" s="611">
        <v>1080</v>
      </c>
    </row>
    <row r="205" spans="1:6" s="591" customFormat="1" ht="14.25" customHeight="1" thickBot="1">
      <c r="A205" s="603" t="s">
        <v>526</v>
      </c>
      <c r="B205" s="597" t="s">
        <v>522</v>
      </c>
      <c r="C205" s="597"/>
      <c r="D205" s="597"/>
      <c r="E205" s="597"/>
      <c r="F205" s="611">
        <v>1080</v>
      </c>
    </row>
    <row r="206" spans="1:6" s="591" customFormat="1" ht="14.25" customHeight="1" thickBot="1">
      <c r="A206" s="603" t="s">
        <v>528</v>
      </c>
      <c r="B206" s="604" t="s">
        <v>529</v>
      </c>
      <c r="C206" s="604">
        <v>5450</v>
      </c>
      <c r="D206" s="604">
        <v>5430</v>
      </c>
      <c r="E206" s="604">
        <v>5700</v>
      </c>
      <c r="F206" s="605">
        <v>1020</v>
      </c>
    </row>
    <row r="207" spans="1:6" s="591" customFormat="1" ht="14.25" customHeight="1" thickBot="1">
      <c r="A207" s="603" t="s">
        <v>528</v>
      </c>
      <c r="B207" s="597" t="s">
        <v>194</v>
      </c>
      <c r="C207" s="597">
        <v>5860</v>
      </c>
      <c r="D207" s="597">
        <v>5820</v>
      </c>
      <c r="E207" s="597">
        <v>6050</v>
      </c>
      <c r="F207" s="611">
        <v>1080</v>
      </c>
    </row>
    <row r="208" spans="1:6" s="591" customFormat="1" ht="14.25" customHeight="1" thickBot="1">
      <c r="A208" s="603" t="s">
        <v>528</v>
      </c>
      <c r="B208" s="597" t="s">
        <v>207</v>
      </c>
      <c r="C208" s="597">
        <v>4630</v>
      </c>
      <c r="D208" s="597">
        <v>4600</v>
      </c>
      <c r="E208" s="597">
        <v>4840</v>
      </c>
      <c r="F208" s="611">
        <v>900</v>
      </c>
    </row>
    <row r="209" spans="1:6" s="591" customFormat="1" ht="14.25" customHeight="1" thickBot="1">
      <c r="A209" s="603" t="s">
        <v>528</v>
      </c>
      <c r="B209" s="597" t="s">
        <v>220</v>
      </c>
      <c r="C209" s="597">
        <v>5320</v>
      </c>
      <c r="D209" s="597">
        <v>5270</v>
      </c>
      <c r="E209" s="597">
        <v>5540</v>
      </c>
      <c r="F209" s="611">
        <v>980</v>
      </c>
    </row>
    <row r="210" spans="1:6" s="591" customFormat="1" ht="14.25" customHeight="1" thickBot="1">
      <c r="A210" s="603" t="s">
        <v>528</v>
      </c>
      <c r="B210" s="597" t="s">
        <v>232</v>
      </c>
      <c r="C210" s="597">
        <v>5760</v>
      </c>
      <c r="D210" s="597">
        <v>5710</v>
      </c>
      <c r="E210" s="597">
        <v>6010</v>
      </c>
      <c r="F210" s="611">
        <v>870</v>
      </c>
    </row>
    <row r="211" spans="1:6" s="591" customFormat="1" ht="14.25" customHeight="1" thickBot="1">
      <c r="A211" s="603" t="s">
        <v>528</v>
      </c>
      <c r="B211" s="597" t="s">
        <v>243</v>
      </c>
      <c r="C211" s="597">
        <v>4160</v>
      </c>
      <c r="D211" s="597">
        <v>4100</v>
      </c>
      <c r="E211" s="597">
        <v>4270</v>
      </c>
      <c r="F211" s="611">
        <v>790</v>
      </c>
    </row>
    <row r="212" spans="1:6" s="591" customFormat="1" ht="14.25" customHeight="1" thickBot="1">
      <c r="A212" s="603" t="s">
        <v>528</v>
      </c>
      <c r="B212" s="597" t="s">
        <v>254</v>
      </c>
      <c r="C212" s="597">
        <v>4880</v>
      </c>
      <c r="D212" s="597">
        <v>4850</v>
      </c>
      <c r="E212" s="597">
        <v>5110</v>
      </c>
      <c r="F212" s="611">
        <v>940</v>
      </c>
    </row>
    <row r="213" spans="1:6" s="591" customFormat="1" ht="14.25" customHeight="1" thickBot="1">
      <c r="A213" s="603" t="s">
        <v>528</v>
      </c>
      <c r="B213" s="597" t="s">
        <v>265</v>
      </c>
      <c r="C213" s="597">
        <v>4640</v>
      </c>
      <c r="D213" s="597">
        <v>4590</v>
      </c>
      <c r="E213" s="597">
        <v>4700</v>
      </c>
      <c r="F213" s="611">
        <v>1030</v>
      </c>
    </row>
    <row r="214" spans="1:6" s="591" customFormat="1" ht="14.25" customHeight="1" thickBot="1">
      <c r="A214" s="603" t="s">
        <v>528</v>
      </c>
      <c r="B214" s="597" t="s">
        <v>277</v>
      </c>
      <c r="C214" s="597">
        <v>4540</v>
      </c>
      <c r="D214" s="597">
        <v>4490</v>
      </c>
      <c r="E214" s="597">
        <v>4610</v>
      </c>
      <c r="F214" s="615"/>
    </row>
    <row r="215" spans="1:6" s="591" customFormat="1" ht="14.25" customHeight="1" thickBot="1">
      <c r="A215" s="603" t="s">
        <v>528</v>
      </c>
      <c r="B215" s="597" t="s">
        <v>287</v>
      </c>
      <c r="C215" s="597">
        <v>5280</v>
      </c>
      <c r="D215" s="597">
        <v>5250</v>
      </c>
      <c r="E215" s="597">
        <v>5520</v>
      </c>
      <c r="F215" s="611">
        <v>1000</v>
      </c>
    </row>
    <row r="216" spans="1:6" s="591" customFormat="1" ht="14.25" customHeight="1" thickBot="1">
      <c r="A216" s="603" t="s">
        <v>528</v>
      </c>
      <c r="B216" s="597" t="s">
        <v>297</v>
      </c>
      <c r="C216" s="597">
        <v>5100</v>
      </c>
      <c r="D216" s="597">
        <v>5050</v>
      </c>
      <c r="E216" s="597">
        <v>5300</v>
      </c>
      <c r="F216" s="611">
        <v>950</v>
      </c>
    </row>
    <row r="217" spans="1:6" s="591" customFormat="1" ht="14.25" customHeight="1" thickBot="1">
      <c r="A217" s="603" t="s">
        <v>528</v>
      </c>
      <c r="B217" s="597" t="s">
        <v>307</v>
      </c>
      <c r="C217" s="597">
        <v>5370</v>
      </c>
      <c r="D217" s="597">
        <v>5320</v>
      </c>
      <c r="E217" s="597">
        <v>5410</v>
      </c>
      <c r="F217" s="611">
        <v>950</v>
      </c>
    </row>
    <row r="218" spans="1:6" s="591" customFormat="1" ht="14.25" customHeight="1" thickBot="1">
      <c r="A218" s="603" t="s">
        <v>528</v>
      </c>
      <c r="B218" s="597" t="s">
        <v>317</v>
      </c>
      <c r="C218" s="597">
        <v>5540</v>
      </c>
      <c r="D218" s="597">
        <v>5480</v>
      </c>
      <c r="E218" s="597">
        <v>5740</v>
      </c>
      <c r="F218" s="611">
        <v>1020</v>
      </c>
    </row>
    <row r="219" spans="1:6" s="591" customFormat="1" ht="14.25" customHeight="1" thickBot="1">
      <c r="A219" s="603" t="s">
        <v>528</v>
      </c>
      <c r="B219" s="597" t="s">
        <v>328</v>
      </c>
      <c r="C219" s="597">
        <v>5140</v>
      </c>
      <c r="D219" s="597">
        <v>5100</v>
      </c>
      <c r="E219" s="597">
        <v>5350</v>
      </c>
      <c r="F219" s="611">
        <v>1120</v>
      </c>
    </row>
    <row r="220" spans="1:6" s="591" customFormat="1" ht="14.25" customHeight="1" thickBot="1">
      <c r="A220" s="603" t="s">
        <v>528</v>
      </c>
      <c r="B220" s="597" t="s">
        <v>339</v>
      </c>
      <c r="C220" s="597">
        <v>5040</v>
      </c>
      <c r="D220" s="597">
        <v>5000</v>
      </c>
      <c r="E220" s="597">
        <v>5240</v>
      </c>
      <c r="F220" s="611">
        <v>980</v>
      </c>
    </row>
    <row r="221" spans="1:6" s="591" customFormat="1" ht="14.25" customHeight="1" thickBot="1">
      <c r="A221" s="603" t="s">
        <v>528</v>
      </c>
      <c r="B221" s="597" t="s">
        <v>349</v>
      </c>
      <c r="C221" s="616"/>
      <c r="D221" s="616"/>
      <c r="E221" s="616"/>
      <c r="F221" s="611">
        <v>1070</v>
      </c>
    </row>
    <row r="222" spans="1:6" s="591" customFormat="1" ht="14.25" customHeight="1" thickBot="1">
      <c r="A222" s="603" t="s">
        <v>528</v>
      </c>
      <c r="B222" s="597" t="s">
        <v>359</v>
      </c>
      <c r="C222" s="616"/>
      <c r="D222" s="616"/>
      <c r="E222" s="616"/>
      <c r="F222" s="611">
        <v>870</v>
      </c>
    </row>
    <row r="223" spans="1:6" s="591" customFormat="1" ht="14.25" customHeight="1" thickBot="1">
      <c r="A223" s="603" t="s">
        <v>528</v>
      </c>
      <c r="B223" s="597" t="s">
        <v>369</v>
      </c>
      <c r="C223" s="616"/>
      <c r="D223" s="616"/>
      <c r="E223" s="616"/>
      <c r="F223" s="611">
        <v>940</v>
      </c>
    </row>
    <row r="224" spans="1:6" s="591" customFormat="1" ht="14.25" customHeight="1" thickBot="1">
      <c r="A224" s="603" t="s">
        <v>528</v>
      </c>
      <c r="B224" s="597" t="s">
        <v>379</v>
      </c>
      <c r="C224" s="616"/>
      <c r="D224" s="616"/>
      <c r="E224" s="616"/>
      <c r="F224" s="611">
        <v>990</v>
      </c>
    </row>
    <row r="225" spans="1:6" s="591" customFormat="1" ht="14.25" customHeight="1" thickBot="1">
      <c r="A225" s="603" t="s">
        <v>528</v>
      </c>
      <c r="B225" s="597" t="s">
        <v>388</v>
      </c>
      <c r="C225" s="597">
        <v>5730</v>
      </c>
      <c r="D225" s="597">
        <v>5680</v>
      </c>
      <c r="E225" s="597">
        <v>6020</v>
      </c>
      <c r="F225" s="611">
        <v>1000</v>
      </c>
    </row>
    <row r="226" spans="1:6" s="591" customFormat="1" ht="14.25" customHeight="1" thickBot="1">
      <c r="A226" s="603" t="s">
        <v>528</v>
      </c>
      <c r="B226" s="597" t="s">
        <v>397</v>
      </c>
      <c r="C226" s="597">
        <v>4970</v>
      </c>
      <c r="D226" s="597">
        <v>4940</v>
      </c>
      <c r="E226" s="597">
        <v>5180</v>
      </c>
      <c r="F226" s="611">
        <v>960</v>
      </c>
    </row>
    <row r="227" spans="1:6" s="591" customFormat="1" ht="14.25" customHeight="1" thickBot="1">
      <c r="A227" s="603" t="s">
        <v>528</v>
      </c>
      <c r="B227" s="597" t="s">
        <v>405</v>
      </c>
      <c r="C227" s="597">
        <v>5550</v>
      </c>
      <c r="D227" s="597">
        <v>5500</v>
      </c>
      <c r="E227" s="597">
        <v>5780</v>
      </c>
      <c r="F227" s="611">
        <v>940</v>
      </c>
    </row>
    <row r="228" spans="1:6" s="591" customFormat="1" ht="14.25" customHeight="1" thickBot="1">
      <c r="A228" s="603" t="s">
        <v>528</v>
      </c>
      <c r="B228" s="597" t="s">
        <v>412</v>
      </c>
      <c r="C228" s="597">
        <v>5460</v>
      </c>
      <c r="D228" s="597">
        <v>5420</v>
      </c>
      <c r="E228" s="597">
        <v>5690</v>
      </c>
      <c r="F228" s="611">
        <v>910</v>
      </c>
    </row>
    <row r="229" spans="1:6" s="591" customFormat="1" ht="14.25" customHeight="1" thickBot="1">
      <c r="A229" s="603" t="s">
        <v>528</v>
      </c>
      <c r="B229" s="597" t="s">
        <v>419</v>
      </c>
      <c r="C229" s="597">
        <v>5310</v>
      </c>
      <c r="D229" s="597">
        <v>5270</v>
      </c>
      <c r="E229" s="597">
        <v>5510</v>
      </c>
      <c r="F229" s="615"/>
    </row>
    <row r="230" spans="1:6" s="591" customFormat="1" ht="14.25" customHeight="1" thickBot="1">
      <c r="A230" s="603" t="s">
        <v>528</v>
      </c>
      <c r="B230" s="597" t="s">
        <v>426</v>
      </c>
      <c r="C230" s="597">
        <v>4540</v>
      </c>
      <c r="D230" s="597">
        <v>4500</v>
      </c>
      <c r="E230" s="597">
        <v>4730</v>
      </c>
      <c r="F230" s="615"/>
    </row>
    <row r="231" spans="1:6" s="591" customFormat="1" ht="14.25" customHeight="1" thickBot="1">
      <c r="A231" s="603" t="s">
        <v>528</v>
      </c>
      <c r="B231" s="597" t="s">
        <v>433</v>
      </c>
      <c r="C231" s="597">
        <v>4480</v>
      </c>
      <c r="D231" s="597">
        <v>4410</v>
      </c>
      <c r="E231" s="597">
        <v>4640</v>
      </c>
      <c r="F231" s="615"/>
    </row>
    <row r="232" spans="1:6" s="591" customFormat="1" ht="14.25" customHeight="1" thickBot="1">
      <c r="A232" s="603" t="s">
        <v>528</v>
      </c>
      <c r="B232" s="597" t="s">
        <v>440</v>
      </c>
      <c r="C232" s="597">
        <v>5670</v>
      </c>
      <c r="D232" s="597">
        <v>5600</v>
      </c>
      <c r="E232" s="597">
        <v>5890</v>
      </c>
      <c r="F232" s="611">
        <v>1150</v>
      </c>
    </row>
    <row r="233" spans="1:6" s="591" customFormat="1" ht="14.25" customHeight="1" thickBot="1">
      <c r="A233" s="603" t="s">
        <v>528</v>
      </c>
      <c r="B233" s="597" t="s">
        <v>447</v>
      </c>
      <c r="C233" s="597">
        <v>4590</v>
      </c>
      <c r="D233" s="597">
        <v>4500</v>
      </c>
      <c r="E233" s="597">
        <v>4600</v>
      </c>
      <c r="F233" s="615"/>
    </row>
    <row r="234" spans="1:6" s="591" customFormat="1" ht="14.25" customHeight="1" thickBot="1">
      <c r="A234" s="603" t="s">
        <v>528</v>
      </c>
      <c r="B234" s="597" t="s">
        <v>1053</v>
      </c>
      <c r="C234" s="597">
        <v>3990</v>
      </c>
      <c r="D234" s="597">
        <v>3950</v>
      </c>
      <c r="E234" s="597">
        <v>4180</v>
      </c>
      <c r="F234" s="615"/>
    </row>
    <row r="235" spans="1:6" s="591" customFormat="1" ht="14.25" customHeight="1" thickBot="1">
      <c r="A235" s="603" t="s">
        <v>528</v>
      </c>
      <c r="B235" s="597" t="s">
        <v>456</v>
      </c>
      <c r="C235" s="597">
        <v>5590</v>
      </c>
      <c r="D235" s="597">
        <v>5540</v>
      </c>
      <c r="E235" s="597">
        <v>5810</v>
      </c>
      <c r="F235" s="611">
        <v>970</v>
      </c>
    </row>
    <row r="236" spans="1:6" s="591" customFormat="1" ht="14.25" customHeight="1" thickBot="1">
      <c r="A236" s="603" t="s">
        <v>528</v>
      </c>
      <c r="B236" s="597" t="s">
        <v>461</v>
      </c>
      <c r="C236" s="597"/>
      <c r="D236" s="597"/>
      <c r="E236" s="597"/>
      <c r="F236" s="611">
        <v>1020</v>
      </c>
    </row>
    <row r="237" spans="1:6" s="591" customFormat="1" ht="14.25" customHeight="1" thickBot="1">
      <c r="A237" s="603" t="s">
        <v>528</v>
      </c>
      <c r="B237" s="597" t="s">
        <v>466</v>
      </c>
      <c r="C237" s="597"/>
      <c r="D237" s="597"/>
      <c r="E237" s="597"/>
      <c r="F237" s="611">
        <v>960</v>
      </c>
    </row>
    <row r="238" spans="1:6" s="591" customFormat="1" ht="14.25" customHeight="1" thickBot="1">
      <c r="A238" s="603" t="s">
        <v>528</v>
      </c>
      <c r="B238" s="597" t="s">
        <v>471</v>
      </c>
      <c r="C238" s="597"/>
      <c r="D238" s="597"/>
      <c r="E238" s="597"/>
      <c r="F238" s="611">
        <v>960</v>
      </c>
    </row>
    <row r="239" spans="1:6" s="591" customFormat="1" ht="14.25" customHeight="1" thickBot="1">
      <c r="A239" s="603" t="s">
        <v>528</v>
      </c>
      <c r="B239" s="597" t="s">
        <v>476</v>
      </c>
      <c r="C239" s="597"/>
      <c r="D239" s="597"/>
      <c r="E239" s="597"/>
      <c r="F239" s="611">
        <v>960</v>
      </c>
    </row>
    <row r="240" spans="1:6" s="591" customFormat="1" ht="14.25" customHeight="1" thickBot="1">
      <c r="A240" s="603" t="s">
        <v>528</v>
      </c>
      <c r="B240" s="597" t="s">
        <v>480</v>
      </c>
      <c r="C240" s="597"/>
      <c r="D240" s="597"/>
      <c r="E240" s="597"/>
      <c r="F240" s="611">
        <v>990</v>
      </c>
    </row>
    <row r="241" spans="1:6" s="591" customFormat="1" ht="14.25" customHeight="1" thickBot="1">
      <c r="A241" s="603" t="s">
        <v>528</v>
      </c>
      <c r="B241" s="597" t="s">
        <v>484</v>
      </c>
      <c r="C241" s="597"/>
      <c r="D241" s="597"/>
      <c r="E241" s="597"/>
      <c r="F241" s="611">
        <v>1000</v>
      </c>
    </row>
    <row r="242" spans="1:6" s="591" customFormat="1" ht="14.25" customHeight="1" thickBot="1">
      <c r="A242" s="603" t="s">
        <v>528</v>
      </c>
      <c r="B242" s="597" t="s">
        <v>488</v>
      </c>
      <c r="C242" s="597"/>
      <c r="D242" s="597"/>
      <c r="E242" s="597"/>
      <c r="F242" s="611">
        <v>980</v>
      </c>
    </row>
    <row r="243" spans="1:6" s="591" customFormat="1" ht="14.25" customHeight="1" thickBot="1">
      <c r="A243" s="603" t="s">
        <v>528</v>
      </c>
      <c r="B243" s="597" t="s">
        <v>492</v>
      </c>
      <c r="C243" s="597"/>
      <c r="D243" s="597"/>
      <c r="E243" s="597"/>
      <c r="F243" s="611">
        <v>970</v>
      </c>
    </row>
    <row r="244" spans="1:6" s="591" customFormat="1" ht="14.25" customHeight="1" thickBot="1">
      <c r="A244" s="603" t="s">
        <v>528</v>
      </c>
      <c r="B244" s="609" t="s">
        <v>496</v>
      </c>
      <c r="C244" s="609"/>
      <c r="D244" s="609"/>
      <c r="E244" s="609"/>
      <c r="F244" s="614">
        <v>970</v>
      </c>
    </row>
    <row r="245" spans="1:6" s="591" customFormat="1" ht="14.25" customHeight="1" thickBot="1">
      <c r="A245" s="603" t="s">
        <v>530</v>
      </c>
      <c r="B245" s="604" t="s">
        <v>531</v>
      </c>
      <c r="C245" s="604">
        <v>4050</v>
      </c>
      <c r="D245" s="604">
        <v>4020</v>
      </c>
      <c r="E245" s="604">
        <v>4160</v>
      </c>
      <c r="F245" s="605">
        <v>840</v>
      </c>
    </row>
    <row r="246" spans="1:6" s="591" customFormat="1" ht="14.25" customHeight="1" thickBot="1">
      <c r="A246" s="603" t="s">
        <v>530</v>
      </c>
      <c r="B246" s="597" t="s">
        <v>195</v>
      </c>
      <c r="C246" s="597">
        <v>4010</v>
      </c>
      <c r="D246" s="597">
        <v>3960</v>
      </c>
      <c r="E246" s="597">
        <v>4130</v>
      </c>
      <c r="F246" s="611">
        <v>840</v>
      </c>
    </row>
    <row r="247" spans="1:6" s="591" customFormat="1" ht="14.25" customHeight="1" thickBot="1">
      <c r="A247" s="603" t="s">
        <v>530</v>
      </c>
      <c r="B247" s="597" t="s">
        <v>532</v>
      </c>
      <c r="C247" s="597">
        <v>3170</v>
      </c>
      <c r="D247" s="597">
        <v>3140</v>
      </c>
      <c r="E247" s="597">
        <v>3270</v>
      </c>
      <c r="F247" s="611">
        <v>640</v>
      </c>
    </row>
    <row r="248" spans="1:6" s="591" customFormat="1" ht="14.25" customHeight="1" thickBot="1">
      <c r="A248" s="603" t="s">
        <v>530</v>
      </c>
      <c r="B248" s="597" t="s">
        <v>533</v>
      </c>
      <c r="C248" s="597">
        <v>3140</v>
      </c>
      <c r="D248" s="597">
        <v>3120</v>
      </c>
      <c r="E248" s="597">
        <v>3240</v>
      </c>
      <c r="F248" s="611">
        <v>620</v>
      </c>
    </row>
    <row r="249" spans="1:6" s="591" customFormat="1" ht="14.25" customHeight="1" thickBot="1">
      <c r="A249" s="603" t="s">
        <v>530</v>
      </c>
      <c r="B249" s="597" t="s">
        <v>233</v>
      </c>
      <c r="C249" s="597">
        <v>3200</v>
      </c>
      <c r="D249" s="597">
        <v>3100</v>
      </c>
      <c r="E249" s="597">
        <v>3230</v>
      </c>
      <c r="F249" s="611">
        <v>750</v>
      </c>
    </row>
    <row r="250" spans="1:6" s="591" customFormat="1" ht="14.25" customHeight="1" thickBot="1">
      <c r="A250" s="603" t="s">
        <v>530</v>
      </c>
      <c r="B250" s="597" t="s">
        <v>244</v>
      </c>
      <c r="C250" s="597">
        <v>4060</v>
      </c>
      <c r="D250" s="597">
        <v>4000</v>
      </c>
      <c r="E250" s="597">
        <v>4140</v>
      </c>
      <c r="F250" s="611">
        <v>790</v>
      </c>
    </row>
    <row r="251" spans="1:6" s="591" customFormat="1" ht="14.25" customHeight="1" thickBot="1">
      <c r="A251" s="603" t="s">
        <v>530</v>
      </c>
      <c r="B251" s="597" t="s">
        <v>255</v>
      </c>
      <c r="C251" s="597">
        <v>3990</v>
      </c>
      <c r="D251" s="597">
        <v>3970</v>
      </c>
      <c r="E251" s="597">
        <v>4110</v>
      </c>
      <c r="F251" s="611">
        <v>730</v>
      </c>
    </row>
    <row r="252" spans="1:6" s="591" customFormat="1" ht="14.25" customHeight="1" thickBot="1">
      <c r="A252" s="603" t="s">
        <v>530</v>
      </c>
      <c r="B252" s="597" t="s">
        <v>266</v>
      </c>
      <c r="C252" s="597">
        <v>3560</v>
      </c>
      <c r="D252" s="597">
        <v>3530</v>
      </c>
      <c r="E252" s="597">
        <v>3650</v>
      </c>
      <c r="F252" s="611">
        <v>750</v>
      </c>
    </row>
    <row r="253" spans="1:6" s="591" customFormat="1" ht="14.25" customHeight="1" thickBot="1">
      <c r="A253" s="603" t="s">
        <v>530</v>
      </c>
      <c r="B253" s="597" t="s">
        <v>278</v>
      </c>
      <c r="C253" s="597">
        <v>3780</v>
      </c>
      <c r="D253" s="597">
        <v>3750</v>
      </c>
      <c r="E253" s="597">
        <v>3870</v>
      </c>
      <c r="F253" s="611">
        <v>770</v>
      </c>
    </row>
    <row r="254" spans="1:6" s="591" customFormat="1" ht="14.25" customHeight="1" thickBot="1">
      <c r="A254" s="603" t="s">
        <v>530</v>
      </c>
      <c r="B254" s="597" t="s">
        <v>288</v>
      </c>
      <c r="C254" s="616"/>
      <c r="D254" s="616"/>
      <c r="E254" s="616"/>
      <c r="F254" s="611">
        <v>740</v>
      </c>
    </row>
    <row r="255" spans="1:6" s="591" customFormat="1" ht="14.25" customHeight="1" thickBot="1">
      <c r="A255" s="603" t="s">
        <v>530</v>
      </c>
      <c r="B255" s="597" t="s">
        <v>298</v>
      </c>
      <c r="C255" s="616"/>
      <c r="D255" s="616"/>
      <c r="E255" s="616"/>
      <c r="F255" s="611">
        <v>760</v>
      </c>
    </row>
    <row r="256" spans="1:6" s="591" customFormat="1" ht="14.25" customHeight="1" thickBot="1">
      <c r="A256" s="603" t="s">
        <v>530</v>
      </c>
      <c r="B256" s="597" t="s">
        <v>308</v>
      </c>
      <c r="C256" s="597">
        <v>3760</v>
      </c>
      <c r="D256" s="597">
        <v>3730</v>
      </c>
      <c r="E256" s="597">
        <v>3870</v>
      </c>
      <c r="F256" s="611">
        <v>830</v>
      </c>
    </row>
    <row r="257" spans="1:6" s="591" customFormat="1" ht="14.25" customHeight="1" thickBot="1">
      <c r="A257" s="603" t="s">
        <v>530</v>
      </c>
      <c r="B257" s="597" t="s">
        <v>318</v>
      </c>
      <c r="C257" s="597">
        <v>3570</v>
      </c>
      <c r="D257" s="597">
        <v>3540</v>
      </c>
      <c r="E257" s="597">
        <v>3650</v>
      </c>
      <c r="F257" s="611">
        <v>790</v>
      </c>
    </row>
    <row r="258" spans="1:6" s="591" customFormat="1" ht="14.25" customHeight="1" thickBot="1">
      <c r="A258" s="603" t="s">
        <v>530</v>
      </c>
      <c r="B258" s="597" t="s">
        <v>329</v>
      </c>
      <c r="C258" s="597">
        <v>3410</v>
      </c>
      <c r="D258" s="597">
        <v>3380</v>
      </c>
      <c r="E258" s="597">
        <v>3500</v>
      </c>
      <c r="F258" s="611">
        <v>830</v>
      </c>
    </row>
    <row r="259" spans="1:6" s="591" customFormat="1" ht="14.25" customHeight="1" thickBot="1">
      <c r="A259" s="603" t="s">
        <v>530</v>
      </c>
      <c r="B259" s="597" t="s">
        <v>340</v>
      </c>
      <c r="C259" s="597">
        <v>3870</v>
      </c>
      <c r="D259" s="597">
        <v>3840</v>
      </c>
      <c r="E259" s="597">
        <v>3970</v>
      </c>
      <c r="F259" s="611">
        <v>830</v>
      </c>
    </row>
    <row r="260" spans="1:6" s="591" customFormat="1" ht="14.25" customHeight="1" thickBot="1">
      <c r="A260" s="603" t="s">
        <v>530</v>
      </c>
      <c r="B260" s="597" t="s">
        <v>350</v>
      </c>
      <c r="C260" s="597">
        <v>3700</v>
      </c>
      <c r="D260" s="597">
        <v>3660</v>
      </c>
      <c r="E260" s="597">
        <v>3810</v>
      </c>
      <c r="F260" s="611">
        <v>790</v>
      </c>
    </row>
    <row r="261" spans="1:6" s="591" customFormat="1" ht="14.25" customHeight="1" thickBot="1">
      <c r="A261" s="603" t="s">
        <v>530</v>
      </c>
      <c r="B261" s="597" t="s">
        <v>360</v>
      </c>
      <c r="C261" s="597">
        <v>3470</v>
      </c>
      <c r="D261" s="597">
        <v>3430</v>
      </c>
      <c r="E261" s="597">
        <v>3640</v>
      </c>
      <c r="F261" s="611">
        <v>760</v>
      </c>
    </row>
    <row r="262" spans="1:6" s="591" customFormat="1" ht="14.25" customHeight="1" thickBot="1">
      <c r="A262" s="603" t="s">
        <v>530</v>
      </c>
      <c r="B262" s="597" t="s">
        <v>370</v>
      </c>
      <c r="C262" s="597">
        <v>3510</v>
      </c>
      <c r="D262" s="597">
        <v>3470</v>
      </c>
      <c r="E262" s="597">
        <v>3680</v>
      </c>
      <c r="F262" s="615"/>
    </row>
    <row r="263" spans="1:6" s="591" customFormat="1" ht="14.25" customHeight="1" thickBot="1">
      <c r="A263" s="603" t="s">
        <v>530</v>
      </c>
      <c r="B263" s="597" t="s">
        <v>380</v>
      </c>
      <c r="C263" s="597">
        <v>3960</v>
      </c>
      <c r="D263" s="597">
        <v>3930</v>
      </c>
      <c r="E263" s="597">
        <v>4070</v>
      </c>
      <c r="F263" s="611">
        <v>830</v>
      </c>
    </row>
    <row r="264" spans="1:6" s="591" customFormat="1" ht="14.25" customHeight="1" thickBot="1">
      <c r="A264" s="603" t="s">
        <v>530</v>
      </c>
      <c r="B264" s="597" t="s">
        <v>389</v>
      </c>
      <c r="C264" s="597">
        <v>4010</v>
      </c>
      <c r="D264" s="597">
        <v>3980</v>
      </c>
      <c r="E264" s="597">
        <v>4150</v>
      </c>
      <c r="F264" s="611">
        <v>760</v>
      </c>
    </row>
    <row r="265" spans="1:6" s="591" customFormat="1" ht="14.25" customHeight="1" thickBot="1">
      <c r="A265" s="603" t="s">
        <v>530</v>
      </c>
      <c r="B265" s="597" t="s">
        <v>398</v>
      </c>
      <c r="C265" s="597">
        <v>3910</v>
      </c>
      <c r="D265" s="597">
        <v>3890</v>
      </c>
      <c r="E265" s="597">
        <v>4040</v>
      </c>
      <c r="F265" s="611">
        <v>780</v>
      </c>
    </row>
    <row r="266" spans="1:6" s="591" customFormat="1" ht="14.25" customHeight="1" thickBot="1">
      <c r="A266" s="603" t="s">
        <v>530</v>
      </c>
      <c r="B266" s="597" t="s">
        <v>406</v>
      </c>
      <c r="C266" s="597">
        <v>3930</v>
      </c>
      <c r="D266" s="597">
        <v>3900</v>
      </c>
      <c r="E266" s="597">
        <v>4080</v>
      </c>
      <c r="F266" s="611">
        <v>770</v>
      </c>
    </row>
    <row r="267" spans="1:6" s="591" customFormat="1" ht="14.25" customHeight="1" thickBot="1">
      <c r="A267" s="603" t="s">
        <v>530</v>
      </c>
      <c r="B267" s="597" t="s">
        <v>413</v>
      </c>
      <c r="C267" s="597">
        <v>3800</v>
      </c>
      <c r="D267" s="597">
        <v>3780</v>
      </c>
      <c r="E267" s="597">
        <v>3930</v>
      </c>
      <c r="F267" s="615"/>
    </row>
    <row r="268" spans="1:6" s="591" customFormat="1" ht="14.25" customHeight="1" thickBot="1">
      <c r="A268" s="603" t="s">
        <v>530</v>
      </c>
      <c r="B268" s="597" t="s">
        <v>420</v>
      </c>
      <c r="C268" s="597">
        <v>3460</v>
      </c>
      <c r="D268" s="597">
        <v>3430</v>
      </c>
      <c r="E268" s="597">
        <v>3560</v>
      </c>
      <c r="F268" s="611">
        <v>840</v>
      </c>
    </row>
    <row r="269" spans="1:6" s="591" customFormat="1" ht="14.25" customHeight="1" thickBot="1">
      <c r="A269" s="603" t="s">
        <v>530</v>
      </c>
      <c r="B269" s="597" t="s">
        <v>427</v>
      </c>
      <c r="C269" s="597">
        <v>3210</v>
      </c>
      <c r="D269" s="597">
        <v>3190</v>
      </c>
      <c r="E269" s="597">
        <v>3310</v>
      </c>
      <c r="F269" s="611">
        <v>730</v>
      </c>
    </row>
    <row r="270" spans="1:6" s="591" customFormat="1" ht="14.25" customHeight="1" thickBot="1">
      <c r="A270" s="603" t="s">
        <v>530</v>
      </c>
      <c r="B270" s="597" t="s">
        <v>434</v>
      </c>
      <c r="C270" s="597">
        <v>3240</v>
      </c>
      <c r="D270" s="597">
        <v>3210</v>
      </c>
      <c r="E270" s="597">
        <v>3390</v>
      </c>
      <c r="F270" s="611">
        <v>820</v>
      </c>
    </row>
    <row r="271" spans="1:6" s="591" customFormat="1" ht="14.25" customHeight="1" thickBot="1">
      <c r="A271" s="603" t="s">
        <v>530</v>
      </c>
      <c r="B271" s="597" t="s">
        <v>441</v>
      </c>
      <c r="C271" s="597">
        <v>3300</v>
      </c>
      <c r="D271" s="597">
        <v>3270</v>
      </c>
      <c r="E271" s="597">
        <v>3380</v>
      </c>
      <c r="F271" s="611">
        <v>750</v>
      </c>
    </row>
    <row r="272" spans="1:6" s="591" customFormat="1" ht="14.25" customHeight="1" thickBot="1">
      <c r="A272" s="603" t="s">
        <v>530</v>
      </c>
      <c r="B272" s="597" t="s">
        <v>448</v>
      </c>
      <c r="C272" s="616"/>
      <c r="D272" s="616"/>
      <c r="E272" s="616"/>
      <c r="F272" s="611">
        <v>740</v>
      </c>
    </row>
    <row r="273" spans="1:6" s="591" customFormat="1" ht="14.25" customHeight="1" thickBot="1">
      <c r="A273" s="603" t="s">
        <v>530</v>
      </c>
      <c r="B273" s="597" t="s">
        <v>452</v>
      </c>
      <c r="C273" s="597">
        <v>3130</v>
      </c>
      <c r="D273" s="597">
        <v>3100</v>
      </c>
      <c r="E273" s="597">
        <v>3230</v>
      </c>
      <c r="F273" s="611">
        <v>700</v>
      </c>
    </row>
    <row r="274" spans="1:6" s="591" customFormat="1" ht="14.25" customHeight="1" thickBot="1">
      <c r="A274" s="603" t="s">
        <v>530</v>
      </c>
      <c r="B274" s="597" t="s">
        <v>457</v>
      </c>
      <c r="C274" s="597">
        <v>3460</v>
      </c>
      <c r="D274" s="597">
        <v>3430</v>
      </c>
      <c r="E274" s="597">
        <v>3560</v>
      </c>
      <c r="F274" s="611">
        <v>690</v>
      </c>
    </row>
    <row r="275" spans="1:6" s="591" customFormat="1" ht="14.25" customHeight="1" thickBot="1">
      <c r="A275" s="603" t="s">
        <v>530</v>
      </c>
      <c r="B275" s="597" t="s">
        <v>462</v>
      </c>
      <c r="C275" s="597">
        <v>4040</v>
      </c>
      <c r="D275" s="597">
        <v>4020</v>
      </c>
      <c r="E275" s="597">
        <v>4160</v>
      </c>
      <c r="F275" s="611">
        <v>820</v>
      </c>
    </row>
    <row r="276" spans="1:6" s="591" customFormat="1" ht="14.25" customHeight="1" thickBot="1">
      <c r="A276" s="603" t="s">
        <v>530</v>
      </c>
      <c r="B276" s="597" t="s">
        <v>467</v>
      </c>
      <c r="C276" s="597">
        <v>3270</v>
      </c>
      <c r="D276" s="597">
        <v>3240</v>
      </c>
      <c r="E276" s="597">
        <v>3350</v>
      </c>
      <c r="F276" s="611">
        <v>680</v>
      </c>
    </row>
    <row r="277" spans="1:6" s="591" customFormat="1" ht="14.25" customHeight="1" thickBot="1">
      <c r="A277" s="603" t="s">
        <v>530</v>
      </c>
      <c r="B277" s="597" t="s">
        <v>472</v>
      </c>
      <c r="C277" s="597">
        <v>2930</v>
      </c>
      <c r="D277" s="597">
        <v>2900</v>
      </c>
      <c r="E277" s="597">
        <v>3000</v>
      </c>
      <c r="F277" s="611">
        <v>640</v>
      </c>
    </row>
    <row r="278" spans="1:6" s="591" customFormat="1" ht="14.25" customHeight="1" thickBot="1">
      <c r="A278" s="603" t="s">
        <v>530</v>
      </c>
      <c r="B278" s="597" t="s">
        <v>477</v>
      </c>
      <c r="C278" s="597">
        <v>4080</v>
      </c>
      <c r="D278" s="597">
        <v>4030</v>
      </c>
      <c r="E278" s="597">
        <v>4140</v>
      </c>
      <c r="F278" s="611">
        <v>850</v>
      </c>
    </row>
    <row r="279" spans="1:6" s="591" customFormat="1" ht="14.25" customHeight="1" thickBot="1">
      <c r="A279" s="603" t="s">
        <v>530</v>
      </c>
      <c r="B279" s="597" t="s">
        <v>481</v>
      </c>
      <c r="C279" s="597"/>
      <c r="D279" s="597"/>
      <c r="E279" s="597"/>
      <c r="F279" s="611">
        <v>760</v>
      </c>
    </row>
    <row r="280" spans="1:6" s="591" customFormat="1" ht="14.25" customHeight="1" thickBot="1">
      <c r="A280" s="603" t="s">
        <v>530</v>
      </c>
      <c r="B280" s="597" t="s">
        <v>485</v>
      </c>
      <c r="C280" s="597"/>
      <c r="D280" s="597"/>
      <c r="E280" s="597"/>
      <c r="F280" s="611">
        <v>760</v>
      </c>
    </row>
    <row r="281" spans="1:6" s="591" customFormat="1" ht="14.25" customHeight="1" thickBot="1">
      <c r="A281" s="603" t="s">
        <v>530</v>
      </c>
      <c r="B281" s="597" t="s">
        <v>489</v>
      </c>
      <c r="C281" s="597"/>
      <c r="D281" s="597"/>
      <c r="E281" s="597"/>
      <c r="F281" s="611">
        <v>780</v>
      </c>
    </row>
    <row r="282" spans="1:6" s="591" customFormat="1" ht="14.25" customHeight="1" thickBot="1">
      <c r="A282" s="603" t="s">
        <v>530</v>
      </c>
      <c r="B282" s="597" t="s">
        <v>493</v>
      </c>
      <c r="C282" s="597"/>
      <c r="D282" s="597"/>
      <c r="E282" s="597"/>
      <c r="F282" s="611">
        <v>730</v>
      </c>
    </row>
    <row r="283" spans="1:6" s="591" customFormat="1" ht="14.25" customHeight="1" thickBot="1">
      <c r="A283" s="603" t="s">
        <v>530</v>
      </c>
      <c r="B283" s="597" t="s">
        <v>497</v>
      </c>
      <c r="C283" s="597"/>
      <c r="D283" s="597"/>
      <c r="E283" s="597"/>
      <c r="F283" s="611">
        <v>770</v>
      </c>
    </row>
    <row r="284" spans="1:6" s="591" customFormat="1" ht="14.25" customHeight="1" thickBot="1">
      <c r="A284" s="603" t="s">
        <v>530</v>
      </c>
      <c r="B284" s="597" t="s">
        <v>500</v>
      </c>
      <c r="C284" s="597"/>
      <c r="D284" s="597"/>
      <c r="E284" s="597"/>
      <c r="F284" s="611">
        <v>640</v>
      </c>
    </row>
    <row r="285" spans="1:6" s="591" customFormat="1" ht="14.25" customHeight="1" thickBot="1">
      <c r="A285" s="603" t="s">
        <v>530</v>
      </c>
      <c r="B285" s="597" t="s">
        <v>503</v>
      </c>
      <c r="C285" s="597"/>
      <c r="D285" s="597"/>
      <c r="E285" s="597"/>
      <c r="F285" s="611">
        <v>640</v>
      </c>
    </row>
    <row r="286" spans="1:6" s="591" customFormat="1" ht="14.25" customHeight="1" thickBot="1">
      <c r="A286" s="603" t="s">
        <v>530</v>
      </c>
      <c r="B286" s="597" t="s">
        <v>506</v>
      </c>
      <c r="C286" s="597"/>
      <c r="D286" s="597"/>
      <c r="E286" s="597"/>
      <c r="F286" s="611">
        <v>850</v>
      </c>
    </row>
    <row r="287" spans="1:6" s="591" customFormat="1" ht="14.25" customHeight="1" thickBot="1">
      <c r="A287" s="603" t="s">
        <v>530</v>
      </c>
      <c r="B287" s="597" t="s">
        <v>509</v>
      </c>
      <c r="C287" s="597"/>
      <c r="D287" s="597"/>
      <c r="E287" s="597"/>
      <c r="F287" s="611">
        <v>760</v>
      </c>
    </row>
    <row r="288" spans="1:6" s="591" customFormat="1" ht="14.25" customHeight="1" thickBot="1">
      <c r="A288" s="603" t="s">
        <v>530</v>
      </c>
      <c r="B288" s="597" t="s">
        <v>512</v>
      </c>
      <c r="C288" s="597"/>
      <c r="D288" s="597"/>
      <c r="E288" s="597"/>
      <c r="F288" s="611">
        <v>830</v>
      </c>
    </row>
    <row r="289" spans="1:6" s="591" customFormat="1" ht="14.25" customHeight="1" thickBot="1">
      <c r="A289" s="603" t="s">
        <v>530</v>
      </c>
      <c r="B289" s="609" t="s">
        <v>515</v>
      </c>
      <c r="C289" s="609"/>
      <c r="D289" s="609"/>
      <c r="E289" s="609"/>
      <c r="F289" s="614">
        <v>680</v>
      </c>
    </row>
    <row r="290" spans="1:6" s="591" customFormat="1" ht="14.25" customHeight="1" thickBot="1">
      <c r="A290" s="603" t="s">
        <v>534</v>
      </c>
      <c r="B290" s="604" t="s">
        <v>535</v>
      </c>
      <c r="C290" s="604">
        <v>2770</v>
      </c>
      <c r="D290" s="604">
        <v>2740</v>
      </c>
      <c r="E290" s="604">
        <v>2720</v>
      </c>
      <c r="F290" s="617"/>
    </row>
    <row r="291" spans="1:6" s="591" customFormat="1" ht="14.25" customHeight="1" thickBot="1">
      <c r="A291" s="603" t="s">
        <v>534</v>
      </c>
      <c r="B291" s="597" t="s">
        <v>196</v>
      </c>
      <c r="C291" s="597">
        <v>2670</v>
      </c>
      <c r="D291" s="597">
        <v>2640</v>
      </c>
      <c r="E291" s="597">
        <v>2620</v>
      </c>
      <c r="F291" s="615"/>
    </row>
    <row r="292" spans="1:6" s="591" customFormat="1" ht="14.25" customHeight="1" thickBot="1">
      <c r="A292" s="603" t="s">
        <v>534</v>
      </c>
      <c r="B292" s="597" t="s">
        <v>536</v>
      </c>
      <c r="C292" s="597">
        <v>2180</v>
      </c>
      <c r="D292" s="597">
        <v>2140</v>
      </c>
      <c r="E292" s="597">
        <v>2120</v>
      </c>
      <c r="F292" s="611">
        <v>490</v>
      </c>
    </row>
    <row r="293" spans="1:6" s="591" customFormat="1" ht="14.25" customHeight="1" thickBot="1">
      <c r="A293" s="603" t="s">
        <v>534</v>
      </c>
      <c r="B293" s="597" t="s">
        <v>537</v>
      </c>
      <c r="C293" s="597"/>
      <c r="D293" s="597"/>
      <c r="E293" s="597"/>
      <c r="F293" s="611">
        <v>470</v>
      </c>
    </row>
    <row r="294" spans="1:6" s="591" customFormat="1" ht="14.25" customHeight="1" thickBot="1">
      <c r="A294" s="603" t="s">
        <v>534</v>
      </c>
      <c r="B294" s="597" t="s">
        <v>538</v>
      </c>
      <c r="C294" s="597">
        <v>2730</v>
      </c>
      <c r="D294" s="597">
        <v>2700</v>
      </c>
      <c r="E294" s="597">
        <v>2680</v>
      </c>
      <c r="F294" s="611">
        <v>490</v>
      </c>
    </row>
    <row r="295" spans="1:6" s="591" customFormat="1" ht="14.25" customHeight="1" thickBot="1">
      <c r="A295" s="603" t="s">
        <v>534</v>
      </c>
      <c r="B295" s="597" t="s">
        <v>234</v>
      </c>
      <c r="C295" s="597">
        <v>2380</v>
      </c>
      <c r="D295" s="597">
        <v>2350</v>
      </c>
      <c r="E295" s="597">
        <v>2330</v>
      </c>
      <c r="F295" s="611">
        <v>530</v>
      </c>
    </row>
    <row r="296" spans="1:6" s="591" customFormat="1" ht="14.25" customHeight="1" thickBot="1">
      <c r="A296" s="603" t="s">
        <v>534</v>
      </c>
      <c r="B296" s="597" t="s">
        <v>245</v>
      </c>
      <c r="C296" s="597">
        <v>2650</v>
      </c>
      <c r="D296" s="597">
        <v>2620</v>
      </c>
      <c r="E296" s="597">
        <v>2590</v>
      </c>
      <c r="F296" s="611">
        <v>590</v>
      </c>
    </row>
    <row r="297" spans="1:6" s="591" customFormat="1" ht="14.25" customHeight="1" thickBot="1">
      <c r="A297" s="603" t="s">
        <v>534</v>
      </c>
      <c r="B297" s="597" t="s">
        <v>256</v>
      </c>
      <c r="C297" s="597">
        <v>2700</v>
      </c>
      <c r="D297" s="597">
        <v>2670</v>
      </c>
      <c r="E297" s="597">
        <v>2650</v>
      </c>
      <c r="F297" s="611">
        <v>630</v>
      </c>
    </row>
    <row r="298" spans="1:6" s="591" customFormat="1" ht="14.25" customHeight="1" thickBot="1">
      <c r="A298" s="603" t="s">
        <v>534</v>
      </c>
      <c r="B298" s="597" t="s">
        <v>267</v>
      </c>
      <c r="C298" s="597">
        <v>2650</v>
      </c>
      <c r="D298" s="597">
        <v>2620</v>
      </c>
      <c r="E298" s="597">
        <v>2590</v>
      </c>
      <c r="F298" s="611">
        <v>640</v>
      </c>
    </row>
    <row r="299" spans="1:6" s="591" customFormat="1" ht="14.25" customHeight="1" thickBot="1">
      <c r="A299" s="603" t="s">
        <v>534</v>
      </c>
      <c r="B299" s="597" t="s">
        <v>279</v>
      </c>
      <c r="C299" s="597">
        <v>2500</v>
      </c>
      <c r="D299" s="597">
        <v>2480</v>
      </c>
      <c r="E299" s="597">
        <v>2460</v>
      </c>
      <c r="F299" s="615"/>
    </row>
    <row r="300" spans="1:6" s="591" customFormat="1" ht="14.25" customHeight="1" thickBot="1">
      <c r="A300" s="603" t="s">
        <v>534</v>
      </c>
      <c r="B300" s="597" t="s">
        <v>289</v>
      </c>
      <c r="C300" s="597">
        <v>2760</v>
      </c>
      <c r="D300" s="597">
        <v>2730</v>
      </c>
      <c r="E300" s="597">
        <v>2700</v>
      </c>
      <c r="F300" s="611">
        <v>630</v>
      </c>
    </row>
    <row r="301" spans="1:6" s="591" customFormat="1" ht="14.25" customHeight="1" thickBot="1">
      <c r="A301" s="603" t="s">
        <v>534</v>
      </c>
      <c r="B301" s="597" t="s">
        <v>299</v>
      </c>
      <c r="C301" s="597">
        <v>2510</v>
      </c>
      <c r="D301" s="597">
        <v>2480</v>
      </c>
      <c r="E301" s="597">
        <v>2460</v>
      </c>
      <c r="F301" s="615"/>
    </row>
    <row r="302" spans="1:6" s="591" customFormat="1" ht="14.25" customHeight="1" thickBot="1">
      <c r="A302" s="603" t="s">
        <v>534</v>
      </c>
      <c r="B302" s="597" t="s">
        <v>309</v>
      </c>
      <c r="C302" s="597">
        <v>2480</v>
      </c>
      <c r="D302" s="597">
        <v>2450</v>
      </c>
      <c r="E302" s="597">
        <v>2420</v>
      </c>
      <c r="F302" s="611">
        <v>600</v>
      </c>
    </row>
    <row r="303" spans="1:6" s="591" customFormat="1" ht="14.25" customHeight="1" thickBot="1">
      <c r="A303" s="603" t="s">
        <v>534</v>
      </c>
      <c r="B303" s="597" t="s">
        <v>319</v>
      </c>
      <c r="C303" s="597">
        <v>2270</v>
      </c>
      <c r="D303" s="597">
        <v>2240</v>
      </c>
      <c r="E303" s="597">
        <v>2210</v>
      </c>
      <c r="F303" s="611">
        <v>540</v>
      </c>
    </row>
    <row r="304" spans="1:6" s="591" customFormat="1" ht="14.25" customHeight="1" thickBot="1">
      <c r="A304" s="603" t="s">
        <v>534</v>
      </c>
      <c r="B304" s="597" t="s">
        <v>330</v>
      </c>
      <c r="C304" s="597">
        <v>2310</v>
      </c>
      <c r="D304" s="597">
        <v>2290</v>
      </c>
      <c r="E304" s="597">
        <v>2270</v>
      </c>
      <c r="F304" s="615"/>
    </row>
    <row r="305" spans="1:6" s="591" customFormat="1" ht="14.25" customHeight="1" thickBot="1">
      <c r="A305" s="603" t="s">
        <v>534</v>
      </c>
      <c r="B305" s="597" t="s">
        <v>341</v>
      </c>
      <c r="C305" s="597">
        <v>2490</v>
      </c>
      <c r="D305" s="597">
        <v>2470</v>
      </c>
      <c r="E305" s="597">
        <v>2440</v>
      </c>
      <c r="F305" s="611">
        <v>560</v>
      </c>
    </row>
    <row r="306" spans="1:6" s="591" customFormat="1" ht="14.25" customHeight="1" thickBot="1">
      <c r="A306" s="603" t="s">
        <v>534</v>
      </c>
      <c r="B306" s="597" t="s">
        <v>351</v>
      </c>
      <c r="C306" s="597">
        <v>2420</v>
      </c>
      <c r="D306" s="597">
        <v>2400</v>
      </c>
      <c r="E306" s="597">
        <v>2380</v>
      </c>
      <c r="F306" s="615"/>
    </row>
    <row r="307" spans="1:6" s="591" customFormat="1" ht="14.25" customHeight="1" thickBot="1">
      <c r="A307" s="603" t="s">
        <v>534</v>
      </c>
      <c r="B307" s="597" t="s">
        <v>361</v>
      </c>
      <c r="C307" s="597">
        <v>2770</v>
      </c>
      <c r="D307" s="597">
        <v>2740</v>
      </c>
      <c r="E307" s="597">
        <v>2710</v>
      </c>
      <c r="F307" s="611">
        <v>650</v>
      </c>
    </row>
    <row r="308" spans="1:6" s="591" customFormat="1" ht="14.25" customHeight="1" thickBot="1">
      <c r="A308" s="603" t="s">
        <v>534</v>
      </c>
      <c r="B308" s="597" t="s">
        <v>371</v>
      </c>
      <c r="C308" s="597">
        <v>2610</v>
      </c>
      <c r="D308" s="597">
        <v>2580</v>
      </c>
      <c r="E308" s="597">
        <v>2550</v>
      </c>
      <c r="F308" s="611">
        <v>580</v>
      </c>
    </row>
    <row r="309" spans="1:6" s="591" customFormat="1" ht="14.25" customHeight="1" thickBot="1">
      <c r="A309" s="603" t="s">
        <v>534</v>
      </c>
      <c r="B309" s="597" t="s">
        <v>381</v>
      </c>
      <c r="C309" s="597">
        <v>2690</v>
      </c>
      <c r="D309" s="597">
        <v>2670</v>
      </c>
      <c r="E309" s="597">
        <v>2650</v>
      </c>
      <c r="F309" s="615"/>
    </row>
    <row r="310" spans="1:6" s="591" customFormat="1" ht="14.25" customHeight="1" thickBot="1">
      <c r="A310" s="603" t="s">
        <v>534</v>
      </c>
      <c r="B310" s="597" t="s">
        <v>390</v>
      </c>
      <c r="C310" s="597">
        <v>2360</v>
      </c>
      <c r="D310" s="597">
        <v>2330</v>
      </c>
      <c r="E310" s="597">
        <v>2310</v>
      </c>
      <c r="F310" s="611">
        <v>560</v>
      </c>
    </row>
    <row r="311" spans="1:6" s="591" customFormat="1" ht="14.25" customHeight="1" thickBot="1">
      <c r="A311" s="603" t="s">
        <v>534</v>
      </c>
      <c r="B311" s="597" t="s">
        <v>399</v>
      </c>
      <c r="C311" s="597">
        <v>1970</v>
      </c>
      <c r="D311" s="597">
        <v>1950</v>
      </c>
      <c r="E311" s="597">
        <v>1920</v>
      </c>
      <c r="F311" s="611">
        <v>470</v>
      </c>
    </row>
    <row r="312" spans="1:6" s="591" customFormat="1" ht="14.25" customHeight="1" thickBot="1">
      <c r="A312" s="603" t="s">
        <v>534</v>
      </c>
      <c r="B312" s="597" t="s">
        <v>407</v>
      </c>
      <c r="C312" s="597">
        <v>2230</v>
      </c>
      <c r="D312" s="597">
        <v>2200</v>
      </c>
      <c r="E312" s="597">
        <v>2170</v>
      </c>
      <c r="F312" s="611">
        <v>460</v>
      </c>
    </row>
    <row r="313" spans="1:6" s="591" customFormat="1" ht="14.25" customHeight="1" thickBot="1">
      <c r="A313" s="603" t="s">
        <v>534</v>
      </c>
      <c r="B313" s="597" t="s">
        <v>414</v>
      </c>
      <c r="C313" s="597">
        <v>2770</v>
      </c>
      <c r="D313" s="597">
        <v>2740</v>
      </c>
      <c r="E313" s="597">
        <v>2710</v>
      </c>
      <c r="F313" s="611">
        <v>610</v>
      </c>
    </row>
    <row r="314" spans="1:6" s="591" customFormat="1" ht="14.25" customHeight="1" thickBot="1">
      <c r="A314" s="603" t="s">
        <v>534</v>
      </c>
      <c r="B314" s="597" t="s">
        <v>421</v>
      </c>
      <c r="C314" s="597"/>
      <c r="D314" s="597"/>
      <c r="E314" s="597"/>
      <c r="F314" s="611">
        <v>490</v>
      </c>
    </row>
    <row r="315" spans="1:6" s="591" customFormat="1" ht="14.25" customHeight="1" thickBot="1">
      <c r="A315" s="603" t="s">
        <v>534</v>
      </c>
      <c r="B315" s="597" t="s">
        <v>428</v>
      </c>
      <c r="C315" s="597"/>
      <c r="D315" s="597"/>
      <c r="E315" s="597"/>
      <c r="F315" s="611">
        <v>520</v>
      </c>
    </row>
    <row r="316" spans="1:6" s="591" customFormat="1" ht="14.25" customHeight="1" thickBot="1">
      <c r="A316" s="603" t="s">
        <v>534</v>
      </c>
      <c r="B316" s="609" t="s">
        <v>435</v>
      </c>
      <c r="C316" s="609"/>
      <c r="D316" s="609"/>
      <c r="E316" s="609"/>
      <c r="F316" s="614">
        <v>460</v>
      </c>
    </row>
    <row r="317" spans="1:6" s="591" customFormat="1" ht="14.25" customHeight="1" thickBot="1">
      <c r="A317" s="603" t="s">
        <v>321</v>
      </c>
      <c r="B317" s="604" t="s">
        <v>539</v>
      </c>
      <c r="C317" s="604">
        <v>1200</v>
      </c>
      <c r="D317" s="604">
        <v>1180</v>
      </c>
      <c r="E317" s="604">
        <v>1160</v>
      </c>
      <c r="F317" s="605">
        <v>370</v>
      </c>
    </row>
    <row r="318" spans="1:6" s="591" customFormat="1" ht="14.25" customHeight="1" thickBot="1">
      <c r="A318" s="603" t="s">
        <v>321</v>
      </c>
      <c r="B318" s="597" t="s">
        <v>540</v>
      </c>
      <c r="C318" s="597">
        <v>1090</v>
      </c>
      <c r="D318" s="597">
        <v>1060</v>
      </c>
      <c r="E318" s="597">
        <v>1040</v>
      </c>
      <c r="F318" s="615"/>
    </row>
    <row r="319" spans="1:6" s="591" customFormat="1" ht="14.25" customHeight="1" thickBot="1">
      <c r="A319" s="603" t="s">
        <v>321</v>
      </c>
      <c r="B319" s="597" t="s">
        <v>541</v>
      </c>
      <c r="C319" s="597">
        <v>1520</v>
      </c>
      <c r="D319" s="597">
        <v>1470</v>
      </c>
      <c r="E319" s="597">
        <v>1440</v>
      </c>
      <c r="F319" s="611">
        <v>370</v>
      </c>
    </row>
    <row r="320" spans="1:6" s="591" customFormat="1" ht="14.25" customHeight="1" thickBot="1">
      <c r="A320" s="603" t="s">
        <v>321</v>
      </c>
      <c r="B320" s="597" t="s">
        <v>223</v>
      </c>
      <c r="C320" s="597">
        <v>1360</v>
      </c>
      <c r="D320" s="597">
        <v>1300</v>
      </c>
      <c r="E320" s="597">
        <v>1270</v>
      </c>
      <c r="F320" s="615"/>
    </row>
    <row r="321" spans="1:6" s="591" customFormat="1" ht="14.25" customHeight="1" thickBot="1">
      <c r="A321" s="603" t="s">
        <v>321</v>
      </c>
      <c r="B321" s="597" t="s">
        <v>235</v>
      </c>
      <c r="C321" s="597">
        <v>1750</v>
      </c>
      <c r="D321" s="597">
        <v>1690</v>
      </c>
      <c r="E321" s="597">
        <v>1660</v>
      </c>
      <c r="F321" s="615"/>
    </row>
    <row r="322" spans="1:6" s="591" customFormat="1" ht="14.25" customHeight="1" thickBot="1">
      <c r="A322" s="603" t="s">
        <v>321</v>
      </c>
      <c r="B322" s="597" t="s">
        <v>246</v>
      </c>
      <c r="C322" s="597">
        <v>1650</v>
      </c>
      <c r="D322" s="597">
        <v>1610</v>
      </c>
      <c r="E322" s="597">
        <v>1580</v>
      </c>
      <c r="F322" s="611">
        <v>500</v>
      </c>
    </row>
    <row r="323" spans="1:6" s="591" customFormat="1" ht="14.25" customHeight="1" thickBot="1">
      <c r="A323" s="603" t="s">
        <v>321</v>
      </c>
      <c r="B323" s="597" t="s">
        <v>257</v>
      </c>
      <c r="C323" s="597">
        <v>1780</v>
      </c>
      <c r="D323" s="597">
        <v>1740</v>
      </c>
      <c r="E323" s="597">
        <v>1720</v>
      </c>
      <c r="F323" s="615"/>
    </row>
    <row r="324" spans="1:6" s="591" customFormat="1" ht="14.25" customHeight="1" thickBot="1">
      <c r="A324" s="603" t="s">
        <v>321</v>
      </c>
      <c r="B324" s="597" t="s">
        <v>268</v>
      </c>
      <c r="C324" s="597">
        <v>1650</v>
      </c>
      <c r="D324" s="597">
        <v>1610</v>
      </c>
      <c r="E324" s="597">
        <v>1580</v>
      </c>
      <c r="F324" s="615"/>
    </row>
    <row r="325" spans="1:6" s="591" customFormat="1" ht="14.25" customHeight="1" thickBot="1">
      <c r="A325" s="603" t="s">
        <v>321</v>
      </c>
      <c r="B325" s="597" t="s">
        <v>280</v>
      </c>
      <c r="C325" s="597">
        <v>1330</v>
      </c>
      <c r="D325" s="597">
        <v>1270</v>
      </c>
      <c r="E325" s="597">
        <v>1240</v>
      </c>
      <c r="F325" s="611">
        <v>430</v>
      </c>
    </row>
    <row r="326" spans="1:6" s="591" customFormat="1" ht="14.25" customHeight="1" thickBot="1">
      <c r="A326" s="603" t="s">
        <v>321</v>
      </c>
      <c r="B326" s="597" t="s">
        <v>290</v>
      </c>
      <c r="C326" s="597">
        <v>1470</v>
      </c>
      <c r="D326" s="597">
        <v>1430</v>
      </c>
      <c r="E326" s="597">
        <v>1400</v>
      </c>
      <c r="F326" s="615"/>
    </row>
    <row r="327" spans="1:6" s="591" customFormat="1" ht="14.25" customHeight="1" thickBot="1">
      <c r="A327" s="603" t="s">
        <v>321</v>
      </c>
      <c r="B327" s="597" t="s">
        <v>300</v>
      </c>
      <c r="C327" s="597">
        <v>1420</v>
      </c>
      <c r="D327" s="597">
        <v>1380</v>
      </c>
      <c r="E327" s="597">
        <v>1360</v>
      </c>
      <c r="F327" s="611">
        <v>420</v>
      </c>
    </row>
    <row r="328" spans="1:6" s="591" customFormat="1" ht="14.25" customHeight="1" thickBot="1">
      <c r="A328" s="603" t="s">
        <v>321</v>
      </c>
      <c r="B328" s="597" t="s">
        <v>310</v>
      </c>
      <c r="C328" s="597">
        <v>1400</v>
      </c>
      <c r="D328" s="597">
        <v>1360</v>
      </c>
      <c r="E328" s="597">
        <v>1330</v>
      </c>
      <c r="F328" s="611">
        <v>460</v>
      </c>
    </row>
    <row r="329" spans="1:6" s="591" customFormat="1" ht="14.25" customHeight="1" thickBot="1">
      <c r="A329" s="603" t="s">
        <v>321</v>
      </c>
      <c r="B329" s="597" t="s">
        <v>320</v>
      </c>
      <c r="C329" s="597">
        <v>1640</v>
      </c>
      <c r="D329" s="597">
        <v>1610</v>
      </c>
      <c r="E329" s="597">
        <v>1580</v>
      </c>
      <c r="F329" s="611">
        <v>410</v>
      </c>
    </row>
    <row r="330" spans="1:6" s="591" customFormat="1" ht="14.25" customHeight="1" thickBot="1">
      <c r="A330" s="603" t="s">
        <v>321</v>
      </c>
      <c r="B330" s="597" t="s">
        <v>331</v>
      </c>
      <c r="C330" s="597">
        <v>1260</v>
      </c>
      <c r="D330" s="597">
        <v>1220</v>
      </c>
      <c r="E330" s="597">
        <v>1200</v>
      </c>
      <c r="F330" s="615"/>
    </row>
    <row r="331" spans="1:6" s="591" customFormat="1" ht="14.25" customHeight="1" thickBot="1">
      <c r="A331" s="603" t="s">
        <v>321</v>
      </c>
      <c r="B331" s="597" t="s">
        <v>342</v>
      </c>
      <c r="C331" s="597">
        <v>1620</v>
      </c>
      <c r="D331" s="597">
        <v>1560</v>
      </c>
      <c r="E331" s="597">
        <v>1530</v>
      </c>
      <c r="F331" s="611">
        <v>490</v>
      </c>
    </row>
    <row r="332" spans="1:6" s="591" customFormat="1" ht="14.25" customHeight="1" thickBot="1">
      <c r="A332" s="603" t="s">
        <v>321</v>
      </c>
      <c r="B332" s="597" t="s">
        <v>352</v>
      </c>
      <c r="C332" s="597">
        <v>1520</v>
      </c>
      <c r="D332" s="597">
        <v>1470</v>
      </c>
      <c r="E332" s="597">
        <v>1440</v>
      </c>
      <c r="F332" s="611">
        <v>440</v>
      </c>
    </row>
    <row r="333" spans="1:6" s="591" customFormat="1" ht="14.25" customHeight="1" thickBot="1">
      <c r="A333" s="603" t="s">
        <v>321</v>
      </c>
      <c r="B333" s="597" t="s">
        <v>362</v>
      </c>
      <c r="C333" s="597">
        <v>1370</v>
      </c>
      <c r="D333" s="597">
        <v>1320</v>
      </c>
      <c r="E333" s="597">
        <v>1300</v>
      </c>
      <c r="F333" s="611">
        <v>460</v>
      </c>
    </row>
    <row r="334" spans="1:6" s="591" customFormat="1" ht="14.25" customHeight="1" thickBot="1">
      <c r="A334" s="603" t="s">
        <v>321</v>
      </c>
      <c r="B334" s="597" t="s">
        <v>372</v>
      </c>
      <c r="C334" s="597">
        <v>1410</v>
      </c>
      <c r="D334" s="597">
        <v>1340</v>
      </c>
      <c r="E334" s="597">
        <v>1310</v>
      </c>
      <c r="F334" s="611">
        <v>410</v>
      </c>
    </row>
    <row r="335" spans="1:6" s="591" customFormat="1" ht="14.25" customHeight="1" thickBot="1">
      <c r="A335" s="603" t="s">
        <v>321</v>
      </c>
      <c r="B335" s="597" t="s">
        <v>382</v>
      </c>
      <c r="C335" s="597">
        <v>1260</v>
      </c>
      <c r="D335" s="597">
        <v>1220</v>
      </c>
      <c r="E335" s="597">
        <v>1200</v>
      </c>
      <c r="F335" s="615"/>
    </row>
    <row r="336" spans="1:6" s="591" customFormat="1" ht="14.25" customHeight="1" thickBot="1">
      <c r="A336" s="603" t="s">
        <v>321</v>
      </c>
      <c r="B336" s="597" t="s">
        <v>391</v>
      </c>
      <c r="C336" s="597">
        <v>1160</v>
      </c>
      <c r="D336" s="597">
        <v>1140</v>
      </c>
      <c r="E336" s="597">
        <v>1120</v>
      </c>
      <c r="F336" s="611">
        <v>430</v>
      </c>
    </row>
    <row r="337" spans="1:6" s="591" customFormat="1" ht="14.25" customHeight="1" thickBot="1">
      <c r="A337" s="603" t="s">
        <v>321</v>
      </c>
      <c r="B337" s="609" t="s">
        <v>400</v>
      </c>
      <c r="C337" s="609"/>
      <c r="D337" s="609"/>
      <c r="E337" s="609"/>
      <c r="F337" s="614">
        <v>380</v>
      </c>
    </row>
    <row r="338" spans="1:6" s="591" customFormat="1" ht="14.25" customHeight="1" thickBot="1">
      <c r="A338" s="603" t="s">
        <v>332</v>
      </c>
      <c r="B338" s="604" t="s">
        <v>542</v>
      </c>
      <c r="C338" s="604">
        <v>880</v>
      </c>
      <c r="D338" s="604">
        <v>850</v>
      </c>
      <c r="E338" s="604">
        <v>830</v>
      </c>
      <c r="F338" s="617"/>
    </row>
    <row r="339" spans="1:6" s="591" customFormat="1" ht="14.25" customHeight="1" thickBot="1">
      <c r="A339" s="603" t="s">
        <v>332</v>
      </c>
      <c r="B339" s="597" t="s">
        <v>543</v>
      </c>
      <c r="C339" s="597">
        <v>830</v>
      </c>
      <c r="D339" s="597">
        <v>800</v>
      </c>
      <c r="E339" s="597">
        <v>780</v>
      </c>
      <c r="F339" s="615"/>
    </row>
    <row r="340" spans="1:6" s="591" customFormat="1" ht="14.25" customHeight="1" thickBot="1">
      <c r="A340" s="603" t="s">
        <v>332</v>
      </c>
      <c r="B340" s="597" t="s">
        <v>544</v>
      </c>
      <c r="C340" s="597">
        <v>980</v>
      </c>
      <c r="D340" s="597">
        <v>950</v>
      </c>
      <c r="E340" s="597">
        <v>920</v>
      </c>
      <c r="F340" s="615"/>
    </row>
    <row r="341" spans="1:6" s="591" customFormat="1" ht="14.25" customHeight="1" thickBot="1">
      <c r="A341" s="603" t="s">
        <v>332</v>
      </c>
      <c r="B341" s="597" t="s">
        <v>545</v>
      </c>
      <c r="C341" s="597">
        <v>760</v>
      </c>
      <c r="D341" s="597">
        <v>720</v>
      </c>
      <c r="E341" s="597">
        <v>690</v>
      </c>
      <c r="F341" s="611">
        <v>350</v>
      </c>
    </row>
    <row r="342" spans="1:6" s="591" customFormat="1" ht="14.25" customHeight="1" thickBot="1">
      <c r="A342" s="603" t="s">
        <v>332</v>
      </c>
      <c r="B342" s="597" t="s">
        <v>236</v>
      </c>
      <c r="C342" s="597">
        <v>910</v>
      </c>
      <c r="D342" s="597">
        <v>870</v>
      </c>
      <c r="E342" s="597">
        <v>850</v>
      </c>
      <c r="F342" s="611">
        <v>370</v>
      </c>
    </row>
    <row r="343" spans="1:6" s="591" customFormat="1" ht="14.25" customHeight="1" thickBot="1">
      <c r="A343" s="603" t="s">
        <v>332</v>
      </c>
      <c r="B343" s="597" t="s">
        <v>247</v>
      </c>
      <c r="C343" s="597">
        <v>800</v>
      </c>
      <c r="D343" s="597">
        <v>760</v>
      </c>
      <c r="E343" s="597">
        <v>730</v>
      </c>
      <c r="F343" s="611">
        <v>340</v>
      </c>
    </row>
    <row r="344" spans="1:6" s="591" customFormat="1" ht="14.25" customHeight="1" thickBot="1">
      <c r="A344" s="603" t="s">
        <v>332</v>
      </c>
      <c r="B344" s="609" t="s">
        <v>258</v>
      </c>
      <c r="C344" s="609">
        <v>720</v>
      </c>
      <c r="D344" s="609">
        <v>690</v>
      </c>
      <c r="E344" s="609">
        <v>660</v>
      </c>
      <c r="F344" s="614">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618" customWidth="1"/>
    <col min="2" max="2" width="10.25" style="576" customWidth="1"/>
  </cols>
  <sheetData>
    <row r="1" spans="1:6">
      <c r="A1" s="4012" t="s">
        <v>871</v>
      </c>
      <c r="B1" s="4012"/>
    </row>
    <row r="2" spans="1:6" ht="14.25" thickBot="1">
      <c r="A2" s="810"/>
      <c r="B2" s="810"/>
    </row>
    <row r="3" spans="1:6" ht="14.25" thickBot="1">
      <c r="A3" s="810"/>
      <c r="B3" s="810"/>
      <c r="C3" s="814" t="s">
        <v>874</v>
      </c>
      <c r="D3" s="814" t="s">
        <v>875</v>
      </c>
      <c r="E3" s="814" t="s">
        <v>876</v>
      </c>
      <c r="F3" s="814" t="s">
        <v>877</v>
      </c>
    </row>
    <row r="4" spans="1:6" ht="14.25" thickBot="1">
      <c r="A4" s="812" t="s">
        <v>872</v>
      </c>
      <c r="B4" s="813" t="s">
        <v>873</v>
      </c>
      <c r="C4" s="814"/>
      <c r="D4" s="814"/>
      <c r="E4" s="814"/>
      <c r="F4" s="814"/>
    </row>
    <row r="5" spans="1:6" ht="14.25" thickBot="1">
      <c r="A5" s="603" t="s">
        <v>878</v>
      </c>
      <c r="B5" s="604" t="s">
        <v>879</v>
      </c>
      <c r="C5" s="815">
        <v>8.8999999999999996E-2</v>
      </c>
      <c r="D5" s="815">
        <v>7.3999999999999996E-2</v>
      </c>
      <c r="E5" s="815">
        <v>7.4999999999999997E-2</v>
      </c>
      <c r="F5" s="816">
        <v>0.1</v>
      </c>
    </row>
    <row r="6" spans="1:6" ht="14.25" thickBot="1">
      <c r="A6" s="603" t="s">
        <v>212</v>
      </c>
      <c r="B6" s="597" t="s">
        <v>880</v>
      </c>
      <c r="C6" s="817">
        <v>0.1</v>
      </c>
      <c r="D6" s="817">
        <v>9.0999999999999998E-2</v>
      </c>
      <c r="E6" s="817">
        <v>9.0999999999999998E-2</v>
      </c>
      <c r="F6" s="818">
        <v>0.1</v>
      </c>
    </row>
    <row r="7" spans="1:6" ht="14.25" thickBot="1">
      <c r="A7" s="603" t="s">
        <v>212</v>
      </c>
      <c r="B7" s="607" t="s">
        <v>201</v>
      </c>
      <c r="C7" s="817">
        <v>8.5999999999999993E-2</v>
      </c>
      <c r="D7" s="817">
        <v>9.6000000000000002E-2</v>
      </c>
      <c r="E7" s="817">
        <v>7.5999999999999998E-2</v>
      </c>
      <c r="F7" s="818">
        <v>0.1</v>
      </c>
    </row>
    <row r="8" spans="1:6" ht="14.25" thickBot="1">
      <c r="A8" s="603" t="s">
        <v>212</v>
      </c>
      <c r="B8" s="597" t="s">
        <v>213</v>
      </c>
      <c r="C8" s="817">
        <v>9.9000000000000005E-2</v>
      </c>
      <c r="D8" s="817">
        <v>9.8000000000000004E-2</v>
      </c>
      <c r="E8" s="817">
        <v>9.8000000000000004E-2</v>
      </c>
      <c r="F8" s="818">
        <v>0.1</v>
      </c>
    </row>
    <row r="9" spans="1:6" ht="14.25" thickBot="1">
      <c r="A9" s="613" t="s">
        <v>212</v>
      </c>
      <c r="B9" s="608" t="s">
        <v>225</v>
      </c>
      <c r="C9" s="819">
        <v>0.05</v>
      </c>
      <c r="D9" s="827"/>
      <c r="E9" s="827"/>
      <c r="F9" s="828"/>
    </row>
    <row r="10" spans="1:6" ht="14.25" thickBot="1">
      <c r="A10" s="603" t="s">
        <v>269</v>
      </c>
      <c r="B10" s="604" t="s">
        <v>881</v>
      </c>
      <c r="C10" s="815">
        <v>8.8999999999999996E-2</v>
      </c>
      <c r="D10" s="815">
        <v>7.2999999999999995E-2</v>
      </c>
      <c r="E10" s="815">
        <v>8.2000000000000003E-2</v>
      </c>
      <c r="F10" s="816">
        <v>0.1</v>
      </c>
    </row>
    <row r="11" spans="1:6" ht="14.25" thickBot="1">
      <c r="A11" s="603" t="s">
        <v>269</v>
      </c>
      <c r="B11" s="607" t="s">
        <v>188</v>
      </c>
      <c r="C11" s="817">
        <v>8.8999999999999996E-2</v>
      </c>
      <c r="D11" s="817">
        <v>7.2999999999999995E-2</v>
      </c>
      <c r="E11" s="817">
        <v>8.2000000000000003E-2</v>
      </c>
      <c r="F11" s="818">
        <v>0.1</v>
      </c>
    </row>
    <row r="12" spans="1:6" ht="14.25" thickBot="1">
      <c r="A12" s="603" t="s">
        <v>269</v>
      </c>
      <c r="B12" s="607" t="s">
        <v>138</v>
      </c>
      <c r="C12" s="817">
        <v>6.0999999999999999E-2</v>
      </c>
      <c r="D12" s="817">
        <v>7.0999999999999994E-2</v>
      </c>
      <c r="E12" s="817">
        <v>9.6000000000000002E-2</v>
      </c>
      <c r="F12" s="818">
        <v>0.1</v>
      </c>
    </row>
    <row r="13" spans="1:6" ht="14.25" thickBot="1">
      <c r="A13" s="603" t="s">
        <v>269</v>
      </c>
      <c r="B13" s="607" t="s">
        <v>214</v>
      </c>
      <c r="C13" s="817">
        <v>6.9000000000000006E-2</v>
      </c>
      <c r="D13" s="817">
        <v>6.5000000000000002E-2</v>
      </c>
      <c r="E13" s="817">
        <v>6.6000000000000003E-2</v>
      </c>
      <c r="F13" s="818">
        <v>0.1</v>
      </c>
    </row>
    <row r="14" spans="1:6" ht="14.25" thickBot="1">
      <c r="A14" s="603" t="s">
        <v>269</v>
      </c>
      <c r="B14" s="607" t="s">
        <v>226</v>
      </c>
      <c r="C14" s="817">
        <v>0.1</v>
      </c>
      <c r="D14" s="817">
        <v>6.5000000000000002E-2</v>
      </c>
      <c r="E14" s="817">
        <v>7.0000000000000007E-2</v>
      </c>
      <c r="F14" s="818">
        <v>0.1</v>
      </c>
    </row>
    <row r="15" spans="1:6" ht="14.25" thickBot="1">
      <c r="A15" s="603" t="s">
        <v>269</v>
      </c>
      <c r="B15" s="607" t="s">
        <v>237</v>
      </c>
      <c r="C15" s="817">
        <v>9.8000000000000004E-2</v>
      </c>
      <c r="D15" s="817">
        <v>8.8999999999999996E-2</v>
      </c>
      <c r="E15" s="817">
        <v>8.8999999999999996E-2</v>
      </c>
      <c r="F15" s="818">
        <v>0.1</v>
      </c>
    </row>
    <row r="16" spans="1:6" ht="14.25" thickBot="1">
      <c r="A16" s="603" t="s">
        <v>269</v>
      </c>
      <c r="B16" s="607" t="s">
        <v>248</v>
      </c>
      <c r="C16" s="817">
        <v>7.0000000000000007E-2</v>
      </c>
      <c r="D16" s="817">
        <v>9.2999999999999999E-2</v>
      </c>
      <c r="E16" s="817">
        <v>9.6000000000000002E-2</v>
      </c>
      <c r="F16" s="818">
        <v>0.1</v>
      </c>
    </row>
    <row r="17" spans="1:6" ht="14.25" thickBot="1">
      <c r="A17" s="603" t="s">
        <v>269</v>
      </c>
      <c r="B17" s="607" t="s">
        <v>259</v>
      </c>
      <c r="C17" s="817">
        <v>9.5000000000000001E-2</v>
      </c>
      <c r="D17" s="817">
        <v>0.1</v>
      </c>
      <c r="E17" s="817">
        <v>0.1</v>
      </c>
      <c r="F17" s="829"/>
    </row>
    <row r="18" spans="1:6" ht="14.25" thickBot="1">
      <c r="A18" s="603" t="s">
        <v>269</v>
      </c>
      <c r="B18" s="607" t="s">
        <v>271</v>
      </c>
      <c r="C18" s="817">
        <v>7.3999999999999996E-2</v>
      </c>
      <c r="D18" s="817">
        <v>9.9000000000000005E-2</v>
      </c>
      <c r="E18" s="817">
        <v>0.1</v>
      </c>
      <c r="F18" s="829"/>
    </row>
    <row r="19" spans="1:6" ht="14.25" thickBot="1">
      <c r="A19" s="603" t="s">
        <v>269</v>
      </c>
      <c r="B19" s="607" t="s">
        <v>281</v>
      </c>
      <c r="C19" s="817">
        <v>9.9000000000000005E-2</v>
      </c>
      <c r="D19" s="817">
        <v>7.5999999999999998E-2</v>
      </c>
      <c r="E19" s="817">
        <v>8.6999999999999994E-2</v>
      </c>
      <c r="F19" s="829"/>
    </row>
    <row r="20" spans="1:6" ht="14.25" thickBot="1">
      <c r="A20" s="603" t="s">
        <v>269</v>
      </c>
      <c r="B20" s="607" t="s">
        <v>291</v>
      </c>
      <c r="C20" s="817">
        <v>9.8000000000000004E-2</v>
      </c>
      <c r="D20" s="817">
        <v>8.5000000000000006E-2</v>
      </c>
      <c r="E20" s="817">
        <v>8.2000000000000003E-2</v>
      </c>
      <c r="F20" s="829"/>
    </row>
    <row r="21" spans="1:6" ht="14.25" thickBot="1">
      <c r="A21" s="603" t="s">
        <v>269</v>
      </c>
      <c r="B21" s="607" t="s">
        <v>301</v>
      </c>
      <c r="C21" s="817">
        <v>6.6000000000000003E-2</v>
      </c>
      <c r="D21" s="817">
        <v>6.4000000000000001E-2</v>
      </c>
      <c r="E21" s="817">
        <v>6.5000000000000002E-2</v>
      </c>
      <c r="F21" s="829"/>
    </row>
    <row r="22" spans="1:6" ht="14.25" thickBot="1">
      <c r="A22" s="603" t="s">
        <v>269</v>
      </c>
      <c r="B22" s="607" t="s">
        <v>882</v>
      </c>
      <c r="C22" s="817">
        <v>0.08</v>
      </c>
      <c r="D22" s="817">
        <v>9.8000000000000004E-2</v>
      </c>
      <c r="E22" s="817">
        <v>9.8000000000000004E-2</v>
      </c>
      <c r="F22" s="829"/>
    </row>
    <row r="23" spans="1:6" ht="14.25" thickBot="1">
      <c r="A23" s="603" t="s">
        <v>269</v>
      </c>
      <c r="B23" s="607" t="s">
        <v>322</v>
      </c>
      <c r="C23" s="817">
        <v>9.9000000000000005E-2</v>
      </c>
      <c r="D23" s="817">
        <v>9.8000000000000004E-2</v>
      </c>
      <c r="E23" s="817">
        <v>9.0999999999999998E-2</v>
      </c>
      <c r="F23" s="829"/>
    </row>
    <row r="24" spans="1:6" ht="14.25" thickBot="1">
      <c r="A24" s="603" t="s">
        <v>269</v>
      </c>
      <c r="B24" s="607" t="s">
        <v>333</v>
      </c>
      <c r="C24" s="817">
        <v>8.8999999999999996E-2</v>
      </c>
      <c r="D24" s="817">
        <v>9.7000000000000003E-2</v>
      </c>
      <c r="E24" s="817">
        <v>7.0000000000000007E-2</v>
      </c>
      <c r="F24" s="829"/>
    </row>
    <row r="25" spans="1:6" ht="14.25" thickBot="1">
      <c r="A25" s="603" t="s">
        <v>269</v>
      </c>
      <c r="B25" s="607" t="s">
        <v>343</v>
      </c>
      <c r="C25" s="817">
        <v>8.8999999999999996E-2</v>
      </c>
      <c r="D25" s="817">
        <v>0.1</v>
      </c>
      <c r="E25" s="817">
        <v>8.1000000000000003E-2</v>
      </c>
      <c r="F25" s="829"/>
    </row>
    <row r="26" spans="1:6" ht="14.25" thickBot="1">
      <c r="A26" s="603" t="s">
        <v>269</v>
      </c>
      <c r="B26" s="607" t="s">
        <v>353</v>
      </c>
      <c r="C26" s="830"/>
      <c r="D26" s="817">
        <v>9.6000000000000002E-2</v>
      </c>
      <c r="E26" s="817">
        <v>9.2999999999999999E-2</v>
      </c>
      <c r="F26" s="829"/>
    </row>
    <row r="27" spans="1:6" ht="14.25" thickBot="1">
      <c r="A27" s="603" t="s">
        <v>269</v>
      </c>
      <c r="B27" s="607" t="s">
        <v>363</v>
      </c>
      <c r="C27" s="830"/>
      <c r="D27" s="817">
        <v>7.5999999999999998E-2</v>
      </c>
      <c r="E27" s="817">
        <v>9.1999999999999998E-2</v>
      </c>
      <c r="F27" s="829"/>
    </row>
    <row r="28" spans="1:6" ht="14.25" thickBot="1">
      <c r="A28" s="613" t="s">
        <v>269</v>
      </c>
      <c r="B28" s="608" t="s">
        <v>373</v>
      </c>
      <c r="C28" s="827"/>
      <c r="D28" s="819">
        <v>7.5999999999999998E-2</v>
      </c>
      <c r="E28" s="819">
        <v>9.1999999999999998E-2</v>
      </c>
      <c r="F28" s="828"/>
    </row>
    <row r="29" spans="1:6" ht="14.25" thickBot="1">
      <c r="A29" s="603" t="s">
        <v>442</v>
      </c>
      <c r="B29" s="604" t="s">
        <v>883</v>
      </c>
      <c r="C29" s="815">
        <v>6.4000000000000001E-2</v>
      </c>
      <c r="D29" s="815">
        <v>6.5000000000000002E-2</v>
      </c>
      <c r="E29" s="815">
        <v>6.9000000000000006E-2</v>
      </c>
      <c r="F29" s="816">
        <v>0.1</v>
      </c>
    </row>
    <row r="30" spans="1:6" ht="14.25" thickBot="1">
      <c r="A30" s="603" t="s">
        <v>442</v>
      </c>
      <c r="B30" s="607" t="s">
        <v>189</v>
      </c>
      <c r="C30" s="817">
        <v>6.4000000000000001E-2</v>
      </c>
      <c r="D30" s="817">
        <v>9.9000000000000005E-2</v>
      </c>
      <c r="E30" s="817">
        <v>0.1</v>
      </c>
      <c r="F30" s="818">
        <v>0.1</v>
      </c>
    </row>
    <row r="31" spans="1:6" ht="14.25" thickBot="1">
      <c r="A31" s="603" t="s">
        <v>442</v>
      </c>
      <c r="B31" s="607" t="s">
        <v>202</v>
      </c>
      <c r="C31" s="817">
        <v>0.1</v>
      </c>
      <c r="D31" s="817">
        <v>9.5000000000000001E-2</v>
      </c>
      <c r="E31" s="817">
        <v>8.8999999999999996E-2</v>
      </c>
      <c r="F31" s="818">
        <v>0.1</v>
      </c>
    </row>
    <row r="32" spans="1:6" ht="14.25" thickBot="1">
      <c r="A32" s="603" t="s">
        <v>442</v>
      </c>
      <c r="B32" s="607" t="s">
        <v>215</v>
      </c>
      <c r="C32" s="817">
        <v>0.05</v>
      </c>
      <c r="D32" s="817">
        <v>0.05</v>
      </c>
      <c r="E32" s="817">
        <v>8.7999999999999995E-2</v>
      </c>
      <c r="F32" s="818">
        <v>0.1</v>
      </c>
    </row>
    <row r="33" spans="1:6" ht="14.25" thickBot="1">
      <c r="A33" s="603" t="s">
        <v>442</v>
      </c>
      <c r="B33" s="607" t="s">
        <v>227</v>
      </c>
      <c r="C33" s="817">
        <v>7.4999999999999997E-2</v>
      </c>
      <c r="D33" s="817">
        <v>9.4E-2</v>
      </c>
      <c r="E33" s="817">
        <v>9.7000000000000003E-2</v>
      </c>
      <c r="F33" s="818">
        <v>0.1</v>
      </c>
    </row>
    <row r="34" spans="1:6" ht="14.25" thickBot="1">
      <c r="A34" s="603" t="s">
        <v>442</v>
      </c>
      <c r="B34" s="607" t="s">
        <v>238</v>
      </c>
      <c r="C34" s="817">
        <v>9.8000000000000004E-2</v>
      </c>
      <c r="D34" s="817">
        <v>8.5999999999999993E-2</v>
      </c>
      <c r="E34" s="817">
        <v>9.7000000000000003E-2</v>
      </c>
      <c r="F34" s="818">
        <v>0.1</v>
      </c>
    </row>
    <row r="35" spans="1:6" ht="14.25" thickBot="1">
      <c r="A35" s="603" t="s">
        <v>442</v>
      </c>
      <c r="B35" s="607" t="s">
        <v>249</v>
      </c>
      <c r="C35" s="817">
        <v>5.8999999999999997E-2</v>
      </c>
      <c r="D35" s="817">
        <v>6.5000000000000002E-2</v>
      </c>
      <c r="E35" s="817">
        <v>7.0000000000000007E-2</v>
      </c>
      <c r="F35" s="818">
        <v>0.1</v>
      </c>
    </row>
    <row r="36" spans="1:6" ht="14.25" thickBot="1">
      <c r="A36" s="603" t="s">
        <v>442</v>
      </c>
      <c r="B36" s="607" t="s">
        <v>260</v>
      </c>
      <c r="C36" s="817">
        <v>6.3E-2</v>
      </c>
      <c r="D36" s="817">
        <v>0.1</v>
      </c>
      <c r="E36" s="817">
        <v>0.1</v>
      </c>
      <c r="F36" s="818">
        <v>0.1</v>
      </c>
    </row>
    <row r="37" spans="1:6" ht="14.25" thickBot="1">
      <c r="A37" s="603" t="s">
        <v>442</v>
      </c>
      <c r="B37" s="607" t="s">
        <v>272</v>
      </c>
      <c r="C37" s="817">
        <v>7.3999999999999996E-2</v>
      </c>
      <c r="D37" s="817">
        <v>0.1</v>
      </c>
      <c r="E37" s="817">
        <v>0.1</v>
      </c>
      <c r="F37" s="818">
        <v>0.1</v>
      </c>
    </row>
    <row r="38" spans="1:6" ht="14.25" thickBot="1">
      <c r="A38" s="603" t="s">
        <v>442</v>
      </c>
      <c r="B38" s="607" t="s">
        <v>282</v>
      </c>
      <c r="C38" s="817">
        <v>0.1</v>
      </c>
      <c r="D38" s="817">
        <v>9.6000000000000002E-2</v>
      </c>
      <c r="E38" s="817">
        <v>9.6000000000000002E-2</v>
      </c>
      <c r="F38" s="829"/>
    </row>
    <row r="39" spans="1:6" ht="14.25" thickBot="1">
      <c r="A39" s="603" t="s">
        <v>442</v>
      </c>
      <c r="B39" s="607" t="s">
        <v>292</v>
      </c>
      <c r="C39" s="817">
        <v>0.1</v>
      </c>
      <c r="D39" s="817">
        <v>9.6000000000000002E-2</v>
      </c>
      <c r="E39" s="817">
        <v>9.6000000000000002E-2</v>
      </c>
      <c r="F39" s="829"/>
    </row>
    <row r="40" spans="1:6" ht="14.25" thickBot="1">
      <c r="A40" s="603" t="s">
        <v>442</v>
      </c>
      <c r="B40" s="607" t="s">
        <v>302</v>
      </c>
      <c r="C40" s="817">
        <v>9.6000000000000002E-2</v>
      </c>
      <c r="D40" s="817">
        <v>0.1</v>
      </c>
      <c r="E40" s="817">
        <v>9.9000000000000005E-2</v>
      </c>
      <c r="F40" s="829"/>
    </row>
    <row r="41" spans="1:6" ht="14.25" thickBot="1">
      <c r="A41" s="603" t="s">
        <v>442</v>
      </c>
      <c r="B41" s="607" t="s">
        <v>312</v>
      </c>
      <c r="C41" s="817">
        <v>9.6000000000000002E-2</v>
      </c>
      <c r="D41" s="817">
        <v>9.8000000000000004E-2</v>
      </c>
      <c r="E41" s="817">
        <v>9.8000000000000004E-2</v>
      </c>
      <c r="F41" s="829"/>
    </row>
    <row r="42" spans="1:6" ht="14.25" thickBot="1">
      <c r="A42" s="603" t="s">
        <v>442</v>
      </c>
      <c r="B42" s="607" t="s">
        <v>323</v>
      </c>
      <c r="C42" s="817">
        <v>0.1</v>
      </c>
      <c r="D42" s="817">
        <v>8.7999999999999995E-2</v>
      </c>
      <c r="E42" s="817">
        <v>0.1</v>
      </c>
      <c r="F42" s="829"/>
    </row>
    <row r="43" spans="1:6" ht="14.25" thickBot="1">
      <c r="A43" s="603" t="s">
        <v>442</v>
      </c>
      <c r="B43" s="607" t="s">
        <v>334</v>
      </c>
      <c r="C43" s="817">
        <v>9.8000000000000004E-2</v>
      </c>
      <c r="D43" s="817">
        <v>9.7000000000000003E-2</v>
      </c>
      <c r="E43" s="817">
        <v>9.6000000000000002E-2</v>
      </c>
      <c r="F43" s="829"/>
    </row>
    <row r="44" spans="1:6" ht="14.25" thickBot="1">
      <c r="A44" s="603" t="s">
        <v>442</v>
      </c>
      <c r="B44" s="607" t="s">
        <v>344</v>
      </c>
      <c r="C44" s="817">
        <v>8.5999999999999993E-2</v>
      </c>
      <c r="D44" s="817">
        <v>7.9000000000000001E-2</v>
      </c>
      <c r="E44" s="817">
        <v>7.0999999999999994E-2</v>
      </c>
      <c r="F44" s="829"/>
    </row>
    <row r="45" spans="1:6" ht="14.25" thickBot="1">
      <c r="A45" s="603" t="s">
        <v>442</v>
      </c>
      <c r="B45" s="607" t="s">
        <v>354</v>
      </c>
      <c r="C45" s="817">
        <v>9.8000000000000004E-2</v>
      </c>
      <c r="D45" s="817">
        <v>9.6000000000000002E-2</v>
      </c>
      <c r="E45" s="817">
        <v>9.6000000000000002E-2</v>
      </c>
      <c r="F45" s="829"/>
    </row>
    <row r="46" spans="1:6" ht="14.25" thickBot="1">
      <c r="A46" s="603" t="s">
        <v>442</v>
      </c>
      <c r="B46" s="607" t="s">
        <v>364</v>
      </c>
      <c r="C46" s="817">
        <v>8.5999999999999993E-2</v>
      </c>
      <c r="D46" s="817">
        <v>9.8000000000000004E-2</v>
      </c>
      <c r="E46" s="817">
        <v>8.7999999999999995E-2</v>
      </c>
      <c r="F46" s="829"/>
    </row>
    <row r="47" spans="1:6" ht="14.25" thickBot="1">
      <c r="A47" s="603" t="s">
        <v>442</v>
      </c>
      <c r="B47" s="607" t="s">
        <v>374</v>
      </c>
      <c r="C47" s="817">
        <v>9.6000000000000002E-2</v>
      </c>
      <c r="D47" s="830"/>
      <c r="E47" s="817">
        <v>6.9000000000000006E-2</v>
      </c>
      <c r="F47" s="829"/>
    </row>
    <row r="48" spans="1:6" ht="14.25" thickBot="1">
      <c r="A48" s="613" t="s">
        <v>442</v>
      </c>
      <c r="B48" s="608" t="s">
        <v>383</v>
      </c>
      <c r="C48" s="819">
        <v>9.8000000000000004E-2</v>
      </c>
      <c r="D48" s="827"/>
      <c r="E48" s="819">
        <v>9.5000000000000001E-2</v>
      </c>
      <c r="F48" s="828"/>
    </row>
    <row r="49" spans="1:6" ht="14.25" thickBot="1">
      <c r="A49" s="603" t="s">
        <v>137</v>
      </c>
      <c r="B49" s="604" t="s">
        <v>884</v>
      </c>
      <c r="C49" s="815">
        <v>9.7000000000000003E-2</v>
      </c>
      <c r="D49" s="815">
        <v>9.5000000000000001E-2</v>
      </c>
      <c r="E49" s="815">
        <v>9.7000000000000003E-2</v>
      </c>
      <c r="F49" s="816">
        <v>0.1</v>
      </c>
    </row>
    <row r="50" spans="1:6" ht="14.25" thickBot="1">
      <c r="A50" s="603" t="s">
        <v>137</v>
      </c>
      <c r="B50" s="597" t="s">
        <v>190</v>
      </c>
      <c r="C50" s="817">
        <v>7.4999999999999997E-2</v>
      </c>
      <c r="D50" s="817">
        <v>9.5000000000000001E-2</v>
      </c>
      <c r="E50" s="817">
        <v>0.1</v>
      </c>
      <c r="F50" s="818">
        <v>0.1</v>
      </c>
    </row>
    <row r="51" spans="1:6" ht="14.25" thickBot="1">
      <c r="A51" s="603" t="s">
        <v>137</v>
      </c>
      <c r="B51" s="597" t="s">
        <v>203</v>
      </c>
      <c r="C51" s="817">
        <v>9.8000000000000004E-2</v>
      </c>
      <c r="D51" s="817">
        <v>8.8999999999999996E-2</v>
      </c>
      <c r="E51" s="817">
        <v>0.1</v>
      </c>
      <c r="F51" s="818">
        <v>0.1</v>
      </c>
    </row>
    <row r="52" spans="1:6" ht="14.25" thickBot="1">
      <c r="A52" s="603" t="s">
        <v>137</v>
      </c>
      <c r="B52" s="597" t="s">
        <v>216</v>
      </c>
      <c r="C52" s="817">
        <v>9.8000000000000004E-2</v>
      </c>
      <c r="D52" s="817">
        <v>9.7000000000000003E-2</v>
      </c>
      <c r="E52" s="817">
        <v>8.1000000000000003E-2</v>
      </c>
      <c r="F52" s="818">
        <v>0.1</v>
      </c>
    </row>
    <row r="53" spans="1:6" ht="14.25" thickBot="1">
      <c r="A53" s="603" t="s">
        <v>137</v>
      </c>
      <c r="B53" s="597" t="s">
        <v>228</v>
      </c>
      <c r="C53" s="817">
        <v>9.7000000000000003E-2</v>
      </c>
      <c r="D53" s="817">
        <v>7.5999999999999998E-2</v>
      </c>
      <c r="E53" s="817">
        <v>7.0999999999999994E-2</v>
      </c>
      <c r="F53" s="818">
        <v>0.1</v>
      </c>
    </row>
    <row r="54" spans="1:6" ht="14.25" thickBot="1">
      <c r="A54" s="603" t="s">
        <v>137</v>
      </c>
      <c r="B54" s="597" t="s">
        <v>239</v>
      </c>
      <c r="C54" s="817">
        <v>7.5999999999999998E-2</v>
      </c>
      <c r="D54" s="817">
        <v>0.1</v>
      </c>
      <c r="E54" s="817">
        <v>9.9000000000000005E-2</v>
      </c>
      <c r="F54" s="818">
        <v>0.1</v>
      </c>
    </row>
    <row r="55" spans="1:6" ht="14.25" thickBot="1">
      <c r="A55" s="603" t="s">
        <v>137</v>
      </c>
      <c r="B55" s="597" t="s">
        <v>250</v>
      </c>
      <c r="C55" s="817">
        <v>0.1</v>
      </c>
      <c r="D55" s="817">
        <v>0.1</v>
      </c>
      <c r="E55" s="817">
        <v>9.6000000000000002E-2</v>
      </c>
      <c r="F55" s="818">
        <v>0.1</v>
      </c>
    </row>
    <row r="56" spans="1:6" ht="14.25" thickBot="1">
      <c r="A56" s="603" t="s">
        <v>137</v>
      </c>
      <c r="B56" s="597" t="s">
        <v>261</v>
      </c>
      <c r="C56" s="817">
        <v>0.1</v>
      </c>
      <c r="D56" s="817">
        <v>9.6000000000000002E-2</v>
      </c>
      <c r="E56" s="817">
        <v>5.1999999999999998E-2</v>
      </c>
      <c r="F56" s="818">
        <v>0.1</v>
      </c>
    </row>
    <row r="57" spans="1:6" ht="14.25" thickBot="1">
      <c r="A57" s="603" t="s">
        <v>137</v>
      </c>
      <c r="B57" s="597" t="s">
        <v>273</v>
      </c>
      <c r="C57" s="817">
        <v>9.7000000000000003E-2</v>
      </c>
      <c r="D57" s="817">
        <v>9.6000000000000002E-2</v>
      </c>
      <c r="E57" s="817">
        <v>9.6000000000000002E-2</v>
      </c>
      <c r="F57" s="818">
        <v>0.1</v>
      </c>
    </row>
    <row r="58" spans="1:6" ht="14.25" thickBot="1">
      <c r="A58" s="603" t="s">
        <v>137</v>
      </c>
      <c r="B58" s="597" t="s">
        <v>283</v>
      </c>
      <c r="C58" s="817">
        <v>9.6000000000000002E-2</v>
      </c>
      <c r="D58" s="817">
        <v>9.9000000000000005E-2</v>
      </c>
      <c r="E58" s="817">
        <v>9.6000000000000002E-2</v>
      </c>
      <c r="F58" s="818">
        <v>0.1</v>
      </c>
    </row>
    <row r="59" spans="1:6" ht="14.25" thickBot="1">
      <c r="A59" s="603" t="s">
        <v>137</v>
      </c>
      <c r="B59" s="597" t="s">
        <v>293</v>
      </c>
      <c r="C59" s="817">
        <v>7.1999999999999995E-2</v>
      </c>
      <c r="D59" s="817">
        <v>9.6000000000000002E-2</v>
      </c>
      <c r="E59" s="817">
        <v>7.0999999999999994E-2</v>
      </c>
      <c r="F59" s="818">
        <v>0.1</v>
      </c>
    </row>
    <row r="60" spans="1:6" ht="14.25" thickBot="1">
      <c r="A60" s="603" t="s">
        <v>137</v>
      </c>
      <c r="B60" s="597" t="s">
        <v>303</v>
      </c>
      <c r="C60" s="817">
        <v>9.6000000000000002E-2</v>
      </c>
      <c r="D60" s="817">
        <v>8.8999999999999996E-2</v>
      </c>
      <c r="E60" s="817">
        <v>9.6000000000000002E-2</v>
      </c>
      <c r="F60" s="818">
        <v>0.1</v>
      </c>
    </row>
    <row r="61" spans="1:6" ht="14.25" thickBot="1">
      <c r="A61" s="603" t="s">
        <v>137</v>
      </c>
      <c r="B61" s="597" t="s">
        <v>313</v>
      </c>
      <c r="C61" s="817">
        <v>8.8999999999999996E-2</v>
      </c>
      <c r="D61" s="817">
        <v>9.8000000000000004E-2</v>
      </c>
      <c r="E61" s="817">
        <v>8.7999999999999995E-2</v>
      </c>
      <c r="F61" s="829"/>
    </row>
    <row r="62" spans="1:6" ht="14.25" thickBot="1">
      <c r="A62" s="603" t="s">
        <v>137</v>
      </c>
      <c r="B62" s="597" t="s">
        <v>324</v>
      </c>
      <c r="C62" s="817">
        <v>9.8000000000000004E-2</v>
      </c>
      <c r="D62" s="817">
        <v>9.2999999999999999E-2</v>
      </c>
      <c r="E62" s="817">
        <v>9.7000000000000003E-2</v>
      </c>
      <c r="F62" s="829"/>
    </row>
    <row r="63" spans="1:6" ht="14.25" thickBot="1">
      <c r="A63" s="603" t="s">
        <v>137</v>
      </c>
      <c r="B63" s="597" t="s">
        <v>335</v>
      </c>
      <c r="C63" s="817">
        <v>9.6000000000000002E-2</v>
      </c>
      <c r="D63" s="817">
        <v>9.8000000000000004E-2</v>
      </c>
      <c r="E63" s="817">
        <v>0.09</v>
      </c>
      <c r="F63" s="829"/>
    </row>
    <row r="64" spans="1:6" ht="14.25" thickBot="1">
      <c r="A64" s="603" t="s">
        <v>137</v>
      </c>
      <c r="B64" s="597" t="s">
        <v>345</v>
      </c>
      <c r="C64" s="817">
        <v>9.9000000000000005E-2</v>
      </c>
      <c r="D64" s="817">
        <v>9.7000000000000003E-2</v>
      </c>
      <c r="E64" s="817">
        <v>9.9000000000000005E-2</v>
      </c>
      <c r="F64" s="829"/>
    </row>
    <row r="65" spans="1:6" ht="14.25" thickBot="1">
      <c r="A65" s="603" t="s">
        <v>137</v>
      </c>
      <c r="B65" s="597" t="s">
        <v>355</v>
      </c>
      <c r="C65" s="817">
        <v>9.8000000000000004E-2</v>
      </c>
      <c r="D65" s="817">
        <v>9.6000000000000002E-2</v>
      </c>
      <c r="E65" s="817">
        <v>9.6000000000000002E-2</v>
      </c>
      <c r="F65" s="829"/>
    </row>
    <row r="66" spans="1:6" ht="14.25" thickBot="1">
      <c r="A66" s="603" t="s">
        <v>137</v>
      </c>
      <c r="B66" s="597" t="s">
        <v>365</v>
      </c>
      <c r="C66" s="817">
        <v>9.6000000000000002E-2</v>
      </c>
      <c r="D66" s="817">
        <v>9.1999999999999998E-2</v>
      </c>
      <c r="E66" s="817">
        <v>9.6000000000000002E-2</v>
      </c>
      <c r="F66" s="829"/>
    </row>
    <row r="67" spans="1:6" ht="14.25" thickBot="1">
      <c r="A67" s="603" t="s">
        <v>137</v>
      </c>
      <c r="B67" s="597" t="s">
        <v>375</v>
      </c>
      <c r="C67" s="817">
        <v>9.4E-2</v>
      </c>
      <c r="D67" s="817">
        <v>0.1</v>
      </c>
      <c r="E67" s="817">
        <v>8.7999999999999995E-2</v>
      </c>
      <c r="F67" s="829"/>
    </row>
    <row r="68" spans="1:6" ht="14.25" thickBot="1">
      <c r="A68" s="603" t="s">
        <v>137</v>
      </c>
      <c r="B68" s="597" t="s">
        <v>384</v>
      </c>
      <c r="C68" s="817">
        <v>0.1</v>
      </c>
      <c r="D68" s="817">
        <v>8.7999999999999995E-2</v>
      </c>
      <c r="E68" s="817">
        <v>9.7000000000000003E-2</v>
      </c>
      <c r="F68" s="829"/>
    </row>
    <row r="69" spans="1:6" ht="14.25" thickBot="1">
      <c r="A69" s="603" t="s">
        <v>137</v>
      </c>
      <c r="B69" s="597" t="s">
        <v>393</v>
      </c>
      <c r="C69" s="817">
        <v>6.4000000000000001E-2</v>
      </c>
      <c r="D69" s="817">
        <v>0.1</v>
      </c>
      <c r="E69" s="817">
        <v>0.1</v>
      </c>
      <c r="F69" s="829"/>
    </row>
    <row r="70" spans="1:6" ht="14.25" thickBot="1">
      <c r="A70" s="603" t="s">
        <v>137</v>
      </c>
      <c r="B70" s="597" t="s">
        <v>401</v>
      </c>
      <c r="C70" s="817">
        <v>9.0999999999999998E-2</v>
      </c>
      <c r="D70" s="830"/>
      <c r="E70" s="830"/>
      <c r="F70" s="829"/>
    </row>
    <row r="71" spans="1:6" ht="14.25" thickBot="1">
      <c r="A71" s="603" t="s">
        <v>137</v>
      </c>
      <c r="B71" s="597" t="s">
        <v>408</v>
      </c>
      <c r="C71" s="817">
        <v>0.1</v>
      </c>
      <c r="D71" s="830"/>
      <c r="E71" s="830"/>
      <c r="F71" s="829"/>
    </row>
    <row r="72" spans="1:6" ht="14.25" thickBot="1">
      <c r="A72" s="603" t="s">
        <v>137</v>
      </c>
      <c r="B72" s="597" t="s">
        <v>885</v>
      </c>
      <c r="C72" s="830"/>
      <c r="D72" s="830"/>
      <c r="E72" s="830"/>
      <c r="F72" s="818">
        <v>0.05</v>
      </c>
    </row>
    <row r="73" spans="1:6" ht="14.25" thickBot="1">
      <c r="A73" s="603" t="s">
        <v>137</v>
      </c>
      <c r="B73" s="597" t="s">
        <v>886</v>
      </c>
      <c r="C73" s="830"/>
      <c r="D73" s="830"/>
      <c r="E73" s="830"/>
      <c r="F73" s="818">
        <v>0.05</v>
      </c>
    </row>
    <row r="74" spans="1:6" ht="14.25" thickBot="1">
      <c r="A74" s="603" t="s">
        <v>137</v>
      </c>
      <c r="B74" s="597" t="s">
        <v>887</v>
      </c>
      <c r="C74" s="830"/>
      <c r="D74" s="830"/>
      <c r="E74" s="830"/>
      <c r="F74" s="818">
        <v>0.05</v>
      </c>
    </row>
    <row r="75" spans="1:6" ht="14.25" thickBot="1">
      <c r="A75" s="613" t="s">
        <v>137</v>
      </c>
      <c r="B75" s="609" t="s">
        <v>888</v>
      </c>
      <c r="C75" s="827"/>
      <c r="D75" s="827"/>
      <c r="E75" s="827"/>
      <c r="F75" s="820">
        <v>0.05</v>
      </c>
    </row>
    <row r="76" spans="1:6" ht="14.25" thickBot="1">
      <c r="A76" s="603" t="s">
        <v>523</v>
      </c>
      <c r="B76" s="604" t="s">
        <v>889</v>
      </c>
      <c r="C76" s="815">
        <v>0.1</v>
      </c>
      <c r="D76" s="815">
        <v>0.1</v>
      </c>
      <c r="E76" s="815">
        <v>0.1</v>
      </c>
      <c r="F76" s="816">
        <v>0.1</v>
      </c>
    </row>
    <row r="77" spans="1:6" ht="14.25" thickBot="1">
      <c r="A77" s="603" t="s">
        <v>523</v>
      </c>
      <c r="B77" s="597" t="s">
        <v>191</v>
      </c>
      <c r="C77" s="817">
        <v>8.7999999999999995E-2</v>
      </c>
      <c r="D77" s="817">
        <v>8.6999999999999994E-2</v>
      </c>
      <c r="E77" s="817">
        <v>7.9000000000000001E-2</v>
      </c>
      <c r="F77" s="818">
        <v>0.1</v>
      </c>
    </row>
    <row r="78" spans="1:6" ht="14.25" thickBot="1">
      <c r="A78" s="603" t="s">
        <v>523</v>
      </c>
      <c r="B78" s="597" t="s">
        <v>204</v>
      </c>
      <c r="C78" s="817">
        <v>8.6999999999999994E-2</v>
      </c>
      <c r="D78" s="817">
        <v>8.4000000000000005E-2</v>
      </c>
      <c r="E78" s="817">
        <v>9.6000000000000002E-2</v>
      </c>
      <c r="F78" s="818">
        <v>0.1</v>
      </c>
    </row>
    <row r="79" spans="1:6" ht="14.25" thickBot="1">
      <c r="A79" s="603" t="s">
        <v>523</v>
      </c>
      <c r="B79" s="597" t="s">
        <v>217</v>
      </c>
      <c r="C79" s="817">
        <v>9.8000000000000004E-2</v>
      </c>
      <c r="D79" s="817">
        <v>9.8000000000000004E-2</v>
      </c>
      <c r="E79" s="817">
        <v>9.0999999999999998E-2</v>
      </c>
      <c r="F79" s="818">
        <v>0.1</v>
      </c>
    </row>
    <row r="80" spans="1:6" ht="14.25" thickBot="1">
      <c r="A80" s="603" t="s">
        <v>523</v>
      </c>
      <c r="B80" s="597" t="s">
        <v>229</v>
      </c>
      <c r="C80" s="817">
        <v>9.6000000000000002E-2</v>
      </c>
      <c r="D80" s="817">
        <v>9.6000000000000002E-2</v>
      </c>
      <c r="E80" s="817">
        <v>0.1</v>
      </c>
      <c r="F80" s="818">
        <v>0.1</v>
      </c>
    </row>
    <row r="81" spans="1:6" ht="14.25" thickBot="1">
      <c r="A81" s="603" t="s">
        <v>523</v>
      </c>
      <c r="B81" s="597" t="s">
        <v>240</v>
      </c>
      <c r="C81" s="817">
        <v>9.9000000000000005E-2</v>
      </c>
      <c r="D81" s="817">
        <v>9.9000000000000005E-2</v>
      </c>
      <c r="E81" s="817">
        <v>9.8000000000000004E-2</v>
      </c>
      <c r="F81" s="818">
        <v>0.1</v>
      </c>
    </row>
    <row r="82" spans="1:6" ht="14.25" thickBot="1">
      <c r="A82" s="603" t="s">
        <v>523</v>
      </c>
      <c r="B82" s="597" t="s">
        <v>251</v>
      </c>
      <c r="C82" s="817">
        <v>9.9000000000000005E-2</v>
      </c>
      <c r="D82" s="817">
        <v>9.9000000000000005E-2</v>
      </c>
      <c r="E82" s="817">
        <v>9.7000000000000003E-2</v>
      </c>
      <c r="F82" s="818">
        <v>0.1</v>
      </c>
    </row>
    <row r="83" spans="1:6" ht="14.25" thickBot="1">
      <c r="A83" s="603" t="s">
        <v>523</v>
      </c>
      <c r="B83" s="597" t="s">
        <v>262</v>
      </c>
      <c r="C83" s="817">
        <v>9.8000000000000004E-2</v>
      </c>
      <c r="D83" s="817">
        <v>9.8000000000000004E-2</v>
      </c>
      <c r="E83" s="817">
        <v>9.8000000000000004E-2</v>
      </c>
      <c r="F83" s="818">
        <v>0.1</v>
      </c>
    </row>
    <row r="84" spans="1:6" ht="14.25" thickBot="1">
      <c r="A84" s="603" t="s">
        <v>523</v>
      </c>
      <c r="B84" s="597" t="s">
        <v>274</v>
      </c>
      <c r="C84" s="817">
        <v>9.9000000000000005E-2</v>
      </c>
      <c r="D84" s="817">
        <v>9.9000000000000005E-2</v>
      </c>
      <c r="E84" s="817">
        <v>9.9000000000000005E-2</v>
      </c>
      <c r="F84" s="818">
        <v>0.1</v>
      </c>
    </row>
    <row r="85" spans="1:6" ht="14.25" thickBot="1">
      <c r="A85" s="603" t="s">
        <v>523</v>
      </c>
      <c r="B85" s="597" t="s">
        <v>284</v>
      </c>
      <c r="C85" s="817">
        <v>9.9000000000000005E-2</v>
      </c>
      <c r="D85" s="817">
        <v>9.9000000000000005E-2</v>
      </c>
      <c r="E85" s="817">
        <v>9.9000000000000005E-2</v>
      </c>
      <c r="F85" s="818">
        <v>0.1</v>
      </c>
    </row>
    <row r="86" spans="1:6" ht="14.25" thickBot="1">
      <c r="A86" s="603" t="s">
        <v>523</v>
      </c>
      <c r="B86" s="597" t="s">
        <v>294</v>
      </c>
      <c r="C86" s="817">
        <v>0.1</v>
      </c>
      <c r="D86" s="817">
        <v>0.1</v>
      </c>
      <c r="E86" s="817">
        <v>7.6999999999999999E-2</v>
      </c>
      <c r="F86" s="818">
        <v>0.1</v>
      </c>
    </row>
    <row r="87" spans="1:6" ht="14.25" thickBot="1">
      <c r="A87" s="603" t="s">
        <v>523</v>
      </c>
      <c r="B87" s="597" t="s">
        <v>304</v>
      </c>
      <c r="C87" s="817">
        <v>0.1</v>
      </c>
      <c r="D87" s="817">
        <v>0.1</v>
      </c>
      <c r="E87" s="817">
        <v>9.8000000000000004E-2</v>
      </c>
      <c r="F87" s="829"/>
    </row>
    <row r="88" spans="1:6" ht="14.25" thickBot="1">
      <c r="A88" s="603" t="s">
        <v>523</v>
      </c>
      <c r="B88" s="597" t="s">
        <v>314</v>
      </c>
      <c r="C88" s="817">
        <v>9.1999999999999998E-2</v>
      </c>
      <c r="D88" s="817">
        <v>8.5000000000000006E-2</v>
      </c>
      <c r="E88" s="817">
        <v>9.6000000000000002E-2</v>
      </c>
      <c r="F88" s="829"/>
    </row>
    <row r="89" spans="1:6" ht="14.25" thickBot="1">
      <c r="A89" s="603" t="s">
        <v>523</v>
      </c>
      <c r="B89" s="597" t="s">
        <v>325</v>
      </c>
      <c r="C89" s="817">
        <v>0.1</v>
      </c>
      <c r="D89" s="817">
        <v>0.1</v>
      </c>
      <c r="E89" s="817">
        <v>9.7000000000000003E-2</v>
      </c>
      <c r="F89" s="829"/>
    </row>
    <row r="90" spans="1:6" ht="14.25" thickBot="1">
      <c r="A90" s="603" t="s">
        <v>523</v>
      </c>
      <c r="B90" s="597" t="s">
        <v>336</v>
      </c>
      <c r="C90" s="817">
        <v>9.8000000000000004E-2</v>
      </c>
      <c r="D90" s="817">
        <v>9.8000000000000004E-2</v>
      </c>
      <c r="E90" s="817">
        <v>8.7999999999999995E-2</v>
      </c>
      <c r="F90" s="829"/>
    </row>
    <row r="91" spans="1:6" ht="14.25" thickBot="1">
      <c r="A91" s="603" t="s">
        <v>523</v>
      </c>
      <c r="B91" s="597" t="s">
        <v>346</v>
      </c>
      <c r="C91" s="817">
        <v>9.9000000000000005E-2</v>
      </c>
      <c r="D91" s="817">
        <v>9.9000000000000005E-2</v>
      </c>
      <c r="E91" s="817">
        <v>9.0999999999999998E-2</v>
      </c>
      <c r="F91" s="829"/>
    </row>
    <row r="92" spans="1:6" ht="14.25" thickBot="1">
      <c r="A92" s="603" t="s">
        <v>523</v>
      </c>
      <c r="B92" s="597" t="s">
        <v>356</v>
      </c>
      <c r="C92" s="817">
        <v>9.6000000000000002E-2</v>
      </c>
      <c r="D92" s="817">
        <v>9.6000000000000002E-2</v>
      </c>
      <c r="E92" s="817">
        <v>7.2999999999999995E-2</v>
      </c>
      <c r="F92" s="829"/>
    </row>
    <row r="93" spans="1:6" ht="14.25" thickBot="1">
      <c r="A93" s="603" t="s">
        <v>523</v>
      </c>
      <c r="B93" s="597" t="s">
        <v>366</v>
      </c>
      <c r="C93" s="817">
        <v>9.6000000000000002E-2</v>
      </c>
      <c r="D93" s="817">
        <v>9.6000000000000002E-2</v>
      </c>
      <c r="E93" s="817">
        <v>9.9000000000000005E-2</v>
      </c>
      <c r="F93" s="829"/>
    </row>
    <row r="94" spans="1:6" ht="14.25" thickBot="1">
      <c r="A94" s="603" t="s">
        <v>523</v>
      </c>
      <c r="B94" s="597" t="s">
        <v>376</v>
      </c>
      <c r="C94" s="817">
        <v>7.5999999999999998E-2</v>
      </c>
      <c r="D94" s="817">
        <v>7.3999999999999996E-2</v>
      </c>
      <c r="E94" s="817">
        <v>9.7000000000000003E-2</v>
      </c>
      <c r="F94" s="829"/>
    </row>
    <row r="95" spans="1:6" ht="14.25" thickBot="1">
      <c r="A95" s="603" t="s">
        <v>523</v>
      </c>
      <c r="B95" s="597" t="s">
        <v>385</v>
      </c>
      <c r="C95" s="817">
        <v>9.9000000000000005E-2</v>
      </c>
      <c r="D95" s="817">
        <v>9.4E-2</v>
      </c>
      <c r="E95" s="817">
        <v>9.6000000000000002E-2</v>
      </c>
      <c r="F95" s="829"/>
    </row>
    <row r="96" spans="1:6" ht="14.25" thickBot="1">
      <c r="A96" s="603" t="s">
        <v>523</v>
      </c>
      <c r="B96" s="597" t="s">
        <v>394</v>
      </c>
      <c r="C96" s="817">
        <v>9.9000000000000005E-2</v>
      </c>
      <c r="D96" s="817">
        <v>9.9000000000000005E-2</v>
      </c>
      <c r="E96" s="817">
        <v>9.9000000000000005E-2</v>
      </c>
      <c r="F96" s="829"/>
    </row>
    <row r="97" spans="1:6" ht="14.25" thickBot="1">
      <c r="A97" s="603" t="s">
        <v>523</v>
      </c>
      <c r="B97" s="597" t="s">
        <v>402</v>
      </c>
      <c r="C97" s="817">
        <v>9.8000000000000004E-2</v>
      </c>
      <c r="D97" s="817">
        <v>9.8000000000000004E-2</v>
      </c>
      <c r="E97" s="817">
        <v>9.7000000000000003E-2</v>
      </c>
      <c r="F97" s="829"/>
    </row>
    <row r="98" spans="1:6" ht="14.25" thickBot="1">
      <c r="A98" s="603" t="s">
        <v>523</v>
      </c>
      <c r="B98" s="597" t="s">
        <v>409</v>
      </c>
      <c r="C98" s="817">
        <v>0.1</v>
      </c>
      <c r="D98" s="817">
        <v>0.1</v>
      </c>
      <c r="E98" s="817">
        <v>9.7000000000000003E-2</v>
      </c>
      <c r="F98" s="829"/>
    </row>
    <row r="99" spans="1:6" ht="14.25" thickBot="1">
      <c r="A99" s="603" t="s">
        <v>523</v>
      </c>
      <c r="B99" s="597" t="s">
        <v>416</v>
      </c>
      <c r="C99" s="817">
        <v>0.1</v>
      </c>
      <c r="D99" s="817">
        <v>0.1</v>
      </c>
      <c r="E99" s="830"/>
      <c r="F99" s="829"/>
    </row>
    <row r="100" spans="1:6" ht="14.25" thickBot="1">
      <c r="A100" s="603" t="s">
        <v>523</v>
      </c>
      <c r="B100" s="597" t="s">
        <v>423</v>
      </c>
      <c r="C100" s="817">
        <v>0.09</v>
      </c>
      <c r="D100" s="817">
        <v>8.8999999999999996E-2</v>
      </c>
      <c r="E100" s="830"/>
      <c r="F100" s="829"/>
    </row>
    <row r="101" spans="1:6" ht="14.25" thickBot="1">
      <c r="A101" s="603" t="s">
        <v>523</v>
      </c>
      <c r="B101" s="597" t="s">
        <v>430</v>
      </c>
      <c r="C101" s="817">
        <v>9.8000000000000004E-2</v>
      </c>
      <c r="D101" s="817">
        <v>9.7000000000000003E-2</v>
      </c>
      <c r="E101" s="830"/>
      <c r="F101" s="829"/>
    </row>
    <row r="102" spans="1:6" ht="14.25" thickBot="1">
      <c r="A102" s="603" t="s">
        <v>523</v>
      </c>
      <c r="B102" s="597" t="s">
        <v>890</v>
      </c>
      <c r="C102" s="830"/>
      <c r="D102" s="830"/>
      <c r="E102" s="830"/>
      <c r="F102" s="818">
        <v>0.05</v>
      </c>
    </row>
    <row r="103" spans="1:6" ht="24.75" thickBot="1">
      <c r="A103" s="603" t="s">
        <v>523</v>
      </c>
      <c r="B103" s="597" t="s">
        <v>891</v>
      </c>
      <c r="C103" s="830"/>
      <c r="D103" s="830"/>
      <c r="E103" s="830"/>
      <c r="F103" s="818">
        <v>0.05</v>
      </c>
    </row>
    <row r="104" spans="1:6" ht="14.25" thickBot="1">
      <c r="A104" s="603" t="s">
        <v>523</v>
      </c>
      <c r="B104" s="597" t="s">
        <v>892</v>
      </c>
      <c r="C104" s="830"/>
      <c r="D104" s="830"/>
      <c r="E104" s="830"/>
      <c r="F104" s="818">
        <v>0.05</v>
      </c>
    </row>
    <row r="105" spans="1:6" ht="14.25" thickBot="1">
      <c r="A105" s="603" t="s">
        <v>523</v>
      </c>
      <c r="B105" s="597" t="s">
        <v>893</v>
      </c>
      <c r="C105" s="830"/>
      <c r="D105" s="830"/>
      <c r="E105" s="830"/>
      <c r="F105" s="818">
        <v>0.05</v>
      </c>
    </row>
    <row r="106" spans="1:6" ht="14.25" thickBot="1">
      <c r="A106" s="603" t="s">
        <v>523</v>
      </c>
      <c r="B106" s="597" t="s">
        <v>894</v>
      </c>
      <c r="C106" s="830"/>
      <c r="D106" s="830"/>
      <c r="E106" s="830"/>
      <c r="F106" s="818">
        <v>0.05</v>
      </c>
    </row>
    <row r="107" spans="1:6" ht="24.75" thickBot="1">
      <c r="A107" s="603" t="s">
        <v>523</v>
      </c>
      <c r="B107" s="597" t="s">
        <v>895</v>
      </c>
      <c r="C107" s="830"/>
      <c r="D107" s="830"/>
      <c r="E107" s="830"/>
      <c r="F107" s="818">
        <v>0.05</v>
      </c>
    </row>
    <row r="108" spans="1:6" ht="24.75" thickBot="1">
      <c r="A108" s="603" t="s">
        <v>523</v>
      </c>
      <c r="B108" s="597" t="s">
        <v>896</v>
      </c>
      <c r="C108" s="830"/>
      <c r="D108" s="830"/>
      <c r="E108" s="830"/>
      <c r="F108" s="818">
        <v>0.05</v>
      </c>
    </row>
    <row r="109" spans="1:6" ht="24.75" thickBot="1">
      <c r="A109" s="613" t="s">
        <v>523</v>
      </c>
      <c r="B109" s="609" t="s">
        <v>897</v>
      </c>
      <c r="C109" s="827"/>
      <c r="D109" s="827"/>
      <c r="E109" s="827"/>
      <c r="F109" s="820">
        <v>0.05</v>
      </c>
    </row>
    <row r="110" spans="1:6" ht="14.25" thickBot="1">
      <c r="A110" s="603" t="s">
        <v>56</v>
      </c>
      <c r="B110" s="604" t="s">
        <v>898</v>
      </c>
      <c r="C110" s="815">
        <v>0.129</v>
      </c>
      <c r="D110" s="815">
        <v>0.129</v>
      </c>
      <c r="E110" s="815">
        <v>0.126</v>
      </c>
      <c r="F110" s="816">
        <v>0.13</v>
      </c>
    </row>
    <row r="111" spans="1:6" ht="14.25" thickBot="1">
      <c r="A111" s="603" t="s">
        <v>56</v>
      </c>
      <c r="B111" s="597" t="s">
        <v>192</v>
      </c>
      <c r="C111" s="817">
        <v>0.11</v>
      </c>
      <c r="D111" s="817">
        <v>0.11</v>
      </c>
      <c r="E111" s="817">
        <v>9.9000000000000005E-2</v>
      </c>
      <c r="F111" s="818">
        <v>0.128</v>
      </c>
    </row>
    <row r="112" spans="1:6" ht="14.25" thickBot="1">
      <c r="A112" s="603" t="s">
        <v>56</v>
      </c>
      <c r="B112" s="597" t="s">
        <v>205</v>
      </c>
      <c r="C112" s="817">
        <v>0.125</v>
      </c>
      <c r="D112" s="817">
        <v>0.125</v>
      </c>
      <c r="E112" s="817">
        <v>0.12</v>
      </c>
      <c r="F112" s="818">
        <v>0.125</v>
      </c>
    </row>
    <row r="113" spans="1:6" ht="14.25" thickBot="1">
      <c r="A113" s="603" t="s">
        <v>56</v>
      </c>
      <c r="B113" s="597" t="s">
        <v>218</v>
      </c>
      <c r="C113" s="817">
        <v>0.13</v>
      </c>
      <c r="D113" s="817">
        <v>0.13</v>
      </c>
      <c r="E113" s="817">
        <v>0.13</v>
      </c>
      <c r="F113" s="818">
        <v>0.13</v>
      </c>
    </row>
    <row r="114" spans="1:6" ht="14.25" thickBot="1">
      <c r="A114" s="603" t="s">
        <v>56</v>
      </c>
      <c r="B114" s="597" t="s">
        <v>230</v>
      </c>
      <c r="C114" s="817">
        <v>0.123</v>
      </c>
      <c r="D114" s="817">
        <v>0.123</v>
      </c>
      <c r="E114" s="817">
        <v>0.12</v>
      </c>
      <c r="F114" s="818">
        <v>0.13</v>
      </c>
    </row>
    <row r="115" spans="1:6" ht="14.25" thickBot="1">
      <c r="A115" s="603" t="s">
        <v>56</v>
      </c>
      <c r="B115" s="597" t="s">
        <v>241</v>
      </c>
      <c r="C115" s="817">
        <v>0.125</v>
      </c>
      <c r="D115" s="817">
        <v>0.125</v>
      </c>
      <c r="E115" s="817">
        <v>0.11700000000000001</v>
      </c>
      <c r="F115" s="818">
        <v>0.13</v>
      </c>
    </row>
    <row r="116" spans="1:6" ht="14.25" thickBot="1">
      <c r="A116" s="603" t="s">
        <v>56</v>
      </c>
      <c r="B116" s="597" t="s">
        <v>252</v>
      </c>
      <c r="C116" s="817">
        <v>0.11700000000000001</v>
      </c>
      <c r="D116" s="817">
        <v>0.11700000000000001</v>
      </c>
      <c r="E116" s="817">
        <v>8.7999999999999995E-2</v>
      </c>
      <c r="F116" s="818">
        <v>0.13</v>
      </c>
    </row>
    <row r="117" spans="1:6" ht="14.25" thickBot="1">
      <c r="A117" s="603" t="s">
        <v>56</v>
      </c>
      <c r="B117" s="597" t="s">
        <v>263</v>
      </c>
      <c r="C117" s="817">
        <v>0.13</v>
      </c>
      <c r="D117" s="817">
        <v>0.13</v>
      </c>
      <c r="E117" s="817">
        <v>0.129</v>
      </c>
      <c r="F117" s="818">
        <v>0.13</v>
      </c>
    </row>
    <row r="118" spans="1:6" ht="14.25" thickBot="1">
      <c r="A118" s="603" t="s">
        <v>56</v>
      </c>
      <c r="B118" s="597" t="s">
        <v>275</v>
      </c>
      <c r="C118" s="817">
        <v>0.123</v>
      </c>
      <c r="D118" s="817">
        <v>0.123</v>
      </c>
      <c r="E118" s="817">
        <v>0.11600000000000001</v>
      </c>
      <c r="F118" s="818">
        <v>0.13</v>
      </c>
    </row>
    <row r="119" spans="1:6" ht="14.25" thickBot="1">
      <c r="A119" s="603" t="s">
        <v>56</v>
      </c>
      <c r="B119" s="597" t="s">
        <v>285</v>
      </c>
      <c r="C119" s="817">
        <v>0.127</v>
      </c>
      <c r="D119" s="817">
        <v>0.127</v>
      </c>
      <c r="E119" s="817">
        <v>0.124</v>
      </c>
      <c r="F119" s="818">
        <v>0.13</v>
      </c>
    </row>
    <row r="120" spans="1:6" ht="14.25" thickBot="1">
      <c r="A120" s="603" t="s">
        <v>56</v>
      </c>
      <c r="B120" s="597" t="s">
        <v>295</v>
      </c>
      <c r="C120" s="817">
        <v>0.125</v>
      </c>
      <c r="D120" s="817">
        <v>0.125</v>
      </c>
      <c r="E120" s="817">
        <v>0.122</v>
      </c>
      <c r="F120" s="818">
        <v>0.13</v>
      </c>
    </row>
    <row r="121" spans="1:6" ht="14.25" thickBot="1">
      <c r="A121" s="603" t="s">
        <v>56</v>
      </c>
      <c r="B121" s="597" t="s">
        <v>305</v>
      </c>
      <c r="C121" s="817">
        <v>0.13</v>
      </c>
      <c r="D121" s="817">
        <v>0.13</v>
      </c>
      <c r="E121" s="817">
        <v>0.13</v>
      </c>
      <c r="F121" s="818">
        <v>0.13</v>
      </c>
    </row>
    <row r="122" spans="1:6" ht="14.25" thickBot="1">
      <c r="A122" s="603" t="s">
        <v>56</v>
      </c>
      <c r="B122" s="597" t="s">
        <v>315</v>
      </c>
      <c r="C122" s="817">
        <v>0.13</v>
      </c>
      <c r="D122" s="817">
        <v>0.13</v>
      </c>
      <c r="E122" s="817">
        <v>0.125</v>
      </c>
      <c r="F122" s="818">
        <v>0.13</v>
      </c>
    </row>
    <row r="123" spans="1:6" ht="14.25" thickBot="1">
      <c r="A123" s="603" t="s">
        <v>56</v>
      </c>
      <c r="B123" s="597" t="s">
        <v>326</v>
      </c>
      <c r="C123" s="817">
        <v>0.129</v>
      </c>
      <c r="D123" s="817">
        <v>0.129</v>
      </c>
      <c r="E123" s="817">
        <v>0.123</v>
      </c>
      <c r="F123" s="818">
        <v>0.13</v>
      </c>
    </row>
    <row r="124" spans="1:6" ht="14.25" thickBot="1">
      <c r="A124" s="603" t="s">
        <v>56</v>
      </c>
      <c r="B124" s="597" t="s">
        <v>337</v>
      </c>
      <c r="C124" s="817">
        <v>0.10199999999999999</v>
      </c>
      <c r="D124" s="817">
        <v>0.10100000000000001</v>
      </c>
      <c r="E124" s="817">
        <v>0.08</v>
      </c>
      <c r="F124" s="829"/>
    </row>
    <row r="125" spans="1:6" ht="14.25" thickBot="1">
      <c r="A125" s="603" t="s">
        <v>56</v>
      </c>
      <c r="B125" s="597" t="s">
        <v>347</v>
      </c>
      <c r="C125" s="817">
        <v>0.13</v>
      </c>
      <c r="D125" s="817">
        <v>0.13</v>
      </c>
      <c r="E125" s="817">
        <v>0.129</v>
      </c>
      <c r="F125" s="829"/>
    </row>
    <row r="126" spans="1:6" ht="14.25" thickBot="1">
      <c r="A126" s="603" t="s">
        <v>56</v>
      </c>
      <c r="B126" s="597" t="s">
        <v>357</v>
      </c>
      <c r="C126" s="817">
        <v>0.13</v>
      </c>
      <c r="D126" s="817">
        <v>0.13</v>
      </c>
      <c r="E126" s="817">
        <v>0.126</v>
      </c>
      <c r="F126" s="829"/>
    </row>
    <row r="127" spans="1:6" ht="14.25" thickBot="1">
      <c r="A127" s="603" t="s">
        <v>56</v>
      </c>
      <c r="B127" s="597" t="s">
        <v>367</v>
      </c>
      <c r="C127" s="817">
        <v>0.125</v>
      </c>
      <c r="D127" s="817">
        <v>0.125</v>
      </c>
      <c r="E127" s="817">
        <v>0.121</v>
      </c>
      <c r="F127" s="829"/>
    </row>
    <row r="128" spans="1:6" ht="14.25" thickBot="1">
      <c r="A128" s="603" t="s">
        <v>56</v>
      </c>
      <c r="B128" s="597" t="s">
        <v>377</v>
      </c>
      <c r="C128" s="817">
        <v>0.12</v>
      </c>
      <c r="D128" s="817">
        <v>0.12</v>
      </c>
      <c r="E128" s="817">
        <v>0.105</v>
      </c>
      <c r="F128" s="829"/>
    </row>
    <row r="129" spans="1:6" ht="14.25" thickBot="1">
      <c r="A129" s="603" t="s">
        <v>56</v>
      </c>
      <c r="B129" s="597" t="s">
        <v>386</v>
      </c>
      <c r="C129" s="817">
        <v>0.13</v>
      </c>
      <c r="D129" s="817">
        <v>0.13</v>
      </c>
      <c r="E129" s="817">
        <v>0.126</v>
      </c>
      <c r="F129" s="829"/>
    </row>
    <row r="130" spans="1:6" ht="14.25" thickBot="1">
      <c r="A130" s="603" t="s">
        <v>56</v>
      </c>
      <c r="B130" s="597" t="s">
        <v>395</v>
      </c>
      <c r="C130" s="817">
        <v>0.125</v>
      </c>
      <c r="D130" s="817">
        <v>0.125</v>
      </c>
      <c r="E130" s="817">
        <v>0.122</v>
      </c>
      <c r="F130" s="829"/>
    </row>
    <row r="131" spans="1:6" ht="14.25" thickBot="1">
      <c r="A131" s="603" t="s">
        <v>56</v>
      </c>
      <c r="B131" s="597" t="s">
        <v>403</v>
      </c>
      <c r="C131" s="817">
        <v>0.127</v>
      </c>
      <c r="D131" s="817">
        <v>0.126</v>
      </c>
      <c r="E131" s="817">
        <v>0.123</v>
      </c>
      <c r="F131" s="829"/>
    </row>
    <row r="132" spans="1:6" ht="14.25" thickBot="1">
      <c r="A132" s="603" t="s">
        <v>56</v>
      </c>
      <c r="B132" s="597" t="s">
        <v>410</v>
      </c>
      <c r="C132" s="817">
        <v>9.0999999999999998E-2</v>
      </c>
      <c r="D132" s="817">
        <v>0.121</v>
      </c>
      <c r="E132" s="817">
        <v>9.9000000000000005E-2</v>
      </c>
      <c r="F132" s="829"/>
    </row>
    <row r="133" spans="1:6" ht="14.25" thickBot="1">
      <c r="A133" s="603" t="s">
        <v>56</v>
      </c>
      <c r="B133" s="597" t="s">
        <v>417</v>
      </c>
      <c r="C133" s="817">
        <v>0.13</v>
      </c>
      <c r="D133" s="817">
        <v>0.13</v>
      </c>
      <c r="E133" s="817">
        <v>0.129</v>
      </c>
      <c r="F133" s="829"/>
    </row>
    <row r="134" spans="1:6" ht="14.25" thickBot="1">
      <c r="A134" s="603" t="s">
        <v>56</v>
      </c>
      <c r="B134" s="597" t="s">
        <v>899</v>
      </c>
      <c r="C134" s="817">
        <v>6.8000000000000005E-2</v>
      </c>
      <c r="D134" s="817">
        <v>6.5000000000000002E-2</v>
      </c>
      <c r="E134" s="817">
        <v>6.5000000000000002E-2</v>
      </c>
      <c r="F134" s="818">
        <v>0.13</v>
      </c>
    </row>
    <row r="135" spans="1:6" ht="14.25" thickBot="1">
      <c r="A135" s="603" t="s">
        <v>56</v>
      </c>
      <c r="B135" s="597" t="s">
        <v>431</v>
      </c>
      <c r="C135" s="817">
        <v>0.123</v>
      </c>
      <c r="D135" s="817">
        <v>0.123</v>
      </c>
      <c r="E135" s="817">
        <v>0.11</v>
      </c>
      <c r="F135" s="829"/>
    </row>
    <row r="136" spans="1:6" ht="14.25" thickBot="1">
      <c r="A136" s="603" t="s">
        <v>56</v>
      </c>
      <c r="B136" s="597" t="s">
        <v>438</v>
      </c>
      <c r="C136" s="817">
        <v>0.13</v>
      </c>
      <c r="D136" s="817">
        <v>0.13</v>
      </c>
      <c r="E136" s="817">
        <v>0.125</v>
      </c>
      <c r="F136" s="829"/>
    </row>
    <row r="137" spans="1:6" ht="14.25" thickBot="1">
      <c r="A137" s="603" t="s">
        <v>56</v>
      </c>
      <c r="B137" s="597" t="s">
        <v>445</v>
      </c>
      <c r="C137" s="817">
        <v>0.121</v>
      </c>
      <c r="D137" s="817">
        <v>0.122</v>
      </c>
      <c r="E137" s="817">
        <v>0.115</v>
      </c>
      <c r="F137" s="829"/>
    </row>
    <row r="138" spans="1:6" ht="14.25" thickBot="1">
      <c r="A138" s="603" t="s">
        <v>56</v>
      </c>
      <c r="B138" s="597" t="s">
        <v>900</v>
      </c>
      <c r="C138" s="817">
        <v>0.105</v>
      </c>
      <c r="D138" s="817">
        <v>0.125</v>
      </c>
      <c r="E138" s="817">
        <v>0.112</v>
      </c>
      <c r="F138" s="829"/>
    </row>
    <row r="139" spans="1:6" ht="14.25" thickBot="1">
      <c r="A139" s="603" t="s">
        <v>56</v>
      </c>
      <c r="B139" s="597" t="s">
        <v>901</v>
      </c>
      <c r="C139" s="817">
        <v>0.127</v>
      </c>
      <c r="D139" s="817">
        <v>0.127</v>
      </c>
      <c r="E139" s="817">
        <v>0.122</v>
      </c>
      <c r="F139" s="818">
        <v>0.13</v>
      </c>
    </row>
    <row r="140" spans="1:6" ht="14.25" thickBot="1">
      <c r="A140" s="603" t="s">
        <v>56</v>
      </c>
      <c r="B140" s="597" t="s">
        <v>902</v>
      </c>
      <c r="C140" s="817">
        <v>0.125</v>
      </c>
      <c r="D140" s="817">
        <v>0.125</v>
      </c>
      <c r="E140" s="817">
        <v>0.11899999999999999</v>
      </c>
      <c r="F140" s="818">
        <v>0.13</v>
      </c>
    </row>
    <row r="141" spans="1:6" ht="14.25" thickBot="1">
      <c r="A141" s="603" t="s">
        <v>56</v>
      </c>
      <c r="B141" s="597" t="s">
        <v>464</v>
      </c>
      <c r="C141" s="817">
        <v>0.125</v>
      </c>
      <c r="D141" s="817">
        <v>0.125</v>
      </c>
      <c r="E141" s="817">
        <v>0.11700000000000001</v>
      </c>
      <c r="F141" s="829"/>
    </row>
    <row r="142" spans="1:6" ht="14.25" thickBot="1">
      <c r="A142" s="603" t="s">
        <v>56</v>
      </c>
      <c r="B142" s="597" t="s">
        <v>469</v>
      </c>
      <c r="C142" s="817">
        <v>0.125</v>
      </c>
      <c r="D142" s="817">
        <v>0.125</v>
      </c>
      <c r="E142" s="817">
        <v>0.115</v>
      </c>
      <c r="F142" s="829"/>
    </row>
    <row r="143" spans="1:6" ht="14.25" thickBot="1">
      <c r="A143" s="603" t="s">
        <v>56</v>
      </c>
      <c r="B143" s="597" t="s">
        <v>474</v>
      </c>
      <c r="C143" s="817">
        <v>0.121</v>
      </c>
      <c r="D143" s="817">
        <v>0.121</v>
      </c>
      <c r="E143" s="817">
        <v>0.108</v>
      </c>
      <c r="F143" s="829"/>
    </row>
    <row r="144" spans="1:6" ht="14.25" thickBot="1">
      <c r="A144" s="603" t="s">
        <v>56</v>
      </c>
      <c r="B144" s="821" t="s">
        <v>903</v>
      </c>
      <c r="C144" s="822">
        <v>0.126</v>
      </c>
      <c r="D144" s="822">
        <v>0.126</v>
      </c>
      <c r="E144" s="822">
        <v>0.121</v>
      </c>
      <c r="F144" s="829"/>
    </row>
    <row r="145" spans="1:6" ht="14.25" thickBot="1">
      <c r="A145" s="613" t="s">
        <v>56</v>
      </c>
      <c r="B145" s="823" t="s">
        <v>904</v>
      </c>
      <c r="C145" s="831"/>
      <c r="D145" s="831"/>
      <c r="E145" s="831"/>
      <c r="F145" s="824">
        <v>0.05</v>
      </c>
    </row>
    <row r="146" spans="1:6" ht="24.75" thickBot="1">
      <c r="A146" s="825" t="s">
        <v>56</v>
      </c>
      <c r="B146" s="607" t="s">
        <v>905</v>
      </c>
      <c r="C146" s="830"/>
      <c r="D146" s="830"/>
      <c r="E146" s="830"/>
      <c r="F146" s="826">
        <v>0.05</v>
      </c>
    </row>
    <row r="147" spans="1:6" ht="24.75" thickBot="1">
      <c r="A147" s="603" t="s">
        <v>56</v>
      </c>
      <c r="B147" s="597" t="s">
        <v>906</v>
      </c>
      <c r="C147" s="830"/>
      <c r="D147" s="830"/>
      <c r="E147" s="830"/>
      <c r="F147" s="818">
        <v>0.05</v>
      </c>
    </row>
    <row r="148" spans="1:6" ht="24.75" thickBot="1">
      <c r="A148" s="603" t="s">
        <v>56</v>
      </c>
      <c r="B148" s="597" t="s">
        <v>907</v>
      </c>
      <c r="C148" s="830"/>
      <c r="D148" s="830"/>
      <c r="E148" s="830"/>
      <c r="F148" s="818">
        <v>0.05</v>
      </c>
    </row>
    <row r="149" spans="1:6" ht="24.75" thickBot="1">
      <c r="A149" s="603" t="s">
        <v>56</v>
      </c>
      <c r="B149" s="597" t="s">
        <v>908</v>
      </c>
      <c r="C149" s="830"/>
      <c r="D149" s="830"/>
      <c r="E149" s="830"/>
      <c r="F149" s="818">
        <v>0.05</v>
      </c>
    </row>
    <row r="150" spans="1:6" ht="24.75" thickBot="1">
      <c r="A150" s="603" t="s">
        <v>56</v>
      </c>
      <c r="B150" s="597" t="s">
        <v>909</v>
      </c>
      <c r="C150" s="830"/>
      <c r="D150" s="830"/>
      <c r="E150" s="830"/>
      <c r="F150" s="818">
        <v>0.05</v>
      </c>
    </row>
    <row r="151" spans="1:6" ht="24.75" thickBot="1">
      <c r="A151" s="603" t="s">
        <v>56</v>
      </c>
      <c r="B151" s="597" t="s">
        <v>910</v>
      </c>
      <c r="C151" s="830"/>
      <c r="D151" s="830"/>
      <c r="E151" s="830"/>
      <c r="F151" s="818">
        <v>0.05</v>
      </c>
    </row>
    <row r="152" spans="1:6" ht="24.75" thickBot="1">
      <c r="A152" s="603" t="s">
        <v>56</v>
      </c>
      <c r="B152" s="597" t="s">
        <v>507</v>
      </c>
      <c r="C152" s="830"/>
      <c r="D152" s="830"/>
      <c r="E152" s="830"/>
      <c r="F152" s="818">
        <v>0.05</v>
      </c>
    </row>
    <row r="153" spans="1:6" ht="14.25" thickBot="1">
      <c r="A153" s="603" t="s">
        <v>56</v>
      </c>
      <c r="B153" s="597" t="s">
        <v>911</v>
      </c>
      <c r="C153" s="830"/>
      <c r="D153" s="830"/>
      <c r="E153" s="830"/>
      <c r="F153" s="818">
        <v>0.05</v>
      </c>
    </row>
    <row r="154" spans="1:6" ht="14.25" thickBot="1">
      <c r="A154" s="603" t="s">
        <v>56</v>
      </c>
      <c r="B154" s="597" t="s">
        <v>912</v>
      </c>
      <c r="C154" s="830"/>
      <c r="D154" s="830"/>
      <c r="E154" s="830"/>
      <c r="F154" s="818">
        <v>0.05</v>
      </c>
    </row>
    <row r="155" spans="1:6" ht="24.75" thickBot="1">
      <c r="A155" s="603" t="s">
        <v>56</v>
      </c>
      <c r="B155" s="597" t="s">
        <v>913</v>
      </c>
      <c r="C155" s="830"/>
      <c r="D155" s="830"/>
      <c r="E155" s="830"/>
      <c r="F155" s="818">
        <v>0.05</v>
      </c>
    </row>
    <row r="156" spans="1:6" ht="24.75" thickBot="1">
      <c r="A156" s="603" t="s">
        <v>56</v>
      </c>
      <c r="B156" s="597" t="s">
        <v>914</v>
      </c>
      <c r="C156" s="830"/>
      <c r="D156" s="830"/>
      <c r="E156" s="830"/>
      <c r="F156" s="818">
        <v>0.05</v>
      </c>
    </row>
    <row r="157" spans="1:6" ht="14.25" thickBot="1">
      <c r="A157" s="613" t="s">
        <v>56</v>
      </c>
      <c r="B157" s="609" t="s">
        <v>915</v>
      </c>
      <c r="C157" s="827"/>
      <c r="D157" s="827"/>
      <c r="E157" s="827"/>
      <c r="F157" s="820">
        <v>0.05</v>
      </c>
    </row>
    <row r="158" spans="1:6" ht="14.25" thickBot="1">
      <c r="A158" s="603" t="s">
        <v>526</v>
      </c>
      <c r="B158" s="604" t="s">
        <v>916</v>
      </c>
      <c r="C158" s="815">
        <v>0.13</v>
      </c>
      <c r="D158" s="815">
        <v>0.13</v>
      </c>
      <c r="E158" s="815">
        <v>0.13</v>
      </c>
      <c r="F158" s="816">
        <v>0.13</v>
      </c>
    </row>
    <row r="159" spans="1:6" ht="14.25" thickBot="1">
      <c r="A159" s="603" t="s">
        <v>526</v>
      </c>
      <c r="B159" s="597" t="s">
        <v>193</v>
      </c>
      <c r="C159" s="817">
        <v>0.13</v>
      </c>
      <c r="D159" s="817">
        <v>0.13</v>
      </c>
      <c r="E159" s="817">
        <v>0.13</v>
      </c>
      <c r="F159" s="818">
        <v>0.13</v>
      </c>
    </row>
    <row r="160" spans="1:6" ht="14.25" thickBot="1">
      <c r="A160" s="603" t="s">
        <v>526</v>
      </c>
      <c r="B160" s="597" t="s">
        <v>206</v>
      </c>
      <c r="C160" s="817">
        <v>0.13</v>
      </c>
      <c r="D160" s="817">
        <v>0.13</v>
      </c>
      <c r="E160" s="817">
        <v>0.129</v>
      </c>
      <c r="F160" s="818">
        <v>0.13</v>
      </c>
    </row>
    <row r="161" spans="1:6" ht="14.25" thickBot="1">
      <c r="A161" s="603" t="s">
        <v>526</v>
      </c>
      <c r="B161" s="597" t="s">
        <v>219</v>
      </c>
      <c r="C161" s="817">
        <v>0.128</v>
      </c>
      <c r="D161" s="817">
        <v>0.128</v>
      </c>
      <c r="E161" s="817">
        <v>0.125</v>
      </c>
      <c r="F161" s="818">
        <v>0.13</v>
      </c>
    </row>
    <row r="162" spans="1:6" ht="14.25" thickBot="1">
      <c r="A162" s="603" t="s">
        <v>526</v>
      </c>
      <c r="B162" s="597" t="s">
        <v>231</v>
      </c>
      <c r="C162" s="817">
        <v>0.122</v>
      </c>
      <c r="D162" s="817">
        <v>0.122</v>
      </c>
      <c r="E162" s="817">
        <v>0.126</v>
      </c>
      <c r="F162" s="818">
        <v>0.122</v>
      </c>
    </row>
    <row r="163" spans="1:6" ht="14.25" thickBot="1">
      <c r="A163" s="603" t="s">
        <v>526</v>
      </c>
      <c r="B163" s="597" t="s">
        <v>242</v>
      </c>
      <c r="C163" s="817">
        <v>0.13</v>
      </c>
      <c r="D163" s="817">
        <v>0.13</v>
      </c>
      <c r="E163" s="817">
        <v>0.125</v>
      </c>
      <c r="F163" s="818">
        <v>0.13</v>
      </c>
    </row>
    <row r="164" spans="1:6" ht="14.25" thickBot="1">
      <c r="A164" s="603" t="s">
        <v>526</v>
      </c>
      <c r="B164" s="597" t="s">
        <v>253</v>
      </c>
      <c r="C164" s="817">
        <v>0.13</v>
      </c>
      <c r="D164" s="817">
        <v>0.13</v>
      </c>
      <c r="E164" s="817">
        <v>0.13</v>
      </c>
      <c r="F164" s="818">
        <v>0.13</v>
      </c>
    </row>
    <row r="165" spans="1:6" ht="14.25" thickBot="1">
      <c r="A165" s="603" t="s">
        <v>526</v>
      </c>
      <c r="B165" s="597" t="s">
        <v>264</v>
      </c>
      <c r="C165" s="817">
        <v>0.13</v>
      </c>
      <c r="D165" s="817">
        <v>0.13</v>
      </c>
      <c r="E165" s="817">
        <v>0.124</v>
      </c>
      <c r="F165" s="818">
        <v>0.13</v>
      </c>
    </row>
    <row r="166" spans="1:6" ht="14.25" thickBot="1">
      <c r="A166" s="603" t="s">
        <v>526</v>
      </c>
      <c r="B166" s="597" t="s">
        <v>276</v>
      </c>
      <c r="C166" s="817">
        <v>0.13</v>
      </c>
      <c r="D166" s="817">
        <v>0.13</v>
      </c>
      <c r="E166" s="817">
        <v>0.13</v>
      </c>
      <c r="F166" s="818">
        <v>0.13</v>
      </c>
    </row>
    <row r="167" spans="1:6" ht="14.25" thickBot="1">
      <c r="A167" s="603" t="s">
        <v>526</v>
      </c>
      <c r="B167" s="597" t="s">
        <v>286</v>
      </c>
      <c r="C167" s="817">
        <v>0.125</v>
      </c>
      <c r="D167" s="817">
        <v>0.125</v>
      </c>
      <c r="E167" s="817">
        <v>0.121</v>
      </c>
      <c r="F167" s="829"/>
    </row>
    <row r="168" spans="1:6" ht="14.25" thickBot="1">
      <c r="A168" s="603" t="s">
        <v>526</v>
      </c>
      <c r="B168" s="597" t="s">
        <v>296</v>
      </c>
      <c r="C168" s="817">
        <v>0.13</v>
      </c>
      <c r="D168" s="817">
        <v>0.13</v>
      </c>
      <c r="E168" s="817">
        <v>0.126</v>
      </c>
      <c r="F168" s="829"/>
    </row>
    <row r="169" spans="1:6" ht="14.25" thickBot="1">
      <c r="A169" s="603" t="s">
        <v>526</v>
      </c>
      <c r="B169" s="597" t="s">
        <v>306</v>
      </c>
      <c r="C169" s="817">
        <v>0.128</v>
      </c>
      <c r="D169" s="817">
        <v>0.129</v>
      </c>
      <c r="E169" s="817">
        <v>0.13</v>
      </c>
      <c r="F169" s="829"/>
    </row>
    <row r="170" spans="1:6" ht="14.25" thickBot="1">
      <c r="A170" s="603" t="s">
        <v>526</v>
      </c>
      <c r="B170" s="597" t="s">
        <v>316</v>
      </c>
      <c r="C170" s="817">
        <v>0.14099999999999999</v>
      </c>
      <c r="D170" s="817">
        <v>0.13</v>
      </c>
      <c r="E170" s="817">
        <v>0.125</v>
      </c>
      <c r="F170" s="829"/>
    </row>
    <row r="171" spans="1:6" ht="14.25" thickBot="1">
      <c r="A171" s="603" t="s">
        <v>526</v>
      </c>
      <c r="B171" s="597" t="s">
        <v>917</v>
      </c>
      <c r="C171" s="817">
        <v>0.127</v>
      </c>
      <c r="D171" s="817">
        <v>0.126</v>
      </c>
      <c r="E171" s="817">
        <v>0.126</v>
      </c>
      <c r="F171" s="818">
        <v>0.11799999999999999</v>
      </c>
    </row>
    <row r="172" spans="1:6" ht="14.25" thickBot="1">
      <c r="A172" s="603" t="s">
        <v>526</v>
      </c>
      <c r="B172" s="597" t="s">
        <v>918</v>
      </c>
      <c r="C172" s="817">
        <v>0.13</v>
      </c>
      <c r="D172" s="817">
        <v>0.13</v>
      </c>
      <c r="E172" s="817">
        <v>0.13</v>
      </c>
      <c r="F172" s="829"/>
    </row>
    <row r="173" spans="1:6" ht="14.25" thickBot="1">
      <c r="A173" s="603" t="s">
        <v>526</v>
      </c>
      <c r="B173" s="597" t="s">
        <v>348</v>
      </c>
      <c r="C173" s="817">
        <v>0.13</v>
      </c>
      <c r="D173" s="817">
        <v>0.13</v>
      </c>
      <c r="E173" s="817">
        <v>0.13</v>
      </c>
      <c r="F173" s="829"/>
    </row>
    <row r="174" spans="1:6" ht="14.25" thickBot="1">
      <c r="A174" s="603" t="s">
        <v>526</v>
      </c>
      <c r="B174" s="597" t="s">
        <v>919</v>
      </c>
      <c r="C174" s="817">
        <v>0.13</v>
      </c>
      <c r="D174" s="817">
        <v>0.13</v>
      </c>
      <c r="E174" s="817">
        <v>0.13</v>
      </c>
      <c r="F174" s="818">
        <v>0.13</v>
      </c>
    </row>
    <row r="175" spans="1:6" ht="14.25" thickBot="1">
      <c r="A175" s="603" t="s">
        <v>526</v>
      </c>
      <c r="B175" s="597" t="s">
        <v>920</v>
      </c>
      <c r="C175" s="817">
        <v>0.13</v>
      </c>
      <c r="D175" s="817">
        <v>0.13</v>
      </c>
      <c r="E175" s="817">
        <v>0.13</v>
      </c>
      <c r="F175" s="818">
        <v>0.13</v>
      </c>
    </row>
    <row r="176" spans="1:6" ht="14.25" thickBot="1">
      <c r="A176" s="603" t="s">
        <v>526</v>
      </c>
      <c r="B176" s="597" t="s">
        <v>378</v>
      </c>
      <c r="C176" s="817">
        <v>0.13</v>
      </c>
      <c r="D176" s="817">
        <v>0.13</v>
      </c>
      <c r="E176" s="817">
        <v>0.13</v>
      </c>
      <c r="F176" s="818">
        <v>0.13</v>
      </c>
    </row>
    <row r="177" spans="1:6" ht="14.25" thickBot="1">
      <c r="A177" s="603" t="s">
        <v>526</v>
      </c>
      <c r="B177" s="597" t="s">
        <v>921</v>
      </c>
      <c r="C177" s="817">
        <v>0.13</v>
      </c>
      <c r="D177" s="817">
        <v>0.13</v>
      </c>
      <c r="E177" s="817">
        <v>0.13</v>
      </c>
      <c r="F177" s="818">
        <v>0.13</v>
      </c>
    </row>
    <row r="178" spans="1:6" ht="14.25" thickBot="1">
      <c r="A178" s="603" t="s">
        <v>526</v>
      </c>
      <c r="B178" s="597" t="s">
        <v>396</v>
      </c>
      <c r="C178" s="817">
        <v>0.13</v>
      </c>
      <c r="D178" s="817">
        <v>0.13</v>
      </c>
      <c r="E178" s="817">
        <v>0.13</v>
      </c>
      <c r="F178" s="818">
        <v>0.127</v>
      </c>
    </row>
    <row r="179" spans="1:6" ht="14.25" thickBot="1">
      <c r="A179" s="603" t="s">
        <v>526</v>
      </c>
      <c r="B179" s="597" t="s">
        <v>404</v>
      </c>
      <c r="C179" s="817">
        <v>0.13</v>
      </c>
      <c r="D179" s="817">
        <v>0.13</v>
      </c>
      <c r="E179" s="817">
        <v>0.13</v>
      </c>
      <c r="F179" s="829"/>
    </row>
    <row r="180" spans="1:6" ht="14.25" thickBot="1">
      <c r="A180" s="603" t="s">
        <v>526</v>
      </c>
      <c r="B180" s="597" t="s">
        <v>922</v>
      </c>
      <c r="C180" s="817">
        <v>0.13</v>
      </c>
      <c r="D180" s="817">
        <v>0.13</v>
      </c>
      <c r="E180" s="817">
        <v>0.125</v>
      </c>
      <c r="F180" s="818">
        <v>0.13</v>
      </c>
    </row>
    <row r="181" spans="1:6" ht="14.25" thickBot="1">
      <c r="A181" s="603" t="s">
        <v>526</v>
      </c>
      <c r="B181" s="597" t="s">
        <v>418</v>
      </c>
      <c r="C181" s="817">
        <v>0.122</v>
      </c>
      <c r="D181" s="817">
        <v>0.123</v>
      </c>
      <c r="E181" s="817">
        <v>0.126</v>
      </c>
      <c r="F181" s="818">
        <v>0.121</v>
      </c>
    </row>
    <row r="182" spans="1:6" ht="14.25" thickBot="1">
      <c r="A182" s="603" t="s">
        <v>526</v>
      </c>
      <c r="B182" s="597" t="s">
        <v>425</v>
      </c>
      <c r="C182" s="817">
        <v>0.125</v>
      </c>
      <c r="D182" s="817">
        <v>0.125</v>
      </c>
      <c r="E182" s="817">
        <v>0.11700000000000001</v>
      </c>
      <c r="F182" s="818">
        <v>0.13</v>
      </c>
    </row>
    <row r="183" spans="1:6" ht="14.25" thickBot="1">
      <c r="A183" s="603" t="s">
        <v>526</v>
      </c>
      <c r="B183" s="597" t="s">
        <v>432</v>
      </c>
      <c r="C183" s="817">
        <v>0.127</v>
      </c>
      <c r="D183" s="817">
        <v>0.127</v>
      </c>
      <c r="E183" s="817">
        <v>0.128</v>
      </c>
      <c r="F183" s="829"/>
    </row>
    <row r="184" spans="1:6" ht="14.25" thickBot="1">
      <c r="A184" s="603" t="s">
        <v>526</v>
      </c>
      <c r="B184" s="597" t="s">
        <v>439</v>
      </c>
      <c r="C184" s="817">
        <v>0.125</v>
      </c>
      <c r="D184" s="817">
        <v>0.125</v>
      </c>
      <c r="E184" s="817">
        <v>0.127</v>
      </c>
      <c r="F184" s="829"/>
    </row>
    <row r="185" spans="1:6" ht="14.25" thickBot="1">
      <c r="A185" s="603" t="s">
        <v>526</v>
      </c>
      <c r="B185" s="597" t="s">
        <v>923</v>
      </c>
      <c r="C185" s="817">
        <v>0.127</v>
      </c>
      <c r="D185" s="817">
        <v>0.127</v>
      </c>
      <c r="E185" s="817">
        <v>0.128</v>
      </c>
      <c r="F185" s="818">
        <v>0.13</v>
      </c>
    </row>
    <row r="186" spans="1:6" ht="24.75" thickBot="1">
      <c r="A186" s="603" t="s">
        <v>526</v>
      </c>
      <c r="B186" s="597" t="s">
        <v>924</v>
      </c>
      <c r="C186" s="830"/>
      <c r="D186" s="830"/>
      <c r="E186" s="830"/>
      <c r="F186" s="818">
        <v>0.05</v>
      </c>
    </row>
    <row r="187" spans="1:6" ht="14.25" thickBot="1">
      <c r="A187" s="603" t="s">
        <v>526</v>
      </c>
      <c r="B187" s="597" t="s">
        <v>925</v>
      </c>
      <c r="C187" s="830"/>
      <c r="D187" s="830"/>
      <c r="E187" s="830"/>
      <c r="F187" s="818">
        <v>0.05</v>
      </c>
    </row>
    <row r="188" spans="1:6" ht="14.25" thickBot="1">
      <c r="A188" s="603" t="s">
        <v>526</v>
      </c>
      <c r="B188" s="597" t="s">
        <v>926</v>
      </c>
      <c r="C188" s="830"/>
      <c r="D188" s="830"/>
      <c r="E188" s="830"/>
      <c r="F188" s="818">
        <v>0.05</v>
      </c>
    </row>
    <row r="189" spans="1:6" ht="24.75" thickBot="1">
      <c r="A189" s="603" t="s">
        <v>526</v>
      </c>
      <c r="B189" s="597" t="s">
        <v>927</v>
      </c>
      <c r="C189" s="830"/>
      <c r="D189" s="830"/>
      <c r="E189" s="830"/>
      <c r="F189" s="818">
        <v>0.05</v>
      </c>
    </row>
    <row r="190" spans="1:6" ht="24.75" thickBot="1">
      <c r="A190" s="603" t="s">
        <v>526</v>
      </c>
      <c r="B190" s="597" t="s">
        <v>928</v>
      </c>
      <c r="C190" s="830"/>
      <c r="D190" s="830"/>
      <c r="E190" s="830"/>
      <c r="F190" s="818">
        <v>0.05</v>
      </c>
    </row>
    <row r="191" spans="1:6" ht="24.75" thickBot="1">
      <c r="A191" s="603" t="s">
        <v>526</v>
      </c>
      <c r="B191" s="597" t="s">
        <v>929</v>
      </c>
      <c r="C191" s="830"/>
      <c r="D191" s="830"/>
      <c r="E191" s="830"/>
      <c r="F191" s="818">
        <v>0.05</v>
      </c>
    </row>
    <row r="192" spans="1:6" ht="24.75" thickBot="1">
      <c r="A192" s="603" t="s">
        <v>526</v>
      </c>
      <c r="B192" s="597" t="s">
        <v>930</v>
      </c>
      <c r="C192" s="830"/>
      <c r="D192" s="830"/>
      <c r="E192" s="830"/>
      <c r="F192" s="818">
        <v>0.05</v>
      </c>
    </row>
    <row r="193" spans="1:6" ht="24.75" thickBot="1">
      <c r="A193" s="603" t="s">
        <v>526</v>
      </c>
      <c r="B193" s="597" t="s">
        <v>931</v>
      </c>
      <c r="C193" s="830"/>
      <c r="D193" s="830"/>
      <c r="E193" s="830"/>
      <c r="F193" s="818">
        <v>0.05</v>
      </c>
    </row>
    <row r="194" spans="1:6" ht="24.75" thickBot="1">
      <c r="A194" s="603" t="s">
        <v>526</v>
      </c>
      <c r="B194" s="597" t="s">
        <v>932</v>
      </c>
      <c r="C194" s="830"/>
      <c r="D194" s="830"/>
      <c r="E194" s="830"/>
      <c r="F194" s="818">
        <v>0.05</v>
      </c>
    </row>
    <row r="195" spans="1:6" ht="14.25" thickBot="1">
      <c r="A195" s="603" t="s">
        <v>526</v>
      </c>
      <c r="B195" s="597" t="s">
        <v>933</v>
      </c>
      <c r="C195" s="830"/>
      <c r="D195" s="830"/>
      <c r="E195" s="830"/>
      <c r="F195" s="818">
        <v>0.05</v>
      </c>
    </row>
    <row r="196" spans="1:6" ht="24.75" thickBot="1">
      <c r="A196" s="603" t="s">
        <v>526</v>
      </c>
      <c r="B196" s="597" t="s">
        <v>934</v>
      </c>
      <c r="C196" s="830"/>
      <c r="D196" s="830"/>
      <c r="E196" s="830"/>
      <c r="F196" s="818">
        <v>0.05</v>
      </c>
    </row>
    <row r="197" spans="1:6" ht="24.75" thickBot="1">
      <c r="A197" s="603" t="s">
        <v>526</v>
      </c>
      <c r="B197" s="597" t="s">
        <v>935</v>
      </c>
      <c r="C197" s="830"/>
      <c r="D197" s="830"/>
      <c r="E197" s="830"/>
      <c r="F197" s="818">
        <v>0.05</v>
      </c>
    </row>
    <row r="198" spans="1:6" ht="24.75" thickBot="1">
      <c r="A198" s="603" t="s">
        <v>526</v>
      </c>
      <c r="B198" s="597" t="s">
        <v>936</v>
      </c>
      <c r="C198" s="830"/>
      <c r="D198" s="830"/>
      <c r="E198" s="830"/>
      <c r="F198" s="818">
        <v>0.05</v>
      </c>
    </row>
    <row r="199" spans="1:6" ht="24.75" thickBot="1">
      <c r="A199" s="603" t="s">
        <v>526</v>
      </c>
      <c r="B199" s="597" t="s">
        <v>937</v>
      </c>
      <c r="C199" s="830"/>
      <c r="D199" s="830"/>
      <c r="E199" s="830"/>
      <c r="F199" s="818">
        <v>0.05</v>
      </c>
    </row>
    <row r="200" spans="1:6" ht="24.75" thickBot="1">
      <c r="A200" s="603" t="s">
        <v>526</v>
      </c>
      <c r="B200" s="597" t="s">
        <v>938</v>
      </c>
      <c r="C200" s="830"/>
      <c r="D200" s="830"/>
      <c r="E200" s="830"/>
      <c r="F200" s="818">
        <v>0.05</v>
      </c>
    </row>
    <row r="201" spans="1:6" ht="24.75" thickBot="1">
      <c r="A201" s="603" t="s">
        <v>526</v>
      </c>
      <c r="B201" s="597" t="s">
        <v>939</v>
      </c>
      <c r="C201" s="830"/>
      <c r="D201" s="830"/>
      <c r="E201" s="830"/>
      <c r="F201" s="818">
        <v>0.05</v>
      </c>
    </row>
    <row r="202" spans="1:6" ht="24.75" thickBot="1">
      <c r="A202" s="603" t="s">
        <v>526</v>
      </c>
      <c r="B202" s="597" t="s">
        <v>940</v>
      </c>
      <c r="C202" s="830"/>
      <c r="D202" s="830"/>
      <c r="E202" s="830"/>
      <c r="F202" s="818">
        <v>0.05</v>
      </c>
    </row>
    <row r="203" spans="1:6" ht="24.75" thickBot="1">
      <c r="A203" s="603" t="s">
        <v>526</v>
      </c>
      <c r="B203" s="597" t="s">
        <v>941</v>
      </c>
      <c r="C203" s="830"/>
      <c r="D203" s="830"/>
      <c r="E203" s="830"/>
      <c r="F203" s="818">
        <v>0.05</v>
      </c>
    </row>
    <row r="204" spans="1:6" ht="14.25" thickBot="1">
      <c r="A204" s="603" t="s">
        <v>526</v>
      </c>
      <c r="B204" s="597" t="s">
        <v>942</v>
      </c>
      <c r="C204" s="830"/>
      <c r="D204" s="830"/>
      <c r="E204" s="830"/>
      <c r="F204" s="818">
        <v>0.05</v>
      </c>
    </row>
    <row r="205" spans="1:6" ht="14.25" thickBot="1">
      <c r="A205" s="613" t="s">
        <v>526</v>
      </c>
      <c r="B205" s="609" t="s">
        <v>943</v>
      </c>
      <c r="C205" s="827"/>
      <c r="D205" s="827"/>
      <c r="E205" s="827"/>
      <c r="F205" s="820">
        <v>0.05</v>
      </c>
    </row>
    <row r="206" spans="1:6" ht="14.25" thickBot="1">
      <c r="A206" s="603" t="s">
        <v>528</v>
      </c>
      <c r="B206" s="604" t="s">
        <v>944</v>
      </c>
      <c r="C206" s="815">
        <v>0.15</v>
      </c>
      <c r="D206" s="815">
        <v>0.15</v>
      </c>
      <c r="E206" s="815">
        <v>0.15</v>
      </c>
      <c r="F206" s="816">
        <v>0.15</v>
      </c>
    </row>
    <row r="207" spans="1:6" ht="14.25" thickBot="1">
      <c r="A207" s="603" t="s">
        <v>528</v>
      </c>
      <c r="B207" s="597" t="s">
        <v>194</v>
      </c>
      <c r="C207" s="817">
        <v>0.15</v>
      </c>
      <c r="D207" s="817">
        <v>0.15</v>
      </c>
      <c r="E207" s="817">
        <v>0.15</v>
      </c>
      <c r="F207" s="818">
        <v>0.14399999999999999</v>
      </c>
    </row>
    <row r="208" spans="1:6" ht="14.25" thickBot="1">
      <c r="A208" s="603" t="s">
        <v>528</v>
      </c>
      <c r="B208" s="597" t="s">
        <v>207</v>
      </c>
      <c r="C208" s="817">
        <v>0.15</v>
      </c>
      <c r="D208" s="817">
        <v>0.15</v>
      </c>
      <c r="E208" s="817">
        <v>0.15</v>
      </c>
      <c r="F208" s="818">
        <v>0.15</v>
      </c>
    </row>
    <row r="209" spans="1:6" ht="14.25" thickBot="1">
      <c r="A209" s="603" t="s">
        <v>528</v>
      </c>
      <c r="B209" s="597" t="s">
        <v>220</v>
      </c>
      <c r="C209" s="817">
        <v>0.13700000000000001</v>
      </c>
      <c r="D209" s="817">
        <v>0.13700000000000001</v>
      </c>
      <c r="E209" s="817">
        <v>0.14000000000000001</v>
      </c>
      <c r="F209" s="818">
        <v>0.11700000000000001</v>
      </c>
    </row>
    <row r="210" spans="1:6" ht="14.25" thickBot="1">
      <c r="A210" s="603" t="s">
        <v>528</v>
      </c>
      <c r="B210" s="597" t="s">
        <v>945</v>
      </c>
      <c r="C210" s="817">
        <v>0.15</v>
      </c>
      <c r="D210" s="817">
        <v>0.15</v>
      </c>
      <c r="E210" s="817">
        <v>0.15</v>
      </c>
      <c r="F210" s="818">
        <v>0.13800000000000001</v>
      </c>
    </row>
    <row r="211" spans="1:6" ht="14.25" thickBot="1">
      <c r="A211" s="603" t="s">
        <v>528</v>
      </c>
      <c r="B211" s="597" t="s">
        <v>946</v>
      </c>
      <c r="C211" s="817">
        <v>0.13700000000000001</v>
      </c>
      <c r="D211" s="817">
        <v>0.13500000000000001</v>
      </c>
      <c r="E211" s="817">
        <v>0.13600000000000001</v>
      </c>
      <c r="F211" s="818">
        <v>0.1</v>
      </c>
    </row>
    <row r="212" spans="1:6" ht="14.25" thickBot="1">
      <c r="A212" s="603" t="s">
        <v>528</v>
      </c>
      <c r="B212" s="597" t="s">
        <v>947</v>
      </c>
      <c r="C212" s="817">
        <v>0.15</v>
      </c>
      <c r="D212" s="817">
        <v>0.15</v>
      </c>
      <c r="E212" s="817">
        <v>0.14799999999999999</v>
      </c>
      <c r="F212" s="818">
        <v>0.13600000000000001</v>
      </c>
    </row>
    <row r="213" spans="1:6" ht="14.25" thickBot="1">
      <c r="A213" s="603" t="s">
        <v>528</v>
      </c>
      <c r="B213" s="597" t="s">
        <v>265</v>
      </c>
      <c r="C213" s="817">
        <v>0.15</v>
      </c>
      <c r="D213" s="817">
        <v>0.15</v>
      </c>
      <c r="E213" s="817">
        <v>0.15</v>
      </c>
      <c r="F213" s="818">
        <v>0.13800000000000001</v>
      </c>
    </row>
    <row r="214" spans="1:6" ht="14.25" thickBot="1">
      <c r="A214" s="603" t="s">
        <v>528</v>
      </c>
      <c r="B214" s="597" t="s">
        <v>277</v>
      </c>
      <c r="C214" s="817">
        <v>9.0999999999999998E-2</v>
      </c>
      <c r="D214" s="817">
        <v>0.09</v>
      </c>
      <c r="E214" s="817">
        <v>9.1999999999999998E-2</v>
      </c>
      <c r="F214" s="829"/>
    </row>
    <row r="215" spans="1:6" ht="14.25" thickBot="1">
      <c r="A215" s="603" t="s">
        <v>528</v>
      </c>
      <c r="B215" s="597" t="s">
        <v>948</v>
      </c>
      <c r="C215" s="817">
        <v>0.15</v>
      </c>
      <c r="D215" s="817">
        <v>0.15</v>
      </c>
      <c r="E215" s="817">
        <v>0.15</v>
      </c>
      <c r="F215" s="818">
        <v>0.15</v>
      </c>
    </row>
    <row r="216" spans="1:6" ht="14.25" thickBot="1">
      <c r="A216" s="603" t="s">
        <v>528</v>
      </c>
      <c r="B216" s="597" t="s">
        <v>297</v>
      </c>
      <c r="C216" s="817">
        <v>0.14699999999999999</v>
      </c>
      <c r="D216" s="817">
        <v>0.14699999999999999</v>
      </c>
      <c r="E216" s="817">
        <v>0.15</v>
      </c>
      <c r="F216" s="818">
        <v>0.14000000000000001</v>
      </c>
    </row>
    <row r="217" spans="1:6" ht="14.25" thickBot="1">
      <c r="A217" s="603" t="s">
        <v>528</v>
      </c>
      <c r="B217" s="597" t="s">
        <v>307</v>
      </c>
      <c r="C217" s="817">
        <v>0.15</v>
      </c>
      <c r="D217" s="817">
        <v>0.15</v>
      </c>
      <c r="E217" s="817">
        <v>0.15</v>
      </c>
      <c r="F217" s="818">
        <v>0.15</v>
      </c>
    </row>
    <row r="218" spans="1:6" ht="14.25" thickBot="1">
      <c r="A218" s="603" t="s">
        <v>528</v>
      </c>
      <c r="B218" s="597" t="s">
        <v>949</v>
      </c>
      <c r="C218" s="817">
        <v>0.15</v>
      </c>
      <c r="D218" s="817">
        <v>0.15</v>
      </c>
      <c r="E218" s="817">
        <v>0.15</v>
      </c>
      <c r="F218" s="818">
        <v>0.15</v>
      </c>
    </row>
    <row r="219" spans="1:6" ht="14.25" thickBot="1">
      <c r="A219" s="603" t="s">
        <v>528</v>
      </c>
      <c r="B219" s="597" t="s">
        <v>328</v>
      </c>
      <c r="C219" s="817">
        <v>0.15</v>
      </c>
      <c r="D219" s="817">
        <v>0.15</v>
      </c>
      <c r="E219" s="817">
        <v>0.15</v>
      </c>
      <c r="F219" s="818">
        <v>0.14799999999999999</v>
      </c>
    </row>
    <row r="220" spans="1:6" ht="14.25" thickBot="1">
      <c r="A220" s="603" t="s">
        <v>528</v>
      </c>
      <c r="B220" s="597" t="s">
        <v>950</v>
      </c>
      <c r="C220" s="817">
        <v>0.15</v>
      </c>
      <c r="D220" s="817">
        <v>0.15</v>
      </c>
      <c r="E220" s="817">
        <v>0.15</v>
      </c>
      <c r="F220" s="818">
        <v>0.15</v>
      </c>
    </row>
    <row r="221" spans="1:6" ht="14.25" thickBot="1">
      <c r="A221" s="603" t="s">
        <v>528</v>
      </c>
      <c r="B221" s="597" t="s">
        <v>349</v>
      </c>
      <c r="C221" s="817"/>
      <c r="D221" s="830"/>
      <c r="E221" s="830"/>
      <c r="F221" s="818">
        <v>0.14799999999999999</v>
      </c>
    </row>
    <row r="222" spans="1:6" ht="14.25" thickBot="1">
      <c r="A222" s="603" t="s">
        <v>528</v>
      </c>
      <c r="B222" s="597" t="s">
        <v>359</v>
      </c>
      <c r="C222" s="817"/>
      <c r="D222" s="830"/>
      <c r="E222" s="830"/>
      <c r="F222" s="818">
        <v>0.1</v>
      </c>
    </row>
    <row r="223" spans="1:6" ht="14.25" thickBot="1">
      <c r="A223" s="603" t="s">
        <v>528</v>
      </c>
      <c r="B223" s="597" t="s">
        <v>369</v>
      </c>
      <c r="C223" s="817"/>
      <c r="D223" s="830"/>
      <c r="E223" s="830"/>
      <c r="F223" s="818">
        <v>0.15</v>
      </c>
    </row>
    <row r="224" spans="1:6" ht="14.25" thickBot="1">
      <c r="A224" s="603" t="s">
        <v>528</v>
      </c>
      <c r="B224" s="597" t="s">
        <v>379</v>
      </c>
      <c r="C224" s="817"/>
      <c r="D224" s="830"/>
      <c r="E224" s="830"/>
      <c r="F224" s="818">
        <v>0.15</v>
      </c>
    </row>
    <row r="225" spans="1:6" ht="14.25" thickBot="1">
      <c r="A225" s="603" t="s">
        <v>528</v>
      </c>
      <c r="B225" s="597" t="s">
        <v>951</v>
      </c>
      <c r="C225" s="817">
        <v>0.15</v>
      </c>
      <c r="D225" s="817">
        <v>0.15</v>
      </c>
      <c r="E225" s="817">
        <v>0.15</v>
      </c>
      <c r="F225" s="818">
        <v>0.15</v>
      </c>
    </row>
    <row r="226" spans="1:6" ht="14.25" thickBot="1">
      <c r="A226" s="603" t="s">
        <v>528</v>
      </c>
      <c r="B226" s="597" t="s">
        <v>397</v>
      </c>
      <c r="C226" s="817">
        <v>0.15</v>
      </c>
      <c r="D226" s="817">
        <v>0.15</v>
      </c>
      <c r="E226" s="817">
        <v>0.15</v>
      </c>
      <c r="F226" s="818">
        <v>0.14799999999999999</v>
      </c>
    </row>
    <row r="227" spans="1:6" ht="14.25" thickBot="1">
      <c r="A227" s="603" t="s">
        <v>528</v>
      </c>
      <c r="B227" s="597" t="s">
        <v>952</v>
      </c>
      <c r="C227" s="817">
        <v>0.15</v>
      </c>
      <c r="D227" s="817">
        <v>0.15</v>
      </c>
      <c r="E227" s="817">
        <v>0.15</v>
      </c>
      <c r="F227" s="818">
        <v>0.15</v>
      </c>
    </row>
    <row r="228" spans="1:6" ht="14.25" thickBot="1">
      <c r="A228" s="603" t="s">
        <v>528</v>
      </c>
      <c r="B228" s="597" t="s">
        <v>412</v>
      </c>
      <c r="C228" s="817">
        <v>0.15</v>
      </c>
      <c r="D228" s="817">
        <v>0.15</v>
      </c>
      <c r="E228" s="817">
        <v>0.15</v>
      </c>
      <c r="F228" s="818">
        <v>0.15</v>
      </c>
    </row>
    <row r="229" spans="1:6" ht="14.25" thickBot="1">
      <c r="A229" s="603" t="s">
        <v>528</v>
      </c>
      <c r="B229" s="597" t="s">
        <v>419</v>
      </c>
      <c r="C229" s="817">
        <v>0.15</v>
      </c>
      <c r="D229" s="817">
        <v>0.15</v>
      </c>
      <c r="E229" s="817">
        <v>0.15</v>
      </c>
      <c r="F229" s="829"/>
    </row>
    <row r="230" spans="1:6" ht="14.25" thickBot="1">
      <c r="A230" s="603" t="s">
        <v>528</v>
      </c>
      <c r="B230" s="597" t="s">
        <v>426</v>
      </c>
      <c r="C230" s="817">
        <v>0.14499999999999999</v>
      </c>
      <c r="D230" s="817">
        <v>0.14499999999999999</v>
      </c>
      <c r="E230" s="817">
        <v>0.14399999999999999</v>
      </c>
      <c r="F230" s="829"/>
    </row>
    <row r="231" spans="1:6" ht="14.25" thickBot="1">
      <c r="A231" s="603" t="s">
        <v>528</v>
      </c>
      <c r="B231" s="597" t="s">
        <v>953</v>
      </c>
      <c r="C231" s="817">
        <v>0.128</v>
      </c>
      <c r="D231" s="817">
        <v>0.125</v>
      </c>
      <c r="E231" s="817">
        <v>0.13200000000000001</v>
      </c>
      <c r="F231" s="829"/>
    </row>
    <row r="232" spans="1:6" ht="14.25" thickBot="1">
      <c r="A232" s="603" t="s">
        <v>528</v>
      </c>
      <c r="B232" s="597" t="s">
        <v>954</v>
      </c>
      <c r="C232" s="817">
        <v>0.14499999999999999</v>
      </c>
      <c r="D232" s="817">
        <v>0.14399999999999999</v>
      </c>
      <c r="E232" s="817">
        <v>0.14599999999999999</v>
      </c>
      <c r="F232" s="818">
        <v>0.13800000000000001</v>
      </c>
    </row>
    <row r="233" spans="1:6" ht="14.25" thickBot="1">
      <c r="A233" s="603" t="s">
        <v>528</v>
      </c>
      <c r="B233" s="597" t="s">
        <v>955</v>
      </c>
      <c r="C233" s="817">
        <v>0.14499999999999999</v>
      </c>
      <c r="D233" s="817">
        <v>0.14299999999999999</v>
      </c>
      <c r="E233" s="817">
        <v>0.14199999999999999</v>
      </c>
      <c r="F233" s="829"/>
    </row>
    <row r="234" spans="1:6" ht="14.25" thickBot="1">
      <c r="A234" s="603" t="s">
        <v>528</v>
      </c>
      <c r="B234" s="597" t="s">
        <v>956</v>
      </c>
      <c r="C234" s="817">
        <v>0.14000000000000001</v>
      </c>
      <c r="D234" s="817">
        <v>0.14000000000000001</v>
      </c>
      <c r="E234" s="817">
        <v>0.14399999999999999</v>
      </c>
      <c r="F234" s="829"/>
    </row>
    <row r="235" spans="1:6" ht="14.25" thickBot="1">
      <c r="A235" s="603" t="s">
        <v>528</v>
      </c>
      <c r="B235" s="597" t="s">
        <v>957</v>
      </c>
      <c r="C235" s="817">
        <v>0.14099999999999999</v>
      </c>
      <c r="D235" s="817">
        <v>0.14199999999999999</v>
      </c>
      <c r="E235" s="817">
        <v>0.14499999999999999</v>
      </c>
      <c r="F235" s="818">
        <v>0.15</v>
      </c>
    </row>
    <row r="236" spans="1:6" ht="14.25" thickBot="1">
      <c r="A236" s="603" t="s">
        <v>528</v>
      </c>
      <c r="B236" s="597" t="s">
        <v>461</v>
      </c>
      <c r="C236" s="830"/>
      <c r="D236" s="830"/>
      <c r="E236" s="830"/>
      <c r="F236" s="818">
        <v>0.14299999999999999</v>
      </c>
    </row>
    <row r="237" spans="1:6" ht="24.75" thickBot="1">
      <c r="A237" s="603" t="s">
        <v>528</v>
      </c>
      <c r="B237" s="597" t="s">
        <v>958</v>
      </c>
      <c r="C237" s="830"/>
      <c r="D237" s="830"/>
      <c r="E237" s="830"/>
      <c r="F237" s="818">
        <v>0.05</v>
      </c>
    </row>
    <row r="238" spans="1:6" ht="24.75" thickBot="1">
      <c r="A238" s="603" t="s">
        <v>528</v>
      </c>
      <c r="B238" s="597" t="s">
        <v>959</v>
      </c>
      <c r="C238" s="830"/>
      <c r="D238" s="830"/>
      <c r="E238" s="830"/>
      <c r="F238" s="818">
        <v>0.05</v>
      </c>
    </row>
    <row r="239" spans="1:6" ht="24.75" thickBot="1">
      <c r="A239" s="603" t="s">
        <v>528</v>
      </c>
      <c r="B239" s="597" t="s">
        <v>960</v>
      </c>
      <c r="C239" s="830"/>
      <c r="D239" s="830"/>
      <c r="E239" s="830"/>
      <c r="F239" s="818">
        <v>0.05</v>
      </c>
    </row>
    <row r="240" spans="1:6" ht="24.75" thickBot="1">
      <c r="A240" s="603" t="s">
        <v>528</v>
      </c>
      <c r="B240" s="597" t="s">
        <v>961</v>
      </c>
      <c r="C240" s="830"/>
      <c r="D240" s="830"/>
      <c r="E240" s="830"/>
      <c r="F240" s="818">
        <v>0.05</v>
      </c>
    </row>
    <row r="241" spans="1:6" ht="24.75" thickBot="1">
      <c r="A241" s="603" t="s">
        <v>528</v>
      </c>
      <c r="B241" s="597" t="s">
        <v>962</v>
      </c>
      <c r="C241" s="830"/>
      <c r="D241" s="830"/>
      <c r="E241" s="830"/>
      <c r="F241" s="818">
        <v>0.05</v>
      </c>
    </row>
    <row r="242" spans="1:6" ht="24.75" thickBot="1">
      <c r="A242" s="603" t="s">
        <v>528</v>
      </c>
      <c r="B242" s="597" t="s">
        <v>963</v>
      </c>
      <c r="C242" s="830"/>
      <c r="D242" s="830"/>
      <c r="E242" s="830"/>
      <c r="F242" s="818">
        <v>0.05</v>
      </c>
    </row>
    <row r="243" spans="1:6" ht="24.75" thickBot="1">
      <c r="A243" s="603" t="s">
        <v>528</v>
      </c>
      <c r="B243" s="597" t="s">
        <v>964</v>
      </c>
      <c r="C243" s="830"/>
      <c r="D243" s="830"/>
      <c r="E243" s="830"/>
      <c r="F243" s="818">
        <v>0.05</v>
      </c>
    </row>
    <row r="244" spans="1:6" ht="24.75" thickBot="1">
      <c r="A244" s="613" t="s">
        <v>528</v>
      </c>
      <c r="B244" s="609" t="s">
        <v>965</v>
      </c>
      <c r="C244" s="827"/>
      <c r="D244" s="827"/>
      <c r="E244" s="827"/>
      <c r="F244" s="820">
        <v>0.05</v>
      </c>
    </row>
    <row r="245" spans="1:6" ht="14.25" thickBot="1">
      <c r="A245" s="603" t="s">
        <v>530</v>
      </c>
      <c r="B245" s="604" t="s">
        <v>966</v>
      </c>
      <c r="C245" s="815">
        <v>0.15</v>
      </c>
      <c r="D245" s="815">
        <v>0.15</v>
      </c>
      <c r="E245" s="815">
        <v>0.15</v>
      </c>
      <c r="F245" s="816">
        <v>0.14299999999999999</v>
      </c>
    </row>
    <row r="246" spans="1:6" ht="14.25" thickBot="1">
      <c r="A246" s="603" t="s">
        <v>530</v>
      </c>
      <c r="B246" s="597" t="s">
        <v>195</v>
      </c>
      <c r="C246" s="817">
        <v>0.15</v>
      </c>
      <c r="D246" s="817">
        <v>0.15</v>
      </c>
      <c r="E246" s="817">
        <v>0.15</v>
      </c>
      <c r="F246" s="818">
        <v>0.114</v>
      </c>
    </row>
    <row r="247" spans="1:6" ht="14.25" thickBot="1">
      <c r="A247" s="603" t="s">
        <v>530</v>
      </c>
      <c r="B247" s="597" t="s">
        <v>967</v>
      </c>
      <c r="C247" s="817">
        <v>0.15</v>
      </c>
      <c r="D247" s="817">
        <v>0.15</v>
      </c>
      <c r="E247" s="817">
        <v>0.15</v>
      </c>
      <c r="F247" s="818">
        <v>0.15</v>
      </c>
    </row>
    <row r="248" spans="1:6" ht="14.25" thickBot="1">
      <c r="A248" s="603" t="s">
        <v>530</v>
      </c>
      <c r="B248" s="597" t="s">
        <v>968</v>
      </c>
      <c r="C248" s="817">
        <v>0.15</v>
      </c>
      <c r="D248" s="817">
        <v>0.15</v>
      </c>
      <c r="E248" s="817">
        <v>0.15</v>
      </c>
      <c r="F248" s="818">
        <v>0.14000000000000001</v>
      </c>
    </row>
    <row r="249" spans="1:6" ht="14.25" thickBot="1">
      <c r="A249" s="603" t="s">
        <v>530</v>
      </c>
      <c r="B249" s="597" t="s">
        <v>969</v>
      </c>
      <c r="C249" s="817">
        <v>0.15</v>
      </c>
      <c r="D249" s="817">
        <v>0.14899999999999999</v>
      </c>
      <c r="E249" s="817">
        <v>0.15</v>
      </c>
      <c r="F249" s="818">
        <v>0.1</v>
      </c>
    </row>
    <row r="250" spans="1:6" ht="14.25" thickBot="1">
      <c r="A250" s="603" t="s">
        <v>530</v>
      </c>
      <c r="B250" s="597" t="s">
        <v>970</v>
      </c>
      <c r="C250" s="817">
        <v>0.15</v>
      </c>
      <c r="D250" s="817">
        <v>0.15</v>
      </c>
      <c r="E250" s="817">
        <v>0.15</v>
      </c>
      <c r="F250" s="818">
        <v>0.14399999999999999</v>
      </c>
    </row>
    <row r="251" spans="1:6" ht="14.25" thickBot="1">
      <c r="A251" s="603" t="s">
        <v>530</v>
      </c>
      <c r="B251" s="597" t="s">
        <v>255</v>
      </c>
      <c r="C251" s="817">
        <v>0.15</v>
      </c>
      <c r="D251" s="817">
        <v>0.15</v>
      </c>
      <c r="E251" s="817">
        <v>0.15</v>
      </c>
      <c r="F251" s="818">
        <v>0.14299999999999999</v>
      </c>
    </row>
    <row r="252" spans="1:6" ht="14.25" thickBot="1">
      <c r="A252" s="603" t="s">
        <v>530</v>
      </c>
      <c r="B252" s="597" t="s">
        <v>266</v>
      </c>
      <c r="C252" s="817">
        <v>0.15</v>
      </c>
      <c r="D252" s="817">
        <v>0.15</v>
      </c>
      <c r="E252" s="817">
        <v>0.15</v>
      </c>
      <c r="F252" s="818">
        <v>0.1</v>
      </c>
    </row>
    <row r="253" spans="1:6" ht="14.25" thickBot="1">
      <c r="A253" s="603" t="s">
        <v>530</v>
      </c>
      <c r="B253" s="597" t="s">
        <v>278</v>
      </c>
      <c r="C253" s="817">
        <v>0.15</v>
      </c>
      <c r="D253" s="817">
        <v>0.15</v>
      </c>
      <c r="E253" s="817">
        <v>0.15</v>
      </c>
      <c r="F253" s="818">
        <v>0.1</v>
      </c>
    </row>
    <row r="254" spans="1:6" ht="14.25" thickBot="1">
      <c r="A254" s="603" t="s">
        <v>530</v>
      </c>
      <c r="B254" s="597" t="s">
        <v>288</v>
      </c>
      <c r="C254" s="830"/>
      <c r="D254" s="830"/>
      <c r="E254" s="830"/>
      <c r="F254" s="818">
        <v>0.15</v>
      </c>
    </row>
    <row r="255" spans="1:6" ht="14.25" thickBot="1">
      <c r="A255" s="603" t="s">
        <v>530</v>
      </c>
      <c r="B255" s="597" t="s">
        <v>298</v>
      </c>
      <c r="C255" s="830"/>
      <c r="D255" s="830"/>
      <c r="E255" s="830"/>
      <c r="F255" s="818">
        <v>0.14299999999999999</v>
      </c>
    </row>
    <row r="256" spans="1:6" ht="14.25" thickBot="1">
      <c r="A256" s="603" t="s">
        <v>530</v>
      </c>
      <c r="B256" s="597" t="s">
        <v>971</v>
      </c>
      <c r="C256" s="817">
        <v>0.14599999999999999</v>
      </c>
      <c r="D256" s="817">
        <v>0.14699999999999999</v>
      </c>
      <c r="E256" s="817">
        <v>0.15</v>
      </c>
      <c r="F256" s="818">
        <v>0.13200000000000001</v>
      </c>
    </row>
    <row r="257" spans="1:6" ht="14.25" thickBot="1">
      <c r="A257" s="603" t="s">
        <v>530</v>
      </c>
      <c r="B257" s="597" t="s">
        <v>318</v>
      </c>
      <c r="C257" s="817">
        <v>0.15</v>
      </c>
      <c r="D257" s="817">
        <v>0.15</v>
      </c>
      <c r="E257" s="817">
        <v>0.15</v>
      </c>
      <c r="F257" s="818">
        <v>0.13900000000000001</v>
      </c>
    </row>
    <row r="258" spans="1:6" ht="14.25" thickBot="1">
      <c r="A258" s="603" t="s">
        <v>530</v>
      </c>
      <c r="B258" s="597" t="s">
        <v>329</v>
      </c>
      <c r="C258" s="817">
        <v>0.15</v>
      </c>
      <c r="D258" s="817">
        <v>0.15</v>
      </c>
      <c r="E258" s="817">
        <v>0.15</v>
      </c>
      <c r="F258" s="818">
        <v>0.13</v>
      </c>
    </row>
    <row r="259" spans="1:6" ht="14.25" thickBot="1">
      <c r="A259" s="603" t="s">
        <v>530</v>
      </c>
      <c r="B259" s="597" t="s">
        <v>972</v>
      </c>
      <c r="C259" s="817">
        <v>0.14799999999999999</v>
      </c>
      <c r="D259" s="817">
        <v>0.14899999999999999</v>
      </c>
      <c r="E259" s="817">
        <v>0.15</v>
      </c>
      <c r="F259" s="818">
        <v>0.13700000000000001</v>
      </c>
    </row>
    <row r="260" spans="1:6" ht="14.25" thickBot="1">
      <c r="A260" s="603" t="s">
        <v>530</v>
      </c>
      <c r="B260" s="597" t="s">
        <v>350</v>
      </c>
      <c r="C260" s="817">
        <v>0.15</v>
      </c>
      <c r="D260" s="817">
        <v>0.15</v>
      </c>
      <c r="E260" s="817">
        <v>0.15</v>
      </c>
      <c r="F260" s="818">
        <v>0.14199999999999999</v>
      </c>
    </row>
    <row r="261" spans="1:6" ht="14.25" thickBot="1">
      <c r="A261" s="603" t="s">
        <v>530</v>
      </c>
      <c r="B261" s="597" t="s">
        <v>360</v>
      </c>
      <c r="C261" s="817">
        <v>0.15</v>
      </c>
      <c r="D261" s="817">
        <v>0.15</v>
      </c>
      <c r="E261" s="817">
        <v>0.14899999999999999</v>
      </c>
      <c r="F261" s="818">
        <v>0.14799999999999999</v>
      </c>
    </row>
    <row r="262" spans="1:6" ht="14.25" thickBot="1">
      <c r="A262" s="603" t="s">
        <v>530</v>
      </c>
      <c r="B262" s="597" t="s">
        <v>370</v>
      </c>
      <c r="C262" s="817">
        <v>0.15</v>
      </c>
      <c r="D262" s="817">
        <v>0.15</v>
      </c>
      <c r="E262" s="817">
        <v>0.15</v>
      </c>
      <c r="F262" s="829"/>
    </row>
    <row r="263" spans="1:6" ht="14.25" thickBot="1">
      <c r="A263" s="603" t="s">
        <v>530</v>
      </c>
      <c r="B263" s="597" t="s">
        <v>973</v>
      </c>
      <c r="C263" s="817">
        <v>0.14899999999999999</v>
      </c>
      <c r="D263" s="817">
        <v>0.14899999999999999</v>
      </c>
      <c r="E263" s="817">
        <v>0.15</v>
      </c>
      <c r="F263" s="818">
        <v>0.13</v>
      </c>
    </row>
    <row r="264" spans="1:6" ht="14.25" thickBot="1">
      <c r="A264" s="603" t="s">
        <v>530</v>
      </c>
      <c r="B264" s="597" t="s">
        <v>389</v>
      </c>
      <c r="C264" s="817">
        <v>0.14799999999999999</v>
      </c>
      <c r="D264" s="817">
        <v>0.14699999999999999</v>
      </c>
      <c r="E264" s="817">
        <v>0.15</v>
      </c>
      <c r="F264" s="818">
        <v>7.8E-2</v>
      </c>
    </row>
    <row r="265" spans="1:6" ht="14.25" thickBot="1">
      <c r="A265" s="603" t="s">
        <v>530</v>
      </c>
      <c r="B265" s="597" t="s">
        <v>398</v>
      </c>
      <c r="C265" s="817">
        <v>0.15</v>
      </c>
      <c r="D265" s="817">
        <v>0.15</v>
      </c>
      <c r="E265" s="817">
        <v>0.15</v>
      </c>
      <c r="F265" s="818">
        <v>7.3999999999999996E-2</v>
      </c>
    </row>
    <row r="266" spans="1:6" ht="14.25" thickBot="1">
      <c r="A266" s="603" t="s">
        <v>530</v>
      </c>
      <c r="B266" s="597" t="s">
        <v>406</v>
      </c>
      <c r="C266" s="817">
        <v>0.14699999999999999</v>
      </c>
      <c r="D266" s="817">
        <v>0.14699999999999999</v>
      </c>
      <c r="E266" s="817">
        <v>0.15</v>
      </c>
      <c r="F266" s="818">
        <v>0.14299999999999999</v>
      </c>
    </row>
    <row r="267" spans="1:6" ht="14.25" thickBot="1">
      <c r="A267" s="603" t="s">
        <v>530</v>
      </c>
      <c r="B267" s="597" t="s">
        <v>413</v>
      </c>
      <c r="C267" s="817">
        <v>0.14199999999999999</v>
      </c>
      <c r="D267" s="817">
        <v>0.14299999999999999</v>
      </c>
      <c r="E267" s="817">
        <v>0.15</v>
      </c>
      <c r="F267" s="829"/>
    </row>
    <row r="268" spans="1:6" ht="14.25" thickBot="1">
      <c r="A268" s="603" t="s">
        <v>530</v>
      </c>
      <c r="B268" s="597" t="s">
        <v>974</v>
      </c>
      <c r="C268" s="817">
        <v>0.15</v>
      </c>
      <c r="D268" s="817">
        <v>0.15</v>
      </c>
      <c r="E268" s="817">
        <v>0.15</v>
      </c>
      <c r="F268" s="818">
        <v>0.13</v>
      </c>
    </row>
    <row r="269" spans="1:6" ht="14.25" thickBot="1">
      <c r="A269" s="603" t="s">
        <v>530</v>
      </c>
      <c r="B269" s="597" t="s">
        <v>427</v>
      </c>
      <c r="C269" s="817">
        <v>0.15</v>
      </c>
      <c r="D269" s="817">
        <v>0.15</v>
      </c>
      <c r="E269" s="817">
        <v>0.15</v>
      </c>
      <c r="F269" s="818">
        <v>0.14299999999999999</v>
      </c>
    </row>
    <row r="270" spans="1:6" ht="14.25" thickBot="1">
      <c r="A270" s="603" t="s">
        <v>530</v>
      </c>
      <c r="B270" s="597" t="s">
        <v>434</v>
      </c>
      <c r="C270" s="817">
        <v>0.14499999999999999</v>
      </c>
      <c r="D270" s="817">
        <v>0.14499999999999999</v>
      </c>
      <c r="E270" s="817">
        <v>0.15</v>
      </c>
      <c r="F270" s="818">
        <v>0.14699999999999999</v>
      </c>
    </row>
    <row r="271" spans="1:6" ht="14.25" thickBot="1">
      <c r="A271" s="603" t="s">
        <v>530</v>
      </c>
      <c r="B271" s="597" t="s">
        <v>441</v>
      </c>
      <c r="C271" s="817">
        <v>0.15</v>
      </c>
      <c r="D271" s="817">
        <v>0.15</v>
      </c>
      <c r="E271" s="817">
        <v>0.15</v>
      </c>
      <c r="F271" s="818">
        <v>0.13800000000000001</v>
      </c>
    </row>
    <row r="272" spans="1:6" ht="14.25" thickBot="1">
      <c r="A272" s="603" t="s">
        <v>530</v>
      </c>
      <c r="B272" s="597" t="s">
        <v>448</v>
      </c>
      <c r="C272" s="830"/>
      <c r="D272" s="830"/>
      <c r="E272" s="830"/>
      <c r="F272" s="818">
        <v>0.14000000000000001</v>
      </c>
    </row>
    <row r="273" spans="1:6" ht="14.25" thickBot="1">
      <c r="A273" s="603" t="s">
        <v>530</v>
      </c>
      <c r="B273" s="597" t="s">
        <v>975</v>
      </c>
      <c r="C273" s="817">
        <v>0.14199999999999999</v>
      </c>
      <c r="D273" s="817">
        <v>0.14299999999999999</v>
      </c>
      <c r="E273" s="817">
        <v>0.15</v>
      </c>
      <c r="F273" s="818">
        <v>0.1</v>
      </c>
    </row>
    <row r="274" spans="1:6" ht="14.25" thickBot="1">
      <c r="A274" s="603" t="s">
        <v>530</v>
      </c>
      <c r="B274" s="597" t="s">
        <v>976</v>
      </c>
      <c r="C274" s="817">
        <v>0.14799999999999999</v>
      </c>
      <c r="D274" s="817">
        <v>0.14799999999999999</v>
      </c>
      <c r="E274" s="817">
        <v>0.15</v>
      </c>
      <c r="F274" s="818">
        <v>6.7000000000000004E-2</v>
      </c>
    </row>
    <row r="275" spans="1:6" ht="14.25" thickBot="1">
      <c r="A275" s="603" t="s">
        <v>530</v>
      </c>
      <c r="B275" s="597" t="s">
        <v>977</v>
      </c>
      <c r="C275" s="817">
        <v>0.15</v>
      </c>
      <c r="D275" s="817">
        <v>0.15</v>
      </c>
      <c r="E275" s="817">
        <v>0.15</v>
      </c>
      <c r="F275" s="818">
        <v>0.15</v>
      </c>
    </row>
    <row r="276" spans="1:6" ht="14.25" thickBot="1">
      <c r="A276" s="603" t="s">
        <v>530</v>
      </c>
      <c r="B276" s="597" t="s">
        <v>978</v>
      </c>
      <c r="C276" s="817">
        <v>0.14499999999999999</v>
      </c>
      <c r="D276" s="817">
        <v>0.14299999999999999</v>
      </c>
      <c r="E276" s="817">
        <v>0.15</v>
      </c>
      <c r="F276" s="818">
        <v>5.8999999999999997E-2</v>
      </c>
    </row>
    <row r="277" spans="1:6" ht="14.25" thickBot="1">
      <c r="A277" s="603" t="s">
        <v>530</v>
      </c>
      <c r="B277" s="597" t="s">
        <v>979</v>
      </c>
      <c r="C277" s="817">
        <v>0.15</v>
      </c>
      <c r="D277" s="817">
        <v>0.15</v>
      </c>
      <c r="E277" s="817">
        <v>0.15</v>
      </c>
      <c r="F277" s="818">
        <v>0.121</v>
      </c>
    </row>
    <row r="278" spans="1:6" ht="14.25" thickBot="1">
      <c r="A278" s="603" t="s">
        <v>530</v>
      </c>
      <c r="B278" s="597" t="s">
        <v>980</v>
      </c>
      <c r="C278" s="817">
        <v>0.15</v>
      </c>
      <c r="D278" s="817">
        <v>0.15</v>
      </c>
      <c r="E278" s="817">
        <v>0.15</v>
      </c>
      <c r="F278" s="818">
        <v>0.13800000000000001</v>
      </c>
    </row>
    <row r="279" spans="1:6" ht="24.75" thickBot="1">
      <c r="A279" s="603" t="s">
        <v>530</v>
      </c>
      <c r="B279" s="597" t="s">
        <v>981</v>
      </c>
      <c r="C279" s="830"/>
      <c r="D279" s="830"/>
      <c r="E279" s="830"/>
      <c r="F279" s="818">
        <v>0.05</v>
      </c>
    </row>
    <row r="280" spans="1:6" ht="24.75" thickBot="1">
      <c r="A280" s="603" t="s">
        <v>530</v>
      </c>
      <c r="B280" s="597" t="s">
        <v>982</v>
      </c>
      <c r="C280" s="830"/>
      <c r="D280" s="830"/>
      <c r="E280" s="830"/>
      <c r="F280" s="818">
        <v>0.05</v>
      </c>
    </row>
    <row r="281" spans="1:6" ht="24.75" thickBot="1">
      <c r="A281" s="603" t="s">
        <v>530</v>
      </c>
      <c r="B281" s="597" t="s">
        <v>983</v>
      </c>
      <c r="C281" s="830"/>
      <c r="D281" s="830"/>
      <c r="E281" s="830"/>
      <c r="F281" s="818">
        <v>0.05</v>
      </c>
    </row>
    <row r="282" spans="1:6" ht="24.75" thickBot="1">
      <c r="A282" s="603" t="s">
        <v>530</v>
      </c>
      <c r="B282" s="597" t="s">
        <v>984</v>
      </c>
      <c r="C282" s="830"/>
      <c r="D282" s="830"/>
      <c r="E282" s="830"/>
      <c r="F282" s="818">
        <v>0.05</v>
      </c>
    </row>
    <row r="283" spans="1:6" ht="24.75" thickBot="1">
      <c r="A283" s="603" t="s">
        <v>530</v>
      </c>
      <c r="B283" s="597" t="s">
        <v>985</v>
      </c>
      <c r="C283" s="830"/>
      <c r="D283" s="830"/>
      <c r="E283" s="830"/>
      <c r="F283" s="818">
        <v>0.05</v>
      </c>
    </row>
    <row r="284" spans="1:6" ht="24.75" thickBot="1">
      <c r="A284" s="603" t="s">
        <v>530</v>
      </c>
      <c r="B284" s="597" t="s">
        <v>986</v>
      </c>
      <c r="C284" s="830"/>
      <c r="D284" s="830"/>
      <c r="E284" s="830"/>
      <c r="F284" s="818">
        <v>0.05</v>
      </c>
    </row>
    <row r="285" spans="1:6" ht="24.75" thickBot="1">
      <c r="A285" s="603" t="s">
        <v>530</v>
      </c>
      <c r="B285" s="597" t="s">
        <v>987</v>
      </c>
      <c r="C285" s="830"/>
      <c r="D285" s="830"/>
      <c r="E285" s="830"/>
      <c r="F285" s="818">
        <v>0.05</v>
      </c>
    </row>
    <row r="286" spans="1:6" ht="24.75" thickBot="1">
      <c r="A286" s="603" t="s">
        <v>530</v>
      </c>
      <c r="B286" s="597" t="s">
        <v>988</v>
      </c>
      <c r="C286" s="830"/>
      <c r="D286" s="830"/>
      <c r="E286" s="830"/>
      <c r="F286" s="818">
        <v>0.05</v>
      </c>
    </row>
    <row r="287" spans="1:6" ht="24.75" thickBot="1">
      <c r="A287" s="603" t="s">
        <v>530</v>
      </c>
      <c r="B287" s="597" t="s">
        <v>989</v>
      </c>
      <c r="C287" s="830"/>
      <c r="D287" s="830"/>
      <c r="E287" s="830"/>
      <c r="F287" s="818">
        <v>0.05</v>
      </c>
    </row>
    <row r="288" spans="1:6" ht="24.75" thickBot="1">
      <c r="A288" s="603" t="s">
        <v>530</v>
      </c>
      <c r="B288" s="597" t="s">
        <v>990</v>
      </c>
      <c r="C288" s="830"/>
      <c r="D288" s="830"/>
      <c r="E288" s="830"/>
      <c r="F288" s="818">
        <v>0.05</v>
      </c>
    </row>
    <row r="289" spans="1:6" ht="24.75" thickBot="1">
      <c r="A289" s="613" t="s">
        <v>530</v>
      </c>
      <c r="B289" s="609" t="s">
        <v>991</v>
      </c>
      <c r="C289" s="827"/>
      <c r="D289" s="827"/>
      <c r="E289" s="827"/>
      <c r="F289" s="820">
        <v>0.05</v>
      </c>
    </row>
    <row r="290" spans="1:6" ht="14.25" thickBot="1">
      <c r="A290" s="603" t="s">
        <v>534</v>
      </c>
      <c r="B290" s="604" t="s">
        <v>992</v>
      </c>
      <c r="C290" s="815">
        <v>0.15</v>
      </c>
      <c r="D290" s="815">
        <v>0.15</v>
      </c>
      <c r="E290" s="815">
        <v>0.15</v>
      </c>
      <c r="F290" s="832"/>
    </row>
    <row r="291" spans="1:6" ht="14.25" thickBot="1">
      <c r="A291" s="603" t="s">
        <v>534</v>
      </c>
      <c r="B291" s="597" t="s">
        <v>196</v>
      </c>
      <c r="C291" s="817">
        <v>0.15</v>
      </c>
      <c r="D291" s="817">
        <v>0.15</v>
      </c>
      <c r="E291" s="817">
        <v>0.15</v>
      </c>
      <c r="F291" s="829"/>
    </row>
    <row r="292" spans="1:6" ht="14.25" thickBot="1">
      <c r="A292" s="603" t="s">
        <v>534</v>
      </c>
      <c r="B292" s="597" t="s">
        <v>993</v>
      </c>
      <c r="C292" s="817">
        <v>0.15</v>
      </c>
      <c r="D292" s="817">
        <v>0.15</v>
      </c>
      <c r="E292" s="817">
        <v>0.15</v>
      </c>
      <c r="F292" s="818">
        <v>0.14699999999999999</v>
      </c>
    </row>
    <row r="293" spans="1:6" ht="14.25" thickBot="1">
      <c r="A293" s="603" t="s">
        <v>534</v>
      </c>
      <c r="B293" s="597" t="s">
        <v>994</v>
      </c>
      <c r="C293" s="830"/>
      <c r="D293" s="830"/>
      <c r="E293" s="830"/>
      <c r="F293" s="818">
        <v>0.1</v>
      </c>
    </row>
    <row r="294" spans="1:6" ht="14.25" thickBot="1">
      <c r="A294" s="603" t="s">
        <v>534</v>
      </c>
      <c r="B294" s="597" t="s">
        <v>995</v>
      </c>
      <c r="C294" s="817">
        <v>0.15</v>
      </c>
      <c r="D294" s="817">
        <v>0.15</v>
      </c>
      <c r="E294" s="817">
        <v>0.15</v>
      </c>
      <c r="F294" s="818">
        <v>0.15</v>
      </c>
    </row>
    <row r="295" spans="1:6" ht="14.25" thickBot="1">
      <c r="A295" s="603" t="s">
        <v>534</v>
      </c>
      <c r="B295" s="597" t="s">
        <v>234</v>
      </c>
      <c r="C295" s="817">
        <v>0.15</v>
      </c>
      <c r="D295" s="817">
        <v>0.15</v>
      </c>
      <c r="E295" s="817">
        <v>0.15</v>
      </c>
      <c r="F295" s="818">
        <v>0.15</v>
      </c>
    </row>
    <row r="296" spans="1:6" ht="14.25" thickBot="1">
      <c r="A296" s="603" t="s">
        <v>534</v>
      </c>
      <c r="B296" s="597" t="s">
        <v>996</v>
      </c>
      <c r="C296" s="817">
        <v>0.15</v>
      </c>
      <c r="D296" s="817">
        <v>0.15</v>
      </c>
      <c r="E296" s="817">
        <v>0.15</v>
      </c>
      <c r="F296" s="818">
        <v>0.15</v>
      </c>
    </row>
    <row r="297" spans="1:6" ht="14.25" thickBot="1">
      <c r="A297" s="603" t="s">
        <v>534</v>
      </c>
      <c r="B297" s="597" t="s">
        <v>997</v>
      </c>
      <c r="C297" s="817">
        <v>0.14799999999999999</v>
      </c>
      <c r="D297" s="817">
        <v>0.14899999999999999</v>
      </c>
      <c r="E297" s="817">
        <v>0.15</v>
      </c>
      <c r="F297" s="818">
        <v>0.13700000000000001</v>
      </c>
    </row>
    <row r="298" spans="1:6" ht="14.25" thickBot="1">
      <c r="A298" s="603" t="s">
        <v>534</v>
      </c>
      <c r="B298" s="597" t="s">
        <v>267</v>
      </c>
      <c r="C298" s="817">
        <v>0.13400000000000001</v>
      </c>
      <c r="D298" s="817">
        <v>0.13400000000000001</v>
      </c>
      <c r="E298" s="817">
        <v>0.14499999999999999</v>
      </c>
      <c r="F298" s="818">
        <v>0.14799999999999999</v>
      </c>
    </row>
    <row r="299" spans="1:6" ht="14.25" thickBot="1">
      <c r="A299" s="603" t="s">
        <v>534</v>
      </c>
      <c r="B299" s="597" t="s">
        <v>279</v>
      </c>
      <c r="C299" s="817">
        <v>0.15</v>
      </c>
      <c r="D299" s="817">
        <v>0.15</v>
      </c>
      <c r="E299" s="817">
        <v>0.15</v>
      </c>
      <c r="F299" s="829"/>
    </row>
    <row r="300" spans="1:6" ht="14.25" thickBot="1">
      <c r="A300" s="603" t="s">
        <v>534</v>
      </c>
      <c r="B300" s="597" t="s">
        <v>998</v>
      </c>
      <c r="C300" s="817">
        <v>0.15</v>
      </c>
      <c r="D300" s="817">
        <v>0.15</v>
      </c>
      <c r="E300" s="817">
        <v>0.15</v>
      </c>
      <c r="F300" s="818">
        <v>0.15</v>
      </c>
    </row>
    <row r="301" spans="1:6" ht="14.25" thickBot="1">
      <c r="A301" s="603" t="s">
        <v>534</v>
      </c>
      <c r="B301" s="597" t="s">
        <v>299</v>
      </c>
      <c r="C301" s="817">
        <v>0.15</v>
      </c>
      <c r="D301" s="817">
        <v>0.15</v>
      </c>
      <c r="E301" s="817">
        <v>0.15</v>
      </c>
      <c r="F301" s="829"/>
    </row>
    <row r="302" spans="1:6" ht="14.25" thickBot="1">
      <c r="A302" s="603" t="s">
        <v>534</v>
      </c>
      <c r="B302" s="597" t="s">
        <v>999</v>
      </c>
      <c r="C302" s="817">
        <v>0.15</v>
      </c>
      <c r="D302" s="817">
        <v>0.15</v>
      </c>
      <c r="E302" s="817">
        <v>0.15</v>
      </c>
      <c r="F302" s="818">
        <v>0.15</v>
      </c>
    </row>
    <row r="303" spans="1:6" ht="14.25" thickBot="1">
      <c r="A303" s="603" t="s">
        <v>534</v>
      </c>
      <c r="B303" s="597" t="s">
        <v>319</v>
      </c>
      <c r="C303" s="817">
        <v>0.15</v>
      </c>
      <c r="D303" s="817">
        <v>0.15</v>
      </c>
      <c r="E303" s="817">
        <v>0.15</v>
      </c>
      <c r="F303" s="818">
        <v>0.15</v>
      </c>
    </row>
    <row r="304" spans="1:6" ht="14.25" thickBot="1">
      <c r="A304" s="603" t="s">
        <v>534</v>
      </c>
      <c r="B304" s="597" t="s">
        <v>330</v>
      </c>
      <c r="C304" s="817">
        <v>0.15</v>
      </c>
      <c r="D304" s="817">
        <v>0.15</v>
      </c>
      <c r="E304" s="817">
        <v>0.15</v>
      </c>
      <c r="F304" s="829"/>
    </row>
    <row r="305" spans="1:6" ht="14.25" thickBot="1">
      <c r="A305" s="603" t="s">
        <v>534</v>
      </c>
      <c r="B305" s="597" t="s">
        <v>1000</v>
      </c>
      <c r="C305" s="817">
        <v>0.15</v>
      </c>
      <c r="D305" s="817">
        <v>0.15</v>
      </c>
      <c r="E305" s="817">
        <v>0.15</v>
      </c>
      <c r="F305" s="818">
        <v>0.14000000000000001</v>
      </c>
    </row>
    <row r="306" spans="1:6" ht="14.25" thickBot="1">
      <c r="A306" s="603" t="s">
        <v>534</v>
      </c>
      <c r="B306" s="597" t="s">
        <v>351</v>
      </c>
      <c r="C306" s="817">
        <v>0.15</v>
      </c>
      <c r="D306" s="817">
        <v>0.15</v>
      </c>
      <c r="E306" s="817">
        <v>0.15</v>
      </c>
      <c r="F306" s="829"/>
    </row>
    <row r="307" spans="1:6" ht="14.25" thickBot="1">
      <c r="A307" s="603" t="s">
        <v>534</v>
      </c>
      <c r="B307" s="597" t="s">
        <v>1001</v>
      </c>
      <c r="C307" s="817">
        <v>0.15</v>
      </c>
      <c r="D307" s="817">
        <v>0.15</v>
      </c>
      <c r="E307" s="817">
        <v>0.15</v>
      </c>
      <c r="F307" s="818">
        <v>0.14299999999999999</v>
      </c>
    </row>
    <row r="308" spans="1:6" ht="14.25" thickBot="1">
      <c r="A308" s="603" t="s">
        <v>534</v>
      </c>
      <c r="B308" s="597" t="s">
        <v>371</v>
      </c>
      <c r="C308" s="817">
        <v>0.15</v>
      </c>
      <c r="D308" s="817">
        <v>0.15</v>
      </c>
      <c r="E308" s="817">
        <v>0.15</v>
      </c>
      <c r="F308" s="818">
        <v>0.15</v>
      </c>
    </row>
    <row r="309" spans="1:6" ht="14.25" thickBot="1">
      <c r="A309" s="603" t="s">
        <v>534</v>
      </c>
      <c r="B309" s="597" t="s">
        <v>381</v>
      </c>
      <c r="C309" s="817">
        <v>0.15</v>
      </c>
      <c r="D309" s="817">
        <v>0.15</v>
      </c>
      <c r="E309" s="817">
        <v>0.15</v>
      </c>
      <c r="F309" s="829"/>
    </row>
    <row r="310" spans="1:6" ht="14.25" thickBot="1">
      <c r="A310" s="603" t="s">
        <v>534</v>
      </c>
      <c r="B310" s="597" t="s">
        <v>1002</v>
      </c>
      <c r="C310" s="817">
        <v>0.15</v>
      </c>
      <c r="D310" s="817">
        <v>0.15</v>
      </c>
      <c r="E310" s="817">
        <v>0.15</v>
      </c>
      <c r="F310" s="818">
        <v>0.13700000000000001</v>
      </c>
    </row>
    <row r="311" spans="1:6" ht="14.25" thickBot="1">
      <c r="A311" s="603" t="s">
        <v>534</v>
      </c>
      <c r="B311" s="597" t="s">
        <v>1003</v>
      </c>
      <c r="C311" s="817">
        <v>0.15</v>
      </c>
      <c r="D311" s="817">
        <v>0.15</v>
      </c>
      <c r="E311" s="817">
        <v>0.15</v>
      </c>
      <c r="F311" s="818">
        <v>0.15</v>
      </c>
    </row>
    <row r="312" spans="1:6" ht="14.25" thickBot="1">
      <c r="A312" s="603" t="s">
        <v>534</v>
      </c>
      <c r="B312" s="597" t="s">
        <v>407</v>
      </c>
      <c r="C312" s="817">
        <v>0.15</v>
      </c>
      <c r="D312" s="817">
        <v>0.15</v>
      </c>
      <c r="E312" s="817">
        <v>0.15</v>
      </c>
      <c r="F312" s="818">
        <v>0.1</v>
      </c>
    </row>
    <row r="313" spans="1:6" ht="14.25" thickBot="1">
      <c r="A313" s="603" t="s">
        <v>534</v>
      </c>
      <c r="B313" s="597" t="s">
        <v>1004</v>
      </c>
      <c r="C313" s="817">
        <v>0.15</v>
      </c>
      <c r="D313" s="817">
        <v>0.15</v>
      </c>
      <c r="E313" s="817">
        <v>0.15</v>
      </c>
      <c r="F313" s="818">
        <v>0.15</v>
      </c>
    </row>
    <row r="314" spans="1:6" ht="24.75" thickBot="1">
      <c r="A314" s="603" t="s">
        <v>534</v>
      </c>
      <c r="B314" s="597" t="s">
        <v>1005</v>
      </c>
      <c r="C314" s="830"/>
      <c r="D314" s="830"/>
      <c r="E314" s="830"/>
      <c r="F314" s="818">
        <v>0.05</v>
      </c>
    </row>
    <row r="315" spans="1:6" ht="24.75" thickBot="1">
      <c r="A315" s="603" t="s">
        <v>534</v>
      </c>
      <c r="B315" s="597" t="s">
        <v>1006</v>
      </c>
      <c r="C315" s="830"/>
      <c r="D315" s="830"/>
      <c r="E315" s="830"/>
      <c r="F315" s="818">
        <v>0.05</v>
      </c>
    </row>
    <row r="316" spans="1:6" ht="24.75" thickBot="1">
      <c r="A316" s="613" t="s">
        <v>534</v>
      </c>
      <c r="B316" s="609" t="s">
        <v>1007</v>
      </c>
      <c r="C316" s="827"/>
      <c r="D316" s="827"/>
      <c r="E316" s="827"/>
      <c r="F316" s="820">
        <v>0.05</v>
      </c>
    </row>
    <row r="317" spans="1:6" ht="14.25" thickBot="1">
      <c r="A317" s="603" t="s">
        <v>1008</v>
      </c>
      <c r="B317" s="604" t="s">
        <v>1009</v>
      </c>
      <c r="C317" s="815">
        <v>0.15</v>
      </c>
      <c r="D317" s="815">
        <v>0.15</v>
      </c>
      <c r="E317" s="815">
        <v>0.15</v>
      </c>
      <c r="F317" s="816">
        <v>0.15</v>
      </c>
    </row>
    <row r="318" spans="1:6" ht="14.25" thickBot="1">
      <c r="A318" s="603" t="s">
        <v>1008</v>
      </c>
      <c r="B318" s="597" t="s">
        <v>1010</v>
      </c>
      <c r="C318" s="817">
        <v>0.107</v>
      </c>
      <c r="D318" s="817">
        <v>0.11</v>
      </c>
      <c r="E318" s="817">
        <v>0.112</v>
      </c>
      <c r="F318" s="829"/>
    </row>
    <row r="319" spans="1:6" ht="14.25" thickBot="1">
      <c r="A319" s="603" t="s">
        <v>1008</v>
      </c>
      <c r="B319" s="597" t="s">
        <v>1011</v>
      </c>
      <c r="C319" s="817">
        <v>0.15</v>
      </c>
      <c r="D319" s="817">
        <v>0.15</v>
      </c>
      <c r="E319" s="817">
        <v>0.15</v>
      </c>
      <c r="F319" s="818">
        <v>0.15</v>
      </c>
    </row>
    <row r="320" spans="1:6" ht="14.25" thickBot="1">
      <c r="A320" s="603" t="s">
        <v>1008</v>
      </c>
      <c r="B320" s="597" t="s">
        <v>223</v>
      </c>
      <c r="C320" s="817">
        <v>0.15</v>
      </c>
      <c r="D320" s="817">
        <v>0.15</v>
      </c>
      <c r="E320" s="817">
        <v>0.15</v>
      </c>
      <c r="F320" s="829"/>
    </row>
    <row r="321" spans="1:6" ht="14.25" thickBot="1">
      <c r="A321" s="603" t="s">
        <v>1008</v>
      </c>
      <c r="B321" s="597" t="s">
        <v>1012</v>
      </c>
      <c r="C321" s="817">
        <v>0.15</v>
      </c>
      <c r="D321" s="817">
        <v>0.15</v>
      </c>
      <c r="E321" s="817">
        <v>0.15</v>
      </c>
      <c r="F321" s="829"/>
    </row>
    <row r="322" spans="1:6" ht="14.25" thickBot="1">
      <c r="A322" s="603" t="s">
        <v>1008</v>
      </c>
      <c r="B322" s="597" t="s">
        <v>1013</v>
      </c>
      <c r="C322" s="817">
        <v>0.15</v>
      </c>
      <c r="D322" s="817">
        <v>0.15</v>
      </c>
      <c r="E322" s="817">
        <v>0.15</v>
      </c>
      <c r="F322" s="818">
        <v>0.15</v>
      </c>
    </row>
    <row r="323" spans="1:6" ht="14.25" thickBot="1">
      <c r="A323" s="603" t="s">
        <v>1008</v>
      </c>
      <c r="B323" s="597" t="s">
        <v>1014</v>
      </c>
      <c r="C323" s="817">
        <v>0.15</v>
      </c>
      <c r="D323" s="817">
        <v>0.15</v>
      </c>
      <c r="E323" s="817">
        <v>0.15</v>
      </c>
      <c r="F323" s="829"/>
    </row>
    <row r="324" spans="1:6" ht="14.25" thickBot="1">
      <c r="A324" s="603" t="s">
        <v>1008</v>
      </c>
      <c r="B324" s="597" t="s">
        <v>1015</v>
      </c>
      <c r="C324" s="817">
        <v>0.15</v>
      </c>
      <c r="D324" s="817">
        <v>0.15</v>
      </c>
      <c r="E324" s="817">
        <v>0.15</v>
      </c>
      <c r="F324" s="829"/>
    </row>
    <row r="325" spans="1:6" ht="14.25" thickBot="1">
      <c r="A325" s="603" t="s">
        <v>1008</v>
      </c>
      <c r="B325" s="597" t="s">
        <v>1016</v>
      </c>
      <c r="C325" s="817">
        <v>0.15</v>
      </c>
      <c r="D325" s="817">
        <v>0.15</v>
      </c>
      <c r="E325" s="817">
        <v>0.15</v>
      </c>
      <c r="F325" s="818">
        <v>0.14699999999999999</v>
      </c>
    </row>
    <row r="326" spans="1:6" ht="14.25" thickBot="1">
      <c r="A326" s="603" t="s">
        <v>1008</v>
      </c>
      <c r="B326" s="597" t="s">
        <v>290</v>
      </c>
      <c r="C326" s="817">
        <v>0.15</v>
      </c>
      <c r="D326" s="817">
        <v>0.15</v>
      </c>
      <c r="E326" s="817">
        <v>0.15</v>
      </c>
      <c r="F326" s="829"/>
    </row>
    <row r="327" spans="1:6" ht="14.25" thickBot="1">
      <c r="A327" s="603" t="s">
        <v>1008</v>
      </c>
      <c r="B327" s="597" t="s">
        <v>1017</v>
      </c>
      <c r="C327" s="817">
        <v>0.15</v>
      </c>
      <c r="D327" s="817">
        <v>0.15</v>
      </c>
      <c r="E327" s="817">
        <v>0.15</v>
      </c>
      <c r="F327" s="818">
        <v>0.15</v>
      </c>
    </row>
    <row r="328" spans="1:6" ht="14.25" thickBot="1">
      <c r="A328" s="603" t="s">
        <v>1008</v>
      </c>
      <c r="B328" s="597" t="s">
        <v>310</v>
      </c>
      <c r="C328" s="817">
        <v>0.15</v>
      </c>
      <c r="D328" s="817">
        <v>0.15</v>
      </c>
      <c r="E328" s="817">
        <v>0.15</v>
      </c>
      <c r="F328" s="818">
        <v>0.14099999999999999</v>
      </c>
    </row>
    <row r="329" spans="1:6" ht="14.25" thickBot="1">
      <c r="A329" s="603" t="s">
        <v>1008</v>
      </c>
      <c r="B329" s="597" t="s">
        <v>320</v>
      </c>
      <c r="C329" s="817">
        <v>0.15</v>
      </c>
      <c r="D329" s="817">
        <v>0.15</v>
      </c>
      <c r="E329" s="817">
        <v>0.15</v>
      </c>
      <c r="F329" s="818">
        <v>0.15</v>
      </c>
    </row>
    <row r="330" spans="1:6" ht="14.25" thickBot="1">
      <c r="A330" s="603" t="s">
        <v>1008</v>
      </c>
      <c r="B330" s="597" t="s">
        <v>331</v>
      </c>
      <c r="C330" s="817">
        <v>0.15</v>
      </c>
      <c r="D330" s="817">
        <v>0.15</v>
      </c>
      <c r="E330" s="817">
        <v>0.15</v>
      </c>
      <c r="F330" s="829"/>
    </row>
    <row r="331" spans="1:6" ht="14.25" thickBot="1">
      <c r="A331" s="603" t="s">
        <v>1008</v>
      </c>
      <c r="B331" s="597" t="s">
        <v>1018</v>
      </c>
      <c r="C331" s="817">
        <v>0.15</v>
      </c>
      <c r="D331" s="817">
        <v>0.15</v>
      </c>
      <c r="E331" s="817">
        <v>0.15</v>
      </c>
      <c r="F331" s="818">
        <v>0.15</v>
      </c>
    </row>
    <row r="332" spans="1:6" ht="14.25" thickBot="1">
      <c r="A332" s="603" t="s">
        <v>1008</v>
      </c>
      <c r="B332" s="597" t="s">
        <v>352</v>
      </c>
      <c r="C332" s="817">
        <v>0.15</v>
      </c>
      <c r="D332" s="817">
        <v>0.15</v>
      </c>
      <c r="E332" s="817">
        <v>0.15</v>
      </c>
      <c r="F332" s="818">
        <v>0.15</v>
      </c>
    </row>
    <row r="333" spans="1:6" ht="14.25" thickBot="1">
      <c r="A333" s="603" t="s">
        <v>1008</v>
      </c>
      <c r="B333" s="597" t="s">
        <v>1019</v>
      </c>
      <c r="C333" s="817">
        <v>0.15</v>
      </c>
      <c r="D333" s="817">
        <v>0.15</v>
      </c>
      <c r="E333" s="817">
        <v>0.15</v>
      </c>
      <c r="F333" s="818">
        <v>0.14099999999999999</v>
      </c>
    </row>
    <row r="334" spans="1:6" ht="14.25" thickBot="1">
      <c r="A334" s="603" t="s">
        <v>1008</v>
      </c>
      <c r="B334" s="597" t="s">
        <v>372</v>
      </c>
      <c r="C334" s="817">
        <v>0.15</v>
      </c>
      <c r="D334" s="817">
        <v>0.15</v>
      </c>
      <c r="E334" s="817">
        <v>0.15</v>
      </c>
      <c r="F334" s="818">
        <v>0.15</v>
      </c>
    </row>
    <row r="335" spans="1:6" ht="14.25" thickBot="1">
      <c r="A335" s="603" t="s">
        <v>1008</v>
      </c>
      <c r="B335" s="597" t="s">
        <v>382</v>
      </c>
      <c r="C335" s="817">
        <v>0.15</v>
      </c>
      <c r="D335" s="817">
        <v>0.15</v>
      </c>
      <c r="E335" s="817">
        <v>0.15</v>
      </c>
      <c r="F335" s="829"/>
    </row>
    <row r="336" spans="1:6" ht="14.25" thickBot="1">
      <c r="A336" s="603" t="s">
        <v>1008</v>
      </c>
      <c r="B336" s="597" t="s">
        <v>1020</v>
      </c>
      <c r="C336" s="817">
        <v>0.15</v>
      </c>
      <c r="D336" s="817">
        <v>0.15</v>
      </c>
      <c r="E336" s="817">
        <v>0.15</v>
      </c>
      <c r="F336" s="818">
        <v>0.11799999999999999</v>
      </c>
    </row>
    <row r="337" spans="1:6" ht="14.25" thickBot="1">
      <c r="A337" s="613" t="s">
        <v>1008</v>
      </c>
      <c r="B337" s="609" t="s">
        <v>400</v>
      </c>
      <c r="C337" s="827"/>
      <c r="D337" s="827"/>
      <c r="E337" s="827"/>
      <c r="F337" s="820">
        <v>0.14299999999999999</v>
      </c>
    </row>
    <row r="338" spans="1:6" ht="14.25" thickBot="1">
      <c r="A338" s="603" t="s">
        <v>1021</v>
      </c>
      <c r="B338" s="604" t="s">
        <v>1022</v>
      </c>
      <c r="C338" s="815">
        <v>0.15</v>
      </c>
      <c r="D338" s="815">
        <v>0.15</v>
      </c>
      <c r="E338" s="815">
        <v>0.15</v>
      </c>
      <c r="F338" s="832"/>
    </row>
    <row r="339" spans="1:6" ht="14.25" thickBot="1">
      <c r="A339" s="603" t="s">
        <v>1021</v>
      </c>
      <c r="B339" s="597" t="s">
        <v>1023</v>
      </c>
      <c r="C339" s="817">
        <v>0.15</v>
      </c>
      <c r="D339" s="817">
        <v>0.15</v>
      </c>
      <c r="E339" s="817">
        <v>0.15</v>
      </c>
      <c r="F339" s="829"/>
    </row>
    <row r="340" spans="1:6" ht="14.25" thickBot="1">
      <c r="A340" s="603" t="s">
        <v>1021</v>
      </c>
      <c r="B340" s="597" t="s">
        <v>1024</v>
      </c>
      <c r="C340" s="817">
        <v>0.15</v>
      </c>
      <c r="D340" s="817">
        <v>0.15</v>
      </c>
      <c r="E340" s="817">
        <v>0.15</v>
      </c>
      <c r="F340" s="829"/>
    </row>
    <row r="341" spans="1:6" ht="14.25" thickBot="1">
      <c r="A341" s="603" t="s">
        <v>1021</v>
      </c>
      <c r="B341" s="597" t="s">
        <v>1025</v>
      </c>
      <c r="C341" s="817">
        <v>0.15</v>
      </c>
      <c r="D341" s="817">
        <v>0.15</v>
      </c>
      <c r="E341" s="817">
        <v>0.15</v>
      </c>
      <c r="F341" s="818">
        <v>0.15</v>
      </c>
    </row>
    <row r="342" spans="1:6" ht="14.25" thickBot="1">
      <c r="A342" s="603" t="s">
        <v>1021</v>
      </c>
      <c r="B342" s="597" t="s">
        <v>1026</v>
      </c>
      <c r="C342" s="817">
        <v>0.15</v>
      </c>
      <c r="D342" s="817">
        <v>0.15</v>
      </c>
      <c r="E342" s="817">
        <v>0.15</v>
      </c>
      <c r="F342" s="818">
        <v>0.15</v>
      </c>
    </row>
    <row r="343" spans="1:6" ht="14.25" thickBot="1">
      <c r="A343" s="603" t="s">
        <v>1021</v>
      </c>
      <c r="B343" s="597" t="s">
        <v>1027</v>
      </c>
      <c r="C343" s="817">
        <v>0.15</v>
      </c>
      <c r="D343" s="817">
        <v>0.15</v>
      </c>
      <c r="E343" s="817">
        <v>0.15</v>
      </c>
      <c r="F343" s="818">
        <v>0.15</v>
      </c>
    </row>
    <row r="344" spans="1:6" ht="14.25" thickBot="1">
      <c r="A344" s="613" t="s">
        <v>1021</v>
      </c>
      <c r="B344" s="609" t="s">
        <v>1028</v>
      </c>
      <c r="C344" s="819">
        <v>0.15</v>
      </c>
      <c r="D344" s="819">
        <v>0.15</v>
      </c>
      <c r="E344" s="819">
        <v>0.15</v>
      </c>
      <c r="F344" s="820">
        <v>0.15</v>
      </c>
    </row>
  </sheetData>
  <sheetProtection password="C66D" sheet="1" objects="1" scenarios="1"/>
  <mergeCells count="1">
    <mergeCell ref="A1:B1"/>
  </mergeCells>
  <phoneticPr fontId="97"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544" customWidth="1"/>
    <col min="2" max="9" width="12.125" style="1544" customWidth="1"/>
    <col min="10" max="16384" width="9" style="1544"/>
  </cols>
  <sheetData>
    <row r="1" spans="1:9" ht="18.75" thickBot="1">
      <c r="A1" s="3651" t="str">
        <f>IF(项目基本情况!B9="房地产市场价值","估价结果一览表","结果表-2")</f>
        <v>结果表-2</v>
      </c>
      <c r="B1" s="3651"/>
      <c r="C1" s="3651"/>
      <c r="D1" s="3651"/>
      <c r="E1" s="3651"/>
      <c r="F1" s="3651"/>
      <c r="G1" s="3651"/>
      <c r="H1" s="3651"/>
      <c r="I1" s="3651"/>
    </row>
    <row r="2" spans="1:9" ht="30" customHeight="1" thickTop="1">
      <c r="A2" s="3652" t="s">
        <v>1643</v>
      </c>
      <c r="B2" s="3652" t="s">
        <v>1644</v>
      </c>
      <c r="C2" s="3652" t="s">
        <v>1645</v>
      </c>
      <c r="D2" s="3652" t="str">
        <f>结果表!D116</f>
        <v>出让国有建设用地使用权价值</v>
      </c>
      <c r="E2" s="3652"/>
      <c r="F2" s="3652" t="str">
        <f>结果表!F116</f>
        <v>在建建筑物价值</v>
      </c>
      <c r="G2" s="3652"/>
      <c r="H2" s="3652" t="str">
        <f>IF(项目基本情况!B9="房地产市场价值","房地产市场价值","房地产价值")</f>
        <v>房地产价值</v>
      </c>
      <c r="I2" s="3652"/>
    </row>
    <row r="3" spans="1:9" ht="15">
      <c r="A3" s="3653"/>
      <c r="B3" s="3653"/>
      <c r="C3" s="3653"/>
      <c r="D3" s="806" t="s">
        <v>1640</v>
      </c>
      <c r="E3" s="806" t="s">
        <v>1646</v>
      </c>
      <c r="F3" s="806" t="s">
        <v>1640</v>
      </c>
      <c r="G3" s="806" t="s">
        <v>1641</v>
      </c>
      <c r="H3" s="806" t="s">
        <v>1640</v>
      </c>
      <c r="I3" s="806" t="s">
        <v>1641</v>
      </c>
    </row>
    <row r="4" spans="1:9" ht="75">
      <c r="A4" s="1572" t="str">
        <f>项目基本情况!S2</f>
        <v>福建省福州市仓山区盖山镇天水路6号（原天水路北侧）利嘉海峡商业城（二区）6A#、6B#、7A#、7B#、9#、11#、12#馆部分商业房地产</v>
      </c>
      <c r="B4" s="806">
        <f>项目基本情况!C17</f>
        <v>44516.22</v>
      </c>
      <c r="C4" s="806">
        <f>项目基本情况!C18</f>
        <v>13197.02</v>
      </c>
      <c r="D4" s="806">
        <f ca="1">结果表!D118</f>
        <v>37325</v>
      </c>
      <c r="E4" s="806">
        <f ca="1">结果表!E118</f>
        <v>8385</v>
      </c>
      <c r="F4" s="806">
        <f ca="1">结果表!F118</f>
        <v>18719</v>
      </c>
      <c r="G4" s="806">
        <f ca="1">结果表!G118</f>
        <v>4205</v>
      </c>
      <c r="H4" s="806">
        <f ca="1">结果表!H118</f>
        <v>56044</v>
      </c>
      <c r="I4" s="806">
        <f ca="1">结果表!I118</f>
        <v>12590</v>
      </c>
    </row>
    <row r="5" spans="1:9" ht="30" customHeight="1">
      <c r="A5" s="3653" t="s">
        <v>1642</v>
      </c>
      <c r="B5" s="3653"/>
      <c r="C5" s="3653"/>
      <c r="D5" s="3654" t="str">
        <f ca="1">结果表!D119</f>
        <v>叁亿柒仟叁佰贰拾伍万元整</v>
      </c>
      <c r="E5" s="3654"/>
      <c r="F5" s="3654" t="str">
        <f ca="1">结果表!F119</f>
        <v>壹亿捌仟柒佰壹拾玖万元整</v>
      </c>
      <c r="G5" s="3654"/>
      <c r="H5" s="3654" t="str">
        <f ca="1">结果表!H119</f>
        <v>伍亿陆仟零肆拾肆万元整</v>
      </c>
      <c r="I5" s="3654"/>
    </row>
    <row r="6" spans="1:9" ht="15.75">
      <c r="A6" s="3655" t="str">
        <f>结果表!A120</f>
        <v>估价师知悉的法定优先受偿款</v>
      </c>
      <c r="B6" s="3655"/>
      <c r="C6" s="3655"/>
      <c r="D6" s="3655">
        <f>结果表!D120</f>
        <v>0</v>
      </c>
      <c r="E6" s="3655"/>
      <c r="F6" s="3655"/>
      <c r="G6" s="3655"/>
      <c r="H6" s="3655"/>
      <c r="I6" s="3655"/>
    </row>
    <row r="7" spans="1:9" ht="15">
      <c r="A7" s="3653" t="s">
        <v>1642</v>
      </c>
      <c r="B7" s="3653"/>
      <c r="C7" s="3653"/>
      <c r="D7" s="3656" t="str">
        <f>结果表!D121</f>
        <v>零元整</v>
      </c>
      <c r="E7" s="3657"/>
      <c r="F7" s="3657"/>
      <c r="G7" s="3657"/>
      <c r="H7" s="3657"/>
      <c r="I7" s="3658"/>
    </row>
    <row r="8" spans="1:9" ht="15.75">
      <c r="A8" s="3655" t="str">
        <f>结果表!A122</f>
        <v>房地产抵押价值</v>
      </c>
      <c r="B8" s="3655"/>
      <c r="C8" s="3655"/>
      <c r="D8" s="3655">
        <f ca="1">结果表!D122</f>
        <v>56044</v>
      </c>
      <c r="E8" s="3655"/>
      <c r="F8" s="3655"/>
      <c r="G8" s="3655"/>
      <c r="H8" s="3655"/>
      <c r="I8" s="3655"/>
    </row>
    <row r="9" spans="1:9" ht="15">
      <c r="A9" s="3653" t="s">
        <v>1642</v>
      </c>
      <c r="B9" s="3653"/>
      <c r="C9" s="3653"/>
      <c r="D9" s="3654" t="str">
        <f ca="1">结果表!D123</f>
        <v>伍亿陆仟零肆拾肆万元整</v>
      </c>
      <c r="E9" s="3654"/>
      <c r="F9" s="3654"/>
      <c r="G9" s="3654"/>
      <c r="H9" s="3654"/>
      <c r="I9" s="3654"/>
    </row>
    <row r="10" spans="1:9" ht="15.75">
      <c r="A10" s="3655" t="str">
        <f>结果表!A124</f>
        <v/>
      </c>
      <c r="B10" s="3655"/>
      <c r="C10" s="3655"/>
      <c r="D10" s="3655" t="str">
        <f>结果表!D124</f>
        <v>——</v>
      </c>
      <c r="E10" s="3655"/>
      <c r="F10" s="3655"/>
      <c r="G10" s="3655"/>
      <c r="H10" s="3655"/>
      <c r="I10" s="3655"/>
    </row>
    <row r="11" spans="1:9" ht="15">
      <c r="A11" s="3653" t="s">
        <v>1642</v>
      </c>
      <c r="B11" s="3653"/>
      <c r="C11" s="3653"/>
      <c r="D11" s="3654" t="e">
        <f>结果表!D125</f>
        <v>#VALUE!</v>
      </c>
      <c r="E11" s="3654"/>
      <c r="F11" s="3654"/>
      <c r="G11" s="3654"/>
      <c r="H11" s="3654"/>
      <c r="I11" s="3654"/>
    </row>
    <row r="12" spans="1:9" ht="15.75">
      <c r="A12" s="3655" t="str">
        <f>结果表!A126</f>
        <v/>
      </c>
      <c r="B12" s="3655"/>
      <c r="C12" s="3655"/>
      <c r="D12" s="3655" t="str">
        <f>结果表!D126</f>
        <v>——</v>
      </c>
      <c r="E12" s="3655"/>
      <c r="F12" s="3655"/>
      <c r="G12" s="3655"/>
      <c r="H12" s="3655"/>
      <c r="I12" s="3655"/>
    </row>
    <row r="13" spans="1:9" ht="15.75" thickBot="1">
      <c r="A13" s="3659" t="s">
        <v>1642</v>
      </c>
      <c r="B13" s="3659"/>
      <c r="C13" s="3659"/>
      <c r="D13" s="3660" t="e">
        <f>结果表!D127</f>
        <v>#VALUE!</v>
      </c>
      <c r="E13" s="3660"/>
      <c r="F13" s="3660"/>
      <c r="G13" s="3660"/>
      <c r="H13" s="3660"/>
      <c r="I13" s="3660"/>
    </row>
    <row r="14" spans="1:9" ht="15" thickTop="1">
      <c r="A14" s="3661" t="s">
        <v>1647</v>
      </c>
      <c r="B14" s="3661"/>
      <c r="C14" s="3661"/>
      <c r="D14" s="3661"/>
      <c r="E14" s="3661"/>
      <c r="F14" s="3661"/>
      <c r="G14" s="3661"/>
      <c r="H14" s="3661"/>
      <c r="I14" s="3661"/>
    </row>
    <row r="16" spans="1:9" ht="18.75">
      <c r="A16" s="1573" t="s">
        <v>1630</v>
      </c>
      <c r="B16" s="1556"/>
      <c r="C16" s="1556"/>
      <c r="D16" s="1556"/>
      <c r="E16" s="1556"/>
      <c r="F16" s="1556"/>
      <c r="G16" s="1556"/>
      <c r="H16" s="1556"/>
      <c r="I16" s="1556"/>
    </row>
    <row r="17" spans="1:9">
      <c r="A17" s="1556"/>
      <c r="B17" s="1556"/>
      <c r="C17" s="1556"/>
      <c r="D17" s="1556"/>
      <c r="E17" s="1556"/>
      <c r="F17" s="1556"/>
      <c r="G17" s="1556"/>
      <c r="H17" s="1556"/>
      <c r="I17" s="1556"/>
    </row>
    <row r="18" spans="1:9">
      <c r="A18" s="1556"/>
      <c r="B18" s="1556"/>
      <c r="C18" s="1556"/>
      <c r="D18" s="1556"/>
      <c r="E18" s="1556"/>
      <c r="F18" s="1556"/>
      <c r="G18" s="1556"/>
      <c r="H18" s="1556"/>
      <c r="I18" s="1556"/>
    </row>
    <row r="19" spans="1:9">
      <c r="A19" s="1556"/>
      <c r="B19" s="1556"/>
      <c r="C19" s="1556"/>
      <c r="D19" s="1556"/>
      <c r="E19" s="1556"/>
      <c r="F19" s="1556"/>
      <c r="G19" s="1556"/>
      <c r="H19" s="1556"/>
      <c r="I19" s="1556"/>
    </row>
    <row r="20" spans="1:9">
      <c r="A20" s="1556"/>
      <c r="B20" s="1556"/>
      <c r="C20" s="1556"/>
      <c r="D20" s="1556"/>
      <c r="E20" s="1556"/>
      <c r="F20" s="1556"/>
      <c r="G20" s="1556"/>
      <c r="H20" s="1556"/>
      <c r="I20" s="1556"/>
    </row>
    <row r="21" spans="1:9">
      <c r="A21" s="1556"/>
      <c r="B21" s="1556"/>
      <c r="C21" s="1556"/>
      <c r="D21" s="1556"/>
      <c r="E21" s="1556"/>
      <c r="F21" s="1556"/>
      <c r="G21" s="1556"/>
      <c r="H21" s="1556"/>
      <c r="I21" s="1556"/>
    </row>
    <row r="22" spans="1:9">
      <c r="A22" s="1556"/>
      <c r="B22" s="1556"/>
      <c r="C22" s="1556"/>
      <c r="D22" s="1556"/>
      <c r="E22" s="1556"/>
      <c r="F22" s="1556"/>
      <c r="G22" s="1556"/>
      <c r="H22" s="1556"/>
      <c r="I22" s="1556"/>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301" customWidth="1"/>
    <col min="2" max="2" width="13.25" style="1307" customWidth="1"/>
    <col min="3" max="3" width="15.625" style="1307" customWidth="1"/>
    <col min="4" max="4" width="9.375" style="1307" bestFit="1" customWidth="1"/>
    <col min="5" max="5" width="13.5" style="1307" customWidth="1"/>
    <col min="6" max="6" width="9" style="1307"/>
    <col min="7" max="7" width="9.375" style="1307" bestFit="1" customWidth="1"/>
    <col min="8" max="8" width="12.25" style="1307" customWidth="1"/>
    <col min="9" max="9" width="9" style="1307"/>
    <col min="10" max="10" width="9.375" style="1307" bestFit="1" customWidth="1"/>
    <col min="11" max="11" width="4" style="1301" customWidth="1"/>
    <col min="12" max="12" width="5.125" style="1307" customWidth="1"/>
    <col min="13" max="13" width="13.75" style="1307" customWidth="1"/>
    <col min="14" max="256" width="9" style="1307"/>
    <col min="257" max="257" width="4.875" style="1298" customWidth="1"/>
    <col min="258" max="258" width="13.25" style="1298" customWidth="1"/>
    <col min="259" max="259" width="15.625" style="1298" customWidth="1"/>
    <col min="260" max="260" width="9.375" style="1298" bestFit="1" customWidth="1"/>
    <col min="261" max="261" width="13.5" style="1298" customWidth="1"/>
    <col min="262" max="262" width="9" style="1298"/>
    <col min="263" max="263" width="9.375" style="1298" bestFit="1" customWidth="1"/>
    <col min="264" max="265" width="9" style="1298"/>
    <col min="266" max="266" width="9.375" style="1298" bestFit="1" customWidth="1"/>
    <col min="267" max="267" width="4" style="1298" customWidth="1"/>
    <col min="268" max="268" width="5.125" style="1298" customWidth="1"/>
    <col min="269" max="269" width="13.75" style="1298" customWidth="1"/>
    <col min="270" max="512" width="9" style="1298"/>
    <col min="513" max="513" width="4.875" style="1298" customWidth="1"/>
    <col min="514" max="514" width="13.25" style="1298" customWidth="1"/>
    <col min="515" max="515" width="15.625" style="1298" customWidth="1"/>
    <col min="516" max="516" width="9.375" style="1298" bestFit="1" customWidth="1"/>
    <col min="517" max="517" width="13.5" style="1298" customWidth="1"/>
    <col min="518" max="518" width="9" style="1298"/>
    <col min="519" max="519" width="9.375" style="1298" bestFit="1" customWidth="1"/>
    <col min="520" max="521" width="9" style="1298"/>
    <col min="522" max="522" width="9.375" style="1298" bestFit="1" customWidth="1"/>
    <col min="523" max="523" width="4" style="1298" customWidth="1"/>
    <col min="524" max="524" width="5.125" style="1298" customWidth="1"/>
    <col min="525" max="525" width="13.75" style="1298" customWidth="1"/>
    <col min="526" max="768" width="9" style="1298"/>
    <col min="769" max="769" width="4.875" style="1298" customWidth="1"/>
    <col min="770" max="770" width="13.25" style="1298" customWidth="1"/>
    <col min="771" max="771" width="15.625" style="1298" customWidth="1"/>
    <col min="772" max="772" width="9.375" style="1298" bestFit="1" customWidth="1"/>
    <col min="773" max="773" width="13.5" style="1298" customWidth="1"/>
    <col min="774" max="774" width="9" style="1298"/>
    <col min="775" max="775" width="9.375" style="1298" bestFit="1" customWidth="1"/>
    <col min="776" max="777" width="9" style="1298"/>
    <col min="778" max="778" width="9.375" style="1298" bestFit="1" customWidth="1"/>
    <col min="779" max="779" width="4" style="1298" customWidth="1"/>
    <col min="780" max="780" width="5.125" style="1298" customWidth="1"/>
    <col min="781" max="781" width="13.75" style="1298" customWidth="1"/>
    <col min="782" max="1024" width="9" style="1298"/>
    <col min="1025" max="1025" width="4.875" style="1298" customWidth="1"/>
    <col min="1026" max="1026" width="13.25" style="1298" customWidth="1"/>
    <col min="1027" max="1027" width="15.625" style="1298" customWidth="1"/>
    <col min="1028" max="1028" width="9.375" style="1298" bestFit="1" customWidth="1"/>
    <col min="1029" max="1029" width="13.5" style="1298" customWidth="1"/>
    <col min="1030" max="1030" width="9" style="1298"/>
    <col min="1031" max="1031" width="9.375" style="1298" bestFit="1" customWidth="1"/>
    <col min="1032" max="1033" width="9" style="1298"/>
    <col min="1034" max="1034" width="9.375" style="1298" bestFit="1" customWidth="1"/>
    <col min="1035" max="1035" width="4" style="1298" customWidth="1"/>
    <col min="1036" max="1036" width="5.125" style="1298" customWidth="1"/>
    <col min="1037" max="1037" width="13.75" style="1298" customWidth="1"/>
    <col min="1038" max="1280" width="9" style="1298"/>
    <col min="1281" max="1281" width="4.875" style="1298" customWidth="1"/>
    <col min="1282" max="1282" width="13.25" style="1298" customWidth="1"/>
    <col min="1283" max="1283" width="15.625" style="1298" customWidth="1"/>
    <col min="1284" max="1284" width="9.375" style="1298" bestFit="1" customWidth="1"/>
    <col min="1285" max="1285" width="13.5" style="1298" customWidth="1"/>
    <col min="1286" max="1286" width="9" style="1298"/>
    <col min="1287" max="1287" width="9.375" style="1298" bestFit="1" customWidth="1"/>
    <col min="1288" max="1289" width="9" style="1298"/>
    <col min="1290" max="1290" width="9.375" style="1298" bestFit="1" customWidth="1"/>
    <col min="1291" max="1291" width="4" style="1298" customWidth="1"/>
    <col min="1292" max="1292" width="5.125" style="1298" customWidth="1"/>
    <col min="1293" max="1293" width="13.75" style="1298" customWidth="1"/>
    <col min="1294" max="1536" width="9" style="1298"/>
    <col min="1537" max="1537" width="4.875" style="1298" customWidth="1"/>
    <col min="1538" max="1538" width="13.25" style="1298" customWidth="1"/>
    <col min="1539" max="1539" width="15.625" style="1298" customWidth="1"/>
    <col min="1540" max="1540" width="9.375" style="1298" bestFit="1" customWidth="1"/>
    <col min="1541" max="1541" width="13.5" style="1298" customWidth="1"/>
    <col min="1542" max="1542" width="9" style="1298"/>
    <col min="1543" max="1543" width="9.375" style="1298" bestFit="1" customWidth="1"/>
    <col min="1544" max="1545" width="9" style="1298"/>
    <col min="1546" max="1546" width="9.375" style="1298" bestFit="1" customWidth="1"/>
    <col min="1547" max="1547" width="4" style="1298" customWidth="1"/>
    <col min="1548" max="1548" width="5.125" style="1298" customWidth="1"/>
    <col min="1549" max="1549" width="13.75" style="1298" customWidth="1"/>
    <col min="1550" max="1792" width="9" style="1298"/>
    <col min="1793" max="1793" width="4.875" style="1298" customWidth="1"/>
    <col min="1794" max="1794" width="13.25" style="1298" customWidth="1"/>
    <col min="1795" max="1795" width="15.625" style="1298" customWidth="1"/>
    <col min="1796" max="1796" width="9.375" style="1298" bestFit="1" customWidth="1"/>
    <col min="1797" max="1797" width="13.5" style="1298" customWidth="1"/>
    <col min="1798" max="1798" width="9" style="1298"/>
    <col min="1799" max="1799" width="9.375" style="1298" bestFit="1" customWidth="1"/>
    <col min="1800" max="1801" width="9" style="1298"/>
    <col min="1802" max="1802" width="9.375" style="1298" bestFit="1" customWidth="1"/>
    <col min="1803" max="1803" width="4" style="1298" customWidth="1"/>
    <col min="1804" max="1804" width="5.125" style="1298" customWidth="1"/>
    <col min="1805" max="1805" width="13.75" style="1298" customWidth="1"/>
    <col min="1806" max="2048" width="9" style="1298"/>
    <col min="2049" max="2049" width="4.875" style="1298" customWidth="1"/>
    <col min="2050" max="2050" width="13.25" style="1298" customWidth="1"/>
    <col min="2051" max="2051" width="15.625" style="1298" customWidth="1"/>
    <col min="2052" max="2052" width="9.375" style="1298" bestFit="1" customWidth="1"/>
    <col min="2053" max="2053" width="13.5" style="1298" customWidth="1"/>
    <col min="2054" max="2054" width="9" style="1298"/>
    <col min="2055" max="2055" width="9.375" style="1298" bestFit="1" customWidth="1"/>
    <col min="2056" max="2057" width="9" style="1298"/>
    <col min="2058" max="2058" width="9.375" style="1298" bestFit="1" customWidth="1"/>
    <col min="2059" max="2059" width="4" style="1298" customWidth="1"/>
    <col min="2060" max="2060" width="5.125" style="1298" customWidth="1"/>
    <col min="2061" max="2061" width="13.75" style="1298" customWidth="1"/>
    <col min="2062" max="2304" width="9" style="1298"/>
    <col min="2305" max="2305" width="4.875" style="1298" customWidth="1"/>
    <col min="2306" max="2306" width="13.25" style="1298" customWidth="1"/>
    <col min="2307" max="2307" width="15.625" style="1298" customWidth="1"/>
    <col min="2308" max="2308" width="9.375" style="1298" bestFit="1" customWidth="1"/>
    <col min="2309" max="2309" width="13.5" style="1298" customWidth="1"/>
    <col min="2310" max="2310" width="9" style="1298"/>
    <col min="2311" max="2311" width="9.375" style="1298" bestFit="1" customWidth="1"/>
    <col min="2312" max="2313" width="9" style="1298"/>
    <col min="2314" max="2314" width="9.375" style="1298" bestFit="1" customWidth="1"/>
    <col min="2315" max="2315" width="4" style="1298" customWidth="1"/>
    <col min="2316" max="2316" width="5.125" style="1298" customWidth="1"/>
    <col min="2317" max="2317" width="13.75" style="1298" customWidth="1"/>
    <col min="2318" max="2560" width="9" style="1298"/>
    <col min="2561" max="2561" width="4.875" style="1298" customWidth="1"/>
    <col min="2562" max="2562" width="13.25" style="1298" customWidth="1"/>
    <col min="2563" max="2563" width="15.625" style="1298" customWidth="1"/>
    <col min="2564" max="2564" width="9.375" style="1298" bestFit="1" customWidth="1"/>
    <col min="2565" max="2565" width="13.5" style="1298" customWidth="1"/>
    <col min="2566" max="2566" width="9" style="1298"/>
    <col min="2567" max="2567" width="9.375" style="1298" bestFit="1" customWidth="1"/>
    <col min="2568" max="2569" width="9" style="1298"/>
    <col min="2570" max="2570" width="9.375" style="1298" bestFit="1" customWidth="1"/>
    <col min="2571" max="2571" width="4" style="1298" customWidth="1"/>
    <col min="2572" max="2572" width="5.125" style="1298" customWidth="1"/>
    <col min="2573" max="2573" width="13.75" style="1298" customWidth="1"/>
    <col min="2574" max="2816" width="9" style="1298"/>
    <col min="2817" max="2817" width="4.875" style="1298" customWidth="1"/>
    <col min="2818" max="2818" width="13.25" style="1298" customWidth="1"/>
    <col min="2819" max="2819" width="15.625" style="1298" customWidth="1"/>
    <col min="2820" max="2820" width="9.375" style="1298" bestFit="1" customWidth="1"/>
    <col min="2821" max="2821" width="13.5" style="1298" customWidth="1"/>
    <col min="2822" max="2822" width="9" style="1298"/>
    <col min="2823" max="2823" width="9.375" style="1298" bestFit="1" customWidth="1"/>
    <col min="2824" max="2825" width="9" style="1298"/>
    <col min="2826" max="2826" width="9.375" style="1298" bestFit="1" customWidth="1"/>
    <col min="2827" max="2827" width="4" style="1298" customWidth="1"/>
    <col min="2828" max="2828" width="5.125" style="1298" customWidth="1"/>
    <col min="2829" max="2829" width="13.75" style="1298" customWidth="1"/>
    <col min="2830" max="3072" width="9" style="1298"/>
    <col min="3073" max="3073" width="4.875" style="1298" customWidth="1"/>
    <col min="3074" max="3074" width="13.25" style="1298" customWidth="1"/>
    <col min="3075" max="3075" width="15.625" style="1298" customWidth="1"/>
    <col min="3076" max="3076" width="9.375" style="1298" bestFit="1" customWidth="1"/>
    <col min="3077" max="3077" width="13.5" style="1298" customWidth="1"/>
    <col min="3078" max="3078" width="9" style="1298"/>
    <col min="3079" max="3079" width="9.375" style="1298" bestFit="1" customWidth="1"/>
    <col min="3080" max="3081" width="9" style="1298"/>
    <col min="3082" max="3082" width="9.375" style="1298" bestFit="1" customWidth="1"/>
    <col min="3083" max="3083" width="4" style="1298" customWidth="1"/>
    <col min="3084" max="3084" width="5.125" style="1298" customWidth="1"/>
    <col min="3085" max="3085" width="13.75" style="1298" customWidth="1"/>
    <col min="3086" max="3328" width="9" style="1298"/>
    <col min="3329" max="3329" width="4.875" style="1298" customWidth="1"/>
    <col min="3330" max="3330" width="13.25" style="1298" customWidth="1"/>
    <col min="3331" max="3331" width="15.625" style="1298" customWidth="1"/>
    <col min="3332" max="3332" width="9.375" style="1298" bestFit="1" customWidth="1"/>
    <col min="3333" max="3333" width="13.5" style="1298" customWidth="1"/>
    <col min="3334" max="3334" width="9" style="1298"/>
    <col min="3335" max="3335" width="9.375" style="1298" bestFit="1" customWidth="1"/>
    <col min="3336" max="3337" width="9" style="1298"/>
    <col min="3338" max="3338" width="9.375" style="1298" bestFit="1" customWidth="1"/>
    <col min="3339" max="3339" width="4" style="1298" customWidth="1"/>
    <col min="3340" max="3340" width="5.125" style="1298" customWidth="1"/>
    <col min="3341" max="3341" width="13.75" style="1298" customWidth="1"/>
    <col min="3342" max="3584" width="9" style="1298"/>
    <col min="3585" max="3585" width="4.875" style="1298" customWidth="1"/>
    <col min="3586" max="3586" width="13.25" style="1298" customWidth="1"/>
    <col min="3587" max="3587" width="15.625" style="1298" customWidth="1"/>
    <col min="3588" max="3588" width="9.375" style="1298" bestFit="1" customWidth="1"/>
    <col min="3589" max="3589" width="13.5" style="1298" customWidth="1"/>
    <col min="3590" max="3590" width="9" style="1298"/>
    <col min="3591" max="3591" width="9.375" style="1298" bestFit="1" customWidth="1"/>
    <col min="3592" max="3593" width="9" style="1298"/>
    <col min="3594" max="3594" width="9.375" style="1298" bestFit="1" customWidth="1"/>
    <col min="3595" max="3595" width="4" style="1298" customWidth="1"/>
    <col min="3596" max="3596" width="5.125" style="1298" customWidth="1"/>
    <col min="3597" max="3597" width="13.75" style="1298" customWidth="1"/>
    <col min="3598" max="3840" width="9" style="1298"/>
    <col min="3841" max="3841" width="4.875" style="1298" customWidth="1"/>
    <col min="3842" max="3842" width="13.25" style="1298" customWidth="1"/>
    <col min="3843" max="3843" width="15.625" style="1298" customWidth="1"/>
    <col min="3844" max="3844" width="9.375" style="1298" bestFit="1" customWidth="1"/>
    <col min="3845" max="3845" width="13.5" style="1298" customWidth="1"/>
    <col min="3846" max="3846" width="9" style="1298"/>
    <col min="3847" max="3847" width="9.375" style="1298" bestFit="1" customWidth="1"/>
    <col min="3848" max="3849" width="9" style="1298"/>
    <col min="3850" max="3850" width="9.375" style="1298" bestFit="1" customWidth="1"/>
    <col min="3851" max="3851" width="4" style="1298" customWidth="1"/>
    <col min="3852" max="3852" width="5.125" style="1298" customWidth="1"/>
    <col min="3853" max="3853" width="13.75" style="1298" customWidth="1"/>
    <col min="3854" max="4096" width="9" style="1298"/>
    <col min="4097" max="4097" width="4.875" style="1298" customWidth="1"/>
    <col min="4098" max="4098" width="13.25" style="1298" customWidth="1"/>
    <col min="4099" max="4099" width="15.625" style="1298" customWidth="1"/>
    <col min="4100" max="4100" width="9.375" style="1298" bestFit="1" customWidth="1"/>
    <col min="4101" max="4101" width="13.5" style="1298" customWidth="1"/>
    <col min="4102" max="4102" width="9" style="1298"/>
    <col min="4103" max="4103" width="9.375" style="1298" bestFit="1" customWidth="1"/>
    <col min="4104" max="4105" width="9" style="1298"/>
    <col min="4106" max="4106" width="9.375" style="1298" bestFit="1" customWidth="1"/>
    <col min="4107" max="4107" width="4" style="1298" customWidth="1"/>
    <col min="4108" max="4108" width="5.125" style="1298" customWidth="1"/>
    <col min="4109" max="4109" width="13.75" style="1298" customWidth="1"/>
    <col min="4110" max="4352" width="9" style="1298"/>
    <col min="4353" max="4353" width="4.875" style="1298" customWidth="1"/>
    <col min="4354" max="4354" width="13.25" style="1298" customWidth="1"/>
    <col min="4355" max="4355" width="15.625" style="1298" customWidth="1"/>
    <col min="4356" max="4356" width="9.375" style="1298" bestFit="1" customWidth="1"/>
    <col min="4357" max="4357" width="13.5" style="1298" customWidth="1"/>
    <col min="4358" max="4358" width="9" style="1298"/>
    <col min="4359" max="4359" width="9.375" style="1298" bestFit="1" customWidth="1"/>
    <col min="4360" max="4361" width="9" style="1298"/>
    <col min="4362" max="4362" width="9.375" style="1298" bestFit="1" customWidth="1"/>
    <col min="4363" max="4363" width="4" style="1298" customWidth="1"/>
    <col min="4364" max="4364" width="5.125" style="1298" customWidth="1"/>
    <col min="4365" max="4365" width="13.75" style="1298" customWidth="1"/>
    <col min="4366" max="4608" width="9" style="1298"/>
    <col min="4609" max="4609" width="4.875" style="1298" customWidth="1"/>
    <col min="4610" max="4610" width="13.25" style="1298" customWidth="1"/>
    <col min="4611" max="4611" width="15.625" style="1298" customWidth="1"/>
    <col min="4612" max="4612" width="9.375" style="1298" bestFit="1" customWidth="1"/>
    <col min="4613" max="4613" width="13.5" style="1298" customWidth="1"/>
    <col min="4614" max="4614" width="9" style="1298"/>
    <col min="4615" max="4615" width="9.375" style="1298" bestFit="1" customWidth="1"/>
    <col min="4616" max="4617" width="9" style="1298"/>
    <col min="4618" max="4618" width="9.375" style="1298" bestFit="1" customWidth="1"/>
    <col min="4619" max="4619" width="4" style="1298" customWidth="1"/>
    <col min="4620" max="4620" width="5.125" style="1298" customWidth="1"/>
    <col min="4621" max="4621" width="13.75" style="1298" customWidth="1"/>
    <col min="4622" max="4864" width="9" style="1298"/>
    <col min="4865" max="4865" width="4.875" style="1298" customWidth="1"/>
    <col min="4866" max="4866" width="13.25" style="1298" customWidth="1"/>
    <col min="4867" max="4867" width="15.625" style="1298" customWidth="1"/>
    <col min="4868" max="4868" width="9.375" style="1298" bestFit="1" customWidth="1"/>
    <col min="4869" max="4869" width="13.5" style="1298" customWidth="1"/>
    <col min="4870" max="4870" width="9" style="1298"/>
    <col min="4871" max="4871" width="9.375" style="1298" bestFit="1" customWidth="1"/>
    <col min="4872" max="4873" width="9" style="1298"/>
    <col min="4874" max="4874" width="9.375" style="1298" bestFit="1" customWidth="1"/>
    <col min="4875" max="4875" width="4" style="1298" customWidth="1"/>
    <col min="4876" max="4876" width="5.125" style="1298" customWidth="1"/>
    <col min="4877" max="4877" width="13.75" style="1298" customWidth="1"/>
    <col min="4878" max="5120" width="9" style="1298"/>
    <col min="5121" max="5121" width="4.875" style="1298" customWidth="1"/>
    <col min="5122" max="5122" width="13.25" style="1298" customWidth="1"/>
    <col min="5123" max="5123" width="15.625" style="1298" customWidth="1"/>
    <col min="5124" max="5124" width="9.375" style="1298" bestFit="1" customWidth="1"/>
    <col min="5125" max="5125" width="13.5" style="1298" customWidth="1"/>
    <col min="5126" max="5126" width="9" style="1298"/>
    <col min="5127" max="5127" width="9.375" style="1298" bestFit="1" customWidth="1"/>
    <col min="5128" max="5129" width="9" style="1298"/>
    <col min="5130" max="5130" width="9.375" style="1298" bestFit="1" customWidth="1"/>
    <col min="5131" max="5131" width="4" style="1298" customWidth="1"/>
    <col min="5132" max="5132" width="5.125" style="1298" customWidth="1"/>
    <col min="5133" max="5133" width="13.75" style="1298" customWidth="1"/>
    <col min="5134" max="5376" width="9" style="1298"/>
    <col min="5377" max="5377" width="4.875" style="1298" customWidth="1"/>
    <col min="5378" max="5378" width="13.25" style="1298" customWidth="1"/>
    <col min="5379" max="5379" width="15.625" style="1298" customWidth="1"/>
    <col min="5380" max="5380" width="9.375" style="1298" bestFit="1" customWidth="1"/>
    <col min="5381" max="5381" width="13.5" style="1298" customWidth="1"/>
    <col min="5382" max="5382" width="9" style="1298"/>
    <col min="5383" max="5383" width="9.375" style="1298" bestFit="1" customWidth="1"/>
    <col min="5384" max="5385" width="9" style="1298"/>
    <col min="5386" max="5386" width="9.375" style="1298" bestFit="1" customWidth="1"/>
    <col min="5387" max="5387" width="4" style="1298" customWidth="1"/>
    <col min="5388" max="5388" width="5.125" style="1298" customWidth="1"/>
    <col min="5389" max="5389" width="13.75" style="1298" customWidth="1"/>
    <col min="5390" max="5632" width="9" style="1298"/>
    <col min="5633" max="5633" width="4.875" style="1298" customWidth="1"/>
    <col min="5634" max="5634" width="13.25" style="1298" customWidth="1"/>
    <col min="5635" max="5635" width="15.625" style="1298" customWidth="1"/>
    <col min="5636" max="5636" width="9.375" style="1298" bestFit="1" customWidth="1"/>
    <col min="5637" max="5637" width="13.5" style="1298" customWidth="1"/>
    <col min="5638" max="5638" width="9" style="1298"/>
    <col min="5639" max="5639" width="9.375" style="1298" bestFit="1" customWidth="1"/>
    <col min="5640" max="5641" width="9" style="1298"/>
    <col min="5642" max="5642" width="9.375" style="1298" bestFit="1" customWidth="1"/>
    <col min="5643" max="5643" width="4" style="1298" customWidth="1"/>
    <col min="5644" max="5644" width="5.125" style="1298" customWidth="1"/>
    <col min="5645" max="5645" width="13.75" style="1298" customWidth="1"/>
    <col min="5646" max="5888" width="9" style="1298"/>
    <col min="5889" max="5889" width="4.875" style="1298" customWidth="1"/>
    <col min="5890" max="5890" width="13.25" style="1298" customWidth="1"/>
    <col min="5891" max="5891" width="15.625" style="1298" customWidth="1"/>
    <col min="5892" max="5892" width="9.375" style="1298" bestFit="1" customWidth="1"/>
    <col min="5893" max="5893" width="13.5" style="1298" customWidth="1"/>
    <col min="5894" max="5894" width="9" style="1298"/>
    <col min="5895" max="5895" width="9.375" style="1298" bestFit="1" customWidth="1"/>
    <col min="5896" max="5897" width="9" style="1298"/>
    <col min="5898" max="5898" width="9.375" style="1298" bestFit="1" customWidth="1"/>
    <col min="5899" max="5899" width="4" style="1298" customWidth="1"/>
    <col min="5900" max="5900" width="5.125" style="1298" customWidth="1"/>
    <col min="5901" max="5901" width="13.75" style="1298" customWidth="1"/>
    <col min="5902" max="6144" width="9" style="1298"/>
    <col min="6145" max="6145" width="4.875" style="1298" customWidth="1"/>
    <col min="6146" max="6146" width="13.25" style="1298" customWidth="1"/>
    <col min="6147" max="6147" width="15.625" style="1298" customWidth="1"/>
    <col min="6148" max="6148" width="9.375" style="1298" bestFit="1" customWidth="1"/>
    <col min="6149" max="6149" width="13.5" style="1298" customWidth="1"/>
    <col min="6150" max="6150" width="9" style="1298"/>
    <col min="6151" max="6151" width="9.375" style="1298" bestFit="1" customWidth="1"/>
    <col min="6152" max="6153" width="9" style="1298"/>
    <col min="6154" max="6154" width="9.375" style="1298" bestFit="1" customWidth="1"/>
    <col min="6155" max="6155" width="4" style="1298" customWidth="1"/>
    <col min="6156" max="6156" width="5.125" style="1298" customWidth="1"/>
    <col min="6157" max="6157" width="13.75" style="1298" customWidth="1"/>
    <col min="6158" max="6400" width="9" style="1298"/>
    <col min="6401" max="6401" width="4.875" style="1298" customWidth="1"/>
    <col min="6402" max="6402" width="13.25" style="1298" customWidth="1"/>
    <col min="6403" max="6403" width="15.625" style="1298" customWidth="1"/>
    <col min="6404" max="6404" width="9.375" style="1298" bestFit="1" customWidth="1"/>
    <col min="6405" max="6405" width="13.5" style="1298" customWidth="1"/>
    <col min="6406" max="6406" width="9" style="1298"/>
    <col min="6407" max="6407" width="9.375" style="1298" bestFit="1" customWidth="1"/>
    <col min="6408" max="6409" width="9" style="1298"/>
    <col min="6410" max="6410" width="9.375" style="1298" bestFit="1" customWidth="1"/>
    <col min="6411" max="6411" width="4" style="1298" customWidth="1"/>
    <col min="6412" max="6412" width="5.125" style="1298" customWidth="1"/>
    <col min="6413" max="6413" width="13.75" style="1298" customWidth="1"/>
    <col min="6414" max="6656" width="9" style="1298"/>
    <col min="6657" max="6657" width="4.875" style="1298" customWidth="1"/>
    <col min="6658" max="6658" width="13.25" style="1298" customWidth="1"/>
    <col min="6659" max="6659" width="15.625" style="1298" customWidth="1"/>
    <col min="6660" max="6660" width="9.375" style="1298" bestFit="1" customWidth="1"/>
    <col min="6661" max="6661" width="13.5" style="1298" customWidth="1"/>
    <col min="6662" max="6662" width="9" style="1298"/>
    <col min="6663" max="6663" width="9.375" style="1298" bestFit="1" customWidth="1"/>
    <col min="6664" max="6665" width="9" style="1298"/>
    <col min="6666" max="6666" width="9.375" style="1298" bestFit="1" customWidth="1"/>
    <col min="6667" max="6667" width="4" style="1298" customWidth="1"/>
    <col min="6668" max="6668" width="5.125" style="1298" customWidth="1"/>
    <col min="6669" max="6669" width="13.75" style="1298" customWidth="1"/>
    <col min="6670" max="6912" width="9" style="1298"/>
    <col min="6913" max="6913" width="4.875" style="1298" customWidth="1"/>
    <col min="6914" max="6914" width="13.25" style="1298" customWidth="1"/>
    <col min="6915" max="6915" width="15.625" style="1298" customWidth="1"/>
    <col min="6916" max="6916" width="9.375" style="1298" bestFit="1" customWidth="1"/>
    <col min="6917" max="6917" width="13.5" style="1298" customWidth="1"/>
    <col min="6918" max="6918" width="9" style="1298"/>
    <col min="6919" max="6919" width="9.375" style="1298" bestFit="1" customWidth="1"/>
    <col min="6920" max="6921" width="9" style="1298"/>
    <col min="6922" max="6922" width="9.375" style="1298" bestFit="1" customWidth="1"/>
    <col min="6923" max="6923" width="4" style="1298" customWidth="1"/>
    <col min="6924" max="6924" width="5.125" style="1298" customWidth="1"/>
    <col min="6925" max="6925" width="13.75" style="1298" customWidth="1"/>
    <col min="6926" max="7168" width="9" style="1298"/>
    <col min="7169" max="7169" width="4.875" style="1298" customWidth="1"/>
    <col min="7170" max="7170" width="13.25" style="1298" customWidth="1"/>
    <col min="7171" max="7171" width="15.625" style="1298" customWidth="1"/>
    <col min="7172" max="7172" width="9.375" style="1298" bestFit="1" customWidth="1"/>
    <col min="7173" max="7173" width="13.5" style="1298" customWidth="1"/>
    <col min="7174" max="7174" width="9" style="1298"/>
    <col min="7175" max="7175" width="9.375" style="1298" bestFit="1" customWidth="1"/>
    <col min="7176" max="7177" width="9" style="1298"/>
    <col min="7178" max="7178" width="9.375" style="1298" bestFit="1" customWidth="1"/>
    <col min="7179" max="7179" width="4" style="1298" customWidth="1"/>
    <col min="7180" max="7180" width="5.125" style="1298" customWidth="1"/>
    <col min="7181" max="7181" width="13.75" style="1298" customWidth="1"/>
    <col min="7182" max="7424" width="9" style="1298"/>
    <col min="7425" max="7425" width="4.875" style="1298" customWidth="1"/>
    <col min="7426" max="7426" width="13.25" style="1298" customWidth="1"/>
    <col min="7427" max="7427" width="15.625" style="1298" customWidth="1"/>
    <col min="7428" max="7428" width="9.375" style="1298" bestFit="1" customWidth="1"/>
    <col min="7429" max="7429" width="13.5" style="1298" customWidth="1"/>
    <col min="7430" max="7430" width="9" style="1298"/>
    <col min="7431" max="7431" width="9.375" style="1298" bestFit="1" customWidth="1"/>
    <col min="7432" max="7433" width="9" style="1298"/>
    <col min="7434" max="7434" width="9.375" style="1298" bestFit="1" customWidth="1"/>
    <col min="7435" max="7435" width="4" style="1298" customWidth="1"/>
    <col min="7436" max="7436" width="5.125" style="1298" customWidth="1"/>
    <col min="7437" max="7437" width="13.75" style="1298" customWidth="1"/>
    <col min="7438" max="7680" width="9" style="1298"/>
    <col min="7681" max="7681" width="4.875" style="1298" customWidth="1"/>
    <col min="7682" max="7682" width="13.25" style="1298" customWidth="1"/>
    <col min="7683" max="7683" width="15.625" style="1298" customWidth="1"/>
    <col min="7684" max="7684" width="9.375" style="1298" bestFit="1" customWidth="1"/>
    <col min="7685" max="7685" width="13.5" style="1298" customWidth="1"/>
    <col min="7686" max="7686" width="9" style="1298"/>
    <col min="7687" max="7687" width="9.375" style="1298" bestFit="1" customWidth="1"/>
    <col min="7688" max="7689" width="9" style="1298"/>
    <col min="7690" max="7690" width="9.375" style="1298" bestFit="1" customWidth="1"/>
    <col min="7691" max="7691" width="4" style="1298" customWidth="1"/>
    <col min="7692" max="7692" width="5.125" style="1298" customWidth="1"/>
    <col min="7693" max="7693" width="13.75" style="1298" customWidth="1"/>
    <col min="7694" max="7936" width="9" style="1298"/>
    <col min="7937" max="7937" width="4.875" style="1298" customWidth="1"/>
    <col min="7938" max="7938" width="13.25" style="1298" customWidth="1"/>
    <col min="7939" max="7939" width="15.625" style="1298" customWidth="1"/>
    <col min="7940" max="7940" width="9.375" style="1298" bestFit="1" customWidth="1"/>
    <col min="7941" max="7941" width="13.5" style="1298" customWidth="1"/>
    <col min="7942" max="7942" width="9" style="1298"/>
    <col min="7943" max="7943" width="9.375" style="1298" bestFit="1" customWidth="1"/>
    <col min="7944" max="7945" width="9" style="1298"/>
    <col min="7946" max="7946" width="9.375" style="1298" bestFit="1" customWidth="1"/>
    <col min="7947" max="7947" width="4" style="1298" customWidth="1"/>
    <col min="7948" max="7948" width="5.125" style="1298" customWidth="1"/>
    <col min="7949" max="7949" width="13.75" style="1298" customWidth="1"/>
    <col min="7950" max="8192" width="9" style="1298"/>
    <col min="8193" max="8193" width="4.875" style="1298" customWidth="1"/>
    <col min="8194" max="8194" width="13.25" style="1298" customWidth="1"/>
    <col min="8195" max="8195" width="15.625" style="1298" customWidth="1"/>
    <col min="8196" max="8196" width="9.375" style="1298" bestFit="1" customWidth="1"/>
    <col min="8197" max="8197" width="13.5" style="1298" customWidth="1"/>
    <col min="8198" max="8198" width="9" style="1298"/>
    <col min="8199" max="8199" width="9.375" style="1298" bestFit="1" customWidth="1"/>
    <col min="8200" max="8201" width="9" style="1298"/>
    <col min="8202" max="8202" width="9.375" style="1298" bestFit="1" customWidth="1"/>
    <col min="8203" max="8203" width="4" style="1298" customWidth="1"/>
    <col min="8204" max="8204" width="5.125" style="1298" customWidth="1"/>
    <col min="8205" max="8205" width="13.75" style="1298" customWidth="1"/>
    <col min="8206" max="8448" width="9" style="1298"/>
    <col min="8449" max="8449" width="4.875" style="1298" customWidth="1"/>
    <col min="8450" max="8450" width="13.25" style="1298" customWidth="1"/>
    <col min="8451" max="8451" width="15.625" style="1298" customWidth="1"/>
    <col min="8452" max="8452" width="9.375" style="1298" bestFit="1" customWidth="1"/>
    <col min="8453" max="8453" width="13.5" style="1298" customWidth="1"/>
    <col min="8454" max="8454" width="9" style="1298"/>
    <col min="8455" max="8455" width="9.375" style="1298" bestFit="1" customWidth="1"/>
    <col min="8456" max="8457" width="9" style="1298"/>
    <col min="8458" max="8458" width="9.375" style="1298" bestFit="1" customWidth="1"/>
    <col min="8459" max="8459" width="4" style="1298" customWidth="1"/>
    <col min="8460" max="8460" width="5.125" style="1298" customWidth="1"/>
    <col min="8461" max="8461" width="13.75" style="1298" customWidth="1"/>
    <col min="8462" max="8704" width="9" style="1298"/>
    <col min="8705" max="8705" width="4.875" style="1298" customWidth="1"/>
    <col min="8706" max="8706" width="13.25" style="1298" customWidth="1"/>
    <col min="8707" max="8707" width="15.625" style="1298" customWidth="1"/>
    <col min="8708" max="8708" width="9.375" style="1298" bestFit="1" customWidth="1"/>
    <col min="8709" max="8709" width="13.5" style="1298" customWidth="1"/>
    <col min="8710" max="8710" width="9" style="1298"/>
    <col min="8711" max="8711" width="9.375" style="1298" bestFit="1" customWidth="1"/>
    <col min="8712" max="8713" width="9" style="1298"/>
    <col min="8714" max="8714" width="9.375" style="1298" bestFit="1" customWidth="1"/>
    <col min="8715" max="8715" width="4" style="1298" customWidth="1"/>
    <col min="8716" max="8716" width="5.125" style="1298" customWidth="1"/>
    <col min="8717" max="8717" width="13.75" style="1298" customWidth="1"/>
    <col min="8718" max="8960" width="9" style="1298"/>
    <col min="8961" max="8961" width="4.875" style="1298" customWidth="1"/>
    <col min="8962" max="8962" width="13.25" style="1298" customWidth="1"/>
    <col min="8963" max="8963" width="15.625" style="1298" customWidth="1"/>
    <col min="8964" max="8964" width="9.375" style="1298" bestFit="1" customWidth="1"/>
    <col min="8965" max="8965" width="13.5" style="1298" customWidth="1"/>
    <col min="8966" max="8966" width="9" style="1298"/>
    <col min="8967" max="8967" width="9.375" style="1298" bestFit="1" customWidth="1"/>
    <col min="8968" max="8969" width="9" style="1298"/>
    <col min="8970" max="8970" width="9.375" style="1298" bestFit="1" customWidth="1"/>
    <col min="8971" max="8971" width="4" style="1298" customWidth="1"/>
    <col min="8972" max="8972" width="5.125" style="1298" customWidth="1"/>
    <col min="8973" max="8973" width="13.75" style="1298" customWidth="1"/>
    <col min="8974" max="9216" width="9" style="1298"/>
    <col min="9217" max="9217" width="4.875" style="1298" customWidth="1"/>
    <col min="9218" max="9218" width="13.25" style="1298" customWidth="1"/>
    <col min="9219" max="9219" width="15.625" style="1298" customWidth="1"/>
    <col min="9220" max="9220" width="9.375" style="1298" bestFit="1" customWidth="1"/>
    <col min="9221" max="9221" width="13.5" style="1298" customWidth="1"/>
    <col min="9222" max="9222" width="9" style="1298"/>
    <col min="9223" max="9223" width="9.375" style="1298" bestFit="1" customWidth="1"/>
    <col min="9224" max="9225" width="9" style="1298"/>
    <col min="9226" max="9226" width="9.375" style="1298" bestFit="1" customWidth="1"/>
    <col min="9227" max="9227" width="4" style="1298" customWidth="1"/>
    <col min="9228" max="9228" width="5.125" style="1298" customWidth="1"/>
    <col min="9229" max="9229" width="13.75" style="1298" customWidth="1"/>
    <col min="9230" max="9472" width="9" style="1298"/>
    <col min="9473" max="9473" width="4.875" style="1298" customWidth="1"/>
    <col min="9474" max="9474" width="13.25" style="1298" customWidth="1"/>
    <col min="9475" max="9475" width="15.625" style="1298" customWidth="1"/>
    <col min="9476" max="9476" width="9.375" style="1298" bestFit="1" customWidth="1"/>
    <col min="9477" max="9477" width="13.5" style="1298" customWidth="1"/>
    <col min="9478" max="9478" width="9" style="1298"/>
    <col min="9479" max="9479" width="9.375" style="1298" bestFit="1" customWidth="1"/>
    <col min="9480" max="9481" width="9" style="1298"/>
    <col min="9482" max="9482" width="9.375" style="1298" bestFit="1" customWidth="1"/>
    <col min="9483" max="9483" width="4" style="1298" customWidth="1"/>
    <col min="9484" max="9484" width="5.125" style="1298" customWidth="1"/>
    <col min="9485" max="9485" width="13.75" style="1298" customWidth="1"/>
    <col min="9486" max="9728" width="9" style="1298"/>
    <col min="9729" max="9729" width="4.875" style="1298" customWidth="1"/>
    <col min="9730" max="9730" width="13.25" style="1298" customWidth="1"/>
    <col min="9731" max="9731" width="15.625" style="1298" customWidth="1"/>
    <col min="9732" max="9732" width="9.375" style="1298" bestFit="1" customWidth="1"/>
    <col min="9733" max="9733" width="13.5" style="1298" customWidth="1"/>
    <col min="9734" max="9734" width="9" style="1298"/>
    <col min="9735" max="9735" width="9.375" style="1298" bestFit="1" customWidth="1"/>
    <col min="9736" max="9737" width="9" style="1298"/>
    <col min="9738" max="9738" width="9.375" style="1298" bestFit="1" customWidth="1"/>
    <col min="9739" max="9739" width="4" style="1298" customWidth="1"/>
    <col min="9740" max="9740" width="5.125" style="1298" customWidth="1"/>
    <col min="9741" max="9741" width="13.75" style="1298" customWidth="1"/>
    <col min="9742" max="9984" width="9" style="1298"/>
    <col min="9985" max="9985" width="4.875" style="1298" customWidth="1"/>
    <col min="9986" max="9986" width="13.25" style="1298" customWidth="1"/>
    <col min="9987" max="9987" width="15.625" style="1298" customWidth="1"/>
    <col min="9988" max="9988" width="9.375" style="1298" bestFit="1" customWidth="1"/>
    <col min="9989" max="9989" width="13.5" style="1298" customWidth="1"/>
    <col min="9990" max="9990" width="9" style="1298"/>
    <col min="9991" max="9991" width="9.375" style="1298" bestFit="1" customWidth="1"/>
    <col min="9992" max="9993" width="9" style="1298"/>
    <col min="9994" max="9994" width="9.375" style="1298" bestFit="1" customWidth="1"/>
    <col min="9995" max="9995" width="4" style="1298" customWidth="1"/>
    <col min="9996" max="9996" width="5.125" style="1298" customWidth="1"/>
    <col min="9997" max="9997" width="13.75" style="1298" customWidth="1"/>
    <col min="9998" max="10240" width="9" style="1298"/>
    <col min="10241" max="10241" width="4.875" style="1298" customWidth="1"/>
    <col min="10242" max="10242" width="13.25" style="1298" customWidth="1"/>
    <col min="10243" max="10243" width="15.625" style="1298" customWidth="1"/>
    <col min="10244" max="10244" width="9.375" style="1298" bestFit="1" customWidth="1"/>
    <col min="10245" max="10245" width="13.5" style="1298" customWidth="1"/>
    <col min="10246" max="10246" width="9" style="1298"/>
    <col min="10247" max="10247" width="9.375" style="1298" bestFit="1" customWidth="1"/>
    <col min="10248" max="10249" width="9" style="1298"/>
    <col min="10250" max="10250" width="9.375" style="1298" bestFit="1" customWidth="1"/>
    <col min="10251" max="10251" width="4" style="1298" customWidth="1"/>
    <col min="10252" max="10252" width="5.125" style="1298" customWidth="1"/>
    <col min="10253" max="10253" width="13.75" style="1298" customWidth="1"/>
    <col min="10254" max="10496" width="9" style="1298"/>
    <col min="10497" max="10497" width="4.875" style="1298" customWidth="1"/>
    <col min="10498" max="10498" width="13.25" style="1298" customWidth="1"/>
    <col min="10499" max="10499" width="15.625" style="1298" customWidth="1"/>
    <col min="10500" max="10500" width="9.375" style="1298" bestFit="1" customWidth="1"/>
    <col min="10501" max="10501" width="13.5" style="1298" customWidth="1"/>
    <col min="10502" max="10502" width="9" style="1298"/>
    <col min="10503" max="10503" width="9.375" style="1298" bestFit="1" customWidth="1"/>
    <col min="10504" max="10505" width="9" style="1298"/>
    <col min="10506" max="10506" width="9.375" style="1298" bestFit="1" customWidth="1"/>
    <col min="10507" max="10507" width="4" style="1298" customWidth="1"/>
    <col min="10508" max="10508" width="5.125" style="1298" customWidth="1"/>
    <col min="10509" max="10509" width="13.75" style="1298" customWidth="1"/>
    <col min="10510" max="10752" width="9" style="1298"/>
    <col min="10753" max="10753" width="4.875" style="1298" customWidth="1"/>
    <col min="10754" max="10754" width="13.25" style="1298" customWidth="1"/>
    <col min="10755" max="10755" width="15.625" style="1298" customWidth="1"/>
    <col min="10756" max="10756" width="9.375" style="1298" bestFit="1" customWidth="1"/>
    <col min="10757" max="10757" width="13.5" style="1298" customWidth="1"/>
    <col min="10758" max="10758" width="9" style="1298"/>
    <col min="10759" max="10759" width="9.375" style="1298" bestFit="1" customWidth="1"/>
    <col min="10760" max="10761" width="9" style="1298"/>
    <col min="10762" max="10762" width="9.375" style="1298" bestFit="1" customWidth="1"/>
    <col min="10763" max="10763" width="4" style="1298" customWidth="1"/>
    <col min="10764" max="10764" width="5.125" style="1298" customWidth="1"/>
    <col min="10765" max="10765" width="13.75" style="1298" customWidth="1"/>
    <col min="10766" max="11008" width="9" style="1298"/>
    <col min="11009" max="11009" width="4.875" style="1298" customWidth="1"/>
    <col min="11010" max="11010" width="13.25" style="1298" customWidth="1"/>
    <col min="11011" max="11011" width="15.625" style="1298" customWidth="1"/>
    <col min="11012" max="11012" width="9.375" style="1298" bestFit="1" customWidth="1"/>
    <col min="11013" max="11013" width="13.5" style="1298" customWidth="1"/>
    <col min="11014" max="11014" width="9" style="1298"/>
    <col min="11015" max="11015" width="9.375" style="1298" bestFit="1" customWidth="1"/>
    <col min="11016" max="11017" width="9" style="1298"/>
    <col min="11018" max="11018" width="9.375" style="1298" bestFit="1" customWidth="1"/>
    <col min="11019" max="11019" width="4" style="1298" customWidth="1"/>
    <col min="11020" max="11020" width="5.125" style="1298" customWidth="1"/>
    <col min="11021" max="11021" width="13.75" style="1298" customWidth="1"/>
    <col min="11022" max="11264" width="9" style="1298"/>
    <col min="11265" max="11265" width="4.875" style="1298" customWidth="1"/>
    <col min="11266" max="11266" width="13.25" style="1298" customWidth="1"/>
    <col min="11267" max="11267" width="15.625" style="1298" customWidth="1"/>
    <col min="11268" max="11268" width="9.375" style="1298" bestFit="1" customWidth="1"/>
    <col min="11269" max="11269" width="13.5" style="1298" customWidth="1"/>
    <col min="11270" max="11270" width="9" style="1298"/>
    <col min="11271" max="11271" width="9.375" style="1298" bestFit="1" customWidth="1"/>
    <col min="11272" max="11273" width="9" style="1298"/>
    <col min="11274" max="11274" width="9.375" style="1298" bestFit="1" customWidth="1"/>
    <col min="11275" max="11275" width="4" style="1298" customWidth="1"/>
    <col min="11276" max="11276" width="5.125" style="1298" customWidth="1"/>
    <col min="11277" max="11277" width="13.75" style="1298" customWidth="1"/>
    <col min="11278" max="11520" width="9" style="1298"/>
    <col min="11521" max="11521" width="4.875" style="1298" customWidth="1"/>
    <col min="11522" max="11522" width="13.25" style="1298" customWidth="1"/>
    <col min="11523" max="11523" width="15.625" style="1298" customWidth="1"/>
    <col min="11524" max="11524" width="9.375" style="1298" bestFit="1" customWidth="1"/>
    <col min="11525" max="11525" width="13.5" style="1298" customWidth="1"/>
    <col min="11526" max="11526" width="9" style="1298"/>
    <col min="11527" max="11527" width="9.375" style="1298" bestFit="1" customWidth="1"/>
    <col min="11528" max="11529" width="9" style="1298"/>
    <col min="11530" max="11530" width="9.375" style="1298" bestFit="1" customWidth="1"/>
    <col min="11531" max="11531" width="4" style="1298" customWidth="1"/>
    <col min="11532" max="11532" width="5.125" style="1298" customWidth="1"/>
    <col min="11533" max="11533" width="13.75" style="1298" customWidth="1"/>
    <col min="11534" max="11776" width="9" style="1298"/>
    <col min="11777" max="11777" width="4.875" style="1298" customWidth="1"/>
    <col min="11778" max="11778" width="13.25" style="1298" customWidth="1"/>
    <col min="11779" max="11779" width="15.625" style="1298" customWidth="1"/>
    <col min="11780" max="11780" width="9.375" style="1298" bestFit="1" customWidth="1"/>
    <col min="11781" max="11781" width="13.5" style="1298" customWidth="1"/>
    <col min="11782" max="11782" width="9" style="1298"/>
    <col min="11783" max="11783" width="9.375" style="1298" bestFit="1" customWidth="1"/>
    <col min="11784" max="11785" width="9" style="1298"/>
    <col min="11786" max="11786" width="9.375" style="1298" bestFit="1" customWidth="1"/>
    <col min="11787" max="11787" width="4" style="1298" customWidth="1"/>
    <col min="11788" max="11788" width="5.125" style="1298" customWidth="1"/>
    <col min="11789" max="11789" width="13.75" style="1298" customWidth="1"/>
    <col min="11790" max="12032" width="9" style="1298"/>
    <col min="12033" max="12033" width="4.875" style="1298" customWidth="1"/>
    <col min="12034" max="12034" width="13.25" style="1298" customWidth="1"/>
    <col min="12035" max="12035" width="15.625" style="1298" customWidth="1"/>
    <col min="12036" max="12036" width="9.375" style="1298" bestFit="1" customWidth="1"/>
    <col min="12037" max="12037" width="13.5" style="1298" customWidth="1"/>
    <col min="12038" max="12038" width="9" style="1298"/>
    <col min="12039" max="12039" width="9.375" style="1298" bestFit="1" customWidth="1"/>
    <col min="12040" max="12041" width="9" style="1298"/>
    <col min="12042" max="12042" width="9.375" style="1298" bestFit="1" customWidth="1"/>
    <col min="12043" max="12043" width="4" style="1298" customWidth="1"/>
    <col min="12044" max="12044" width="5.125" style="1298" customWidth="1"/>
    <col min="12045" max="12045" width="13.75" style="1298" customWidth="1"/>
    <col min="12046" max="12288" width="9" style="1298"/>
    <col min="12289" max="12289" width="4.875" style="1298" customWidth="1"/>
    <col min="12290" max="12290" width="13.25" style="1298" customWidth="1"/>
    <col min="12291" max="12291" width="15.625" style="1298" customWidth="1"/>
    <col min="12292" max="12292" width="9.375" style="1298" bestFit="1" customWidth="1"/>
    <col min="12293" max="12293" width="13.5" style="1298" customWidth="1"/>
    <col min="12294" max="12294" width="9" style="1298"/>
    <col min="12295" max="12295" width="9.375" style="1298" bestFit="1" customWidth="1"/>
    <col min="12296" max="12297" width="9" style="1298"/>
    <col min="12298" max="12298" width="9.375" style="1298" bestFit="1" customWidth="1"/>
    <col min="12299" max="12299" width="4" style="1298" customWidth="1"/>
    <col min="12300" max="12300" width="5.125" style="1298" customWidth="1"/>
    <col min="12301" max="12301" width="13.75" style="1298" customWidth="1"/>
    <col min="12302" max="12544" width="9" style="1298"/>
    <col min="12545" max="12545" width="4.875" style="1298" customWidth="1"/>
    <col min="12546" max="12546" width="13.25" style="1298" customWidth="1"/>
    <col min="12547" max="12547" width="15.625" style="1298" customWidth="1"/>
    <col min="12548" max="12548" width="9.375" style="1298" bestFit="1" customWidth="1"/>
    <col min="12549" max="12549" width="13.5" style="1298" customWidth="1"/>
    <col min="12550" max="12550" width="9" style="1298"/>
    <col min="12551" max="12551" width="9.375" style="1298" bestFit="1" customWidth="1"/>
    <col min="12552" max="12553" width="9" style="1298"/>
    <col min="12554" max="12554" width="9.375" style="1298" bestFit="1" customWidth="1"/>
    <col min="12555" max="12555" width="4" style="1298" customWidth="1"/>
    <col min="12556" max="12556" width="5.125" style="1298" customWidth="1"/>
    <col min="12557" max="12557" width="13.75" style="1298" customWidth="1"/>
    <col min="12558" max="12800" width="9" style="1298"/>
    <col min="12801" max="12801" width="4.875" style="1298" customWidth="1"/>
    <col min="12802" max="12802" width="13.25" style="1298" customWidth="1"/>
    <col min="12803" max="12803" width="15.625" style="1298" customWidth="1"/>
    <col min="12804" max="12804" width="9.375" style="1298" bestFit="1" customWidth="1"/>
    <col min="12805" max="12805" width="13.5" style="1298" customWidth="1"/>
    <col min="12806" max="12806" width="9" style="1298"/>
    <col min="12807" max="12807" width="9.375" style="1298" bestFit="1" customWidth="1"/>
    <col min="12808" max="12809" width="9" style="1298"/>
    <col min="12810" max="12810" width="9.375" style="1298" bestFit="1" customWidth="1"/>
    <col min="12811" max="12811" width="4" style="1298" customWidth="1"/>
    <col min="12812" max="12812" width="5.125" style="1298" customWidth="1"/>
    <col min="12813" max="12813" width="13.75" style="1298" customWidth="1"/>
    <col min="12814" max="13056" width="9" style="1298"/>
    <col min="13057" max="13057" width="4.875" style="1298" customWidth="1"/>
    <col min="13058" max="13058" width="13.25" style="1298" customWidth="1"/>
    <col min="13059" max="13059" width="15.625" style="1298" customWidth="1"/>
    <col min="13060" max="13060" width="9.375" style="1298" bestFit="1" customWidth="1"/>
    <col min="13061" max="13061" width="13.5" style="1298" customWidth="1"/>
    <col min="13062" max="13062" width="9" style="1298"/>
    <col min="13063" max="13063" width="9.375" style="1298" bestFit="1" customWidth="1"/>
    <col min="13064" max="13065" width="9" style="1298"/>
    <col min="13066" max="13066" width="9.375" style="1298" bestFit="1" customWidth="1"/>
    <col min="13067" max="13067" width="4" style="1298" customWidth="1"/>
    <col min="13068" max="13068" width="5.125" style="1298" customWidth="1"/>
    <col min="13069" max="13069" width="13.75" style="1298" customWidth="1"/>
    <col min="13070" max="13312" width="9" style="1298"/>
    <col min="13313" max="13313" width="4.875" style="1298" customWidth="1"/>
    <col min="13314" max="13314" width="13.25" style="1298" customWidth="1"/>
    <col min="13315" max="13315" width="15.625" style="1298" customWidth="1"/>
    <col min="13316" max="13316" width="9.375" style="1298" bestFit="1" customWidth="1"/>
    <col min="13317" max="13317" width="13.5" style="1298" customWidth="1"/>
    <col min="13318" max="13318" width="9" style="1298"/>
    <col min="13319" max="13319" width="9.375" style="1298" bestFit="1" customWidth="1"/>
    <col min="13320" max="13321" width="9" style="1298"/>
    <col min="13322" max="13322" width="9.375" style="1298" bestFit="1" customWidth="1"/>
    <col min="13323" max="13323" width="4" style="1298" customWidth="1"/>
    <col min="13324" max="13324" width="5.125" style="1298" customWidth="1"/>
    <col min="13325" max="13325" width="13.75" style="1298" customWidth="1"/>
    <col min="13326" max="13568" width="9" style="1298"/>
    <col min="13569" max="13569" width="4.875" style="1298" customWidth="1"/>
    <col min="13570" max="13570" width="13.25" style="1298" customWidth="1"/>
    <col min="13571" max="13571" width="15.625" style="1298" customWidth="1"/>
    <col min="13572" max="13572" width="9.375" style="1298" bestFit="1" customWidth="1"/>
    <col min="13573" max="13573" width="13.5" style="1298" customWidth="1"/>
    <col min="13574" max="13574" width="9" style="1298"/>
    <col min="13575" max="13575" width="9.375" style="1298" bestFit="1" customWidth="1"/>
    <col min="13576" max="13577" width="9" style="1298"/>
    <col min="13578" max="13578" width="9.375" style="1298" bestFit="1" customWidth="1"/>
    <col min="13579" max="13579" width="4" style="1298" customWidth="1"/>
    <col min="13580" max="13580" width="5.125" style="1298" customWidth="1"/>
    <col min="13581" max="13581" width="13.75" style="1298" customWidth="1"/>
    <col min="13582" max="13824" width="9" style="1298"/>
    <col min="13825" max="13825" width="4.875" style="1298" customWidth="1"/>
    <col min="13826" max="13826" width="13.25" style="1298" customWidth="1"/>
    <col min="13827" max="13827" width="15.625" style="1298" customWidth="1"/>
    <col min="13828" max="13828" width="9.375" style="1298" bestFit="1" customWidth="1"/>
    <col min="13829" max="13829" width="13.5" style="1298" customWidth="1"/>
    <col min="13830" max="13830" width="9" style="1298"/>
    <col min="13831" max="13831" width="9.375" style="1298" bestFit="1" customWidth="1"/>
    <col min="13832" max="13833" width="9" style="1298"/>
    <col min="13834" max="13834" width="9.375" style="1298" bestFit="1" customWidth="1"/>
    <col min="13835" max="13835" width="4" style="1298" customWidth="1"/>
    <col min="13836" max="13836" width="5.125" style="1298" customWidth="1"/>
    <col min="13837" max="13837" width="13.75" style="1298" customWidth="1"/>
    <col min="13838" max="14080" width="9" style="1298"/>
    <col min="14081" max="14081" width="4.875" style="1298" customWidth="1"/>
    <col min="14082" max="14082" width="13.25" style="1298" customWidth="1"/>
    <col min="14083" max="14083" width="15.625" style="1298" customWidth="1"/>
    <col min="14084" max="14084" width="9.375" style="1298" bestFit="1" customWidth="1"/>
    <col min="14085" max="14085" width="13.5" style="1298" customWidth="1"/>
    <col min="14086" max="14086" width="9" style="1298"/>
    <col min="14087" max="14087" width="9.375" style="1298" bestFit="1" customWidth="1"/>
    <col min="14088" max="14089" width="9" style="1298"/>
    <col min="14090" max="14090" width="9.375" style="1298" bestFit="1" customWidth="1"/>
    <col min="14091" max="14091" width="4" style="1298" customWidth="1"/>
    <col min="14092" max="14092" width="5.125" style="1298" customWidth="1"/>
    <col min="14093" max="14093" width="13.75" style="1298" customWidth="1"/>
    <col min="14094" max="14336" width="9" style="1298"/>
    <col min="14337" max="14337" width="4.875" style="1298" customWidth="1"/>
    <col min="14338" max="14338" width="13.25" style="1298" customWidth="1"/>
    <col min="14339" max="14339" width="15.625" style="1298" customWidth="1"/>
    <col min="14340" max="14340" width="9.375" style="1298" bestFit="1" customWidth="1"/>
    <col min="14341" max="14341" width="13.5" style="1298" customWidth="1"/>
    <col min="14342" max="14342" width="9" style="1298"/>
    <col min="14343" max="14343" width="9.375" style="1298" bestFit="1" customWidth="1"/>
    <col min="14344" max="14345" width="9" style="1298"/>
    <col min="14346" max="14346" width="9.375" style="1298" bestFit="1" customWidth="1"/>
    <col min="14347" max="14347" width="4" style="1298" customWidth="1"/>
    <col min="14348" max="14348" width="5.125" style="1298" customWidth="1"/>
    <col min="14349" max="14349" width="13.75" style="1298" customWidth="1"/>
    <col min="14350" max="14592" width="9" style="1298"/>
    <col min="14593" max="14593" width="4.875" style="1298" customWidth="1"/>
    <col min="14594" max="14594" width="13.25" style="1298" customWidth="1"/>
    <col min="14595" max="14595" width="15.625" style="1298" customWidth="1"/>
    <col min="14596" max="14596" width="9.375" style="1298" bestFit="1" customWidth="1"/>
    <col min="14597" max="14597" width="13.5" style="1298" customWidth="1"/>
    <col min="14598" max="14598" width="9" style="1298"/>
    <col min="14599" max="14599" width="9.375" style="1298" bestFit="1" customWidth="1"/>
    <col min="14600" max="14601" width="9" style="1298"/>
    <col min="14602" max="14602" width="9.375" style="1298" bestFit="1" customWidth="1"/>
    <col min="14603" max="14603" width="4" style="1298" customWidth="1"/>
    <col min="14604" max="14604" width="5.125" style="1298" customWidth="1"/>
    <col min="14605" max="14605" width="13.75" style="1298" customWidth="1"/>
    <col min="14606" max="14848" width="9" style="1298"/>
    <col min="14849" max="14849" width="4.875" style="1298" customWidth="1"/>
    <col min="14850" max="14850" width="13.25" style="1298" customWidth="1"/>
    <col min="14851" max="14851" width="15.625" style="1298" customWidth="1"/>
    <col min="14852" max="14852" width="9.375" style="1298" bestFit="1" customWidth="1"/>
    <col min="14853" max="14853" width="13.5" style="1298" customWidth="1"/>
    <col min="14854" max="14854" width="9" style="1298"/>
    <col min="14855" max="14855" width="9.375" style="1298" bestFit="1" customWidth="1"/>
    <col min="14856" max="14857" width="9" style="1298"/>
    <col min="14858" max="14858" width="9.375" style="1298" bestFit="1" customWidth="1"/>
    <col min="14859" max="14859" width="4" style="1298" customWidth="1"/>
    <col min="14860" max="14860" width="5.125" style="1298" customWidth="1"/>
    <col min="14861" max="14861" width="13.75" style="1298" customWidth="1"/>
    <col min="14862" max="15104" width="9" style="1298"/>
    <col min="15105" max="15105" width="4.875" style="1298" customWidth="1"/>
    <col min="15106" max="15106" width="13.25" style="1298" customWidth="1"/>
    <col min="15107" max="15107" width="15.625" style="1298" customWidth="1"/>
    <col min="15108" max="15108" width="9.375" style="1298" bestFit="1" customWidth="1"/>
    <col min="15109" max="15109" width="13.5" style="1298" customWidth="1"/>
    <col min="15110" max="15110" width="9" style="1298"/>
    <col min="15111" max="15111" width="9.375" style="1298" bestFit="1" customWidth="1"/>
    <col min="15112" max="15113" width="9" style="1298"/>
    <col min="15114" max="15114" width="9.375" style="1298" bestFit="1" customWidth="1"/>
    <col min="15115" max="15115" width="4" style="1298" customWidth="1"/>
    <col min="15116" max="15116" width="5.125" style="1298" customWidth="1"/>
    <col min="15117" max="15117" width="13.75" style="1298" customWidth="1"/>
    <col min="15118" max="15360" width="9" style="1298"/>
    <col min="15361" max="15361" width="4.875" style="1298" customWidth="1"/>
    <col min="15362" max="15362" width="13.25" style="1298" customWidth="1"/>
    <col min="15363" max="15363" width="15.625" style="1298" customWidth="1"/>
    <col min="15364" max="15364" width="9.375" style="1298" bestFit="1" customWidth="1"/>
    <col min="15365" max="15365" width="13.5" style="1298" customWidth="1"/>
    <col min="15366" max="15366" width="9" style="1298"/>
    <col min="15367" max="15367" width="9.375" style="1298" bestFit="1" customWidth="1"/>
    <col min="15368" max="15369" width="9" style="1298"/>
    <col min="15370" max="15370" width="9.375" style="1298" bestFit="1" customWidth="1"/>
    <col min="15371" max="15371" width="4" style="1298" customWidth="1"/>
    <col min="15372" max="15372" width="5.125" style="1298" customWidth="1"/>
    <col min="15373" max="15373" width="13.75" style="1298" customWidth="1"/>
    <col min="15374" max="15616" width="9" style="1298"/>
    <col min="15617" max="15617" width="4.875" style="1298" customWidth="1"/>
    <col min="15618" max="15618" width="13.25" style="1298" customWidth="1"/>
    <col min="15619" max="15619" width="15.625" style="1298" customWidth="1"/>
    <col min="15620" max="15620" width="9.375" style="1298" bestFit="1" customWidth="1"/>
    <col min="15621" max="15621" width="13.5" style="1298" customWidth="1"/>
    <col min="15622" max="15622" width="9" style="1298"/>
    <col min="15623" max="15623" width="9.375" style="1298" bestFit="1" customWidth="1"/>
    <col min="15624" max="15625" width="9" style="1298"/>
    <col min="15626" max="15626" width="9.375" style="1298" bestFit="1" customWidth="1"/>
    <col min="15627" max="15627" width="4" style="1298" customWidth="1"/>
    <col min="15628" max="15628" width="5.125" style="1298" customWidth="1"/>
    <col min="15629" max="15629" width="13.75" style="1298" customWidth="1"/>
    <col min="15630" max="15872" width="9" style="1298"/>
    <col min="15873" max="15873" width="4.875" style="1298" customWidth="1"/>
    <col min="15874" max="15874" width="13.25" style="1298" customWidth="1"/>
    <col min="15875" max="15875" width="15.625" style="1298" customWidth="1"/>
    <col min="15876" max="15876" width="9.375" style="1298" bestFit="1" customWidth="1"/>
    <col min="15877" max="15877" width="13.5" style="1298" customWidth="1"/>
    <col min="15878" max="15878" width="9" style="1298"/>
    <col min="15879" max="15879" width="9.375" style="1298" bestFit="1" customWidth="1"/>
    <col min="15880" max="15881" width="9" style="1298"/>
    <col min="15882" max="15882" width="9.375" style="1298" bestFit="1" customWidth="1"/>
    <col min="15883" max="15883" width="4" style="1298" customWidth="1"/>
    <col min="15884" max="15884" width="5.125" style="1298" customWidth="1"/>
    <col min="15885" max="15885" width="13.75" style="1298" customWidth="1"/>
    <col min="15886" max="16128" width="9" style="1298"/>
    <col min="16129" max="16129" width="4.875" style="1298" customWidth="1"/>
    <col min="16130" max="16130" width="13.25" style="1298" customWidth="1"/>
    <col min="16131" max="16131" width="15.625" style="1298" customWidth="1"/>
    <col min="16132" max="16132" width="9.375" style="1298" bestFit="1" customWidth="1"/>
    <col min="16133" max="16133" width="13.5" style="1298" customWidth="1"/>
    <col min="16134" max="16134" width="9" style="1298"/>
    <col min="16135" max="16135" width="9.375" style="1298" bestFit="1" customWidth="1"/>
    <col min="16136" max="16137" width="9" style="1298"/>
    <col min="16138" max="16138" width="9.375" style="1298" bestFit="1" customWidth="1"/>
    <col min="16139" max="16139" width="4" style="1298" customWidth="1"/>
    <col min="16140" max="16140" width="5.125" style="1298" customWidth="1"/>
    <col min="16141" max="16141" width="13.75" style="1298" customWidth="1"/>
    <col min="16142" max="16384" width="9" style="1298"/>
  </cols>
  <sheetData>
    <row r="1" spans="1:257" s="1362" customFormat="1" ht="14.25" thickBot="1">
      <c r="A1" s="1356"/>
      <c r="B1" s="1363" t="s">
        <v>1301</v>
      </c>
      <c r="C1" s="1357">
        <f>项目基本情况!D3</f>
        <v>43071</v>
      </c>
      <c r="D1" s="1363" t="s">
        <v>1302</v>
      </c>
      <c r="E1" s="1358">
        <f>'数据-取费表'!B22</f>
        <v>2</v>
      </c>
      <c r="F1" s="1363" t="s">
        <v>1303</v>
      </c>
      <c r="G1" s="1359">
        <f ca="1">INDIRECT("d"&amp;$K$1)/100</f>
        <v>4.7500000000000001E-2</v>
      </c>
      <c r="H1" s="1363" t="s">
        <v>1333</v>
      </c>
      <c r="I1" s="1359">
        <f ca="1">F4/100</f>
        <v>1.4999999999999999E-2</v>
      </c>
      <c r="J1" s="1364">
        <f>IF(C1&gt;C13,0,MATCH(C1,C$13:C$100,-1))+IF(SUMIF(C13:C100,C1,D13:D100)=0,13,12)</f>
        <v>13</v>
      </c>
      <c r="K1" s="1364">
        <f>MATCH(E1,C3:C7,1)+IF(SUMIF(C3:C7,E1,D3:D7)=0,2,1)</f>
        <v>5</v>
      </c>
      <c r="L1" s="1364">
        <f>IF(C1&gt;M13,0,MATCH(C1,M$13:M$100,-1))+IF(SUMIF(M13:M100,C1,N13:N100)=0,13,12)</f>
        <v>13</v>
      </c>
      <c r="M1" s="1356"/>
      <c r="N1" s="1356"/>
      <c r="O1" s="1356"/>
      <c r="P1" s="1356"/>
      <c r="Q1" s="1356"/>
      <c r="R1" s="1356"/>
      <c r="S1" s="1356"/>
      <c r="T1" s="1356"/>
      <c r="U1" s="1356"/>
      <c r="V1" s="1356"/>
      <c r="W1" s="1356"/>
      <c r="X1" s="1356"/>
      <c r="Y1" s="1356"/>
      <c r="Z1" s="1356"/>
      <c r="AA1" s="1360"/>
      <c r="AB1" s="1360"/>
      <c r="AC1" s="1360"/>
      <c r="AD1" s="1360"/>
      <c r="AE1" s="1360"/>
      <c r="AF1" s="1360"/>
      <c r="AG1" s="1360"/>
      <c r="AH1" s="1360"/>
      <c r="AI1" s="1360"/>
      <c r="AJ1" s="1360"/>
      <c r="AK1" s="1360"/>
      <c r="AL1" s="1360"/>
      <c r="AM1" s="1360"/>
      <c r="AN1" s="1360"/>
      <c r="AO1" s="1360"/>
      <c r="AP1" s="1360"/>
      <c r="AQ1" s="1360"/>
      <c r="AR1" s="1360"/>
      <c r="AS1" s="1360"/>
      <c r="AT1" s="1360"/>
      <c r="AU1" s="1360"/>
      <c r="AV1" s="1360"/>
      <c r="AW1" s="1360"/>
      <c r="AX1" s="1360"/>
      <c r="AY1" s="1360"/>
      <c r="AZ1" s="1360"/>
      <c r="BA1" s="1360"/>
      <c r="BB1" s="1360"/>
      <c r="BC1" s="1360"/>
      <c r="BD1" s="1360"/>
      <c r="BE1" s="1360"/>
      <c r="BF1" s="1360"/>
      <c r="BG1" s="1360"/>
      <c r="BH1" s="1360"/>
      <c r="BI1" s="1360"/>
      <c r="BJ1" s="1360"/>
      <c r="BK1" s="1360"/>
      <c r="BL1" s="1360"/>
      <c r="BM1" s="1360"/>
      <c r="BN1" s="1360"/>
      <c r="BO1" s="1360"/>
      <c r="BP1" s="1360"/>
      <c r="BQ1" s="1360"/>
      <c r="BR1" s="1360"/>
      <c r="BS1" s="1360"/>
      <c r="BT1" s="1360"/>
      <c r="BU1" s="1360"/>
      <c r="BV1" s="1360"/>
      <c r="BW1" s="1360"/>
      <c r="BX1" s="1360"/>
      <c r="BY1" s="1360"/>
      <c r="BZ1" s="1360"/>
      <c r="CA1" s="1360"/>
      <c r="CB1" s="1360"/>
      <c r="CC1" s="1360"/>
      <c r="CD1" s="1360"/>
      <c r="CE1" s="1360"/>
      <c r="CF1" s="1360"/>
      <c r="CG1" s="1360"/>
      <c r="CH1" s="1360"/>
      <c r="CI1" s="1360"/>
      <c r="CJ1" s="1360"/>
      <c r="CK1" s="1360"/>
      <c r="CL1" s="1360"/>
      <c r="CM1" s="1360"/>
      <c r="CN1" s="1360"/>
      <c r="CO1" s="1360"/>
      <c r="CP1" s="1360"/>
      <c r="CQ1" s="1360"/>
      <c r="CR1" s="1360"/>
      <c r="CS1" s="1360"/>
      <c r="CT1" s="1360"/>
      <c r="CU1" s="1360"/>
      <c r="CV1" s="1360"/>
      <c r="CW1" s="1360"/>
      <c r="CX1" s="1360"/>
      <c r="CY1" s="1360"/>
      <c r="CZ1" s="1360"/>
      <c r="DA1" s="1360"/>
      <c r="DB1" s="1360"/>
      <c r="DC1" s="1360"/>
      <c r="DD1" s="1360"/>
      <c r="DE1" s="1360"/>
      <c r="DF1" s="1360"/>
      <c r="DG1" s="1360"/>
      <c r="DH1" s="1360"/>
      <c r="DI1" s="1360"/>
      <c r="DJ1" s="1360"/>
      <c r="DK1" s="1360"/>
      <c r="DL1" s="1360"/>
      <c r="DM1" s="1360"/>
      <c r="DN1" s="1360"/>
      <c r="DO1" s="1360"/>
      <c r="DP1" s="1360"/>
      <c r="DQ1" s="1360"/>
      <c r="DR1" s="1360"/>
      <c r="DS1" s="1360"/>
      <c r="DT1" s="1360"/>
      <c r="DU1" s="1360"/>
      <c r="DV1" s="1360"/>
      <c r="DW1" s="1360"/>
      <c r="DX1" s="1360"/>
      <c r="DY1" s="1360"/>
      <c r="DZ1" s="1360"/>
      <c r="EA1" s="1360"/>
      <c r="EB1" s="1360"/>
      <c r="EC1" s="1360"/>
      <c r="ED1" s="1360"/>
      <c r="EE1" s="1360"/>
      <c r="EF1" s="1360"/>
      <c r="EG1" s="1360"/>
      <c r="EH1" s="1360"/>
      <c r="EI1" s="1360"/>
      <c r="EJ1" s="1360"/>
      <c r="EK1" s="1360"/>
      <c r="EL1" s="1360"/>
      <c r="EM1" s="1360"/>
      <c r="EN1" s="1360"/>
      <c r="EO1" s="1360"/>
      <c r="EP1" s="1360"/>
      <c r="EQ1" s="1360"/>
      <c r="ER1" s="1360"/>
      <c r="ES1" s="1360"/>
      <c r="ET1" s="1360"/>
      <c r="EU1" s="1360"/>
      <c r="EV1" s="1360"/>
      <c r="EW1" s="1360"/>
      <c r="EX1" s="1360"/>
      <c r="EY1" s="1360"/>
      <c r="EZ1" s="1360"/>
      <c r="FA1" s="1360"/>
      <c r="FB1" s="1360"/>
      <c r="FC1" s="1360"/>
      <c r="FD1" s="1360"/>
      <c r="FE1" s="1360"/>
      <c r="FF1" s="1360"/>
      <c r="FG1" s="1360"/>
      <c r="FH1" s="1360"/>
      <c r="FI1" s="1360"/>
      <c r="FJ1" s="1360"/>
      <c r="FK1" s="1360"/>
      <c r="FL1" s="1360"/>
      <c r="FM1" s="1360"/>
      <c r="FN1" s="1360"/>
      <c r="FO1" s="1360"/>
      <c r="FP1" s="1360"/>
      <c r="FQ1" s="1360"/>
      <c r="FR1" s="1360"/>
      <c r="FS1" s="1360"/>
      <c r="FT1" s="1360"/>
      <c r="FU1" s="1360"/>
      <c r="FV1" s="1360"/>
      <c r="FW1" s="1360"/>
      <c r="FX1" s="1360"/>
      <c r="FY1" s="1360"/>
      <c r="FZ1" s="1360"/>
      <c r="GA1" s="1360"/>
      <c r="GB1" s="1360"/>
      <c r="GC1" s="1360"/>
      <c r="GD1" s="1360"/>
      <c r="GE1" s="1360"/>
      <c r="GF1" s="1360"/>
      <c r="GG1" s="1360"/>
      <c r="GH1" s="1360"/>
      <c r="GI1" s="1360"/>
      <c r="GJ1" s="1360"/>
      <c r="GK1" s="1360"/>
      <c r="GL1" s="1360"/>
      <c r="GM1" s="1360"/>
      <c r="GN1" s="1360"/>
      <c r="GO1" s="1360"/>
      <c r="GP1" s="1360"/>
      <c r="GQ1" s="1360"/>
      <c r="GR1" s="1360"/>
      <c r="GS1" s="1360"/>
      <c r="GT1" s="1360"/>
      <c r="GU1" s="1360"/>
      <c r="GV1" s="1360"/>
      <c r="GW1" s="1360"/>
      <c r="GX1" s="1360"/>
      <c r="GY1" s="1360"/>
      <c r="GZ1" s="1360"/>
      <c r="HA1" s="1360"/>
      <c r="HB1" s="1360"/>
      <c r="HC1" s="1360"/>
      <c r="HD1" s="1360"/>
      <c r="HE1" s="1360"/>
      <c r="HF1" s="1360"/>
      <c r="HG1" s="1360"/>
      <c r="HH1" s="1360"/>
      <c r="HI1" s="1360"/>
      <c r="HJ1" s="1360"/>
      <c r="HK1" s="1360"/>
      <c r="HL1" s="1360"/>
      <c r="HM1" s="1360"/>
      <c r="HN1" s="1360"/>
      <c r="HO1" s="1360"/>
      <c r="HP1" s="1360"/>
      <c r="HQ1" s="1360"/>
      <c r="HR1" s="1360"/>
      <c r="HS1" s="1360"/>
      <c r="HT1" s="1360"/>
      <c r="HU1" s="1360"/>
      <c r="HV1" s="1360"/>
      <c r="HW1" s="1360"/>
      <c r="HX1" s="1360"/>
      <c r="HY1" s="1360"/>
      <c r="HZ1" s="1360"/>
      <c r="IA1" s="1360"/>
      <c r="IB1" s="1360"/>
      <c r="IC1" s="1360"/>
      <c r="ID1" s="1360"/>
      <c r="IE1" s="1360"/>
      <c r="IF1" s="1360"/>
      <c r="IG1" s="1360"/>
      <c r="IH1" s="1360"/>
      <c r="II1" s="1360"/>
      <c r="IJ1" s="1360"/>
      <c r="IK1" s="1360"/>
      <c r="IL1" s="1360"/>
      <c r="IM1" s="1360"/>
      <c r="IN1" s="1360"/>
      <c r="IO1" s="1360"/>
      <c r="IP1" s="1360"/>
      <c r="IQ1" s="1360"/>
      <c r="IR1" s="1360"/>
      <c r="IS1" s="1360"/>
      <c r="IT1" s="1360"/>
      <c r="IU1" s="1360"/>
      <c r="IV1" s="1360"/>
      <c r="IW1" s="1361"/>
    </row>
    <row r="2" spans="1:257" ht="15" thickTop="1" thickBot="1">
      <c r="A2" s="1299"/>
      <c r="B2" s="1299"/>
      <c r="C2" s="1299"/>
      <c r="D2" s="1299" t="s">
        <v>1304</v>
      </c>
      <c r="E2" s="1299"/>
      <c r="F2" s="1299" t="s">
        <v>1305</v>
      </c>
      <c r="G2" s="1300"/>
      <c r="H2" s="1299"/>
      <c r="I2" s="1299"/>
      <c r="J2" s="1299"/>
      <c r="K2" s="1299"/>
      <c r="L2" s="1299"/>
      <c r="M2" s="1299"/>
      <c r="N2" s="1299"/>
      <c r="O2" s="1299"/>
      <c r="P2" s="1299"/>
      <c r="Q2" s="1299"/>
      <c r="R2" s="1299"/>
      <c r="S2" s="1299"/>
      <c r="T2" s="1299"/>
      <c r="U2" s="1299"/>
      <c r="V2" s="1299"/>
      <c r="W2" s="1299"/>
      <c r="X2" s="1299"/>
      <c r="Y2" s="1299"/>
      <c r="Z2" s="1299"/>
      <c r="AA2" s="1299"/>
      <c r="AB2" s="1299"/>
      <c r="AC2" s="1299"/>
      <c r="AD2" s="1299"/>
      <c r="AE2" s="1299"/>
      <c r="AF2" s="1299"/>
      <c r="AG2" s="1299"/>
      <c r="AH2" s="1299"/>
      <c r="AI2" s="1299"/>
      <c r="AJ2" s="1299"/>
      <c r="AK2" s="1299"/>
      <c r="AL2" s="1299"/>
      <c r="AM2" s="1299"/>
      <c r="AN2" s="1299"/>
      <c r="AO2" s="1299"/>
      <c r="AP2" s="1299"/>
      <c r="AQ2" s="1299"/>
      <c r="AR2" s="1299"/>
      <c r="AS2" s="1299"/>
      <c r="AT2" s="1299"/>
      <c r="AU2" s="1299"/>
      <c r="AV2" s="1299"/>
      <c r="AW2" s="1299"/>
      <c r="AX2" s="1299"/>
      <c r="AY2" s="1299"/>
      <c r="AZ2" s="1299"/>
      <c r="BA2" s="1299"/>
      <c r="BB2" s="1299"/>
      <c r="BC2" s="1299"/>
      <c r="BD2" s="1299"/>
      <c r="BE2" s="1299"/>
      <c r="BF2" s="1299"/>
      <c r="BG2" s="1299"/>
      <c r="BH2" s="1299"/>
      <c r="BI2" s="1299"/>
      <c r="BJ2" s="1299"/>
      <c r="BK2" s="1299"/>
      <c r="BL2" s="1299"/>
      <c r="BM2" s="1299"/>
      <c r="BN2" s="1299"/>
      <c r="BO2" s="1299"/>
      <c r="BP2" s="1299"/>
      <c r="BQ2" s="1299"/>
      <c r="BR2" s="1299"/>
      <c r="BS2" s="1299"/>
      <c r="BT2" s="1299"/>
      <c r="BU2" s="1299"/>
      <c r="BV2" s="1299"/>
      <c r="BW2" s="1299"/>
      <c r="BX2" s="1299"/>
      <c r="BY2" s="1299"/>
      <c r="BZ2" s="1299"/>
      <c r="CA2" s="1299"/>
      <c r="CB2" s="1299"/>
      <c r="CC2" s="1299"/>
      <c r="CD2" s="1299"/>
      <c r="CE2" s="1299"/>
      <c r="CF2" s="1299"/>
      <c r="CG2" s="1299"/>
      <c r="CH2" s="1299"/>
      <c r="CI2" s="1299"/>
      <c r="CJ2" s="1299"/>
      <c r="CK2" s="1299"/>
      <c r="CL2" s="1299"/>
      <c r="CM2" s="1299"/>
      <c r="CN2" s="1299"/>
      <c r="CO2" s="1299"/>
      <c r="CP2" s="1299"/>
      <c r="CQ2" s="1299"/>
      <c r="CR2" s="1299"/>
      <c r="CS2" s="1299"/>
      <c r="CT2" s="1299"/>
      <c r="CU2" s="1299"/>
      <c r="CV2" s="1299"/>
      <c r="CW2" s="1299"/>
      <c r="CX2" s="1299"/>
      <c r="CY2" s="1299"/>
      <c r="CZ2" s="1299"/>
      <c r="DA2" s="1299"/>
      <c r="DB2" s="1299"/>
      <c r="DC2" s="1299"/>
      <c r="DD2" s="1299"/>
      <c r="DE2" s="1299"/>
      <c r="DF2" s="1299"/>
      <c r="DG2" s="1299"/>
      <c r="DH2" s="1299"/>
      <c r="DI2" s="1299"/>
      <c r="DJ2" s="1299"/>
      <c r="DK2" s="1299"/>
      <c r="DL2" s="1299"/>
      <c r="DM2" s="1299"/>
      <c r="DN2" s="1299"/>
      <c r="DO2" s="1299"/>
      <c r="DP2" s="1299"/>
      <c r="DQ2" s="1299"/>
      <c r="DR2" s="1299"/>
      <c r="DS2" s="1299"/>
      <c r="DT2" s="1299"/>
      <c r="DU2" s="1299"/>
      <c r="DV2" s="1299"/>
      <c r="DW2" s="1299"/>
      <c r="DX2" s="1299"/>
      <c r="DY2" s="1299"/>
      <c r="DZ2" s="1299"/>
      <c r="EA2" s="1299"/>
      <c r="EB2" s="1299"/>
      <c r="EC2" s="1299"/>
      <c r="ED2" s="1299"/>
      <c r="EE2" s="1299"/>
      <c r="EF2" s="1299"/>
      <c r="EG2" s="1299"/>
      <c r="EH2" s="1299"/>
      <c r="EI2" s="1299"/>
      <c r="EJ2" s="1299"/>
      <c r="EK2" s="1299"/>
      <c r="EL2" s="1299"/>
      <c r="EM2" s="1299"/>
      <c r="EN2" s="1299"/>
      <c r="EO2" s="1299"/>
      <c r="EP2" s="1299"/>
      <c r="EQ2" s="1299"/>
      <c r="ER2" s="1299"/>
      <c r="ES2" s="1299"/>
      <c r="ET2" s="1299"/>
      <c r="EU2" s="1299"/>
      <c r="EV2" s="1299"/>
      <c r="EW2" s="1299"/>
      <c r="EX2" s="1299"/>
      <c r="EY2" s="1299"/>
      <c r="EZ2" s="1299"/>
      <c r="FA2" s="1299"/>
      <c r="FB2" s="1299"/>
      <c r="FC2" s="1299"/>
      <c r="FD2" s="1299"/>
      <c r="FE2" s="1299"/>
      <c r="FF2" s="1299"/>
      <c r="FG2" s="1299"/>
      <c r="FH2" s="1299"/>
      <c r="FI2" s="1299"/>
      <c r="FJ2" s="1299"/>
      <c r="FK2" s="1299"/>
      <c r="FL2" s="1299"/>
      <c r="FM2" s="1299"/>
      <c r="FN2" s="1299"/>
      <c r="FO2" s="1299"/>
      <c r="FP2" s="1299"/>
      <c r="FQ2" s="1299"/>
      <c r="FR2" s="1299"/>
      <c r="FS2" s="1299"/>
      <c r="FT2" s="1299"/>
      <c r="FU2" s="1299"/>
      <c r="FV2" s="1299"/>
      <c r="FW2" s="1299"/>
      <c r="FX2" s="1299"/>
      <c r="FY2" s="1299"/>
      <c r="FZ2" s="1299"/>
      <c r="GA2" s="1299"/>
      <c r="GB2" s="1299"/>
      <c r="GC2" s="1299"/>
      <c r="GD2" s="1299"/>
      <c r="GE2" s="1299"/>
      <c r="GF2" s="1299"/>
      <c r="GG2" s="1299"/>
      <c r="GH2" s="1299"/>
      <c r="GI2" s="1299"/>
      <c r="GJ2" s="1299"/>
      <c r="GK2" s="1299"/>
      <c r="GL2" s="1299"/>
      <c r="GM2" s="1299"/>
      <c r="GN2" s="1299"/>
      <c r="GO2" s="1299"/>
      <c r="GP2" s="1299"/>
      <c r="GQ2" s="1299"/>
      <c r="GR2" s="1299"/>
      <c r="GS2" s="1299"/>
      <c r="GT2" s="1299"/>
      <c r="GU2" s="1299"/>
      <c r="GV2" s="1299"/>
      <c r="GW2" s="1299"/>
      <c r="GX2" s="1299"/>
      <c r="GY2" s="1299"/>
      <c r="GZ2" s="1299"/>
      <c r="HA2" s="1299"/>
      <c r="HB2" s="1299"/>
      <c r="HC2" s="1299"/>
      <c r="HD2" s="1299"/>
      <c r="HE2" s="1299"/>
      <c r="HF2" s="1299"/>
      <c r="HG2" s="1299"/>
      <c r="HH2" s="1299"/>
      <c r="HI2" s="1299"/>
      <c r="HJ2" s="1299"/>
      <c r="HK2" s="1299"/>
      <c r="HL2" s="1299"/>
      <c r="HM2" s="1299"/>
      <c r="HN2" s="1299"/>
      <c r="HO2" s="1299"/>
      <c r="HP2" s="1299"/>
      <c r="HQ2" s="1299"/>
      <c r="HR2" s="1299"/>
      <c r="HS2" s="1299"/>
      <c r="HT2" s="1299"/>
      <c r="HU2" s="1299"/>
      <c r="HV2" s="1299"/>
      <c r="HW2" s="1299"/>
      <c r="HX2" s="1299"/>
      <c r="HY2" s="1299"/>
      <c r="HZ2" s="1299"/>
      <c r="IA2" s="1299"/>
      <c r="IB2" s="1299"/>
      <c r="IC2" s="1299"/>
      <c r="ID2" s="1299"/>
      <c r="IE2" s="1299"/>
      <c r="IF2" s="1299"/>
      <c r="IG2" s="1299"/>
      <c r="IH2" s="1299"/>
      <c r="II2" s="1299"/>
      <c r="IJ2" s="1299"/>
      <c r="IK2" s="1299"/>
      <c r="IL2" s="1299"/>
      <c r="IM2" s="1299"/>
      <c r="IN2" s="1299"/>
      <c r="IO2" s="1299"/>
      <c r="IP2" s="1299"/>
      <c r="IQ2" s="1299"/>
      <c r="IR2" s="1299"/>
      <c r="IS2" s="1299"/>
      <c r="IT2" s="1299"/>
      <c r="IU2" s="1299"/>
      <c r="IV2" s="1299"/>
      <c r="IW2" s="1299"/>
    </row>
    <row r="3" spans="1:257">
      <c r="B3" s="1302" t="s">
        <v>1306</v>
      </c>
      <c r="C3" s="1303">
        <v>0</v>
      </c>
      <c r="D3" s="1304">
        <f ca="1">INDIRECT("d"&amp;$J$1)</f>
        <v>4.3499999999999996</v>
      </c>
      <c r="E3" s="1305">
        <v>0.5</v>
      </c>
      <c r="F3" s="1306">
        <f ca="1">INDIRECT("p"&amp;$L$1)</f>
        <v>1.3</v>
      </c>
      <c r="G3" s="1301"/>
      <c r="H3" s="1301"/>
      <c r="I3" s="1301"/>
      <c r="J3" s="1301"/>
      <c r="L3" s="1301"/>
      <c r="M3" s="1301"/>
      <c r="N3" s="1301"/>
      <c r="O3" s="1301"/>
      <c r="P3" s="1301"/>
      <c r="Q3" s="1301"/>
      <c r="R3" s="1301"/>
      <c r="S3" s="1301"/>
      <c r="T3" s="1301"/>
      <c r="U3" s="1301"/>
      <c r="V3" s="1301"/>
      <c r="W3" s="1301"/>
      <c r="X3" s="1301"/>
      <c r="Y3" s="1301"/>
      <c r="Z3" s="1301"/>
    </row>
    <row r="4" spans="1:257">
      <c r="B4" s="1308" t="s">
        <v>1307</v>
      </c>
      <c r="C4" s="1309">
        <v>0.5</v>
      </c>
      <c r="D4" s="1310">
        <f ca="1">INDIRECT("e"&amp;$J$1)</f>
        <v>4.3499999999999996</v>
      </c>
      <c r="E4" s="1311">
        <v>1</v>
      </c>
      <c r="F4" s="1312">
        <f ca="1">INDIRECT("q"&amp;$L$1)</f>
        <v>1.5</v>
      </c>
      <c r="G4" s="1301"/>
      <c r="H4" s="1301"/>
      <c r="I4" s="1301"/>
      <c r="J4" s="1301"/>
      <c r="L4" s="1301"/>
      <c r="M4" s="1301"/>
      <c r="N4" s="1301"/>
      <c r="O4" s="1301"/>
      <c r="P4" s="1301"/>
      <c r="Q4" s="1301"/>
      <c r="R4" s="1301"/>
      <c r="S4" s="1301"/>
      <c r="T4" s="1301"/>
      <c r="U4" s="1301"/>
      <c r="V4" s="1301"/>
      <c r="W4" s="1301"/>
      <c r="X4" s="1301"/>
      <c r="Y4" s="1301"/>
      <c r="Z4" s="1301"/>
    </row>
    <row r="5" spans="1:257">
      <c r="B5" s="1308" t="s">
        <v>1308</v>
      </c>
      <c r="C5" s="1309">
        <v>1</v>
      </c>
      <c r="D5" s="1310">
        <f ca="1">INDIRECT("f"&amp;$J$1)</f>
        <v>4.75</v>
      </c>
      <c r="E5" s="1311">
        <v>2</v>
      </c>
      <c r="F5" s="1312">
        <f ca="1">INDIRECT("r"&amp;$L$1)</f>
        <v>2.1</v>
      </c>
      <c r="G5" s="1301"/>
      <c r="H5" s="1301"/>
      <c r="I5" s="1301"/>
      <c r="J5" s="1301"/>
      <c r="L5" s="1301"/>
      <c r="M5" s="1301"/>
      <c r="N5" s="1301"/>
      <c r="O5" s="1301"/>
      <c r="P5" s="1301"/>
      <c r="Q5" s="1301"/>
      <c r="R5" s="1301"/>
      <c r="S5" s="1301"/>
      <c r="T5" s="1301"/>
      <c r="U5" s="1301"/>
      <c r="V5" s="1301"/>
      <c r="W5" s="1301"/>
      <c r="X5" s="1301"/>
      <c r="Y5" s="1301"/>
      <c r="Z5" s="1301"/>
    </row>
    <row r="6" spans="1:257">
      <c r="B6" s="1308" t="s">
        <v>1309</v>
      </c>
      <c r="C6" s="1309">
        <v>3</v>
      </c>
      <c r="D6" s="1310">
        <f ca="1">INDIRECT("g"&amp;$J$1)</f>
        <v>4.75</v>
      </c>
      <c r="E6" s="1311">
        <v>3</v>
      </c>
      <c r="F6" s="1312">
        <f ca="1">INDIRECT("s"&amp;$L$1)</f>
        <v>2.75</v>
      </c>
      <c r="G6" s="1301"/>
      <c r="H6" s="1301"/>
      <c r="I6" s="1301"/>
      <c r="J6" s="1301"/>
      <c r="L6" s="1301"/>
      <c r="M6" s="1301"/>
      <c r="N6" s="1301"/>
      <c r="O6" s="1301"/>
      <c r="P6" s="1301"/>
      <c r="Q6" s="1301"/>
      <c r="R6" s="1301"/>
      <c r="S6" s="1301"/>
      <c r="T6" s="1301"/>
      <c r="U6" s="1301"/>
      <c r="V6" s="1301"/>
      <c r="W6" s="1301"/>
      <c r="X6" s="1301"/>
      <c r="Y6" s="1301"/>
      <c r="Z6" s="1301"/>
    </row>
    <row r="7" spans="1:257" ht="14.25" thickBot="1">
      <c r="B7" s="1313" t="s">
        <v>1310</v>
      </c>
      <c r="C7" s="1314">
        <v>5</v>
      </c>
      <c r="D7" s="1315">
        <f ca="1">INDIRECT("h"&amp;$J$1)</f>
        <v>4.9000000000000004</v>
      </c>
      <c r="E7" s="1316">
        <v>5</v>
      </c>
      <c r="F7" s="1317">
        <f ca="1">INDIRECT("t"&amp;$L$1)</f>
        <v>0</v>
      </c>
      <c r="G7" s="1301"/>
      <c r="H7" s="1301"/>
      <c r="I7" s="1301"/>
      <c r="J7" s="1301"/>
      <c r="L7" s="1301"/>
      <c r="M7" s="1301"/>
      <c r="N7" s="1301"/>
      <c r="O7" s="1301"/>
      <c r="P7" s="1301"/>
      <c r="Q7" s="1301"/>
      <c r="R7" s="1301"/>
      <c r="S7" s="1301"/>
      <c r="T7" s="1301"/>
      <c r="U7" s="1301"/>
      <c r="V7" s="1301"/>
      <c r="W7" s="1301"/>
      <c r="X7" s="1301"/>
      <c r="Y7" s="1301"/>
      <c r="Z7" s="1301"/>
    </row>
    <row r="8" spans="1:257">
      <c r="A8" s="1318"/>
      <c r="B8" s="1319"/>
      <c r="C8" s="1320"/>
      <c r="D8" s="1301"/>
      <c r="E8" s="1301"/>
      <c r="F8" s="1301"/>
      <c r="G8" s="1301"/>
      <c r="H8" s="1301"/>
      <c r="I8" s="1301"/>
      <c r="J8" s="1301"/>
      <c r="L8" s="1301"/>
      <c r="M8" s="1301"/>
      <c r="N8" s="1301"/>
      <c r="O8" s="1301"/>
      <c r="P8" s="1301"/>
      <c r="Q8" s="1301"/>
      <c r="R8" s="1301"/>
      <c r="S8" s="1301"/>
      <c r="T8" s="1301"/>
      <c r="U8" s="1301"/>
      <c r="V8" s="1301"/>
      <c r="W8" s="1301"/>
      <c r="X8" s="1301"/>
      <c r="Y8" s="1301"/>
      <c r="Z8" s="1301"/>
    </row>
    <row r="9" spans="1:257" ht="20.25">
      <c r="A9" s="1321"/>
      <c r="B9" s="1322" t="s">
        <v>1311</v>
      </c>
      <c r="C9" s="1323"/>
      <c r="D9" s="1324"/>
      <c r="E9" s="1324"/>
      <c r="F9" s="1324"/>
      <c r="G9" s="1324"/>
      <c r="H9" s="1324"/>
      <c r="I9" s="1324"/>
      <c r="J9" s="1324"/>
      <c r="K9" s="1324"/>
      <c r="L9" s="1324"/>
      <c r="M9" s="1324"/>
      <c r="N9" s="1324"/>
      <c r="O9" s="1324"/>
      <c r="P9" s="1324"/>
      <c r="Q9" s="1324"/>
      <c r="R9" s="1324"/>
      <c r="S9" s="1324"/>
      <c r="T9" s="1324"/>
      <c r="U9" s="1324"/>
      <c r="V9" s="1324"/>
      <c r="W9" s="1324"/>
      <c r="X9" s="1324"/>
      <c r="Y9" s="1324"/>
      <c r="Z9" s="1324"/>
      <c r="AA9" s="1325"/>
      <c r="AB9" s="1325"/>
      <c r="AC9" s="1325"/>
      <c r="AD9" s="1325"/>
      <c r="AE9" s="1325"/>
      <c r="AF9" s="1325"/>
      <c r="AG9" s="1325"/>
      <c r="AH9" s="1325"/>
      <c r="AI9" s="1325"/>
      <c r="AJ9" s="1325"/>
      <c r="AK9" s="1325"/>
      <c r="AL9" s="1325"/>
      <c r="AM9" s="1325"/>
      <c r="AN9" s="1325"/>
      <c r="AO9" s="1325"/>
      <c r="AP9" s="1325"/>
      <c r="AQ9" s="1325"/>
      <c r="AR9" s="1325"/>
      <c r="AS9" s="1325"/>
      <c r="AT9" s="1325"/>
      <c r="AU9" s="1325"/>
      <c r="AV9" s="1325"/>
      <c r="AW9" s="1325"/>
      <c r="AX9" s="1325"/>
      <c r="AY9" s="1325"/>
      <c r="AZ9" s="1325"/>
      <c r="BA9" s="1325"/>
      <c r="BB9" s="1325"/>
      <c r="BC9" s="1325"/>
      <c r="BD9" s="1325"/>
      <c r="BE9" s="1325"/>
      <c r="BF9" s="1325"/>
      <c r="BG9" s="1325"/>
      <c r="BH9" s="1325"/>
      <c r="BI9" s="1325"/>
      <c r="BJ9" s="1325"/>
      <c r="BK9" s="1325"/>
      <c r="BL9" s="1325"/>
      <c r="BM9" s="1325"/>
      <c r="BN9" s="1325"/>
      <c r="BO9" s="1325"/>
      <c r="BP9" s="1325"/>
      <c r="BQ9" s="1325"/>
      <c r="BR9" s="1325"/>
      <c r="BS9" s="1325"/>
      <c r="BT9" s="1325"/>
      <c r="BU9" s="1325"/>
      <c r="BV9" s="1325"/>
      <c r="BW9" s="1325"/>
      <c r="BX9" s="1325"/>
      <c r="BY9" s="1325"/>
      <c r="BZ9" s="1325"/>
      <c r="CA9" s="1325"/>
      <c r="CB9" s="1325"/>
      <c r="CC9" s="1325"/>
      <c r="CD9" s="1325"/>
      <c r="CE9" s="1325"/>
      <c r="CF9" s="1325"/>
      <c r="CG9" s="1325"/>
      <c r="CH9" s="1325"/>
      <c r="CI9" s="1325"/>
      <c r="CJ9" s="1325"/>
      <c r="CK9" s="1325"/>
      <c r="CL9" s="1325"/>
      <c r="CM9" s="1325"/>
      <c r="CN9" s="1325"/>
      <c r="CO9" s="1325"/>
      <c r="CP9" s="1325"/>
      <c r="CQ9" s="1325"/>
      <c r="CR9" s="1325"/>
      <c r="CS9" s="1325"/>
      <c r="CT9" s="1325"/>
      <c r="CU9" s="1325"/>
      <c r="CV9" s="1325"/>
      <c r="CW9" s="1325"/>
      <c r="CX9" s="1325"/>
      <c r="CY9" s="1325"/>
      <c r="CZ9" s="1325"/>
      <c r="DA9" s="1325"/>
      <c r="DB9" s="1325"/>
      <c r="DC9" s="1325"/>
      <c r="DD9" s="1325"/>
      <c r="DE9" s="1325"/>
      <c r="DF9" s="1325"/>
      <c r="DG9" s="1325"/>
      <c r="DH9" s="1325"/>
      <c r="DI9" s="1325"/>
      <c r="DJ9" s="1325"/>
      <c r="DK9" s="1325"/>
      <c r="DL9" s="1325"/>
      <c r="DM9" s="1325"/>
      <c r="DN9" s="1325"/>
      <c r="DO9" s="1325"/>
      <c r="DP9" s="1325"/>
      <c r="DQ9" s="1325"/>
      <c r="DR9" s="1325"/>
      <c r="DS9" s="1325"/>
      <c r="DT9" s="1325"/>
      <c r="DU9" s="1325"/>
      <c r="DV9" s="1325"/>
      <c r="DW9" s="1325"/>
      <c r="DX9" s="1325"/>
      <c r="DY9" s="1325"/>
      <c r="DZ9" s="1325"/>
      <c r="EA9" s="1325"/>
      <c r="EB9" s="1325"/>
      <c r="EC9" s="1325"/>
      <c r="ED9" s="1325"/>
      <c r="EE9" s="1325"/>
      <c r="EF9" s="1325"/>
      <c r="EG9" s="1325"/>
      <c r="EH9" s="1325"/>
      <c r="EI9" s="1325"/>
      <c r="EJ9" s="1325"/>
      <c r="EK9" s="1325"/>
      <c r="EL9" s="1325"/>
      <c r="EM9" s="1325"/>
      <c r="EN9" s="1325"/>
      <c r="EO9" s="1325"/>
      <c r="EP9" s="1325"/>
      <c r="EQ9" s="1325"/>
      <c r="ER9" s="1325"/>
      <c r="ES9" s="1325"/>
      <c r="ET9" s="1325"/>
      <c r="EU9" s="1325"/>
      <c r="EV9" s="1325"/>
      <c r="EW9" s="1325"/>
      <c r="EX9" s="1325"/>
      <c r="EY9" s="1325"/>
      <c r="EZ9" s="1325"/>
      <c r="FA9" s="1325"/>
      <c r="FB9" s="1325"/>
      <c r="FC9" s="1325"/>
      <c r="FD9" s="1325"/>
      <c r="FE9" s="1325"/>
      <c r="FF9" s="1325"/>
      <c r="FG9" s="1325"/>
      <c r="FH9" s="1325"/>
      <c r="FI9" s="1325"/>
      <c r="FJ9" s="1325"/>
      <c r="FK9" s="1325"/>
      <c r="FL9" s="1325"/>
      <c r="FM9" s="1325"/>
      <c r="FN9" s="1325"/>
      <c r="FO9" s="1325"/>
      <c r="FP9" s="1325"/>
      <c r="FQ9" s="1325"/>
      <c r="FR9" s="1325"/>
      <c r="FS9" s="1325"/>
      <c r="FT9" s="1325"/>
      <c r="FU9" s="1325"/>
      <c r="FV9" s="1325"/>
      <c r="FW9" s="1325"/>
      <c r="FX9" s="1325"/>
      <c r="FY9" s="1325"/>
      <c r="FZ9" s="1325"/>
      <c r="GA9" s="1325"/>
      <c r="GB9" s="1325"/>
      <c r="GC9" s="1325"/>
      <c r="GD9" s="1325"/>
      <c r="GE9" s="1325"/>
      <c r="GF9" s="1325"/>
      <c r="GG9" s="1325"/>
      <c r="GH9" s="1325"/>
      <c r="GI9" s="1325"/>
      <c r="GJ9" s="1325"/>
      <c r="GK9" s="1325"/>
      <c r="GL9" s="1325"/>
      <c r="GM9" s="1325"/>
      <c r="GN9" s="1325"/>
      <c r="GO9" s="1325"/>
      <c r="GP9" s="1325"/>
      <c r="GQ9" s="1325"/>
      <c r="GR9" s="1325"/>
      <c r="GS9" s="1325"/>
      <c r="GT9" s="1325"/>
      <c r="GU9" s="1325"/>
      <c r="GV9" s="1325"/>
      <c r="GW9" s="1325"/>
      <c r="GX9" s="1325"/>
      <c r="GY9" s="1325"/>
      <c r="GZ9" s="1325"/>
      <c r="HA9" s="1325"/>
      <c r="HB9" s="1325"/>
      <c r="HC9" s="1325"/>
      <c r="HD9" s="1325"/>
      <c r="HE9" s="1325"/>
      <c r="HF9" s="1325"/>
      <c r="HG9" s="1325"/>
      <c r="HH9" s="1325"/>
      <c r="HI9" s="1325"/>
      <c r="HJ9" s="1325"/>
      <c r="HK9" s="1325"/>
      <c r="HL9" s="1325"/>
      <c r="HM9" s="1325"/>
      <c r="HN9" s="1325"/>
      <c r="HO9" s="1325"/>
      <c r="HP9" s="1325"/>
      <c r="HQ9" s="1325"/>
      <c r="HR9" s="1325"/>
      <c r="HS9" s="1325"/>
      <c r="HT9" s="1325"/>
      <c r="HU9" s="1325"/>
      <c r="HV9" s="1325"/>
      <c r="HW9" s="1325"/>
      <c r="HX9" s="1325"/>
      <c r="HY9" s="1325"/>
      <c r="HZ9" s="1325"/>
      <c r="IA9" s="1325"/>
      <c r="IB9" s="1325"/>
      <c r="IC9" s="1325"/>
      <c r="ID9" s="1325"/>
      <c r="IE9" s="1325"/>
      <c r="IF9" s="1325"/>
      <c r="IG9" s="1325"/>
      <c r="IH9" s="1325"/>
      <c r="II9" s="1325"/>
      <c r="IJ9" s="1325"/>
      <c r="IK9" s="1325"/>
      <c r="IL9" s="1325"/>
      <c r="IM9" s="1325"/>
      <c r="IN9" s="1325"/>
      <c r="IO9" s="1325"/>
      <c r="IP9" s="1325"/>
      <c r="IQ9" s="1325"/>
      <c r="IR9" s="1325"/>
      <c r="IS9" s="1325"/>
      <c r="IT9" s="1325"/>
      <c r="IU9" s="1325"/>
      <c r="IV9" s="1325"/>
      <c r="IW9" s="1326"/>
    </row>
    <row r="10" spans="1:257" ht="22.5">
      <c r="A10" s="1327"/>
      <c r="B10" s="1328" t="s">
        <v>1312</v>
      </c>
      <c r="C10" s="1327"/>
      <c r="D10" s="1327"/>
      <c r="E10" s="1327"/>
      <c r="F10" s="1327"/>
      <c r="G10" s="1327"/>
      <c r="H10" s="1327"/>
      <c r="I10" s="1301"/>
      <c r="J10" s="1301"/>
      <c r="K10" s="1327"/>
      <c r="L10" s="1328" t="s">
        <v>1313</v>
      </c>
      <c r="M10" s="1327"/>
      <c r="N10" s="1327"/>
      <c r="O10" s="1327"/>
      <c r="P10" s="1327"/>
      <c r="Q10" s="1327"/>
      <c r="R10" s="1327"/>
      <c r="S10" s="1327"/>
      <c r="T10" s="1327"/>
      <c r="U10" s="1327"/>
      <c r="V10" s="1327"/>
      <c r="W10" s="1327"/>
      <c r="X10" s="1327"/>
      <c r="Y10" s="1327"/>
      <c r="Z10" s="1327"/>
      <c r="AA10" s="1329"/>
      <c r="AB10" s="1329"/>
      <c r="AC10" s="1329"/>
      <c r="AD10" s="1329"/>
      <c r="AE10" s="1329"/>
      <c r="AF10" s="1329"/>
      <c r="AG10" s="1329"/>
      <c r="AH10" s="1329"/>
      <c r="AI10" s="1329"/>
      <c r="AJ10" s="1329"/>
      <c r="AK10" s="1329"/>
      <c r="AL10" s="1329"/>
      <c r="AM10" s="1329"/>
      <c r="AN10" s="1329"/>
      <c r="AO10" s="1329"/>
      <c r="AP10" s="1329"/>
      <c r="AQ10" s="1329"/>
      <c r="AR10" s="1329"/>
      <c r="AS10" s="1329"/>
      <c r="AT10" s="1329"/>
      <c r="AU10" s="1329"/>
      <c r="AV10" s="1329"/>
      <c r="AW10" s="1329"/>
      <c r="AX10" s="1329"/>
      <c r="AY10" s="1329"/>
      <c r="AZ10" s="1329"/>
      <c r="BA10" s="1329"/>
      <c r="BB10" s="1329"/>
      <c r="BC10" s="1329"/>
      <c r="BD10" s="1329"/>
      <c r="BE10" s="1329"/>
      <c r="BF10" s="1329"/>
      <c r="BG10" s="1329"/>
      <c r="BH10" s="1329"/>
      <c r="BI10" s="1329"/>
      <c r="BJ10" s="1329"/>
      <c r="BK10" s="1329"/>
      <c r="BL10" s="1329"/>
      <c r="BM10" s="1329"/>
      <c r="BN10" s="1329"/>
      <c r="BO10" s="1329"/>
      <c r="BP10" s="1329"/>
      <c r="BQ10" s="1329"/>
      <c r="BR10" s="1329"/>
      <c r="BS10" s="1329"/>
      <c r="BT10" s="1329"/>
      <c r="BU10" s="1329"/>
      <c r="BV10" s="1329"/>
      <c r="BW10" s="1329"/>
      <c r="BX10" s="1329"/>
      <c r="BY10" s="1329"/>
      <c r="BZ10" s="1329"/>
      <c r="CA10" s="1329"/>
      <c r="CB10" s="1329"/>
      <c r="CC10" s="1329"/>
      <c r="CD10" s="1329"/>
      <c r="CE10" s="1329"/>
      <c r="CF10" s="1329"/>
      <c r="CG10" s="1329"/>
      <c r="CH10" s="1329"/>
      <c r="CI10" s="1329"/>
      <c r="CJ10" s="1329"/>
      <c r="CK10" s="1329"/>
      <c r="CL10" s="1329"/>
      <c r="CM10" s="1329"/>
      <c r="CN10" s="1329"/>
      <c r="CO10" s="1329"/>
      <c r="CP10" s="1329"/>
      <c r="CQ10" s="1329"/>
      <c r="CR10" s="1329"/>
      <c r="CS10" s="1329"/>
      <c r="CT10" s="1329"/>
      <c r="CU10" s="1329"/>
      <c r="CV10" s="1329"/>
      <c r="CW10" s="1329"/>
      <c r="CX10" s="1329"/>
      <c r="CY10" s="1329"/>
      <c r="CZ10" s="1329"/>
      <c r="DA10" s="1329"/>
      <c r="DB10" s="1329"/>
      <c r="DC10" s="1329"/>
      <c r="DD10" s="1329"/>
      <c r="DE10" s="1329"/>
      <c r="DF10" s="1329"/>
      <c r="DG10" s="1329"/>
      <c r="DH10" s="1329"/>
      <c r="DI10" s="1329"/>
      <c r="DJ10" s="1329"/>
      <c r="DK10" s="1329"/>
      <c r="DL10" s="1329"/>
      <c r="DM10" s="1329"/>
      <c r="DN10" s="1329"/>
      <c r="DO10" s="1329"/>
      <c r="DP10" s="1329"/>
      <c r="DQ10" s="1329"/>
      <c r="DR10" s="1329"/>
      <c r="DS10" s="1329"/>
      <c r="DT10" s="1329"/>
      <c r="DU10" s="1329"/>
      <c r="DV10" s="1329"/>
      <c r="DW10" s="1329"/>
      <c r="DX10" s="1329"/>
      <c r="DY10" s="1329"/>
      <c r="DZ10" s="1329"/>
      <c r="EA10" s="1329"/>
      <c r="EB10" s="1329"/>
      <c r="EC10" s="1329"/>
      <c r="ED10" s="1329"/>
      <c r="EE10" s="1329"/>
      <c r="EF10" s="1329"/>
      <c r="EG10" s="1329"/>
      <c r="EH10" s="1329"/>
      <c r="EI10" s="1329"/>
      <c r="EJ10" s="1329"/>
      <c r="EK10" s="1329"/>
      <c r="EL10" s="1329"/>
      <c r="EM10" s="1329"/>
      <c r="EN10" s="1329"/>
      <c r="EO10" s="1329"/>
      <c r="EP10" s="1329"/>
      <c r="EQ10" s="1329"/>
      <c r="ER10" s="1329"/>
      <c r="ES10" s="1329"/>
      <c r="ET10" s="1329"/>
      <c r="EU10" s="1329"/>
      <c r="EV10" s="1329"/>
      <c r="EW10" s="1329"/>
      <c r="EX10" s="1329"/>
      <c r="EY10" s="1329"/>
      <c r="EZ10" s="1329"/>
      <c r="FA10" s="1329"/>
      <c r="FB10" s="1329"/>
      <c r="FC10" s="1329"/>
      <c r="FD10" s="1329"/>
      <c r="FE10" s="1329"/>
      <c r="FF10" s="1329"/>
      <c r="FG10" s="1329"/>
      <c r="FH10" s="1329"/>
      <c r="FI10" s="1329"/>
      <c r="FJ10" s="1329"/>
      <c r="FK10" s="1329"/>
      <c r="FL10" s="1329"/>
      <c r="FM10" s="1329"/>
      <c r="FN10" s="1329"/>
      <c r="FO10" s="1329"/>
      <c r="FP10" s="1329"/>
      <c r="FQ10" s="1329"/>
      <c r="FR10" s="1329"/>
      <c r="FS10" s="1329"/>
      <c r="FT10" s="1329"/>
      <c r="FU10" s="1329"/>
      <c r="FV10" s="1329"/>
      <c r="FW10" s="1329"/>
      <c r="FX10" s="1329"/>
      <c r="FY10" s="1329"/>
      <c r="FZ10" s="1329"/>
      <c r="GA10" s="1329"/>
      <c r="GB10" s="1329"/>
      <c r="GC10" s="1329"/>
      <c r="GD10" s="1329"/>
      <c r="GE10" s="1329"/>
      <c r="GF10" s="1329"/>
      <c r="GG10" s="1329"/>
      <c r="GH10" s="1329"/>
      <c r="GI10" s="1329"/>
      <c r="GJ10" s="1329"/>
      <c r="GK10" s="1329"/>
      <c r="GL10" s="1329"/>
      <c r="GM10" s="1329"/>
      <c r="GN10" s="1329"/>
      <c r="GO10" s="1329"/>
      <c r="GP10" s="1329"/>
      <c r="GQ10" s="1329"/>
      <c r="GR10" s="1329"/>
      <c r="GS10" s="1329"/>
      <c r="GT10" s="1329"/>
      <c r="GU10" s="1329"/>
      <c r="GV10" s="1329"/>
      <c r="GW10" s="1329"/>
      <c r="GX10" s="1329"/>
      <c r="GY10" s="1329"/>
      <c r="GZ10" s="1329"/>
      <c r="HA10" s="1329"/>
      <c r="HB10" s="1329"/>
      <c r="HC10" s="1329"/>
      <c r="HD10" s="1329"/>
      <c r="HE10" s="1329"/>
      <c r="HF10" s="1329"/>
      <c r="HG10" s="1329"/>
      <c r="HH10" s="1329"/>
      <c r="HI10" s="1329"/>
      <c r="HJ10" s="1329"/>
      <c r="HK10" s="1329"/>
      <c r="HL10" s="1329"/>
      <c r="HM10" s="1329"/>
      <c r="HN10" s="1329"/>
      <c r="HO10" s="1329"/>
      <c r="HP10" s="1329"/>
      <c r="HQ10" s="1329"/>
      <c r="HR10" s="1329"/>
      <c r="HS10" s="1329"/>
      <c r="HT10" s="1329"/>
      <c r="HU10" s="1329"/>
      <c r="HV10" s="1329"/>
      <c r="HW10" s="1329"/>
      <c r="HX10" s="1329"/>
      <c r="HY10" s="1329"/>
      <c r="HZ10" s="1329"/>
      <c r="IA10" s="1329"/>
      <c r="IB10" s="1329"/>
      <c r="IC10" s="1329"/>
      <c r="ID10" s="1329"/>
      <c r="IE10" s="1329"/>
      <c r="IF10" s="1329"/>
      <c r="IG10" s="1329"/>
      <c r="IH10" s="1329"/>
      <c r="II10" s="1329"/>
      <c r="IJ10" s="1329"/>
      <c r="IK10" s="1329"/>
      <c r="IL10" s="1329"/>
      <c r="IM10" s="1329"/>
      <c r="IN10" s="1329"/>
      <c r="IO10" s="1329"/>
      <c r="IP10" s="1329"/>
      <c r="IQ10" s="1329"/>
      <c r="IR10" s="1329"/>
      <c r="IS10" s="1329"/>
      <c r="IT10" s="1329"/>
      <c r="IU10" s="1329"/>
      <c r="IV10" s="1329"/>
    </row>
    <row r="11" spans="1:257">
      <c r="A11" s="1330"/>
      <c r="B11" s="1331" t="s">
        <v>1314</v>
      </c>
      <c r="C11" s="1332" t="s">
        <v>1315</v>
      </c>
      <c r="D11" s="1333" t="s">
        <v>1316</v>
      </c>
      <c r="E11" s="1334"/>
      <c r="F11" s="1333" t="s">
        <v>1317</v>
      </c>
      <c r="G11" s="1335"/>
      <c r="H11" s="1334"/>
      <c r="I11" s="1333" t="s">
        <v>1318</v>
      </c>
      <c r="J11" s="1334"/>
      <c r="K11" s="1330"/>
      <c r="L11" s="1331" t="s">
        <v>1314</v>
      </c>
      <c r="M11" s="1332" t="s">
        <v>1315</v>
      </c>
      <c r="N11" s="1331" t="s">
        <v>1319</v>
      </c>
      <c r="O11" s="1333" t="s">
        <v>1320</v>
      </c>
      <c r="P11" s="1335"/>
      <c r="Q11" s="1335"/>
      <c r="R11" s="1335"/>
      <c r="S11" s="1335"/>
      <c r="T11" s="1334"/>
      <c r="U11" s="1333" t="s">
        <v>1321</v>
      </c>
      <c r="V11" s="1335"/>
      <c r="W11" s="1334"/>
      <c r="X11" s="1331" t="s">
        <v>1322</v>
      </c>
      <c r="Y11" s="1331" t="s">
        <v>1323</v>
      </c>
      <c r="Z11" s="1331" t="s">
        <v>1324</v>
      </c>
      <c r="AA11" s="1336"/>
      <c r="AB11" s="1336"/>
      <c r="AC11" s="1336"/>
      <c r="AD11" s="1336"/>
      <c r="AE11" s="1336"/>
      <c r="AF11" s="1336"/>
      <c r="AG11" s="1336"/>
      <c r="AH11" s="1336"/>
      <c r="AI11" s="1336"/>
      <c r="AJ11" s="1336"/>
      <c r="AK11" s="1336"/>
      <c r="AL11" s="1336"/>
      <c r="AM11" s="1336"/>
      <c r="AN11" s="1336"/>
      <c r="AO11" s="1336"/>
      <c r="AP11" s="1336"/>
      <c r="AQ11" s="1336"/>
      <c r="AR11" s="1336"/>
      <c r="AS11" s="1336"/>
      <c r="AT11" s="1336"/>
      <c r="AU11" s="1336"/>
      <c r="AV11" s="1336"/>
      <c r="AW11" s="1336"/>
      <c r="AX11" s="1336"/>
      <c r="AY11" s="1336"/>
      <c r="AZ11" s="1336"/>
      <c r="BA11" s="1336"/>
      <c r="BB11" s="1336"/>
      <c r="BC11" s="1336"/>
      <c r="BD11" s="1336"/>
      <c r="BE11" s="1336"/>
      <c r="BF11" s="1336"/>
      <c r="BG11" s="1336"/>
      <c r="BH11" s="1336"/>
      <c r="BI11" s="1336"/>
      <c r="BJ11" s="1336"/>
      <c r="BK11" s="1336"/>
      <c r="BL11" s="1336"/>
      <c r="BM11" s="1336"/>
      <c r="BN11" s="1336"/>
      <c r="BO11" s="1336"/>
      <c r="BP11" s="1336"/>
      <c r="BQ11" s="1336"/>
      <c r="BR11" s="1336"/>
      <c r="BS11" s="1336"/>
      <c r="BT11" s="1336"/>
      <c r="BU11" s="1336"/>
      <c r="BV11" s="1336"/>
      <c r="BW11" s="1336"/>
      <c r="BX11" s="1336"/>
      <c r="BY11" s="1336"/>
      <c r="BZ11" s="1336"/>
      <c r="CA11" s="1336"/>
      <c r="CB11" s="1336"/>
      <c r="CC11" s="1336"/>
      <c r="CD11" s="1336"/>
      <c r="CE11" s="1336"/>
      <c r="CF11" s="1336"/>
      <c r="CG11" s="1336"/>
      <c r="CH11" s="1336"/>
      <c r="CI11" s="1336"/>
      <c r="CJ11" s="1336"/>
      <c r="CK11" s="1336"/>
      <c r="CL11" s="1336"/>
      <c r="CM11" s="1336"/>
      <c r="CN11" s="1336"/>
      <c r="CO11" s="1336"/>
      <c r="CP11" s="1336"/>
      <c r="CQ11" s="1336"/>
      <c r="CR11" s="1336"/>
      <c r="CS11" s="1336"/>
      <c r="CT11" s="1336"/>
      <c r="CU11" s="1336"/>
      <c r="CV11" s="1336"/>
      <c r="CW11" s="1336"/>
      <c r="CX11" s="1336"/>
      <c r="CY11" s="1336"/>
      <c r="CZ11" s="1336"/>
      <c r="DA11" s="1336"/>
      <c r="DB11" s="1336"/>
      <c r="DC11" s="1336"/>
      <c r="DD11" s="1336"/>
      <c r="DE11" s="1336"/>
      <c r="DF11" s="1336"/>
      <c r="DG11" s="1336"/>
      <c r="DH11" s="1336"/>
      <c r="DI11" s="1336"/>
      <c r="DJ11" s="1336"/>
      <c r="DK11" s="1336"/>
      <c r="DL11" s="1336"/>
      <c r="DM11" s="1336"/>
      <c r="DN11" s="1336"/>
      <c r="DO11" s="1336"/>
      <c r="DP11" s="1336"/>
      <c r="DQ11" s="1336"/>
      <c r="DR11" s="1336"/>
      <c r="DS11" s="1336"/>
      <c r="DT11" s="1336"/>
      <c r="DU11" s="1336"/>
      <c r="DV11" s="1336"/>
      <c r="DW11" s="1336"/>
      <c r="DX11" s="1336"/>
      <c r="DY11" s="1336"/>
      <c r="DZ11" s="1336"/>
      <c r="EA11" s="1336"/>
      <c r="EB11" s="1336"/>
      <c r="EC11" s="1336"/>
      <c r="ED11" s="1336"/>
      <c r="EE11" s="1336"/>
      <c r="EF11" s="1336"/>
      <c r="EG11" s="1336"/>
      <c r="EH11" s="1336"/>
      <c r="EI11" s="1336"/>
      <c r="EJ11" s="1336"/>
      <c r="EK11" s="1336"/>
      <c r="EL11" s="1336"/>
      <c r="EM11" s="1336"/>
      <c r="EN11" s="1336"/>
      <c r="EO11" s="1336"/>
      <c r="EP11" s="1336"/>
      <c r="EQ11" s="1336"/>
      <c r="ER11" s="1336"/>
      <c r="ES11" s="1336"/>
      <c r="ET11" s="1336"/>
      <c r="EU11" s="1336"/>
      <c r="EV11" s="1336"/>
      <c r="EW11" s="1336"/>
      <c r="EX11" s="1336"/>
      <c r="EY11" s="1336"/>
      <c r="EZ11" s="1336"/>
      <c r="FA11" s="1336"/>
      <c r="FB11" s="1336"/>
      <c r="FC11" s="1336"/>
      <c r="FD11" s="1336"/>
      <c r="FE11" s="1336"/>
      <c r="FF11" s="1336"/>
      <c r="FG11" s="1336"/>
      <c r="FH11" s="1336"/>
      <c r="FI11" s="1336"/>
      <c r="FJ11" s="1336"/>
      <c r="FK11" s="1336"/>
      <c r="FL11" s="1336"/>
      <c r="FM11" s="1336"/>
      <c r="FN11" s="1336"/>
      <c r="FO11" s="1336"/>
      <c r="FP11" s="1336"/>
      <c r="FQ11" s="1336"/>
      <c r="FR11" s="1336"/>
      <c r="FS11" s="1336"/>
      <c r="FT11" s="1336"/>
      <c r="FU11" s="1336"/>
      <c r="FV11" s="1336"/>
      <c r="FW11" s="1336"/>
      <c r="FX11" s="1336"/>
      <c r="FY11" s="1336"/>
      <c r="FZ11" s="1336"/>
      <c r="GA11" s="1336"/>
      <c r="GB11" s="1336"/>
      <c r="GC11" s="1336"/>
      <c r="GD11" s="1336"/>
      <c r="GE11" s="1336"/>
      <c r="GF11" s="1336"/>
      <c r="GG11" s="1336"/>
      <c r="GH11" s="1336"/>
      <c r="GI11" s="1336"/>
      <c r="GJ11" s="1336"/>
      <c r="GK11" s="1336"/>
      <c r="GL11" s="1336"/>
      <c r="GM11" s="1336"/>
      <c r="GN11" s="1336"/>
      <c r="GO11" s="1336"/>
      <c r="GP11" s="1336"/>
      <c r="GQ11" s="1336"/>
      <c r="GR11" s="1336"/>
      <c r="GS11" s="1336"/>
      <c r="GT11" s="1336"/>
      <c r="GU11" s="1336"/>
      <c r="GV11" s="1336"/>
      <c r="GW11" s="1336"/>
      <c r="GX11" s="1336"/>
      <c r="GY11" s="1336"/>
      <c r="GZ11" s="1336"/>
      <c r="HA11" s="1336"/>
      <c r="HB11" s="1336"/>
      <c r="HC11" s="1336"/>
      <c r="HD11" s="1336"/>
      <c r="HE11" s="1336"/>
      <c r="HF11" s="1336"/>
      <c r="HG11" s="1336"/>
      <c r="HH11" s="1336"/>
      <c r="HI11" s="1336"/>
      <c r="HJ11" s="1336"/>
      <c r="HK11" s="1336"/>
      <c r="HL11" s="1336"/>
      <c r="HM11" s="1336"/>
      <c r="HN11" s="1336"/>
      <c r="HO11" s="1336"/>
      <c r="HP11" s="1336"/>
      <c r="HQ11" s="1336"/>
      <c r="HR11" s="1336"/>
      <c r="HS11" s="1336"/>
      <c r="HT11" s="1336"/>
      <c r="HU11" s="1336"/>
      <c r="HV11" s="1336"/>
      <c r="HW11" s="1336"/>
      <c r="HX11" s="1336"/>
      <c r="HY11" s="1336"/>
      <c r="HZ11" s="1336"/>
      <c r="IA11" s="1336"/>
      <c r="IB11" s="1336"/>
      <c r="IC11" s="1336"/>
      <c r="ID11" s="1336"/>
      <c r="IE11" s="1336"/>
      <c r="IF11" s="1336"/>
      <c r="IG11" s="1336"/>
      <c r="IH11" s="1336"/>
      <c r="II11" s="1336"/>
      <c r="IJ11" s="1336"/>
      <c r="IK11" s="1336"/>
      <c r="IL11" s="1336"/>
      <c r="IM11" s="1336"/>
      <c r="IN11" s="1336"/>
      <c r="IO11" s="1336"/>
      <c r="IP11" s="1336"/>
      <c r="IQ11" s="1336"/>
      <c r="IR11" s="1336"/>
      <c r="IS11" s="1336"/>
      <c r="IT11" s="1336"/>
      <c r="IU11" s="1336"/>
      <c r="IV11" s="1336"/>
    </row>
    <row r="12" spans="1:257">
      <c r="A12" s="1337"/>
      <c r="B12" s="1338"/>
      <c r="C12" s="1339"/>
      <c r="D12" s="1340" t="s">
        <v>1325</v>
      </c>
      <c r="E12" s="1340" t="s">
        <v>1326</v>
      </c>
      <c r="F12" s="1340" t="s">
        <v>1327</v>
      </c>
      <c r="G12" s="1340" t="s">
        <v>1328</v>
      </c>
      <c r="H12" s="1340" t="s">
        <v>1310</v>
      </c>
      <c r="I12" s="1341" t="s">
        <v>1329</v>
      </c>
      <c r="J12" s="1341" t="s">
        <v>1329</v>
      </c>
      <c r="K12" s="1337"/>
      <c r="L12" s="1338"/>
      <c r="M12" s="1339"/>
      <c r="N12" s="1338"/>
      <c r="O12" s="1341" t="s">
        <v>1330</v>
      </c>
      <c r="P12" s="1341">
        <v>0.5</v>
      </c>
      <c r="Q12" s="1341">
        <v>1</v>
      </c>
      <c r="R12" s="1341">
        <v>2</v>
      </c>
      <c r="S12" s="1341">
        <v>3</v>
      </c>
      <c r="T12" s="1341">
        <v>5</v>
      </c>
      <c r="U12" s="1341">
        <v>1</v>
      </c>
      <c r="V12" s="1341">
        <v>3</v>
      </c>
      <c r="W12" s="1341">
        <v>5</v>
      </c>
      <c r="X12" s="1338"/>
      <c r="Y12" s="1338"/>
      <c r="Z12" s="1338"/>
      <c r="AA12" s="1342"/>
      <c r="AB12" s="1342"/>
      <c r="AC12" s="1342"/>
      <c r="AD12" s="1342"/>
      <c r="AE12" s="1342"/>
      <c r="AF12" s="1342"/>
      <c r="AG12" s="1342"/>
      <c r="AH12" s="1342"/>
      <c r="AI12" s="1342"/>
      <c r="AJ12" s="1342"/>
      <c r="AK12" s="1342"/>
      <c r="AL12" s="1342"/>
      <c r="AM12" s="1342"/>
      <c r="AN12" s="1342"/>
      <c r="AO12" s="1342"/>
      <c r="AP12" s="1342"/>
      <c r="AQ12" s="1342"/>
      <c r="AR12" s="1342"/>
      <c r="AS12" s="1342"/>
      <c r="AT12" s="1342"/>
      <c r="AU12" s="1342"/>
      <c r="AV12" s="1342"/>
      <c r="AW12" s="1342"/>
      <c r="AX12" s="1342"/>
      <c r="AY12" s="1342"/>
      <c r="AZ12" s="1342"/>
      <c r="BA12" s="1342"/>
      <c r="BB12" s="1342"/>
      <c r="BC12" s="1342"/>
      <c r="BD12" s="1342"/>
      <c r="BE12" s="1342"/>
      <c r="BF12" s="1342"/>
      <c r="BG12" s="1342"/>
      <c r="BH12" s="1342"/>
      <c r="BI12" s="1342"/>
      <c r="BJ12" s="1342"/>
      <c r="BK12" s="1342"/>
      <c r="BL12" s="1342"/>
      <c r="BM12" s="1342"/>
      <c r="BN12" s="1342"/>
      <c r="BO12" s="1342"/>
      <c r="BP12" s="1342"/>
      <c r="BQ12" s="1342"/>
      <c r="BR12" s="1342"/>
      <c r="BS12" s="1342"/>
      <c r="BT12" s="1342"/>
      <c r="BU12" s="1342"/>
      <c r="BV12" s="1342"/>
      <c r="BW12" s="1342"/>
      <c r="BX12" s="1342"/>
      <c r="BY12" s="1342"/>
      <c r="BZ12" s="1342"/>
      <c r="CA12" s="1342"/>
      <c r="CB12" s="1342"/>
      <c r="CC12" s="1342"/>
      <c r="CD12" s="1342"/>
      <c r="CE12" s="1342"/>
      <c r="CF12" s="1342"/>
      <c r="CG12" s="1342"/>
      <c r="CH12" s="1342"/>
      <c r="CI12" s="1342"/>
      <c r="CJ12" s="1342"/>
      <c r="CK12" s="1342"/>
      <c r="CL12" s="1342"/>
      <c r="CM12" s="1342"/>
      <c r="CN12" s="1342"/>
      <c r="CO12" s="1342"/>
      <c r="CP12" s="1342"/>
      <c r="CQ12" s="1342"/>
      <c r="CR12" s="1342"/>
      <c r="CS12" s="1342"/>
      <c r="CT12" s="1342"/>
      <c r="CU12" s="1342"/>
      <c r="CV12" s="1342"/>
      <c r="CW12" s="1342"/>
      <c r="CX12" s="1342"/>
      <c r="CY12" s="1342"/>
      <c r="CZ12" s="1342"/>
      <c r="DA12" s="1342"/>
      <c r="DB12" s="1342"/>
      <c r="DC12" s="1342"/>
      <c r="DD12" s="1342"/>
      <c r="DE12" s="1342"/>
      <c r="DF12" s="1342"/>
      <c r="DG12" s="1342"/>
      <c r="DH12" s="1342"/>
      <c r="DI12" s="1342"/>
      <c r="DJ12" s="1342"/>
      <c r="DK12" s="1342"/>
      <c r="DL12" s="1342"/>
      <c r="DM12" s="1342"/>
      <c r="DN12" s="1342"/>
      <c r="DO12" s="1342"/>
      <c r="DP12" s="1342"/>
      <c r="DQ12" s="1342"/>
      <c r="DR12" s="1342"/>
      <c r="DS12" s="1342"/>
      <c r="DT12" s="1342"/>
      <c r="DU12" s="1342"/>
      <c r="DV12" s="1342"/>
      <c r="DW12" s="1342"/>
      <c r="DX12" s="1342"/>
      <c r="DY12" s="1342"/>
      <c r="DZ12" s="1342"/>
      <c r="EA12" s="1342"/>
      <c r="EB12" s="1342"/>
      <c r="EC12" s="1342"/>
      <c r="ED12" s="1342"/>
      <c r="EE12" s="1342"/>
      <c r="EF12" s="1342"/>
      <c r="EG12" s="1342"/>
      <c r="EH12" s="1342"/>
      <c r="EI12" s="1342"/>
      <c r="EJ12" s="1342"/>
      <c r="EK12" s="1342"/>
      <c r="EL12" s="1342"/>
      <c r="EM12" s="1342"/>
      <c r="EN12" s="1342"/>
      <c r="EO12" s="1342"/>
      <c r="EP12" s="1342"/>
      <c r="EQ12" s="1342"/>
      <c r="ER12" s="1342"/>
      <c r="ES12" s="1342"/>
      <c r="ET12" s="1342"/>
      <c r="EU12" s="1342"/>
      <c r="EV12" s="1342"/>
      <c r="EW12" s="1342"/>
      <c r="EX12" s="1342"/>
      <c r="EY12" s="1342"/>
      <c r="EZ12" s="1342"/>
      <c r="FA12" s="1342"/>
      <c r="FB12" s="1342"/>
      <c r="FC12" s="1342"/>
      <c r="FD12" s="1342"/>
      <c r="FE12" s="1342"/>
      <c r="FF12" s="1342"/>
      <c r="FG12" s="1342"/>
      <c r="FH12" s="1342"/>
      <c r="FI12" s="1342"/>
      <c r="FJ12" s="1342"/>
      <c r="FK12" s="1342"/>
      <c r="FL12" s="1342"/>
      <c r="FM12" s="1342"/>
      <c r="FN12" s="1342"/>
      <c r="FO12" s="1342"/>
      <c r="FP12" s="1342"/>
      <c r="FQ12" s="1342"/>
      <c r="FR12" s="1342"/>
      <c r="FS12" s="1342"/>
      <c r="FT12" s="1342"/>
      <c r="FU12" s="1342"/>
      <c r="FV12" s="1342"/>
      <c r="FW12" s="1342"/>
      <c r="FX12" s="1342"/>
      <c r="FY12" s="1342"/>
      <c r="FZ12" s="1342"/>
      <c r="GA12" s="1342"/>
      <c r="GB12" s="1342"/>
      <c r="GC12" s="1342"/>
      <c r="GD12" s="1342"/>
      <c r="GE12" s="1342"/>
      <c r="GF12" s="1342"/>
      <c r="GG12" s="1342"/>
      <c r="GH12" s="1342"/>
      <c r="GI12" s="1342"/>
      <c r="GJ12" s="1342"/>
      <c r="GK12" s="1342"/>
      <c r="GL12" s="1342"/>
      <c r="GM12" s="1342"/>
      <c r="GN12" s="1342"/>
      <c r="GO12" s="1342"/>
      <c r="GP12" s="1342"/>
      <c r="GQ12" s="1342"/>
      <c r="GR12" s="1342"/>
      <c r="GS12" s="1342"/>
      <c r="GT12" s="1342"/>
      <c r="GU12" s="1342"/>
      <c r="GV12" s="1342"/>
      <c r="GW12" s="1342"/>
      <c r="GX12" s="1342"/>
      <c r="GY12" s="1342"/>
      <c r="GZ12" s="1342"/>
      <c r="HA12" s="1342"/>
      <c r="HB12" s="1342"/>
      <c r="HC12" s="1342"/>
      <c r="HD12" s="1342"/>
      <c r="HE12" s="1342"/>
      <c r="HF12" s="1342"/>
      <c r="HG12" s="1342"/>
      <c r="HH12" s="1342"/>
      <c r="HI12" s="1342"/>
      <c r="HJ12" s="1342"/>
      <c r="HK12" s="1342"/>
      <c r="HL12" s="1342"/>
      <c r="HM12" s="1342"/>
      <c r="HN12" s="1342"/>
      <c r="HO12" s="1342"/>
      <c r="HP12" s="1342"/>
      <c r="HQ12" s="1342"/>
      <c r="HR12" s="1342"/>
      <c r="HS12" s="1342"/>
      <c r="HT12" s="1342"/>
      <c r="HU12" s="1342"/>
      <c r="HV12" s="1342"/>
      <c r="HW12" s="1342"/>
      <c r="HX12" s="1342"/>
      <c r="HY12" s="1342"/>
      <c r="HZ12" s="1342"/>
      <c r="IA12" s="1342"/>
      <c r="IB12" s="1342"/>
      <c r="IC12" s="1342"/>
      <c r="ID12" s="1342"/>
      <c r="IE12" s="1342"/>
      <c r="IF12" s="1342"/>
      <c r="IG12" s="1342"/>
      <c r="IH12" s="1342"/>
      <c r="II12" s="1342"/>
      <c r="IJ12" s="1342"/>
      <c r="IK12" s="1342"/>
      <c r="IL12" s="1342"/>
      <c r="IM12" s="1342"/>
      <c r="IN12" s="1342"/>
      <c r="IO12" s="1342"/>
      <c r="IP12" s="1342"/>
      <c r="IQ12" s="1342"/>
      <c r="IR12" s="1342"/>
      <c r="IS12" s="1342"/>
      <c r="IT12" s="1342"/>
      <c r="IU12" s="1342"/>
      <c r="IV12" s="1342"/>
    </row>
    <row r="13" spans="1:257" ht="14.25">
      <c r="A13" s="1343"/>
      <c r="B13" s="1344" t="s">
        <v>1331</v>
      </c>
      <c r="C13" s="1345">
        <v>42301</v>
      </c>
      <c r="D13" s="1346">
        <v>4.3499999999999996</v>
      </c>
      <c r="E13" s="1346">
        <v>4.3499999999999996</v>
      </c>
      <c r="F13" s="1346">
        <v>4.75</v>
      </c>
      <c r="G13" s="1346">
        <v>4.75</v>
      </c>
      <c r="H13" s="1346">
        <v>4.9000000000000004</v>
      </c>
      <c r="I13" s="1346">
        <v>2.75</v>
      </c>
      <c r="J13" s="1346">
        <v>3.25</v>
      </c>
      <c r="K13" s="1343"/>
      <c r="L13" s="1344" t="s">
        <v>1331</v>
      </c>
      <c r="M13" s="1347">
        <v>42301</v>
      </c>
      <c r="N13" s="1346">
        <v>0.35</v>
      </c>
      <c r="O13" s="1346">
        <v>1.1000000000000001</v>
      </c>
      <c r="P13" s="1346">
        <v>1.3</v>
      </c>
      <c r="Q13" s="1346">
        <v>1.5</v>
      </c>
      <c r="R13" s="1346">
        <v>2.1</v>
      </c>
      <c r="S13" s="1346">
        <v>2.75</v>
      </c>
      <c r="T13" s="1346"/>
      <c r="U13" s="1346"/>
      <c r="V13" s="1346"/>
      <c r="W13" s="1346"/>
      <c r="X13" s="1346"/>
      <c r="Y13" s="1346"/>
      <c r="Z13" s="1346"/>
      <c r="AA13" s="1348"/>
      <c r="AB13" s="1348"/>
      <c r="AC13" s="1348"/>
      <c r="AD13" s="1348"/>
      <c r="AE13" s="1348"/>
      <c r="AF13" s="1348"/>
      <c r="AG13" s="1348"/>
      <c r="AH13" s="1348"/>
      <c r="AI13" s="1348"/>
      <c r="AJ13" s="1348"/>
      <c r="AK13" s="1348"/>
      <c r="AL13" s="1348"/>
      <c r="AM13" s="1348"/>
      <c r="AN13" s="1348"/>
      <c r="AO13" s="1348"/>
      <c r="AP13" s="1348"/>
      <c r="AQ13" s="1348"/>
      <c r="AR13" s="1348"/>
      <c r="AS13" s="1348"/>
      <c r="AT13" s="1348"/>
      <c r="AU13" s="1348"/>
      <c r="AV13" s="1348"/>
      <c r="AW13" s="1348"/>
      <c r="AX13" s="1348"/>
      <c r="AY13" s="1348"/>
      <c r="AZ13" s="1348"/>
      <c r="BA13" s="1348"/>
      <c r="BB13" s="1348"/>
      <c r="BC13" s="1348"/>
      <c r="BD13" s="1348"/>
      <c r="BE13" s="1348"/>
      <c r="BF13" s="1348"/>
      <c r="BG13" s="1348"/>
      <c r="BH13" s="1348"/>
      <c r="BI13" s="1348"/>
      <c r="BJ13" s="1348"/>
      <c r="BK13" s="1348"/>
      <c r="BL13" s="1348"/>
      <c r="BM13" s="1348"/>
      <c r="BN13" s="1348"/>
      <c r="BO13" s="1348"/>
      <c r="BP13" s="1348"/>
      <c r="BQ13" s="1348"/>
      <c r="BR13" s="1348"/>
      <c r="BS13" s="1348"/>
      <c r="BT13" s="1348"/>
      <c r="BU13" s="1348"/>
      <c r="BV13" s="1348"/>
      <c r="BW13" s="1348"/>
      <c r="BX13" s="1348"/>
      <c r="BY13" s="1348"/>
      <c r="BZ13" s="1348"/>
      <c r="CA13" s="1348"/>
      <c r="CB13" s="1348"/>
      <c r="CC13" s="1348"/>
      <c r="CD13" s="1348"/>
      <c r="CE13" s="1348"/>
      <c r="CF13" s="1348"/>
      <c r="CG13" s="1348"/>
      <c r="CH13" s="1348"/>
      <c r="CI13" s="1348"/>
      <c r="CJ13" s="1348"/>
      <c r="CK13" s="1348"/>
      <c r="CL13" s="1348"/>
      <c r="CM13" s="1348"/>
      <c r="CN13" s="1348"/>
      <c r="CO13" s="1348"/>
      <c r="CP13" s="1348"/>
      <c r="CQ13" s="1348"/>
      <c r="CR13" s="1348"/>
      <c r="CS13" s="1348"/>
      <c r="CT13" s="1348"/>
      <c r="CU13" s="1348"/>
      <c r="CV13" s="1348"/>
      <c r="CW13" s="1348"/>
      <c r="CX13" s="1348"/>
      <c r="CY13" s="1348"/>
      <c r="CZ13" s="1348"/>
      <c r="DA13" s="1348"/>
      <c r="DB13" s="1348"/>
      <c r="DC13" s="1348"/>
      <c r="DD13" s="1348"/>
      <c r="DE13" s="1348"/>
      <c r="DF13" s="1348"/>
      <c r="DG13" s="1348"/>
      <c r="DH13" s="1348"/>
      <c r="DI13" s="1348"/>
      <c r="DJ13" s="1348"/>
      <c r="DK13" s="1348"/>
      <c r="DL13" s="1348"/>
      <c r="DM13" s="1348"/>
      <c r="DN13" s="1348"/>
      <c r="DO13" s="1348"/>
      <c r="DP13" s="1348"/>
      <c r="DQ13" s="1348"/>
      <c r="DR13" s="1348"/>
      <c r="DS13" s="1348"/>
      <c r="DT13" s="1348"/>
      <c r="DU13" s="1348"/>
      <c r="DV13" s="1348"/>
      <c r="DW13" s="1348"/>
      <c r="DX13" s="1348"/>
      <c r="DY13" s="1348"/>
      <c r="DZ13" s="1348"/>
      <c r="EA13" s="1348"/>
      <c r="EB13" s="1348"/>
      <c r="EC13" s="1348"/>
      <c r="ED13" s="1348"/>
      <c r="EE13" s="1348"/>
      <c r="EF13" s="1348"/>
      <c r="EG13" s="1348"/>
      <c r="EH13" s="1348"/>
      <c r="EI13" s="1348"/>
      <c r="EJ13" s="1348"/>
      <c r="EK13" s="1348"/>
      <c r="EL13" s="1348"/>
      <c r="EM13" s="1348"/>
      <c r="EN13" s="1348"/>
      <c r="EO13" s="1348"/>
      <c r="EP13" s="1348"/>
      <c r="EQ13" s="1348"/>
      <c r="ER13" s="1348"/>
      <c r="ES13" s="1348"/>
      <c r="ET13" s="1348"/>
      <c r="EU13" s="1348"/>
      <c r="EV13" s="1348"/>
      <c r="EW13" s="1348"/>
      <c r="EX13" s="1348"/>
      <c r="EY13" s="1348"/>
      <c r="EZ13" s="1348"/>
      <c r="FA13" s="1348"/>
      <c r="FB13" s="1348"/>
      <c r="FC13" s="1348"/>
      <c r="FD13" s="1348"/>
      <c r="FE13" s="1348"/>
      <c r="FF13" s="1348"/>
      <c r="FG13" s="1348"/>
      <c r="FH13" s="1348"/>
      <c r="FI13" s="1348"/>
      <c r="FJ13" s="1348"/>
      <c r="FK13" s="1348"/>
      <c r="FL13" s="1348"/>
      <c r="FM13" s="1348"/>
      <c r="FN13" s="1348"/>
      <c r="FO13" s="1348"/>
      <c r="FP13" s="1348"/>
      <c r="FQ13" s="1348"/>
      <c r="FR13" s="1348"/>
      <c r="FS13" s="1348"/>
      <c r="FT13" s="1348"/>
      <c r="FU13" s="1348"/>
      <c r="FV13" s="1348"/>
      <c r="FW13" s="1348"/>
      <c r="FX13" s="1348"/>
      <c r="FY13" s="1348"/>
      <c r="FZ13" s="1348"/>
      <c r="GA13" s="1348"/>
      <c r="GB13" s="1348"/>
      <c r="GC13" s="1348"/>
      <c r="GD13" s="1348"/>
      <c r="GE13" s="1348"/>
      <c r="GF13" s="1348"/>
      <c r="GG13" s="1348"/>
      <c r="GH13" s="1348"/>
      <c r="GI13" s="1348"/>
      <c r="GJ13" s="1348"/>
      <c r="GK13" s="1348"/>
      <c r="GL13" s="1348"/>
      <c r="GM13" s="1348"/>
      <c r="GN13" s="1348"/>
      <c r="GO13" s="1348"/>
      <c r="GP13" s="1348"/>
      <c r="GQ13" s="1348"/>
      <c r="GR13" s="1348"/>
      <c r="GS13" s="1348"/>
      <c r="GT13" s="1348"/>
      <c r="GU13" s="1348"/>
      <c r="GV13" s="1348"/>
      <c r="GW13" s="1348"/>
      <c r="GX13" s="1348"/>
      <c r="GY13" s="1348"/>
      <c r="GZ13" s="1348"/>
      <c r="HA13" s="1348"/>
      <c r="HB13" s="1348"/>
      <c r="HC13" s="1348"/>
      <c r="HD13" s="1348"/>
      <c r="HE13" s="1348"/>
      <c r="HF13" s="1348"/>
      <c r="HG13" s="1348"/>
      <c r="HH13" s="1348"/>
      <c r="HI13" s="1348"/>
      <c r="HJ13" s="1348"/>
      <c r="HK13" s="1348"/>
      <c r="HL13" s="1348"/>
      <c r="HM13" s="1348"/>
      <c r="HN13" s="1348"/>
      <c r="HO13" s="1348"/>
      <c r="HP13" s="1348"/>
      <c r="HQ13" s="1348"/>
      <c r="HR13" s="1348"/>
      <c r="HS13" s="1348"/>
      <c r="HT13" s="1348"/>
      <c r="HU13" s="1348"/>
      <c r="HV13" s="1348"/>
      <c r="HW13" s="1348"/>
      <c r="HX13" s="1348"/>
      <c r="HY13" s="1348"/>
      <c r="HZ13" s="1348"/>
      <c r="IA13" s="1348"/>
      <c r="IB13" s="1348"/>
      <c r="IC13" s="1348"/>
      <c r="ID13" s="1348"/>
      <c r="IE13" s="1348"/>
      <c r="IF13" s="1348"/>
      <c r="IG13" s="1348"/>
      <c r="IH13" s="1348"/>
      <c r="II13" s="1348"/>
      <c r="IJ13" s="1348"/>
      <c r="IK13" s="1348"/>
      <c r="IL13" s="1348"/>
      <c r="IM13" s="1348"/>
      <c r="IN13" s="1348"/>
      <c r="IO13" s="1348"/>
      <c r="IP13" s="1348"/>
      <c r="IQ13" s="1348"/>
      <c r="IR13" s="1348"/>
      <c r="IS13" s="1348"/>
      <c r="IT13" s="1348"/>
      <c r="IU13" s="1348"/>
      <c r="IV13" s="1348"/>
      <c r="IW13" s="1349"/>
    </row>
    <row r="14" spans="1:257">
      <c r="B14" s="1350"/>
      <c r="C14" s="1351">
        <v>42242</v>
      </c>
      <c r="D14" s="1350">
        <v>4.5999999999999996</v>
      </c>
      <c r="E14" s="1350">
        <v>4.5999999999999996</v>
      </c>
      <c r="F14" s="1350">
        <v>5</v>
      </c>
      <c r="G14" s="1350">
        <v>5</v>
      </c>
      <c r="H14" s="1350">
        <v>5.15</v>
      </c>
      <c r="I14" s="1350">
        <v>2.75</v>
      </c>
      <c r="J14" s="1350">
        <v>3.25</v>
      </c>
      <c r="L14" s="1350"/>
      <c r="M14" s="1351">
        <v>42242</v>
      </c>
      <c r="N14" s="1350">
        <v>0.35</v>
      </c>
      <c r="O14" s="1350">
        <v>1.35</v>
      </c>
      <c r="P14" s="1350">
        <v>1.55</v>
      </c>
      <c r="Q14" s="1350">
        <v>1.75</v>
      </c>
      <c r="R14" s="1350">
        <v>2.35</v>
      </c>
      <c r="S14" s="1350">
        <v>3</v>
      </c>
      <c r="T14" s="1350"/>
      <c r="U14" s="1350"/>
      <c r="V14" s="1350"/>
      <c r="W14" s="1350"/>
      <c r="X14" s="1350"/>
      <c r="Y14" s="1350"/>
      <c r="Z14" s="1350"/>
    </row>
    <row r="15" spans="1:257">
      <c r="B15" s="1350"/>
      <c r="C15" s="1351">
        <v>42183</v>
      </c>
      <c r="D15" s="1350">
        <v>4.8499999999999996</v>
      </c>
      <c r="E15" s="1350">
        <v>4.8499999999999996</v>
      </c>
      <c r="F15" s="1350">
        <v>5.25</v>
      </c>
      <c r="G15" s="1350">
        <v>5.25</v>
      </c>
      <c r="H15" s="1350">
        <v>5.4</v>
      </c>
      <c r="I15" s="1350">
        <v>3</v>
      </c>
      <c r="J15" s="1350">
        <v>3.5</v>
      </c>
      <c r="L15" s="1350"/>
      <c r="M15" s="1351">
        <v>42183</v>
      </c>
      <c r="N15" s="1350">
        <v>0.35</v>
      </c>
      <c r="O15" s="1350">
        <v>1.6</v>
      </c>
      <c r="P15" s="1350">
        <v>1.8</v>
      </c>
      <c r="Q15" s="1350">
        <v>2</v>
      </c>
      <c r="R15" s="1350">
        <v>2.6</v>
      </c>
      <c r="S15" s="1350">
        <v>3.25</v>
      </c>
      <c r="T15" s="1350"/>
      <c r="U15" s="1350"/>
      <c r="V15" s="1350"/>
      <c r="W15" s="1350"/>
      <c r="X15" s="1350"/>
      <c r="Y15" s="1350"/>
      <c r="Z15" s="1350"/>
    </row>
    <row r="16" spans="1:257">
      <c r="B16" s="1350"/>
      <c r="C16" s="1351">
        <v>42135</v>
      </c>
      <c r="D16" s="1350">
        <v>5.0999999999999996</v>
      </c>
      <c r="E16" s="1350">
        <v>5.0999999999999996</v>
      </c>
      <c r="F16" s="1350">
        <v>5.5</v>
      </c>
      <c r="G16" s="1350">
        <v>5.5</v>
      </c>
      <c r="H16" s="1350">
        <v>5.65</v>
      </c>
      <c r="I16" s="1350">
        <v>3.25</v>
      </c>
      <c r="J16" s="1350">
        <v>3.75</v>
      </c>
      <c r="L16" s="1350"/>
      <c r="M16" s="1351">
        <v>42135</v>
      </c>
      <c r="N16" s="1350">
        <v>0.35</v>
      </c>
      <c r="O16" s="1350">
        <v>1.85</v>
      </c>
      <c r="P16" s="1350">
        <v>2.0499999999999998</v>
      </c>
      <c r="Q16" s="1350">
        <v>2.25</v>
      </c>
      <c r="R16" s="1350">
        <v>2.85</v>
      </c>
      <c r="S16" s="1350">
        <v>3.5</v>
      </c>
      <c r="T16" s="1350"/>
      <c r="U16" s="1350"/>
      <c r="V16" s="1350"/>
      <c r="W16" s="1350"/>
      <c r="X16" s="1350"/>
      <c r="Y16" s="1350"/>
      <c r="Z16" s="1350"/>
    </row>
    <row r="17" spans="2:26">
      <c r="B17" s="1350"/>
      <c r="C17" s="1351">
        <v>42064</v>
      </c>
      <c r="D17" s="1350">
        <v>5.35</v>
      </c>
      <c r="E17" s="1350">
        <v>5.35</v>
      </c>
      <c r="F17" s="1350">
        <v>5.75</v>
      </c>
      <c r="G17" s="1350">
        <v>5.75</v>
      </c>
      <c r="H17" s="1350">
        <v>5.9</v>
      </c>
      <c r="I17" s="1350"/>
      <c r="J17" s="1350"/>
      <c r="L17" s="1350"/>
      <c r="M17" s="1351">
        <v>42064</v>
      </c>
      <c r="N17" s="1350">
        <v>0.35</v>
      </c>
      <c r="O17" s="1350">
        <v>2.1</v>
      </c>
      <c r="P17" s="1350">
        <v>2.2999999999999998</v>
      </c>
      <c r="Q17" s="1350">
        <v>2.5</v>
      </c>
      <c r="R17" s="1350">
        <v>3.1</v>
      </c>
      <c r="S17" s="1350">
        <v>3.75</v>
      </c>
      <c r="T17" s="1350">
        <v>4.5</v>
      </c>
      <c r="U17" s="1350">
        <v>2.35</v>
      </c>
      <c r="V17" s="1350">
        <v>2.5499999999999998</v>
      </c>
      <c r="W17" s="1350">
        <v>2.75</v>
      </c>
      <c r="X17" s="1350"/>
      <c r="Y17" s="1350">
        <v>0.8</v>
      </c>
      <c r="Z17" s="1350">
        <v>1.35</v>
      </c>
    </row>
    <row r="18" spans="2:26" ht="15">
      <c r="B18" s="1350"/>
      <c r="C18" s="1351">
        <v>41965</v>
      </c>
      <c r="D18" s="1350">
        <v>5.6</v>
      </c>
      <c r="E18" s="1350">
        <v>5.6</v>
      </c>
      <c r="F18" s="1350">
        <v>6</v>
      </c>
      <c r="G18" s="1350">
        <v>6</v>
      </c>
      <c r="H18" s="1350">
        <v>6.15</v>
      </c>
      <c r="I18" s="1350"/>
      <c r="J18" s="1350"/>
      <c r="L18" s="1350"/>
      <c r="M18" s="1351">
        <v>41965</v>
      </c>
      <c r="N18" s="1350">
        <v>0.35</v>
      </c>
      <c r="O18" s="1350">
        <v>2.35</v>
      </c>
      <c r="P18" s="1350">
        <v>2.5499999999999998</v>
      </c>
      <c r="Q18" s="1350">
        <v>2.75</v>
      </c>
      <c r="R18" s="1350">
        <v>3.35</v>
      </c>
      <c r="S18" s="1350">
        <v>4</v>
      </c>
      <c r="T18" s="1350">
        <v>4.75</v>
      </c>
      <c r="U18" s="1352">
        <v>2.35</v>
      </c>
      <c r="V18" s="1352">
        <v>2.5499999999999998</v>
      </c>
      <c r="W18" s="1352">
        <v>2.75</v>
      </c>
      <c r="X18" s="1350"/>
      <c r="Y18" s="1352">
        <v>0.8</v>
      </c>
      <c r="Z18" s="1352">
        <v>1.35</v>
      </c>
    </row>
    <row r="19" spans="2:26">
      <c r="B19" s="1350"/>
      <c r="C19" s="1351">
        <v>41096</v>
      </c>
      <c r="D19" s="1350">
        <v>5.6</v>
      </c>
      <c r="E19" s="1350">
        <v>6</v>
      </c>
      <c r="F19" s="1350">
        <v>6.15</v>
      </c>
      <c r="G19" s="1350">
        <v>6.4</v>
      </c>
      <c r="H19" s="1350">
        <v>6.55</v>
      </c>
      <c r="I19" s="1350">
        <v>4</v>
      </c>
      <c r="J19" s="1350">
        <v>4.5</v>
      </c>
      <c r="L19" s="1350"/>
      <c r="M19" s="1351">
        <v>41096</v>
      </c>
      <c r="N19" s="1350">
        <v>0.35</v>
      </c>
      <c r="O19" s="1350">
        <v>2.6</v>
      </c>
      <c r="P19" s="1350">
        <v>2.8</v>
      </c>
      <c r="Q19" s="1350">
        <v>3</v>
      </c>
      <c r="R19" s="1350">
        <v>3.75</v>
      </c>
      <c r="S19" s="1350">
        <v>4.25</v>
      </c>
      <c r="T19" s="1350">
        <v>4.75</v>
      </c>
      <c r="U19" s="1350">
        <v>2.85</v>
      </c>
      <c r="V19" s="1350">
        <v>2.9</v>
      </c>
      <c r="W19" s="1350">
        <v>3</v>
      </c>
      <c r="X19" s="1350">
        <v>1.1499999999999999</v>
      </c>
      <c r="Y19" s="1350">
        <v>0.8</v>
      </c>
      <c r="Z19" s="1350">
        <v>1.35</v>
      </c>
    </row>
    <row r="20" spans="2:26">
      <c r="B20" s="1350"/>
      <c r="C20" s="1351">
        <v>41068</v>
      </c>
      <c r="D20" s="1350">
        <v>5.85</v>
      </c>
      <c r="E20" s="1350">
        <v>6.31</v>
      </c>
      <c r="F20" s="1350">
        <v>6.4</v>
      </c>
      <c r="G20" s="1350">
        <v>6.65</v>
      </c>
      <c r="H20" s="1350">
        <v>6.8</v>
      </c>
      <c r="I20" s="1350">
        <v>4.2</v>
      </c>
      <c r="J20" s="1350">
        <v>4.7</v>
      </c>
      <c r="L20" s="1350"/>
      <c r="M20" s="1351">
        <v>41068</v>
      </c>
      <c r="N20" s="1350">
        <v>0.4</v>
      </c>
      <c r="O20" s="1350">
        <v>2.85</v>
      </c>
      <c r="P20" s="1350">
        <v>3.05</v>
      </c>
      <c r="Q20" s="1350">
        <v>3.25</v>
      </c>
      <c r="R20" s="1350">
        <v>4.0999999999999996</v>
      </c>
      <c r="S20" s="1350">
        <v>4.6500000000000004</v>
      </c>
      <c r="T20" s="1350">
        <v>5.0999999999999996</v>
      </c>
      <c r="U20" s="1350">
        <v>3.1</v>
      </c>
      <c r="V20" s="1350">
        <v>3.15</v>
      </c>
      <c r="W20" s="1350">
        <v>3.25</v>
      </c>
      <c r="X20" s="1350">
        <v>1.31</v>
      </c>
      <c r="Y20" s="1350">
        <v>0.94</v>
      </c>
      <c r="Z20" s="1350">
        <v>1.49</v>
      </c>
    </row>
    <row r="21" spans="2:26">
      <c r="B21" s="1350"/>
      <c r="C21" s="1351">
        <v>40731</v>
      </c>
      <c r="D21" s="1350">
        <v>6.1</v>
      </c>
      <c r="E21" s="1350">
        <v>6.56</v>
      </c>
      <c r="F21" s="1350">
        <v>6.65</v>
      </c>
      <c r="G21" s="1350">
        <v>6.9</v>
      </c>
      <c r="H21" s="1350">
        <v>7.05</v>
      </c>
      <c r="I21" s="1350">
        <v>4.45</v>
      </c>
      <c r="J21" s="1350">
        <v>4.9000000000000004</v>
      </c>
      <c r="L21" s="1350"/>
      <c r="M21" s="1351">
        <v>40731</v>
      </c>
      <c r="N21" s="1350">
        <v>0.5</v>
      </c>
      <c r="O21" s="1350">
        <v>3.1</v>
      </c>
      <c r="P21" s="1350">
        <v>3.3</v>
      </c>
      <c r="Q21" s="1350">
        <v>3.5</v>
      </c>
      <c r="R21" s="1350">
        <v>4.4000000000000004</v>
      </c>
      <c r="S21" s="1350">
        <v>5</v>
      </c>
      <c r="T21" s="1350">
        <v>5.5</v>
      </c>
      <c r="U21" s="1350">
        <v>3.1</v>
      </c>
      <c r="V21" s="1350">
        <v>3.3</v>
      </c>
      <c r="W21" s="1350">
        <v>3.5</v>
      </c>
      <c r="X21" s="1350">
        <v>1.31</v>
      </c>
      <c r="Y21" s="1350">
        <v>0.95</v>
      </c>
      <c r="Z21" s="1350">
        <v>1.49</v>
      </c>
    </row>
    <row r="22" spans="2:26">
      <c r="B22" s="1350"/>
      <c r="C22" s="1351">
        <v>40639</v>
      </c>
      <c r="D22" s="1350">
        <v>5.85</v>
      </c>
      <c r="E22" s="1350">
        <v>6.31</v>
      </c>
      <c r="F22" s="1350">
        <v>6.4</v>
      </c>
      <c r="G22" s="1350">
        <v>6.65</v>
      </c>
      <c r="H22" s="1350">
        <v>6.8</v>
      </c>
      <c r="I22" s="1350">
        <v>4.2</v>
      </c>
      <c r="J22" s="1350">
        <v>4.7</v>
      </c>
      <c r="L22" s="1350"/>
      <c r="M22" s="1351">
        <v>40639</v>
      </c>
      <c r="N22" s="1350">
        <v>0.5</v>
      </c>
      <c r="O22" s="1350">
        <v>2.85</v>
      </c>
      <c r="P22" s="1350">
        <v>3.05</v>
      </c>
      <c r="Q22" s="1350">
        <v>3.25</v>
      </c>
      <c r="R22" s="1350">
        <v>4.1500000000000004</v>
      </c>
      <c r="S22" s="1350">
        <v>4.75</v>
      </c>
      <c r="T22" s="1350">
        <v>5.25</v>
      </c>
      <c r="U22" s="1350">
        <v>2.85</v>
      </c>
      <c r="V22" s="1350">
        <v>3.05</v>
      </c>
      <c r="W22" s="1350">
        <v>3.25</v>
      </c>
      <c r="X22" s="1350">
        <v>1.31</v>
      </c>
      <c r="Y22" s="1350">
        <v>0.95</v>
      </c>
      <c r="Z22" s="1350">
        <v>1.49</v>
      </c>
    </row>
    <row r="23" spans="2:26">
      <c r="B23" s="1350"/>
      <c r="C23" s="1351">
        <v>40583</v>
      </c>
      <c r="D23" s="1350">
        <v>5.6</v>
      </c>
      <c r="E23" s="1350">
        <v>6.06</v>
      </c>
      <c r="F23" s="1350">
        <v>6.1</v>
      </c>
      <c r="G23" s="1350">
        <v>6.45</v>
      </c>
      <c r="H23" s="1350">
        <v>6.6</v>
      </c>
      <c r="I23" s="1350">
        <v>4</v>
      </c>
      <c r="J23" s="1350">
        <v>4.5</v>
      </c>
      <c r="L23" s="1350"/>
      <c r="M23" s="1351">
        <v>40583</v>
      </c>
      <c r="N23" s="1350">
        <v>0.4</v>
      </c>
      <c r="O23" s="1350">
        <v>2.6</v>
      </c>
      <c r="P23" s="1350">
        <v>2.8</v>
      </c>
      <c r="Q23" s="1350">
        <v>3</v>
      </c>
      <c r="R23" s="1350">
        <v>3.9</v>
      </c>
      <c r="S23" s="1350">
        <v>4.5</v>
      </c>
      <c r="T23" s="1350">
        <v>5</v>
      </c>
      <c r="U23" s="1350">
        <v>2.6</v>
      </c>
      <c r="V23" s="1350">
        <v>2.8</v>
      </c>
      <c r="W23" s="1350">
        <v>3</v>
      </c>
      <c r="X23" s="1350">
        <v>1.21</v>
      </c>
      <c r="Y23" s="1350">
        <v>0.85</v>
      </c>
      <c r="Z23" s="1350">
        <v>1.39</v>
      </c>
    </row>
    <row r="24" spans="2:26">
      <c r="B24" s="1350"/>
      <c r="C24" s="1351">
        <v>40538</v>
      </c>
      <c r="D24" s="1350">
        <v>5.35</v>
      </c>
      <c r="E24" s="1350">
        <v>5.81</v>
      </c>
      <c r="F24" s="1350">
        <v>5.85</v>
      </c>
      <c r="G24" s="1350">
        <v>6.22</v>
      </c>
      <c r="H24" s="1350">
        <v>6.4</v>
      </c>
      <c r="I24" s="1350">
        <v>3.75</v>
      </c>
      <c r="J24" s="1350">
        <v>4.3</v>
      </c>
      <c r="L24" s="1350"/>
      <c r="M24" s="1351">
        <v>40538</v>
      </c>
      <c r="N24" s="1350">
        <v>0.36</v>
      </c>
      <c r="O24" s="1350">
        <v>2.25</v>
      </c>
      <c r="P24" s="1350">
        <v>2.5</v>
      </c>
      <c r="Q24" s="1350">
        <v>2.75</v>
      </c>
      <c r="R24" s="1350">
        <v>3.55</v>
      </c>
      <c r="S24" s="1350">
        <v>4.1500000000000004</v>
      </c>
      <c r="T24" s="1350">
        <v>4.55</v>
      </c>
      <c r="U24" s="1350">
        <v>2.16</v>
      </c>
      <c r="V24" s="1350">
        <v>2.5</v>
      </c>
      <c r="W24" s="1350">
        <v>2.85</v>
      </c>
      <c r="X24" s="1350">
        <v>1.17</v>
      </c>
      <c r="Y24" s="1350">
        <v>0.81</v>
      </c>
      <c r="Z24" s="1350">
        <v>1.35</v>
      </c>
    </row>
    <row r="25" spans="2:26">
      <c r="B25" s="1350"/>
      <c r="C25" s="1351">
        <v>40471</v>
      </c>
      <c r="D25" s="1350">
        <v>5.0999999999999996</v>
      </c>
      <c r="E25" s="1350">
        <v>5.56</v>
      </c>
      <c r="F25" s="1350">
        <v>5.6</v>
      </c>
      <c r="G25" s="1350">
        <v>5.96</v>
      </c>
      <c r="H25" s="1350">
        <v>6.14</v>
      </c>
      <c r="I25" s="1350">
        <v>3.5</v>
      </c>
      <c r="J25" s="1350">
        <v>4.05</v>
      </c>
      <c r="L25" s="1350"/>
      <c r="M25" s="1351">
        <v>40471</v>
      </c>
      <c r="N25" s="1350">
        <v>0.36</v>
      </c>
      <c r="O25" s="1350">
        <v>1.91</v>
      </c>
      <c r="P25" s="1350">
        <v>2.2000000000000002</v>
      </c>
      <c r="Q25" s="1350">
        <v>2.5</v>
      </c>
      <c r="R25" s="1350">
        <v>3.25</v>
      </c>
      <c r="S25" s="1350">
        <v>3.85</v>
      </c>
      <c r="T25" s="1350">
        <v>4.2</v>
      </c>
      <c r="U25" s="1350">
        <v>1.91</v>
      </c>
      <c r="V25" s="1350">
        <v>2.2000000000000002</v>
      </c>
      <c r="W25" s="1350">
        <v>2.5</v>
      </c>
      <c r="X25" s="1350">
        <v>1.17</v>
      </c>
      <c r="Y25" s="1350">
        <v>0.81</v>
      </c>
      <c r="Z25" s="1350">
        <v>1.35</v>
      </c>
    </row>
    <row r="26" spans="2:26">
      <c r="B26" s="1350"/>
      <c r="C26" s="1351">
        <v>39805</v>
      </c>
      <c r="D26" s="1350">
        <v>4.8600000000000003</v>
      </c>
      <c r="E26" s="1350">
        <v>5.31</v>
      </c>
      <c r="F26" s="1350">
        <v>5.4</v>
      </c>
      <c r="G26" s="1350">
        <v>5.76</v>
      </c>
      <c r="H26" s="1350">
        <v>5.94</v>
      </c>
      <c r="I26" s="1350">
        <v>3.33</v>
      </c>
      <c r="J26" s="1350">
        <v>3.87</v>
      </c>
      <c r="L26" s="1350"/>
      <c r="M26" s="1351">
        <v>39805</v>
      </c>
      <c r="N26" s="1350">
        <v>0.36</v>
      </c>
      <c r="O26" s="1350">
        <v>1.71</v>
      </c>
      <c r="P26" s="1350">
        <v>1.98</v>
      </c>
      <c r="Q26" s="1350">
        <v>2.25</v>
      </c>
      <c r="R26" s="1350">
        <v>2.79</v>
      </c>
      <c r="S26" s="1350">
        <v>3.33</v>
      </c>
      <c r="T26" s="1350">
        <v>3.6</v>
      </c>
      <c r="U26" s="1350">
        <v>1.71</v>
      </c>
      <c r="V26" s="1350">
        <v>1.98</v>
      </c>
      <c r="W26" s="1350">
        <v>2.25</v>
      </c>
      <c r="X26" s="1350">
        <v>1.17</v>
      </c>
      <c r="Y26" s="1350">
        <v>0.81</v>
      </c>
      <c r="Z26" s="1350">
        <v>1.35</v>
      </c>
    </row>
    <row r="27" spans="2:26">
      <c r="B27" s="1350"/>
      <c r="C27" s="1351">
        <v>39779</v>
      </c>
      <c r="D27" s="1350">
        <v>5.04</v>
      </c>
      <c r="E27" s="1350">
        <v>5.58</v>
      </c>
      <c r="F27" s="1350">
        <v>5.67</v>
      </c>
      <c r="G27" s="1350">
        <v>5.94</v>
      </c>
      <c r="H27" s="1350">
        <v>6.12</v>
      </c>
      <c r="I27" s="1350">
        <v>3.51</v>
      </c>
      <c r="J27" s="1350">
        <v>4.05</v>
      </c>
      <c r="L27" s="1350"/>
      <c r="M27" s="1351">
        <v>39779</v>
      </c>
      <c r="N27" s="1350">
        <v>0.36</v>
      </c>
      <c r="O27" s="1350">
        <v>1.98</v>
      </c>
      <c r="P27" s="1350">
        <v>2.25</v>
      </c>
      <c r="Q27" s="1350">
        <v>2.52</v>
      </c>
      <c r="R27" s="1350">
        <v>3.06</v>
      </c>
      <c r="S27" s="1350">
        <v>3.6</v>
      </c>
      <c r="T27" s="1350">
        <v>3.87</v>
      </c>
      <c r="U27" s="1350">
        <v>1.98</v>
      </c>
      <c r="V27" s="1350">
        <v>2.25</v>
      </c>
      <c r="W27" s="1350">
        <v>2.52</v>
      </c>
      <c r="X27" s="1350">
        <v>1.17</v>
      </c>
      <c r="Y27" s="1350">
        <v>0.81</v>
      </c>
      <c r="Z27" s="1350">
        <v>1.35</v>
      </c>
    </row>
    <row r="28" spans="2:26">
      <c r="B28" s="1350"/>
      <c r="C28" s="1351">
        <v>39751</v>
      </c>
      <c r="D28" s="1350">
        <v>6.03</v>
      </c>
      <c r="E28" s="1350">
        <v>6.66</v>
      </c>
      <c r="F28" s="1350">
        <v>6.75</v>
      </c>
      <c r="G28" s="1350">
        <v>7.02</v>
      </c>
      <c r="H28" s="1350">
        <v>7.2</v>
      </c>
      <c r="I28" s="1350">
        <v>4.05</v>
      </c>
      <c r="J28" s="1350">
        <v>4.59</v>
      </c>
      <c r="L28" s="1350"/>
      <c r="M28" s="1351">
        <v>39751</v>
      </c>
      <c r="N28" s="1350">
        <v>0.72</v>
      </c>
      <c r="O28" s="1350">
        <v>2.88</v>
      </c>
      <c r="P28" s="1350">
        <v>3.24</v>
      </c>
      <c r="Q28" s="1350">
        <v>3.6</v>
      </c>
      <c r="R28" s="1350">
        <v>4.1399999999999997</v>
      </c>
      <c r="S28" s="1350">
        <v>4.7699999999999996</v>
      </c>
      <c r="T28" s="1350">
        <v>5.13</v>
      </c>
      <c r="U28" s="1350">
        <v>2.88</v>
      </c>
      <c r="V28" s="1350">
        <v>3.24</v>
      </c>
      <c r="W28" s="1350">
        <v>3.6</v>
      </c>
      <c r="X28" s="1350">
        <v>1.53</v>
      </c>
      <c r="Y28" s="1350">
        <v>1.17</v>
      </c>
      <c r="Z28" s="1350">
        <v>1.71</v>
      </c>
    </row>
    <row r="29" spans="2:26">
      <c r="B29" s="1350"/>
      <c r="C29" s="1353">
        <v>39748</v>
      </c>
      <c r="D29" s="1350">
        <v>6.12</v>
      </c>
      <c r="E29" s="1350">
        <v>6.93</v>
      </c>
      <c r="F29" s="1350">
        <v>7.02</v>
      </c>
      <c r="G29" s="1350">
        <v>7.29</v>
      </c>
      <c r="H29" s="1350">
        <v>7.47</v>
      </c>
      <c r="I29" s="1350">
        <v>4.05</v>
      </c>
      <c r="J29" s="1350">
        <v>4.59</v>
      </c>
      <c r="L29" s="1350"/>
      <c r="M29" s="1353">
        <v>39736</v>
      </c>
      <c r="N29" s="1350">
        <v>0.72</v>
      </c>
      <c r="O29" s="1350">
        <v>3.15</v>
      </c>
      <c r="P29" s="1350">
        <v>3.51</v>
      </c>
      <c r="Q29" s="1350">
        <v>3.87</v>
      </c>
      <c r="R29" s="1350">
        <v>4.41</v>
      </c>
      <c r="S29" s="1350">
        <v>5.13</v>
      </c>
      <c r="T29" s="1350">
        <v>5.58</v>
      </c>
      <c r="U29" s="1350">
        <v>3.15</v>
      </c>
      <c r="V29" s="1350">
        <v>3.51</v>
      </c>
      <c r="W29" s="1350">
        <v>3.87</v>
      </c>
      <c r="X29" s="1350">
        <v>1.53</v>
      </c>
      <c r="Y29" s="1350">
        <v>1.17</v>
      </c>
      <c r="Z29" s="1350">
        <v>1.71</v>
      </c>
    </row>
    <row r="30" spans="2:26">
      <c r="B30" s="1350"/>
      <c r="C30" s="1351">
        <v>39730</v>
      </c>
      <c r="D30" s="1350">
        <v>6.12</v>
      </c>
      <c r="E30" s="1350">
        <v>6.93</v>
      </c>
      <c r="F30" s="1350">
        <v>7.02</v>
      </c>
      <c r="G30" s="1350">
        <v>7.29</v>
      </c>
      <c r="H30" s="1350">
        <v>7.47</v>
      </c>
      <c r="I30" s="1350">
        <v>4.32</v>
      </c>
      <c r="J30" s="1350">
        <v>4.8600000000000003</v>
      </c>
      <c r="L30" s="1350"/>
      <c r="M30" s="1351">
        <v>39730</v>
      </c>
      <c r="N30" s="1350">
        <v>0.72</v>
      </c>
      <c r="O30" s="1350">
        <v>3.15</v>
      </c>
      <c r="P30" s="1350">
        <v>3.51</v>
      </c>
      <c r="Q30" s="1350">
        <v>3.87</v>
      </c>
      <c r="R30" s="1350">
        <v>4.41</v>
      </c>
      <c r="S30" s="1350">
        <v>5.13</v>
      </c>
      <c r="T30" s="1350">
        <v>5.58</v>
      </c>
      <c r="U30" s="1350">
        <v>3.15</v>
      </c>
      <c r="V30" s="1350">
        <v>3.51</v>
      </c>
      <c r="W30" s="1350">
        <v>3.87</v>
      </c>
      <c r="X30" s="1350">
        <v>1.53</v>
      </c>
      <c r="Y30" s="1350">
        <v>1.17</v>
      </c>
      <c r="Z30" s="1350">
        <v>1.71</v>
      </c>
    </row>
    <row r="31" spans="2:26">
      <c r="B31" s="1350"/>
      <c r="C31" s="1351">
        <v>39707</v>
      </c>
      <c r="D31" s="1350">
        <v>6.21</v>
      </c>
      <c r="E31" s="1350">
        <v>7.2</v>
      </c>
      <c r="F31" s="1350">
        <v>7.29</v>
      </c>
      <c r="G31" s="1350">
        <v>7.56</v>
      </c>
      <c r="H31" s="1350">
        <v>7.74</v>
      </c>
      <c r="I31" s="1350">
        <v>4.59</v>
      </c>
      <c r="J31" s="1350">
        <v>5.13</v>
      </c>
      <c r="L31" s="1350"/>
      <c r="M31" s="1351">
        <v>39437</v>
      </c>
      <c r="N31" s="1350">
        <v>0.72</v>
      </c>
      <c r="O31" s="1350">
        <v>3.33</v>
      </c>
      <c r="P31" s="1350">
        <v>3.78</v>
      </c>
      <c r="Q31" s="1350">
        <v>4.1399999999999997</v>
      </c>
      <c r="R31" s="1350">
        <v>4.68</v>
      </c>
      <c r="S31" s="1350">
        <v>5.4</v>
      </c>
      <c r="T31" s="1350">
        <v>5.85</v>
      </c>
      <c r="U31" s="1350">
        <v>3.33</v>
      </c>
      <c r="V31" s="1350">
        <v>3.78</v>
      </c>
      <c r="W31" s="1350">
        <v>4.1399999999999997</v>
      </c>
      <c r="X31" s="1350">
        <v>1.53</v>
      </c>
      <c r="Y31" s="1350">
        <v>1.17</v>
      </c>
      <c r="Z31" s="1350">
        <v>1.71</v>
      </c>
    </row>
    <row r="32" spans="2:26">
      <c r="B32" s="1350"/>
      <c r="C32" s="1351">
        <v>39437</v>
      </c>
      <c r="D32" s="1350">
        <v>6.57</v>
      </c>
      <c r="E32" s="1350">
        <v>7.47</v>
      </c>
      <c r="F32" s="1350">
        <v>7.56</v>
      </c>
      <c r="G32" s="1350">
        <v>7.74</v>
      </c>
      <c r="H32" s="1350">
        <v>7.83</v>
      </c>
      <c r="I32" s="1350">
        <v>4.7699999999999996</v>
      </c>
      <c r="J32" s="1350">
        <v>5.22</v>
      </c>
      <c r="L32" s="1350"/>
      <c r="M32" s="1351">
        <v>39340</v>
      </c>
      <c r="N32" s="1350">
        <v>0.81</v>
      </c>
      <c r="O32" s="1350">
        <v>2.88</v>
      </c>
      <c r="P32" s="1350">
        <v>3.42</v>
      </c>
      <c r="Q32" s="1350">
        <v>3.87</v>
      </c>
      <c r="R32" s="1350">
        <v>4.5</v>
      </c>
      <c r="S32" s="1350">
        <v>5.22</v>
      </c>
      <c r="T32" s="1350">
        <v>5.76</v>
      </c>
      <c r="U32" s="1350">
        <v>2.88</v>
      </c>
      <c r="V32" s="1350">
        <v>3.42</v>
      </c>
      <c r="W32" s="1350">
        <v>3.87</v>
      </c>
      <c r="X32" s="1350">
        <v>1.53</v>
      </c>
      <c r="Y32" s="1350">
        <v>1.17</v>
      </c>
      <c r="Z32" s="1350">
        <v>1.71</v>
      </c>
    </row>
    <row r="33" spans="2:26">
      <c r="B33" s="1350"/>
      <c r="C33" s="1351">
        <v>39340</v>
      </c>
      <c r="D33" s="1350">
        <v>6.48</v>
      </c>
      <c r="E33" s="1350">
        <v>7.29</v>
      </c>
      <c r="F33" s="1350">
        <v>7.47</v>
      </c>
      <c r="G33" s="1350">
        <v>7.65</v>
      </c>
      <c r="H33" s="1350">
        <v>7.83</v>
      </c>
      <c r="I33" s="1350">
        <v>4.7699999999999996</v>
      </c>
      <c r="J33" s="1350">
        <v>5.22</v>
      </c>
      <c r="L33" s="1350"/>
      <c r="M33" s="1351">
        <v>39316</v>
      </c>
      <c r="N33" s="1350">
        <v>0.81</v>
      </c>
      <c r="O33" s="1350">
        <v>2.61</v>
      </c>
      <c r="P33" s="1350">
        <v>3.15</v>
      </c>
      <c r="Q33" s="1350">
        <v>3.6</v>
      </c>
      <c r="R33" s="1350">
        <v>4.2300000000000004</v>
      </c>
      <c r="S33" s="1350">
        <v>4.95</v>
      </c>
      <c r="T33" s="1350">
        <v>5.49</v>
      </c>
      <c r="U33" s="1350">
        <v>2.61</v>
      </c>
      <c r="V33" s="1350">
        <v>3.15</v>
      </c>
      <c r="W33" s="1350">
        <v>3.6</v>
      </c>
      <c r="X33" s="1350">
        <v>1.53</v>
      </c>
      <c r="Y33" s="1350">
        <v>1.17</v>
      </c>
      <c r="Z33" s="1350">
        <v>1.71</v>
      </c>
    </row>
    <row r="34" spans="2:26">
      <c r="B34" s="1350"/>
      <c r="C34" s="1351">
        <v>39316</v>
      </c>
      <c r="D34" s="1350">
        <v>6.21</v>
      </c>
      <c r="E34" s="1350">
        <v>7.02</v>
      </c>
      <c r="F34" s="1350">
        <v>7.2</v>
      </c>
      <c r="G34" s="1350">
        <v>7.38</v>
      </c>
      <c r="H34" s="1350">
        <v>7.56</v>
      </c>
      <c r="I34" s="1350">
        <v>4.59</v>
      </c>
      <c r="J34" s="1350">
        <v>5.04</v>
      </c>
      <c r="L34" s="1350"/>
      <c r="M34" s="1351">
        <v>39284</v>
      </c>
      <c r="N34" s="1350">
        <v>0.81</v>
      </c>
      <c r="O34" s="1350">
        <v>2.34</v>
      </c>
      <c r="P34" s="1350">
        <v>2.88</v>
      </c>
      <c r="Q34" s="1350">
        <v>3.33</v>
      </c>
      <c r="R34" s="1350">
        <v>3.96</v>
      </c>
      <c r="S34" s="1350">
        <v>4.68</v>
      </c>
      <c r="T34" s="1350">
        <v>5.22</v>
      </c>
      <c r="U34" s="1350">
        <v>2.34</v>
      </c>
      <c r="V34" s="1350">
        <v>2.88</v>
      </c>
      <c r="W34" s="1350">
        <v>3.33</v>
      </c>
      <c r="X34" s="1350">
        <v>1.53</v>
      </c>
      <c r="Y34" s="1350">
        <v>1.17</v>
      </c>
      <c r="Z34" s="1350">
        <v>1.71</v>
      </c>
    </row>
    <row r="35" spans="2:26">
      <c r="B35" s="1350"/>
      <c r="C35" s="1351">
        <v>39284</v>
      </c>
      <c r="D35" s="1350">
        <v>6.03</v>
      </c>
      <c r="E35" s="1350">
        <v>6.84</v>
      </c>
      <c r="F35" s="1350">
        <v>7.02</v>
      </c>
      <c r="G35" s="1350">
        <v>7.2</v>
      </c>
      <c r="H35" s="1350">
        <v>7.38</v>
      </c>
      <c r="I35" s="1350">
        <v>4.5</v>
      </c>
      <c r="J35" s="1350">
        <v>4.95</v>
      </c>
      <c r="L35" s="1350"/>
      <c r="M35" s="1351">
        <v>39221</v>
      </c>
      <c r="N35" s="1350">
        <v>0.72</v>
      </c>
      <c r="O35" s="1350">
        <v>2.0699999999999998</v>
      </c>
      <c r="P35" s="1350">
        <v>2.61</v>
      </c>
      <c r="Q35" s="1350">
        <v>3.06</v>
      </c>
      <c r="R35" s="1350">
        <v>3.69</v>
      </c>
      <c r="S35" s="1350">
        <v>4.41</v>
      </c>
      <c r="T35" s="1350">
        <v>4.95</v>
      </c>
      <c r="U35" s="1350">
        <v>2.0699999999999998</v>
      </c>
      <c r="V35" s="1350">
        <v>2.61</v>
      </c>
      <c r="W35" s="1350">
        <v>3.06</v>
      </c>
      <c r="X35" s="1350">
        <v>1.44</v>
      </c>
      <c r="Y35" s="1350">
        <v>1.08</v>
      </c>
      <c r="Z35" s="1350">
        <v>1.62</v>
      </c>
    </row>
    <row r="36" spans="2:26">
      <c r="B36" s="1350"/>
      <c r="C36" s="1351">
        <v>39221</v>
      </c>
      <c r="D36" s="1350">
        <v>5.85</v>
      </c>
      <c r="E36" s="1350">
        <v>6.57</v>
      </c>
      <c r="F36" s="1350">
        <v>6.75</v>
      </c>
      <c r="G36" s="1350">
        <v>6.93</v>
      </c>
      <c r="H36" s="1350">
        <v>7.2</v>
      </c>
      <c r="I36" s="1350">
        <v>4.41</v>
      </c>
      <c r="J36" s="1350">
        <v>4.8600000000000003</v>
      </c>
      <c r="L36" s="1350"/>
      <c r="M36" s="1351">
        <v>39159</v>
      </c>
      <c r="N36" s="1350">
        <v>0.72</v>
      </c>
      <c r="O36" s="1350">
        <v>1.98</v>
      </c>
      <c r="P36" s="1350">
        <v>2.4300000000000002</v>
      </c>
      <c r="Q36" s="1350">
        <v>2.79</v>
      </c>
      <c r="R36" s="1350">
        <v>3.33</v>
      </c>
      <c r="S36" s="1350">
        <v>3.96</v>
      </c>
      <c r="T36" s="1350">
        <v>4.41</v>
      </c>
      <c r="U36" s="1350">
        <v>1.98</v>
      </c>
      <c r="V36" s="1350">
        <v>2.4300000000000002</v>
      </c>
      <c r="W36" s="1350">
        <v>2.79</v>
      </c>
      <c r="X36" s="1350">
        <v>1.44</v>
      </c>
      <c r="Y36" s="1350">
        <v>1.08</v>
      </c>
      <c r="Z36" s="1350">
        <v>1.62</v>
      </c>
    </row>
    <row r="37" spans="2:26">
      <c r="B37" s="1350"/>
      <c r="C37" s="1351">
        <v>39159</v>
      </c>
      <c r="D37" s="1350">
        <v>5.67</v>
      </c>
      <c r="E37" s="1350">
        <v>6.39</v>
      </c>
      <c r="F37" s="1350">
        <v>6.57</v>
      </c>
      <c r="G37" s="1350">
        <v>6.75</v>
      </c>
      <c r="H37" s="1350">
        <v>7.11</v>
      </c>
      <c r="I37" s="1350">
        <v>4.32</v>
      </c>
      <c r="J37" s="1350">
        <v>4.7699999999999996</v>
      </c>
      <c r="L37" s="1350"/>
      <c r="M37" s="1351">
        <v>38948</v>
      </c>
      <c r="N37" s="1350">
        <v>0.72</v>
      </c>
      <c r="O37" s="1350">
        <v>1.8</v>
      </c>
      <c r="P37" s="1350">
        <v>2.25</v>
      </c>
      <c r="Q37" s="1350">
        <v>2.52</v>
      </c>
      <c r="R37" s="1350">
        <v>3.06</v>
      </c>
      <c r="S37" s="1350">
        <v>3.69</v>
      </c>
      <c r="T37" s="1350">
        <v>4.1399999999999997</v>
      </c>
      <c r="U37" s="1350">
        <v>1.8</v>
      </c>
      <c r="V37" s="1350">
        <v>2.25</v>
      </c>
      <c r="W37" s="1350">
        <v>2.52</v>
      </c>
      <c r="X37" s="1350">
        <v>1.44</v>
      </c>
      <c r="Y37" s="1350">
        <v>1.08</v>
      </c>
      <c r="Z37" s="1350">
        <v>1.62</v>
      </c>
    </row>
    <row r="38" spans="2:26">
      <c r="B38" s="1350"/>
      <c r="C38" s="1351">
        <v>38948</v>
      </c>
      <c r="D38" s="1350">
        <v>5.58</v>
      </c>
      <c r="E38" s="1350">
        <v>6.12</v>
      </c>
      <c r="F38" s="1350">
        <v>6.3</v>
      </c>
      <c r="G38" s="1350">
        <v>6.48</v>
      </c>
      <c r="H38" s="1350">
        <v>6.84</v>
      </c>
      <c r="I38" s="1350">
        <v>4.1399999999999997</v>
      </c>
      <c r="J38" s="1350">
        <v>4.59</v>
      </c>
      <c r="L38" s="1350"/>
      <c r="M38" s="1351">
        <v>38289</v>
      </c>
      <c r="N38" s="1350">
        <v>0.72</v>
      </c>
      <c r="O38" s="1350">
        <v>1.71</v>
      </c>
      <c r="P38" s="1350">
        <v>2.0699999999999998</v>
      </c>
      <c r="Q38" s="1350">
        <v>2.25</v>
      </c>
      <c r="R38" s="1350">
        <v>2.7</v>
      </c>
      <c r="S38" s="1350">
        <v>3.24</v>
      </c>
      <c r="T38" s="1350">
        <v>3.6</v>
      </c>
      <c r="U38" s="1350">
        <v>1.71</v>
      </c>
      <c r="V38" s="1350">
        <v>2.0699999999999998</v>
      </c>
      <c r="W38" s="1350">
        <v>2.25</v>
      </c>
      <c r="X38" s="1350">
        <v>1.44</v>
      </c>
      <c r="Y38" s="1350">
        <v>1.08</v>
      </c>
      <c r="Z38" s="1350">
        <v>1.62</v>
      </c>
    </row>
    <row r="39" spans="2:26">
      <c r="B39" s="1350"/>
      <c r="C39" s="1351">
        <v>38835</v>
      </c>
      <c r="D39" s="1350">
        <v>5.4</v>
      </c>
      <c r="E39" s="1350">
        <v>5.85</v>
      </c>
      <c r="F39" s="1350">
        <v>6.03</v>
      </c>
      <c r="G39" s="1350">
        <v>6.12</v>
      </c>
      <c r="H39" s="1350">
        <v>6.39</v>
      </c>
      <c r="I39" s="1350">
        <v>4.1399999999999997</v>
      </c>
      <c r="J39" s="1350">
        <v>4.59</v>
      </c>
      <c r="L39" s="1350"/>
      <c r="M39" s="1351">
        <v>37308</v>
      </c>
      <c r="N39" s="1350">
        <v>0.72</v>
      </c>
      <c r="O39" s="1350">
        <v>1.71</v>
      </c>
      <c r="P39" s="1350">
        <v>1.89</v>
      </c>
      <c r="Q39" s="1350">
        <v>1.98</v>
      </c>
      <c r="R39" s="1350">
        <v>2.25</v>
      </c>
      <c r="S39" s="1350">
        <v>2.52</v>
      </c>
      <c r="T39" s="1350">
        <v>2.79</v>
      </c>
      <c r="U39" s="1350">
        <v>1.71</v>
      </c>
      <c r="V39" s="1350">
        <v>1.89</v>
      </c>
      <c r="W39" s="1350">
        <v>1.98</v>
      </c>
      <c r="X39" s="1350">
        <v>1.44</v>
      </c>
      <c r="Y39" s="1350">
        <v>1.08</v>
      </c>
      <c r="Z39" s="1350">
        <v>1.62</v>
      </c>
    </row>
    <row r="40" spans="2:26">
      <c r="B40" s="1350"/>
      <c r="C40" s="1351">
        <v>38428</v>
      </c>
      <c r="D40" s="1350">
        <v>5.22</v>
      </c>
      <c r="E40" s="1350">
        <v>5.58</v>
      </c>
      <c r="F40" s="1350">
        <v>5.76</v>
      </c>
      <c r="G40" s="1350">
        <v>5.85</v>
      </c>
      <c r="H40" s="1350">
        <v>6.12</v>
      </c>
      <c r="I40" s="1350">
        <v>3.96</v>
      </c>
      <c r="J40" s="1350">
        <v>4.41</v>
      </c>
      <c r="L40" s="1350"/>
      <c r="M40" s="1351">
        <v>36321</v>
      </c>
      <c r="N40" s="1350">
        <v>0.99</v>
      </c>
      <c r="O40" s="1350">
        <v>1.98</v>
      </c>
      <c r="P40" s="1350">
        <v>2.16</v>
      </c>
      <c r="Q40" s="1350">
        <v>2.25</v>
      </c>
      <c r="R40" s="1350">
        <v>2.4300000000000002</v>
      </c>
      <c r="S40" s="1350">
        <v>2.7</v>
      </c>
      <c r="T40" s="1350">
        <v>2.88</v>
      </c>
      <c r="U40" s="1350">
        <v>1.98</v>
      </c>
      <c r="V40" s="1350">
        <v>2.16</v>
      </c>
      <c r="W40" s="1350">
        <v>2.25</v>
      </c>
      <c r="X40" s="1350">
        <v>1.71</v>
      </c>
      <c r="Y40" s="1350">
        <v>1.35</v>
      </c>
      <c r="Z40" s="1350">
        <v>1.89</v>
      </c>
    </row>
    <row r="41" spans="2:26">
      <c r="B41" s="1350"/>
      <c r="C41" s="1351">
        <v>38289</v>
      </c>
      <c r="D41" s="1350">
        <v>5.22</v>
      </c>
      <c r="E41" s="1350">
        <v>5.58</v>
      </c>
      <c r="F41" s="1350">
        <v>5.76</v>
      </c>
      <c r="G41" s="1350">
        <v>5.85</v>
      </c>
      <c r="H41" s="1350">
        <v>6.12</v>
      </c>
      <c r="I41" s="1350">
        <v>3.78</v>
      </c>
      <c r="J41" s="1350">
        <v>4.2300000000000004</v>
      </c>
      <c r="L41" s="1350"/>
      <c r="M41" s="1351">
        <v>36136</v>
      </c>
      <c r="N41" s="1350">
        <v>1.44</v>
      </c>
      <c r="O41" s="1350">
        <v>2.79</v>
      </c>
      <c r="P41" s="1350">
        <v>3.33</v>
      </c>
      <c r="Q41" s="1350">
        <v>3.78</v>
      </c>
      <c r="R41" s="1350">
        <v>3.96</v>
      </c>
      <c r="S41" s="1350">
        <v>4.1399999999999997</v>
      </c>
      <c r="T41" s="1350">
        <v>4.5</v>
      </c>
      <c r="U41" s="1350">
        <v>3.33</v>
      </c>
      <c r="V41" s="1350">
        <v>3.78</v>
      </c>
      <c r="W41" s="1350">
        <v>4.1399999999999997</v>
      </c>
      <c r="X41" s="1350">
        <v>2.16</v>
      </c>
      <c r="Y41" s="1350">
        <v>1.8</v>
      </c>
      <c r="Z41" s="1350">
        <v>2.34</v>
      </c>
    </row>
    <row r="42" spans="2:26">
      <c r="B42" s="1350"/>
      <c r="C42" s="1351">
        <v>37308</v>
      </c>
      <c r="D42" s="1350">
        <v>5.04</v>
      </c>
      <c r="E42" s="1350">
        <v>5.31</v>
      </c>
      <c r="F42" s="1350">
        <v>5.49</v>
      </c>
      <c r="G42" s="1350">
        <v>5.58</v>
      </c>
      <c r="H42" s="1350">
        <v>5.76</v>
      </c>
      <c r="I42" s="1350">
        <v>3.6</v>
      </c>
      <c r="J42" s="1350">
        <v>4.05</v>
      </c>
      <c r="L42" s="1350"/>
      <c r="M42" s="1351">
        <v>35977</v>
      </c>
      <c r="N42" s="1350">
        <v>1.44</v>
      </c>
      <c r="O42" s="1350">
        <v>2.79</v>
      </c>
      <c r="P42" s="1350">
        <v>3.96</v>
      </c>
      <c r="Q42" s="1350">
        <v>4.7699999999999996</v>
      </c>
      <c r="R42" s="1350">
        <v>4.8600000000000003</v>
      </c>
      <c r="S42" s="1350">
        <v>4.95</v>
      </c>
      <c r="T42" s="1350">
        <v>5.22</v>
      </c>
      <c r="U42" s="1350">
        <v>3.96</v>
      </c>
      <c r="V42" s="1350">
        <v>4.7699999999999996</v>
      </c>
      <c r="W42" s="1350">
        <v>4.95</v>
      </c>
      <c r="X42" s="1350" t="s">
        <v>1332</v>
      </c>
      <c r="Y42" s="1350" t="s">
        <v>1332</v>
      </c>
      <c r="Z42" s="1350" t="s">
        <v>1332</v>
      </c>
    </row>
    <row r="43" spans="2:26">
      <c r="B43" s="1350"/>
      <c r="C43" s="1351">
        <v>36321</v>
      </c>
      <c r="D43" s="1350">
        <v>5.58</v>
      </c>
      <c r="E43" s="1350">
        <v>5.85</v>
      </c>
      <c r="F43" s="1350">
        <v>5.94</v>
      </c>
      <c r="G43" s="1350">
        <v>6.03</v>
      </c>
      <c r="H43" s="1350">
        <v>6.21</v>
      </c>
      <c r="I43" s="1350">
        <v>4.1399999999999997</v>
      </c>
      <c r="J43" s="1350">
        <v>4.59</v>
      </c>
      <c r="L43" s="1350"/>
      <c r="M43" s="1351">
        <v>35879</v>
      </c>
      <c r="N43" s="1350">
        <v>1.71</v>
      </c>
      <c r="O43" s="1350">
        <v>2.88</v>
      </c>
      <c r="P43" s="1350">
        <v>4.1399999999999997</v>
      </c>
      <c r="Q43" s="1350">
        <v>5.22</v>
      </c>
      <c r="R43" s="1350">
        <v>5.58</v>
      </c>
      <c r="S43" s="1350">
        <v>6.21</v>
      </c>
      <c r="T43" s="1350">
        <v>6.66</v>
      </c>
      <c r="U43" s="1350">
        <v>4.1399999999999997</v>
      </c>
      <c r="V43" s="1350">
        <v>5.22</v>
      </c>
      <c r="W43" s="1350">
        <v>6.21</v>
      </c>
      <c r="X43" s="1350" t="s">
        <v>1332</v>
      </c>
      <c r="Y43" s="1350" t="s">
        <v>1332</v>
      </c>
      <c r="Z43" s="1350" t="s">
        <v>1332</v>
      </c>
    </row>
    <row r="44" spans="2:26">
      <c r="B44" s="1350"/>
      <c r="C44" s="1351">
        <v>36136</v>
      </c>
      <c r="D44" s="1350">
        <v>6.12</v>
      </c>
      <c r="E44" s="1350">
        <v>6.39</v>
      </c>
      <c r="F44" s="1350">
        <v>6.66</v>
      </c>
      <c r="G44" s="1350">
        <v>7.2</v>
      </c>
      <c r="H44" s="1350">
        <v>7.56</v>
      </c>
      <c r="I44" s="1350">
        <v>0</v>
      </c>
      <c r="J44" s="1350">
        <v>0</v>
      </c>
      <c r="L44" s="1350"/>
      <c r="M44" s="1351">
        <v>35726</v>
      </c>
      <c r="N44" s="1350">
        <v>1.71</v>
      </c>
      <c r="O44" s="1350">
        <v>2.88</v>
      </c>
      <c r="P44" s="1350">
        <v>4.1399999999999997</v>
      </c>
      <c r="Q44" s="1350">
        <v>5.67</v>
      </c>
      <c r="R44" s="1350">
        <v>5.94</v>
      </c>
      <c r="S44" s="1350">
        <v>6.21</v>
      </c>
      <c r="T44" s="1350">
        <v>6.66</v>
      </c>
      <c r="U44" s="1350">
        <v>4.1399999999999997</v>
      </c>
      <c r="V44" s="1350">
        <v>5.67</v>
      </c>
      <c r="W44" s="1350">
        <v>6.21</v>
      </c>
      <c r="X44" s="1350" t="s">
        <v>1332</v>
      </c>
      <c r="Y44" s="1350" t="s">
        <v>1332</v>
      </c>
      <c r="Z44" s="1350" t="s">
        <v>1332</v>
      </c>
    </row>
    <row r="45" spans="2:26">
      <c r="B45" s="1350"/>
      <c r="C45" s="1351">
        <v>35977</v>
      </c>
      <c r="D45" s="1350">
        <v>6.57</v>
      </c>
      <c r="E45" s="1350">
        <v>6.93</v>
      </c>
      <c r="F45" s="1350">
        <v>7.11</v>
      </c>
      <c r="G45" s="1350">
        <v>7.65</v>
      </c>
      <c r="H45" s="1350">
        <v>8.01</v>
      </c>
      <c r="I45" s="1350">
        <v>0</v>
      </c>
      <c r="J45" s="1350">
        <v>0</v>
      </c>
      <c r="L45" s="1350"/>
      <c r="M45" s="1351">
        <v>35300</v>
      </c>
      <c r="N45" s="1350">
        <v>1.98</v>
      </c>
      <c r="O45" s="1350">
        <v>3.33</v>
      </c>
      <c r="P45" s="1350">
        <v>5.4</v>
      </c>
      <c r="Q45" s="1350">
        <v>7.47</v>
      </c>
      <c r="R45" s="1350">
        <v>7.92</v>
      </c>
      <c r="S45" s="1350">
        <v>8.2799999999999994</v>
      </c>
      <c r="T45" s="1350">
        <v>9</v>
      </c>
      <c r="U45" s="1350">
        <v>5.4</v>
      </c>
      <c r="V45" s="1350">
        <v>7.47</v>
      </c>
      <c r="W45" s="1350">
        <v>8.2799999999999994</v>
      </c>
      <c r="X45" s="1350" t="s">
        <v>1332</v>
      </c>
      <c r="Y45" s="1350" t="s">
        <v>1332</v>
      </c>
      <c r="Z45" s="1350" t="s">
        <v>1332</v>
      </c>
    </row>
    <row r="46" spans="2:26">
      <c r="B46" s="1350"/>
      <c r="C46" s="1351">
        <v>35879</v>
      </c>
      <c r="D46" s="1350">
        <v>7.02</v>
      </c>
      <c r="E46" s="1350">
        <v>7.92</v>
      </c>
      <c r="F46" s="1350">
        <v>9</v>
      </c>
      <c r="G46" s="1350">
        <v>9.7200000000000006</v>
      </c>
      <c r="H46" s="1350">
        <v>10.35</v>
      </c>
      <c r="I46" s="1350">
        <v>0</v>
      </c>
      <c r="J46" s="1350">
        <v>0</v>
      </c>
      <c r="L46" s="1350"/>
      <c r="M46" s="1351">
        <v>35186</v>
      </c>
      <c r="N46" s="1350">
        <v>2.97</v>
      </c>
      <c r="O46" s="1350">
        <v>4.8600000000000003</v>
      </c>
      <c r="P46" s="1350">
        <v>7.2</v>
      </c>
      <c r="Q46" s="1350">
        <v>9.18</v>
      </c>
      <c r="R46" s="1350">
        <v>9.9</v>
      </c>
      <c r="S46" s="1350">
        <v>10.8</v>
      </c>
      <c r="T46" s="1350">
        <v>12.06</v>
      </c>
      <c r="U46" s="1350">
        <v>7.2</v>
      </c>
      <c r="V46" s="1350">
        <v>9.18</v>
      </c>
      <c r="W46" s="1350">
        <v>10.8</v>
      </c>
      <c r="X46" s="1350" t="s">
        <v>1332</v>
      </c>
      <c r="Y46" s="1350" t="s">
        <v>1332</v>
      </c>
      <c r="Z46" s="1350" t="s">
        <v>1332</v>
      </c>
    </row>
    <row r="47" spans="2:26">
      <c r="B47" s="1350"/>
      <c r="C47" s="1351">
        <v>35726</v>
      </c>
      <c r="D47" s="1350">
        <v>7.65</v>
      </c>
      <c r="E47" s="1350">
        <v>8.64</v>
      </c>
      <c r="F47" s="1350">
        <v>9.36</v>
      </c>
      <c r="G47" s="1350">
        <v>9.9</v>
      </c>
      <c r="H47" s="1350">
        <v>10.53</v>
      </c>
      <c r="I47" s="1350">
        <v>0</v>
      </c>
      <c r="J47" s="1350">
        <v>0</v>
      </c>
      <c r="L47" s="1350"/>
      <c r="M47" s="1351">
        <v>34161</v>
      </c>
      <c r="N47" s="1350">
        <v>3.15</v>
      </c>
      <c r="O47" s="1350">
        <v>6.66</v>
      </c>
      <c r="P47" s="1350">
        <v>9</v>
      </c>
      <c r="Q47" s="1350">
        <v>10.98</v>
      </c>
      <c r="R47" s="1350">
        <v>11.7</v>
      </c>
      <c r="S47" s="1350">
        <v>12.24</v>
      </c>
      <c r="T47" s="1350">
        <v>13.86</v>
      </c>
      <c r="U47" s="1350">
        <v>9</v>
      </c>
      <c r="V47" s="1350">
        <v>10.98</v>
      </c>
      <c r="W47" s="1350">
        <v>12.24</v>
      </c>
      <c r="X47" s="1350" t="s">
        <v>1332</v>
      </c>
      <c r="Y47" s="1350" t="s">
        <v>1332</v>
      </c>
      <c r="Z47" s="1350" t="s">
        <v>1332</v>
      </c>
    </row>
    <row r="48" spans="2:26">
      <c r="B48" s="1350"/>
      <c r="C48" s="1351">
        <v>35300</v>
      </c>
      <c r="D48" s="1350">
        <v>9.18</v>
      </c>
      <c r="E48" s="1350">
        <v>10.08</v>
      </c>
      <c r="F48" s="1350">
        <v>10.98</v>
      </c>
      <c r="G48" s="1350">
        <v>11.7</v>
      </c>
      <c r="H48" s="1350">
        <v>12.42</v>
      </c>
      <c r="I48" s="1350">
        <v>0</v>
      </c>
      <c r="J48" s="1350">
        <v>0</v>
      </c>
      <c r="L48" s="1350"/>
      <c r="M48" s="1351">
        <v>34104</v>
      </c>
      <c r="N48" s="1350">
        <v>2.16</v>
      </c>
      <c r="O48" s="1350">
        <v>4.8600000000000003</v>
      </c>
      <c r="P48" s="1350">
        <v>7.2</v>
      </c>
      <c r="Q48" s="1350">
        <v>9.18</v>
      </c>
      <c r="R48" s="1350">
        <v>9.9</v>
      </c>
      <c r="S48" s="1350">
        <v>10.8</v>
      </c>
      <c r="T48" s="1350">
        <v>12.06</v>
      </c>
      <c r="U48" s="1350">
        <v>7.2</v>
      </c>
      <c r="V48" s="1350">
        <v>9.18</v>
      </c>
      <c r="W48" s="1350">
        <v>10.8</v>
      </c>
      <c r="X48" s="1350" t="s">
        <v>1332</v>
      </c>
      <c r="Y48" s="1350" t="s">
        <v>1332</v>
      </c>
      <c r="Z48" s="1350" t="s">
        <v>1332</v>
      </c>
    </row>
    <row r="49" spans="2:26">
      <c r="B49" s="1350"/>
      <c r="C49" s="1351">
        <v>35186</v>
      </c>
      <c r="D49" s="1350">
        <v>9.7200000000000006</v>
      </c>
      <c r="E49" s="1350">
        <v>10.98</v>
      </c>
      <c r="F49" s="1350">
        <v>13.14</v>
      </c>
      <c r="G49" s="1350">
        <v>14.94</v>
      </c>
      <c r="H49" s="1350">
        <v>15.12</v>
      </c>
      <c r="I49" s="1350">
        <v>0</v>
      </c>
      <c r="J49" s="1350">
        <v>0</v>
      </c>
      <c r="L49" s="1350"/>
      <c r="M49" s="1351">
        <v>33349</v>
      </c>
      <c r="N49" s="1350">
        <v>1.8</v>
      </c>
      <c r="O49" s="1350">
        <v>3.24</v>
      </c>
      <c r="P49" s="1350">
        <v>5.4</v>
      </c>
      <c r="Q49" s="1350">
        <v>7.56</v>
      </c>
      <c r="R49" s="1350">
        <v>7.92</v>
      </c>
      <c r="S49" s="1350">
        <v>8.2799999999999994</v>
      </c>
      <c r="T49" s="1350">
        <v>9</v>
      </c>
      <c r="U49" s="1350">
        <v>6.12</v>
      </c>
      <c r="V49" s="1350">
        <v>6.84</v>
      </c>
      <c r="W49" s="1350">
        <v>7.56</v>
      </c>
      <c r="X49" s="1350" t="s">
        <v>1332</v>
      </c>
      <c r="Y49" s="1350" t="s">
        <v>1332</v>
      </c>
      <c r="Z49" s="1350" t="s">
        <v>1332</v>
      </c>
    </row>
    <row r="50" spans="2:26">
      <c r="B50" s="1350"/>
      <c r="C50" s="1351">
        <v>34881</v>
      </c>
      <c r="D50" s="1350">
        <v>10.08</v>
      </c>
      <c r="E50" s="1350">
        <v>12.06</v>
      </c>
      <c r="F50" s="1350">
        <v>13.5</v>
      </c>
      <c r="G50" s="1350">
        <v>15.12</v>
      </c>
      <c r="H50" s="1350">
        <v>15.3</v>
      </c>
      <c r="I50" s="1350">
        <v>0</v>
      </c>
      <c r="J50" s="1350">
        <v>0</v>
      </c>
      <c r="L50" s="1350"/>
      <c r="M50" s="1351">
        <v>33106</v>
      </c>
      <c r="N50" s="1350">
        <v>2.16</v>
      </c>
      <c r="O50" s="1350">
        <v>4.32</v>
      </c>
      <c r="P50" s="1350">
        <v>6.48</v>
      </c>
      <c r="Q50" s="1350">
        <v>8.64</v>
      </c>
      <c r="R50" s="1350">
        <v>9.36</v>
      </c>
      <c r="S50" s="1350">
        <v>10.08</v>
      </c>
      <c r="T50" s="1350">
        <v>11.52</v>
      </c>
      <c r="U50" s="1350">
        <v>7.2</v>
      </c>
      <c r="V50" s="1350">
        <v>8.64</v>
      </c>
      <c r="W50" s="1350">
        <v>10.08</v>
      </c>
      <c r="X50" s="1350" t="s">
        <v>1332</v>
      </c>
      <c r="Y50" s="1350" t="s">
        <v>1332</v>
      </c>
      <c r="Z50" s="1350" t="s">
        <v>1332</v>
      </c>
    </row>
    <row r="51" spans="2:26">
      <c r="B51" s="1350"/>
      <c r="C51" s="1351">
        <v>34700</v>
      </c>
      <c r="D51" s="1350">
        <v>9</v>
      </c>
      <c r="E51" s="1350">
        <v>10.98</v>
      </c>
      <c r="F51" s="1350">
        <v>12.96</v>
      </c>
      <c r="G51" s="1350">
        <v>14.58</v>
      </c>
      <c r="H51" s="1350">
        <v>14.76</v>
      </c>
      <c r="I51" s="1350">
        <v>0</v>
      </c>
      <c r="J51" s="1350">
        <v>0</v>
      </c>
      <c r="L51" s="1350"/>
      <c r="M51" s="1351">
        <v>32978</v>
      </c>
      <c r="N51" s="1350">
        <v>2.88</v>
      </c>
      <c r="O51" s="1350">
        <v>6.3</v>
      </c>
      <c r="P51" s="1350">
        <v>7.74</v>
      </c>
      <c r="Q51" s="1350">
        <v>10.08</v>
      </c>
      <c r="R51" s="1350">
        <v>10.98</v>
      </c>
      <c r="S51" s="1350">
        <v>11.88</v>
      </c>
      <c r="T51" s="1350">
        <v>13.68</v>
      </c>
      <c r="U51" s="1350" t="s">
        <v>1332</v>
      </c>
      <c r="V51" s="1350" t="s">
        <v>1332</v>
      </c>
      <c r="W51" s="1350" t="s">
        <v>1332</v>
      </c>
      <c r="X51" s="1350" t="s">
        <v>1332</v>
      </c>
      <c r="Y51" s="1350" t="s">
        <v>1332</v>
      </c>
      <c r="Z51" s="1350" t="s">
        <v>1332</v>
      </c>
    </row>
    <row r="52" spans="2:26">
      <c r="B52" s="1350"/>
      <c r="C52" s="1351">
        <v>34161</v>
      </c>
      <c r="D52" s="1350">
        <v>9</v>
      </c>
      <c r="E52" s="1350">
        <v>10.98</v>
      </c>
      <c r="F52" s="1350">
        <v>12.24</v>
      </c>
      <c r="G52" s="1350">
        <v>13.86</v>
      </c>
      <c r="H52" s="1350">
        <v>14.04</v>
      </c>
      <c r="I52" s="1350">
        <v>0</v>
      </c>
      <c r="J52" s="1350">
        <v>0</v>
      </c>
      <c r="L52" s="1350"/>
      <c r="M52" s="1351"/>
      <c r="N52" s="1350"/>
      <c r="O52" s="1350"/>
      <c r="P52" s="1350"/>
      <c r="Q52" s="1350"/>
      <c r="R52" s="1350"/>
      <c r="S52" s="1350"/>
      <c r="T52" s="1350"/>
      <c r="U52" s="1350"/>
      <c r="V52" s="1350"/>
      <c r="W52" s="1350"/>
      <c r="X52" s="1350"/>
      <c r="Y52" s="1350"/>
      <c r="Z52" s="1350"/>
    </row>
    <row r="53" spans="2:26">
      <c r="B53" s="1350"/>
      <c r="C53" s="1351">
        <v>34104</v>
      </c>
      <c r="D53" s="1350">
        <v>8.82</v>
      </c>
      <c r="E53" s="1350">
        <v>9.36</v>
      </c>
      <c r="F53" s="1350">
        <v>10.8</v>
      </c>
      <c r="G53" s="1350">
        <v>12.06</v>
      </c>
      <c r="H53" s="1350">
        <v>12.24</v>
      </c>
      <c r="I53" s="1350">
        <v>0</v>
      </c>
      <c r="J53" s="1350">
        <v>0</v>
      </c>
      <c r="L53" s="1350"/>
      <c r="M53" s="1351"/>
      <c r="N53" s="1350"/>
      <c r="O53" s="1350"/>
      <c r="P53" s="1350"/>
      <c r="Q53" s="1350"/>
      <c r="R53" s="1350"/>
      <c r="S53" s="1350"/>
      <c r="T53" s="1350"/>
      <c r="U53" s="1350"/>
      <c r="V53" s="1350"/>
      <c r="W53" s="1350"/>
      <c r="X53" s="1350"/>
      <c r="Y53" s="1350"/>
      <c r="Z53" s="1350"/>
    </row>
    <row r="54" spans="2:26">
      <c r="B54" s="1350"/>
      <c r="C54" s="1351">
        <v>33349</v>
      </c>
      <c r="D54" s="1350">
        <v>8.1</v>
      </c>
      <c r="E54" s="1350">
        <v>8.64</v>
      </c>
      <c r="F54" s="1350">
        <v>9</v>
      </c>
      <c r="G54" s="1350">
        <v>9.5399999999999991</v>
      </c>
      <c r="H54" s="1350">
        <v>9.7200000000000006</v>
      </c>
      <c r="I54" s="1350">
        <v>0</v>
      </c>
      <c r="J54" s="1350">
        <v>0</v>
      </c>
      <c r="L54" s="1350"/>
      <c r="M54" s="1351"/>
      <c r="N54" s="1350"/>
      <c r="O54" s="1350"/>
      <c r="P54" s="1350"/>
      <c r="Q54" s="1350"/>
      <c r="R54" s="1350"/>
      <c r="S54" s="1350"/>
      <c r="T54" s="1350"/>
      <c r="U54" s="1350"/>
      <c r="V54" s="1350"/>
      <c r="W54" s="1350"/>
      <c r="X54" s="1350"/>
      <c r="Y54" s="1350"/>
      <c r="Z54" s="1350"/>
    </row>
    <row r="55" spans="2:26">
      <c r="B55" s="1350"/>
      <c r="C55" s="1351">
        <v>33318</v>
      </c>
      <c r="D55" s="1350">
        <v>9</v>
      </c>
      <c r="E55" s="1350">
        <v>10.08</v>
      </c>
      <c r="F55" s="1350">
        <v>10.8</v>
      </c>
      <c r="G55" s="1350">
        <v>11.52</v>
      </c>
      <c r="H55" s="1350">
        <v>11.88</v>
      </c>
      <c r="I55" s="1350" t="s">
        <v>1332</v>
      </c>
      <c r="J55" s="1350" t="s">
        <v>1332</v>
      </c>
      <c r="L55" s="1350"/>
      <c r="M55" s="1351"/>
      <c r="N55" s="1350"/>
      <c r="O55" s="1350"/>
      <c r="P55" s="1350"/>
      <c r="Q55" s="1350"/>
      <c r="R55" s="1350"/>
      <c r="S55" s="1350"/>
      <c r="T55" s="1350"/>
      <c r="U55" s="1350"/>
      <c r="V55" s="1350"/>
      <c r="W55" s="1350"/>
      <c r="X55" s="1350"/>
      <c r="Y55" s="1350"/>
      <c r="Z55" s="1350"/>
    </row>
    <row r="56" spans="2:26">
      <c r="B56" s="1350"/>
      <c r="C56" s="1351">
        <v>33106</v>
      </c>
      <c r="D56" s="1350">
        <v>8.64</v>
      </c>
      <c r="E56" s="1350">
        <v>9.36</v>
      </c>
      <c r="F56" s="1350">
        <v>10.08</v>
      </c>
      <c r="G56" s="1350">
        <v>10.8</v>
      </c>
      <c r="H56" s="1350">
        <v>11.16</v>
      </c>
      <c r="I56" s="1350">
        <v>0</v>
      </c>
      <c r="J56" s="1350">
        <v>0</v>
      </c>
      <c r="L56" s="1350"/>
      <c r="M56" s="1351"/>
      <c r="N56" s="1350"/>
      <c r="O56" s="1350"/>
      <c r="P56" s="1350"/>
      <c r="Q56" s="1350"/>
      <c r="R56" s="1350"/>
      <c r="S56" s="1350"/>
      <c r="T56" s="1350"/>
      <c r="U56" s="1350"/>
      <c r="V56" s="1350"/>
      <c r="W56" s="1350"/>
      <c r="X56" s="1350"/>
      <c r="Y56" s="1350"/>
      <c r="Z56" s="1350"/>
    </row>
    <row r="57" spans="2:26">
      <c r="B57" s="1350"/>
      <c r="C57" s="1351">
        <v>32540</v>
      </c>
      <c r="D57" s="1350">
        <v>11.34</v>
      </c>
      <c r="E57" s="1350">
        <v>11.34</v>
      </c>
      <c r="F57" s="1350">
        <v>12.78</v>
      </c>
      <c r="G57" s="1350">
        <v>14.4</v>
      </c>
      <c r="H57" s="1350">
        <v>19.260000000000002</v>
      </c>
      <c r="I57" s="1350">
        <v>0</v>
      </c>
      <c r="J57" s="1350">
        <v>0</v>
      </c>
      <c r="L57" s="1350"/>
      <c r="M57" s="1351"/>
      <c r="N57" s="1350"/>
      <c r="O57" s="1350"/>
      <c r="P57" s="1350"/>
      <c r="Q57" s="1350"/>
      <c r="R57" s="1350"/>
      <c r="S57" s="1350"/>
      <c r="T57" s="1350"/>
      <c r="U57" s="1350"/>
      <c r="V57" s="1350"/>
      <c r="W57" s="1350"/>
      <c r="X57" s="1350"/>
      <c r="Y57" s="1350"/>
      <c r="Z57" s="1350"/>
    </row>
    <row r="58" spans="2:26">
      <c r="B58" s="1350"/>
      <c r="C58" s="1351"/>
      <c r="D58" s="1350"/>
      <c r="E58" s="1350"/>
      <c r="F58" s="1350"/>
      <c r="G58" s="1350"/>
      <c r="H58" s="1350"/>
      <c r="I58" s="1350"/>
      <c r="J58" s="1350"/>
    </row>
    <row r="59" spans="2:26">
      <c r="B59" s="1354"/>
      <c r="C59" s="1355"/>
      <c r="D59" s="1354"/>
      <c r="E59" s="1354"/>
      <c r="F59" s="1354"/>
      <c r="G59" s="1354"/>
      <c r="H59" s="1354"/>
      <c r="I59" s="1354"/>
      <c r="J59" s="1354"/>
    </row>
    <row r="60" spans="2:26">
      <c r="B60" s="1354"/>
      <c r="C60" s="1355"/>
      <c r="D60" s="1354"/>
      <c r="E60" s="1354"/>
      <c r="F60" s="1354"/>
      <c r="G60" s="1354"/>
      <c r="H60" s="1354"/>
      <c r="I60" s="1354"/>
      <c r="J60" s="1354"/>
    </row>
    <row r="61" spans="2:26">
      <c r="B61" s="1354"/>
      <c r="C61" s="1355"/>
      <c r="D61" s="1354"/>
      <c r="E61" s="1354"/>
      <c r="F61" s="1354"/>
      <c r="G61" s="1354"/>
      <c r="H61" s="1354"/>
      <c r="I61" s="1354"/>
      <c r="J61" s="1354"/>
    </row>
    <row r="62" spans="2:26">
      <c r="B62" s="1301"/>
      <c r="C62" s="1301"/>
      <c r="D62" s="1301"/>
      <c r="E62" s="1301"/>
      <c r="F62" s="1301"/>
      <c r="G62" s="1301"/>
      <c r="H62" s="1301"/>
      <c r="I62" s="1301"/>
      <c r="J62" s="1301"/>
    </row>
    <row r="63" spans="2:26">
      <c r="B63" s="1301"/>
      <c r="C63" s="1301"/>
      <c r="D63" s="1301"/>
      <c r="E63" s="1301"/>
      <c r="F63" s="1301"/>
      <c r="G63" s="1301"/>
      <c r="H63" s="1301"/>
      <c r="I63" s="1301"/>
      <c r="J63" s="1301"/>
    </row>
  </sheetData>
  <sheetProtection sheet="1" objects="1" scenarios="1"/>
  <phoneticPr fontId="143"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392" t="s">
        <v>1373</v>
      </c>
      <c r="E1" s="1386" t="s">
        <v>1377</v>
      </c>
      <c r="F1" s="1387" t="s">
        <v>1381</v>
      </c>
    </row>
    <row r="2" spans="1:13" ht="20.25">
      <c r="A2" s="1393" t="s">
        <v>1374</v>
      </c>
    </row>
    <row r="3" spans="1:13" ht="16.5">
      <c r="A3" s="1394" t="s">
        <v>1375</v>
      </c>
    </row>
    <row r="4" spans="1:13" ht="14.25">
      <c r="A4" s="1384" t="s">
        <v>1376</v>
      </c>
      <c r="B4" s="1389" t="s">
        <v>1378</v>
      </c>
      <c r="C4" s="1390"/>
      <c r="D4" s="1391"/>
      <c r="E4" s="1389" t="s">
        <v>27</v>
      </c>
      <c r="F4" s="1390"/>
      <c r="G4" s="1391"/>
      <c r="H4" s="1389" t="s">
        <v>1379</v>
      </c>
      <c r="I4" s="1390"/>
      <c r="J4" s="1391"/>
      <c r="K4" s="1389" t="s">
        <v>6</v>
      </c>
      <c r="L4" s="1390"/>
      <c r="M4" s="1391"/>
    </row>
    <row r="5" spans="1:13" ht="14.25">
      <c r="A5" s="1385" t="s">
        <v>1380</v>
      </c>
      <c r="B5" s="1384" t="s">
        <v>1382</v>
      </c>
      <c r="C5" s="1384" t="s">
        <v>1383</v>
      </c>
      <c r="D5" s="1384" t="s">
        <v>1384</v>
      </c>
      <c r="E5" s="1384" t="s">
        <v>1382</v>
      </c>
      <c r="F5" s="1384" t="s">
        <v>1383</v>
      </c>
      <c r="G5" s="1384" t="s">
        <v>1384</v>
      </c>
      <c r="H5" s="1384" t="s">
        <v>1382</v>
      </c>
      <c r="I5" s="1384" t="s">
        <v>1383</v>
      </c>
      <c r="J5" s="1384" t="s">
        <v>1384</v>
      </c>
      <c r="K5" s="1384" t="s">
        <v>1382</v>
      </c>
      <c r="L5" s="1384" t="s">
        <v>1383</v>
      </c>
      <c r="M5" s="1384" t="s">
        <v>1384</v>
      </c>
    </row>
    <row r="6" spans="1:13" ht="14.25">
      <c r="A6" s="1388" t="s">
        <v>212</v>
      </c>
      <c r="B6" s="1395">
        <v>26980</v>
      </c>
      <c r="C6" s="1395">
        <v>32980</v>
      </c>
      <c r="D6" s="1395">
        <v>29980</v>
      </c>
      <c r="E6" s="1395">
        <v>26170</v>
      </c>
      <c r="F6" s="1395">
        <v>31990</v>
      </c>
      <c r="G6" s="1395">
        <v>29080</v>
      </c>
      <c r="H6" s="1395">
        <v>25850</v>
      </c>
      <c r="I6" s="1395">
        <v>31590</v>
      </c>
      <c r="J6" s="1395">
        <v>28720</v>
      </c>
      <c r="K6" s="1395">
        <v>9860</v>
      </c>
      <c r="L6" s="1396">
        <v>13340</v>
      </c>
      <c r="M6" s="1395">
        <v>11600</v>
      </c>
    </row>
    <row r="7" spans="1:13" ht="14.25">
      <c r="A7" s="1388" t="s">
        <v>269</v>
      </c>
      <c r="B7" s="1395">
        <v>21970</v>
      </c>
      <c r="C7" s="1395">
        <v>28730</v>
      </c>
      <c r="D7" s="1395">
        <v>25350</v>
      </c>
      <c r="E7" s="1395">
        <v>21480</v>
      </c>
      <c r="F7" s="1395">
        <v>28080</v>
      </c>
      <c r="G7" s="1395">
        <v>24780</v>
      </c>
      <c r="H7" s="1395">
        <v>21250</v>
      </c>
      <c r="I7" s="1395">
        <v>27790</v>
      </c>
      <c r="J7" s="1395">
        <v>24520</v>
      </c>
      <c r="K7" s="1395">
        <v>6660</v>
      </c>
      <c r="L7" s="1396">
        <v>10000</v>
      </c>
      <c r="M7" s="1395">
        <v>8330</v>
      </c>
    </row>
    <row r="8" spans="1:13" ht="14.25">
      <c r="A8" s="1388" t="s">
        <v>442</v>
      </c>
      <c r="B8" s="1395">
        <v>17430</v>
      </c>
      <c r="C8" s="1395">
        <v>24410</v>
      </c>
      <c r="D8" s="1395">
        <v>20920</v>
      </c>
      <c r="E8" s="1395">
        <v>17140</v>
      </c>
      <c r="F8" s="1395">
        <v>24000</v>
      </c>
      <c r="G8" s="1395">
        <v>20570</v>
      </c>
      <c r="H8" s="1395">
        <v>16990</v>
      </c>
      <c r="I8" s="1395">
        <v>23790</v>
      </c>
      <c r="J8" s="1395">
        <v>20390</v>
      </c>
      <c r="K8" s="1395">
        <v>4530</v>
      </c>
      <c r="L8" s="1396">
        <v>6790</v>
      </c>
      <c r="M8" s="1395">
        <v>5660</v>
      </c>
    </row>
    <row r="9" spans="1:13" ht="14.25">
      <c r="A9" s="1388" t="s">
        <v>137</v>
      </c>
      <c r="B9" s="1395">
        <v>13330</v>
      </c>
      <c r="C9" s="1395">
        <v>19990</v>
      </c>
      <c r="D9" s="1395">
        <v>16660</v>
      </c>
      <c r="E9" s="1395">
        <v>13160</v>
      </c>
      <c r="F9" s="1395">
        <v>19740</v>
      </c>
      <c r="G9" s="1395">
        <v>16450</v>
      </c>
      <c r="H9" s="1395">
        <v>13060</v>
      </c>
      <c r="I9" s="1395">
        <v>19600</v>
      </c>
      <c r="J9" s="1395">
        <v>16330</v>
      </c>
      <c r="K9" s="1395">
        <v>3090</v>
      </c>
      <c r="L9" s="1396">
        <v>4650</v>
      </c>
      <c r="M9" s="1395">
        <v>3870</v>
      </c>
    </row>
    <row r="10" spans="1:13" ht="14.25">
      <c r="A10" s="1388" t="s">
        <v>523</v>
      </c>
      <c r="B10" s="1395">
        <v>10420</v>
      </c>
      <c r="C10" s="1395">
        <v>15620</v>
      </c>
      <c r="D10" s="1395">
        <v>13020</v>
      </c>
      <c r="E10" s="1395">
        <v>10310</v>
      </c>
      <c r="F10" s="1395">
        <v>15470</v>
      </c>
      <c r="G10" s="1395">
        <v>12890</v>
      </c>
      <c r="H10" s="1395">
        <v>10250</v>
      </c>
      <c r="I10" s="1395">
        <v>15370</v>
      </c>
      <c r="J10" s="1395">
        <v>12810</v>
      </c>
      <c r="K10" s="1395">
        <v>2140</v>
      </c>
      <c r="L10" s="1396">
        <v>3200</v>
      </c>
      <c r="M10" s="1395">
        <v>2670</v>
      </c>
    </row>
    <row r="11" spans="1:13" ht="14.25">
      <c r="A11" s="1388" t="s">
        <v>56</v>
      </c>
      <c r="B11" s="1395">
        <v>8130</v>
      </c>
      <c r="C11" s="1395">
        <v>12190</v>
      </c>
      <c r="D11" s="1395">
        <v>10160</v>
      </c>
      <c r="E11" s="1395">
        <v>8060</v>
      </c>
      <c r="F11" s="1395">
        <v>12080</v>
      </c>
      <c r="G11" s="1395">
        <v>10070</v>
      </c>
      <c r="H11" s="1395">
        <v>8010</v>
      </c>
      <c r="I11" s="1395">
        <v>12010</v>
      </c>
      <c r="J11" s="1395">
        <v>10010</v>
      </c>
      <c r="K11" s="1395">
        <v>1490</v>
      </c>
      <c r="L11" s="1396">
        <v>2250</v>
      </c>
      <c r="M11" s="1395">
        <v>1870</v>
      </c>
    </row>
    <row r="12" spans="1:13" ht="14.25">
      <c r="A12" s="1388" t="s">
        <v>526</v>
      </c>
      <c r="B12" s="1395">
        <v>5940</v>
      </c>
      <c r="C12" s="1395">
        <v>8900</v>
      </c>
      <c r="D12" s="1395">
        <v>7420</v>
      </c>
      <c r="E12" s="1395">
        <v>5880</v>
      </c>
      <c r="F12" s="1395">
        <v>8820</v>
      </c>
      <c r="G12" s="1395">
        <v>7350</v>
      </c>
      <c r="H12" s="1395">
        <v>5840</v>
      </c>
      <c r="I12" s="1395">
        <v>8760</v>
      </c>
      <c r="J12" s="1395">
        <v>7300</v>
      </c>
      <c r="K12" s="1395">
        <v>1060</v>
      </c>
      <c r="L12" s="1396">
        <v>1600</v>
      </c>
      <c r="M12" s="1395">
        <v>1330</v>
      </c>
    </row>
    <row r="13" spans="1:13" ht="14.25">
      <c r="A13" s="1388" t="s">
        <v>528</v>
      </c>
      <c r="B13" s="1395">
        <v>3970</v>
      </c>
      <c r="C13" s="1395">
        <v>6330</v>
      </c>
      <c r="D13" s="1395">
        <v>5150</v>
      </c>
      <c r="E13" s="1395">
        <v>3920</v>
      </c>
      <c r="F13" s="1395">
        <v>6260</v>
      </c>
      <c r="G13" s="1395">
        <v>5090</v>
      </c>
      <c r="H13" s="1395">
        <v>3890</v>
      </c>
      <c r="I13" s="1395">
        <v>6210</v>
      </c>
      <c r="J13" s="1395">
        <v>5050</v>
      </c>
      <c r="K13" s="1395">
        <v>780</v>
      </c>
      <c r="L13" s="1396">
        <v>1160</v>
      </c>
      <c r="M13" s="1395">
        <v>970</v>
      </c>
    </row>
    <row r="14" spans="1:13" ht="14.25">
      <c r="A14" s="1388" t="s">
        <v>530</v>
      </c>
      <c r="B14" s="1395">
        <v>2680</v>
      </c>
      <c r="C14" s="1395">
        <v>4280</v>
      </c>
      <c r="D14" s="1395">
        <v>3480</v>
      </c>
      <c r="E14" s="1395">
        <v>2640</v>
      </c>
      <c r="F14" s="1395">
        <v>4220</v>
      </c>
      <c r="G14" s="1395">
        <v>3430</v>
      </c>
      <c r="H14" s="1395">
        <v>2620</v>
      </c>
      <c r="I14" s="1395">
        <v>4180</v>
      </c>
      <c r="J14" s="1395">
        <v>3400</v>
      </c>
      <c r="K14" s="1395">
        <v>580</v>
      </c>
      <c r="L14" s="1396">
        <v>880</v>
      </c>
      <c r="M14" s="1395">
        <v>730</v>
      </c>
    </row>
    <row r="15" spans="1:13" ht="14.25">
      <c r="A15" s="1388" t="s">
        <v>534</v>
      </c>
      <c r="B15" s="1395">
        <v>1700</v>
      </c>
      <c r="C15" s="1395">
        <v>2840</v>
      </c>
      <c r="D15" s="1395">
        <v>2270</v>
      </c>
      <c r="E15" s="1395">
        <v>1670</v>
      </c>
      <c r="F15" s="1395">
        <v>2790</v>
      </c>
      <c r="G15" s="1395">
        <v>2230</v>
      </c>
      <c r="H15" s="1395">
        <v>1650</v>
      </c>
      <c r="I15" s="1395">
        <v>2750</v>
      </c>
      <c r="J15" s="1395">
        <v>2200</v>
      </c>
      <c r="K15" s="1395">
        <v>450</v>
      </c>
      <c r="L15" s="1396">
        <v>670</v>
      </c>
      <c r="M15" s="1395">
        <v>560</v>
      </c>
    </row>
    <row r="16" spans="1:13" ht="14.25">
      <c r="A16" s="1388" t="s">
        <v>814</v>
      </c>
      <c r="B16" s="1395">
        <v>1070</v>
      </c>
      <c r="C16" s="1395">
        <v>1790</v>
      </c>
      <c r="D16" s="1395">
        <v>1430</v>
      </c>
      <c r="E16" s="1395">
        <v>1050</v>
      </c>
      <c r="F16" s="1395">
        <v>1750</v>
      </c>
      <c r="G16" s="1395">
        <v>1400</v>
      </c>
      <c r="H16" s="1395">
        <v>1030</v>
      </c>
      <c r="I16" s="1395">
        <v>1730</v>
      </c>
      <c r="J16" s="1395">
        <v>1380</v>
      </c>
      <c r="K16" s="1395">
        <v>350</v>
      </c>
      <c r="L16" s="1396">
        <v>530</v>
      </c>
      <c r="M16" s="1395">
        <v>440</v>
      </c>
    </row>
    <row r="17" spans="1:13" ht="14.25">
      <c r="A17" s="1388" t="s">
        <v>815</v>
      </c>
      <c r="B17" s="1395">
        <v>680</v>
      </c>
      <c r="C17" s="1395">
        <v>1120</v>
      </c>
      <c r="D17" s="1395">
        <v>900</v>
      </c>
      <c r="E17" s="1395">
        <v>650</v>
      </c>
      <c r="F17" s="1395">
        <v>1090</v>
      </c>
      <c r="G17" s="1395">
        <v>870</v>
      </c>
      <c r="H17" s="1395">
        <v>630</v>
      </c>
      <c r="I17" s="1395">
        <v>1070</v>
      </c>
      <c r="J17" s="1395">
        <v>850</v>
      </c>
      <c r="K17" s="1395">
        <v>280</v>
      </c>
      <c r="L17" s="1396">
        <v>420</v>
      </c>
      <c r="M17" s="1395">
        <v>350</v>
      </c>
    </row>
  </sheetData>
  <phoneticPr fontId="143" type="noConversion"/>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79"/>
  <sheetViews>
    <sheetView topLeftCell="A285" workbookViewId="0">
      <selection sqref="A1:XFD1048576"/>
    </sheetView>
  </sheetViews>
  <sheetFormatPr defaultRowHeight="13.5"/>
  <cols>
    <col min="5" max="5" width="15.375" style="2117" customWidth="1"/>
    <col min="6" max="6" width="9" style="2118"/>
  </cols>
  <sheetData>
    <row r="1" spans="1:6">
      <c r="A1" t="s">
        <v>3049</v>
      </c>
      <c r="B1" t="s">
        <v>3050</v>
      </c>
      <c r="C1" t="s">
        <v>3051</v>
      </c>
      <c r="D1" t="s">
        <v>3052</v>
      </c>
      <c r="E1" s="2117" t="s">
        <v>3053</v>
      </c>
    </row>
    <row r="2" spans="1:6">
      <c r="A2" s="2121">
        <v>285</v>
      </c>
      <c r="B2" s="2121" t="s">
        <v>3054</v>
      </c>
      <c r="C2" s="2121">
        <v>1</v>
      </c>
      <c r="D2" s="2121">
        <v>3</v>
      </c>
      <c r="E2" s="2122">
        <v>178.15</v>
      </c>
      <c r="F2" s="2121" t="s">
        <v>3058</v>
      </c>
    </row>
    <row r="3" spans="1:6">
      <c r="A3" s="2121">
        <v>286</v>
      </c>
      <c r="B3" s="2121" t="s">
        <v>3054</v>
      </c>
      <c r="C3" s="2121">
        <v>3</v>
      </c>
      <c r="D3" s="2121">
        <v>76</v>
      </c>
      <c r="E3" s="2122">
        <v>106.31</v>
      </c>
      <c r="F3" s="2121" t="s">
        <v>3058</v>
      </c>
    </row>
    <row r="4" spans="1:6">
      <c r="A4" s="2121">
        <v>287</v>
      </c>
      <c r="B4" s="2121" t="s">
        <v>3054</v>
      </c>
      <c r="C4" s="2121">
        <v>4</v>
      </c>
      <c r="D4" s="2121">
        <v>117</v>
      </c>
      <c r="E4" s="2122">
        <v>43.64</v>
      </c>
      <c r="F4" s="2121" t="s">
        <v>3058</v>
      </c>
    </row>
    <row r="5" spans="1:6">
      <c r="A5" s="2121">
        <v>288</v>
      </c>
      <c r="B5" s="2121" t="s">
        <v>3054</v>
      </c>
      <c r="C5" s="2121">
        <v>4</v>
      </c>
      <c r="D5" s="2121">
        <v>127</v>
      </c>
      <c r="E5" s="2122">
        <v>110.33</v>
      </c>
      <c r="F5" s="2121" t="s">
        <v>3058</v>
      </c>
    </row>
    <row r="6" spans="1:6">
      <c r="A6" s="2121">
        <v>289</v>
      </c>
      <c r="B6" s="2121" t="s">
        <v>3054</v>
      </c>
      <c r="C6" s="2121">
        <v>-1</v>
      </c>
      <c r="D6" s="2121">
        <v>17</v>
      </c>
      <c r="E6" s="2122">
        <v>73.14</v>
      </c>
      <c r="F6" s="2121" t="s">
        <v>3058</v>
      </c>
    </row>
    <row r="7" spans="1:6">
      <c r="A7" s="2121">
        <v>290</v>
      </c>
      <c r="B7" s="2121" t="s">
        <v>3054</v>
      </c>
      <c r="C7" s="2121">
        <v>-1</v>
      </c>
      <c r="D7" s="2121">
        <v>329</v>
      </c>
      <c r="E7" s="2122">
        <v>64.66</v>
      </c>
      <c r="F7" s="2121" t="s">
        <v>3058</v>
      </c>
    </row>
    <row r="8" spans="1:6">
      <c r="A8" s="2121">
        <v>291</v>
      </c>
      <c r="B8" s="2121" t="s">
        <v>3054</v>
      </c>
      <c r="C8" s="2121">
        <v>-1</v>
      </c>
      <c r="D8" s="2121">
        <v>336</v>
      </c>
      <c r="E8" s="2122">
        <v>73.52</v>
      </c>
      <c r="F8" s="2121" t="s">
        <v>3058</v>
      </c>
    </row>
    <row r="9" spans="1:6">
      <c r="A9" s="2121">
        <v>292</v>
      </c>
      <c r="B9" s="2121" t="s">
        <v>3054</v>
      </c>
      <c r="C9" s="2121">
        <v>-1</v>
      </c>
      <c r="D9" s="2121">
        <v>337</v>
      </c>
      <c r="E9" s="2122">
        <v>73.55</v>
      </c>
      <c r="F9" s="2121" t="s">
        <v>3058</v>
      </c>
    </row>
    <row r="10" spans="1:6">
      <c r="A10" s="2121">
        <v>293</v>
      </c>
      <c r="B10" s="2121" t="s">
        <v>3054</v>
      </c>
      <c r="C10" s="2121">
        <v>-1</v>
      </c>
      <c r="D10" s="2121">
        <v>338</v>
      </c>
      <c r="E10" s="2122">
        <v>73.55</v>
      </c>
      <c r="F10" s="2121" t="s">
        <v>3058</v>
      </c>
    </row>
    <row r="11" spans="1:6">
      <c r="A11" s="2121">
        <v>294</v>
      </c>
      <c r="B11" s="2121" t="s">
        <v>3054</v>
      </c>
      <c r="C11" s="2121">
        <v>-1</v>
      </c>
      <c r="D11" s="2121">
        <v>339</v>
      </c>
      <c r="E11" s="2122">
        <v>71.16</v>
      </c>
      <c r="F11" s="2121" t="s">
        <v>3058</v>
      </c>
    </row>
    <row r="12" spans="1:6">
      <c r="A12" s="2121">
        <v>295</v>
      </c>
      <c r="B12" s="2121" t="s">
        <v>3054</v>
      </c>
      <c r="C12" s="2121">
        <v>-1</v>
      </c>
      <c r="D12" s="2121">
        <v>340</v>
      </c>
      <c r="E12" s="2122">
        <v>74.25</v>
      </c>
      <c r="F12" s="2121" t="s">
        <v>3058</v>
      </c>
    </row>
    <row r="13" spans="1:6">
      <c r="A13" s="2121">
        <v>296</v>
      </c>
      <c r="B13" s="2121" t="s">
        <v>3054</v>
      </c>
      <c r="C13" s="2121">
        <v>-1</v>
      </c>
      <c r="D13" s="2121">
        <v>341</v>
      </c>
      <c r="E13" s="2122">
        <v>72.42</v>
      </c>
      <c r="F13" s="2121" t="s">
        <v>3058</v>
      </c>
    </row>
    <row r="14" spans="1:6">
      <c r="A14" s="2121">
        <v>297</v>
      </c>
      <c r="B14" s="2121" t="s">
        <v>3055</v>
      </c>
      <c r="C14" s="2121">
        <v>4</v>
      </c>
      <c r="D14" s="2121">
        <v>1</v>
      </c>
      <c r="E14" s="2122">
        <v>87.79</v>
      </c>
      <c r="F14" s="2121" t="s">
        <v>3058</v>
      </c>
    </row>
    <row r="15" spans="1:6">
      <c r="A15" s="2121">
        <v>298</v>
      </c>
      <c r="B15" s="2121" t="s">
        <v>3055</v>
      </c>
      <c r="C15" s="2121">
        <v>4</v>
      </c>
      <c r="D15" s="2121">
        <v>2</v>
      </c>
      <c r="E15" s="2122">
        <v>69.7</v>
      </c>
      <c r="F15" s="2121" t="s">
        <v>3058</v>
      </c>
    </row>
    <row r="16" spans="1:6">
      <c r="A16" s="2121">
        <v>299</v>
      </c>
      <c r="B16" s="2121" t="s">
        <v>3055</v>
      </c>
      <c r="C16" s="2121">
        <v>4</v>
      </c>
      <c r="D16" s="2121">
        <v>5</v>
      </c>
      <c r="E16" s="2122">
        <v>47.97</v>
      </c>
      <c r="F16" s="2121" t="s">
        <v>3058</v>
      </c>
    </row>
    <row r="17" spans="1:6">
      <c r="A17" s="2121">
        <v>300</v>
      </c>
      <c r="B17" s="2121" t="s">
        <v>3055</v>
      </c>
      <c r="C17" s="2121">
        <v>4</v>
      </c>
      <c r="D17" s="2121">
        <v>6</v>
      </c>
      <c r="E17" s="2122">
        <v>77.56</v>
      </c>
      <c r="F17" s="2121" t="s">
        <v>3058</v>
      </c>
    </row>
    <row r="18" spans="1:6">
      <c r="A18" s="2121">
        <v>301</v>
      </c>
      <c r="B18" s="2121" t="s">
        <v>3055</v>
      </c>
      <c r="C18" s="2121">
        <v>4</v>
      </c>
      <c r="D18" s="2121">
        <v>13</v>
      </c>
      <c r="E18" s="2122">
        <v>69.47</v>
      </c>
      <c r="F18" s="2121" t="s">
        <v>3058</v>
      </c>
    </row>
    <row r="19" spans="1:6">
      <c r="A19" s="2121">
        <v>302</v>
      </c>
      <c r="B19" s="2121" t="s">
        <v>3055</v>
      </c>
      <c r="C19" s="2121">
        <v>4</v>
      </c>
      <c r="D19" s="2121">
        <v>15</v>
      </c>
      <c r="E19" s="2122">
        <v>69.47</v>
      </c>
      <c r="F19" s="2121" t="s">
        <v>3058</v>
      </c>
    </row>
    <row r="20" spans="1:6">
      <c r="A20" s="2121">
        <v>303</v>
      </c>
      <c r="B20" s="2121" t="s">
        <v>3055</v>
      </c>
      <c r="C20" s="2121">
        <v>4</v>
      </c>
      <c r="D20" s="2121">
        <v>25</v>
      </c>
      <c r="E20" s="2122">
        <v>45.56</v>
      </c>
      <c r="F20" s="2121" t="s">
        <v>3058</v>
      </c>
    </row>
    <row r="21" spans="1:6">
      <c r="A21" s="2121">
        <v>304</v>
      </c>
      <c r="B21" s="2121" t="s">
        <v>3055</v>
      </c>
      <c r="C21" s="2121">
        <v>4</v>
      </c>
      <c r="D21" s="2121">
        <v>26</v>
      </c>
      <c r="E21" s="2122">
        <v>44.45</v>
      </c>
      <c r="F21" s="2121" t="s">
        <v>3058</v>
      </c>
    </row>
    <row r="22" spans="1:6">
      <c r="A22" s="2121">
        <v>305</v>
      </c>
      <c r="B22" s="2121" t="s">
        <v>3055</v>
      </c>
      <c r="C22" s="2121">
        <v>4</v>
      </c>
      <c r="D22" s="2121">
        <v>107</v>
      </c>
      <c r="E22" s="2122">
        <v>42.18</v>
      </c>
      <c r="F22" s="2121" t="s">
        <v>3058</v>
      </c>
    </row>
    <row r="23" spans="1:6">
      <c r="A23" s="2121">
        <v>306</v>
      </c>
      <c r="B23" s="2121" t="s">
        <v>3055</v>
      </c>
      <c r="C23" s="2121">
        <v>4</v>
      </c>
      <c r="D23" s="2121">
        <v>108</v>
      </c>
      <c r="E23" s="2122">
        <v>35.06</v>
      </c>
      <c r="F23" s="2121" t="s">
        <v>3058</v>
      </c>
    </row>
    <row r="24" spans="1:6">
      <c r="A24" s="2121">
        <v>307</v>
      </c>
      <c r="B24" s="2121" t="s">
        <v>3055</v>
      </c>
      <c r="C24" s="2121">
        <v>-1</v>
      </c>
      <c r="D24" s="2121">
        <v>71</v>
      </c>
      <c r="E24" s="2122">
        <v>57.51</v>
      </c>
      <c r="F24" s="2121" t="s">
        <v>3058</v>
      </c>
    </row>
    <row r="25" spans="1:6">
      <c r="A25" s="2121">
        <v>308</v>
      </c>
      <c r="B25" s="2121" t="s">
        <v>3055</v>
      </c>
      <c r="C25" s="2121">
        <v>-1</v>
      </c>
      <c r="D25" s="2121">
        <v>90</v>
      </c>
      <c r="E25" s="2122">
        <v>92.41</v>
      </c>
      <c r="F25" s="2121" t="s">
        <v>3058</v>
      </c>
    </row>
    <row r="26" spans="1:6">
      <c r="A26" s="2121">
        <v>309</v>
      </c>
      <c r="B26" s="2121" t="s">
        <v>3055</v>
      </c>
      <c r="C26" s="2121">
        <v>-1</v>
      </c>
      <c r="D26" s="2121">
        <v>185</v>
      </c>
      <c r="E26" s="2122">
        <v>155.72</v>
      </c>
      <c r="F26" s="2121" t="s">
        <v>3058</v>
      </c>
    </row>
    <row r="27" spans="1:6">
      <c r="A27" s="2121">
        <v>310</v>
      </c>
      <c r="B27" s="2121" t="s">
        <v>3055</v>
      </c>
      <c r="C27" s="2121">
        <v>-1</v>
      </c>
      <c r="D27" s="2121">
        <v>192</v>
      </c>
      <c r="E27" s="2122">
        <v>41.14</v>
      </c>
      <c r="F27" s="2121" t="s">
        <v>3058</v>
      </c>
    </row>
    <row r="28" spans="1:6">
      <c r="A28" s="2121">
        <v>311</v>
      </c>
      <c r="B28" s="2121" t="s">
        <v>3055</v>
      </c>
      <c r="C28" s="2121">
        <v>-1</v>
      </c>
      <c r="D28" s="2121">
        <v>193</v>
      </c>
      <c r="E28" s="2122">
        <v>15.36</v>
      </c>
      <c r="F28" s="2121" t="s">
        <v>3058</v>
      </c>
    </row>
    <row r="29" spans="1:6">
      <c r="A29" s="2121">
        <v>312</v>
      </c>
      <c r="B29" s="2121" t="s">
        <v>3055</v>
      </c>
      <c r="C29" s="2121">
        <v>-1</v>
      </c>
      <c r="D29" s="2121">
        <v>261</v>
      </c>
      <c r="E29" s="2122">
        <v>108.8</v>
      </c>
      <c r="F29" s="2121" t="s">
        <v>3058</v>
      </c>
    </row>
    <row r="30" spans="1:6">
      <c r="A30" s="2121">
        <v>313</v>
      </c>
      <c r="B30" s="2121" t="s">
        <v>3055</v>
      </c>
      <c r="C30" s="2121">
        <v>-1</v>
      </c>
      <c r="D30" s="2121">
        <v>262</v>
      </c>
      <c r="E30" s="2122">
        <v>125.96</v>
      </c>
      <c r="F30" s="2121" t="s">
        <v>3058</v>
      </c>
    </row>
    <row r="31" spans="1:6">
      <c r="A31" s="2121">
        <v>314</v>
      </c>
      <c r="B31" s="2121" t="s">
        <v>3055</v>
      </c>
      <c r="C31" s="2121">
        <v>-1</v>
      </c>
      <c r="D31" s="2121">
        <v>265</v>
      </c>
      <c r="E31" s="2122">
        <v>74.36</v>
      </c>
      <c r="F31" s="2121" t="s">
        <v>3058</v>
      </c>
    </row>
    <row r="32" spans="1:6">
      <c r="A32" s="2121">
        <v>315</v>
      </c>
      <c r="B32" s="2121" t="s">
        <v>3055</v>
      </c>
      <c r="C32" s="2121">
        <v>-1</v>
      </c>
      <c r="D32" s="2121">
        <v>266</v>
      </c>
      <c r="E32" s="2122">
        <v>74.349999999999994</v>
      </c>
      <c r="F32" s="2121" t="s">
        <v>3058</v>
      </c>
    </row>
    <row r="33" spans="1:6">
      <c r="A33" s="2121">
        <v>316</v>
      </c>
      <c r="B33" s="2121" t="s">
        <v>3055</v>
      </c>
      <c r="C33" s="2121">
        <v>-1</v>
      </c>
      <c r="D33" s="2121">
        <v>268</v>
      </c>
      <c r="E33" s="2122">
        <v>74.41</v>
      </c>
      <c r="F33" s="2121" t="s">
        <v>3058</v>
      </c>
    </row>
    <row r="34" spans="1:6">
      <c r="A34" s="2121">
        <v>317</v>
      </c>
      <c r="B34" s="2121" t="s">
        <v>3055</v>
      </c>
      <c r="C34" s="2121">
        <v>-1</v>
      </c>
      <c r="D34" s="2121">
        <v>269</v>
      </c>
      <c r="E34" s="2122">
        <v>78.56</v>
      </c>
      <c r="F34" s="2121" t="s">
        <v>3058</v>
      </c>
    </row>
    <row r="35" spans="1:6">
      <c r="A35" s="2121">
        <v>318</v>
      </c>
      <c r="B35" s="2121" t="s">
        <v>3055</v>
      </c>
      <c r="C35" s="2121">
        <v>-1</v>
      </c>
      <c r="D35" s="2121">
        <v>271</v>
      </c>
      <c r="E35" s="2122">
        <v>69.52</v>
      </c>
      <c r="F35" s="2121" t="s">
        <v>3058</v>
      </c>
    </row>
    <row r="36" spans="1:6">
      <c r="A36" s="2121">
        <v>319</v>
      </c>
      <c r="B36" s="2121" t="s">
        <v>3055</v>
      </c>
      <c r="C36" s="2121">
        <v>-2</v>
      </c>
      <c r="D36" s="2121">
        <v>7</v>
      </c>
      <c r="E36" s="2122">
        <v>71.959999999999994</v>
      </c>
      <c r="F36" s="2121" t="s">
        <v>3058</v>
      </c>
    </row>
    <row r="37" spans="1:6">
      <c r="A37" s="2121">
        <v>320</v>
      </c>
      <c r="B37" s="2121" t="s">
        <v>3055</v>
      </c>
      <c r="C37" s="2121">
        <v>-2</v>
      </c>
      <c r="D37" s="2121">
        <v>53</v>
      </c>
      <c r="E37" s="2122">
        <v>48.66</v>
      </c>
      <c r="F37" s="2121" t="s">
        <v>3058</v>
      </c>
    </row>
    <row r="38" spans="1:6">
      <c r="A38" s="2121">
        <v>321</v>
      </c>
      <c r="B38" s="2121" t="s">
        <v>3055</v>
      </c>
      <c r="C38" s="2121">
        <v>-2</v>
      </c>
      <c r="D38" s="2121">
        <v>55</v>
      </c>
      <c r="E38" s="2122">
        <v>48.36</v>
      </c>
      <c r="F38" s="2121" t="s">
        <v>3058</v>
      </c>
    </row>
    <row r="39" spans="1:6">
      <c r="A39" s="2121">
        <v>322</v>
      </c>
      <c r="B39" s="2121" t="s">
        <v>3055</v>
      </c>
      <c r="C39" s="2121">
        <v>-2</v>
      </c>
      <c r="D39" s="2121">
        <v>76</v>
      </c>
      <c r="E39" s="2122">
        <v>76.66</v>
      </c>
      <c r="F39" s="2121" t="s">
        <v>3058</v>
      </c>
    </row>
    <row r="40" spans="1:6">
      <c r="A40" s="2121">
        <v>323</v>
      </c>
      <c r="B40" s="2121" t="s">
        <v>3055</v>
      </c>
      <c r="C40" s="2121">
        <v>-2</v>
      </c>
      <c r="D40" s="2121">
        <v>91</v>
      </c>
      <c r="E40" s="2122">
        <v>48.39</v>
      </c>
      <c r="F40" s="2121" t="s">
        <v>3058</v>
      </c>
    </row>
    <row r="41" spans="1:6">
      <c r="A41" s="2121">
        <v>324</v>
      </c>
      <c r="B41" s="2121" t="s">
        <v>3055</v>
      </c>
      <c r="C41" s="2121">
        <v>-2</v>
      </c>
      <c r="D41" s="2121">
        <v>108</v>
      </c>
      <c r="E41" s="2122">
        <v>182.42</v>
      </c>
      <c r="F41" s="2121" t="s">
        <v>3058</v>
      </c>
    </row>
    <row r="42" spans="1:6">
      <c r="A42" s="2121">
        <v>325</v>
      </c>
      <c r="B42" s="2121" t="s">
        <v>3055</v>
      </c>
      <c r="C42" s="2121">
        <v>-2</v>
      </c>
      <c r="D42" s="2121">
        <v>109</v>
      </c>
      <c r="E42" s="2122">
        <v>94.19</v>
      </c>
      <c r="F42" s="2121" t="s">
        <v>3058</v>
      </c>
    </row>
    <row r="43" spans="1:6">
      <c r="A43" s="2121">
        <v>326</v>
      </c>
      <c r="B43" s="2121" t="s">
        <v>3055</v>
      </c>
      <c r="C43" s="2121">
        <v>-2</v>
      </c>
      <c r="D43" s="2121">
        <v>176</v>
      </c>
      <c r="E43" s="2122">
        <v>60.56</v>
      </c>
      <c r="F43" s="2121" t="s">
        <v>3058</v>
      </c>
    </row>
    <row r="44" spans="1:6">
      <c r="A44" s="2121">
        <v>327</v>
      </c>
      <c r="B44" s="2121" t="s">
        <v>3055</v>
      </c>
      <c r="C44" s="2121">
        <v>-2</v>
      </c>
      <c r="D44" s="2121">
        <v>177</v>
      </c>
      <c r="E44" s="2122">
        <v>60.56</v>
      </c>
      <c r="F44" s="2121" t="s">
        <v>3058</v>
      </c>
    </row>
    <row r="45" spans="1:6">
      <c r="A45" s="2121">
        <v>328</v>
      </c>
      <c r="B45" s="2121" t="s">
        <v>3055</v>
      </c>
      <c r="C45" s="2121">
        <v>-2</v>
      </c>
      <c r="D45" s="2121">
        <v>178</v>
      </c>
      <c r="E45" s="2122">
        <v>49</v>
      </c>
      <c r="F45" s="2121" t="s">
        <v>3058</v>
      </c>
    </row>
    <row r="46" spans="1:6">
      <c r="A46" s="2121">
        <v>329</v>
      </c>
      <c r="B46" s="2121" t="s">
        <v>3055</v>
      </c>
      <c r="C46" s="2121">
        <v>-2</v>
      </c>
      <c r="D46" s="2121">
        <v>179</v>
      </c>
      <c r="E46" s="2122">
        <v>58.17</v>
      </c>
      <c r="F46" s="2121" t="s">
        <v>3058</v>
      </c>
    </row>
    <row r="47" spans="1:6">
      <c r="A47" s="2121">
        <v>330</v>
      </c>
      <c r="B47" s="2121" t="s">
        <v>3055</v>
      </c>
      <c r="C47" s="2121">
        <v>-2</v>
      </c>
      <c r="D47" s="2121">
        <v>180</v>
      </c>
      <c r="E47" s="2122">
        <v>44.61</v>
      </c>
      <c r="F47" s="2121" t="s">
        <v>3058</v>
      </c>
    </row>
    <row r="48" spans="1:6">
      <c r="A48" s="2121">
        <v>331</v>
      </c>
      <c r="B48" s="2121" t="s">
        <v>3055</v>
      </c>
      <c r="C48" s="2121">
        <v>-2</v>
      </c>
      <c r="D48" s="2121">
        <v>183</v>
      </c>
      <c r="E48" s="2122">
        <v>72.44</v>
      </c>
      <c r="F48" s="2121" t="s">
        <v>3058</v>
      </c>
    </row>
    <row r="49" spans="1:6">
      <c r="A49" s="2121">
        <v>332</v>
      </c>
      <c r="B49" s="2121" t="s">
        <v>3055</v>
      </c>
      <c r="C49" s="2121">
        <v>-2</v>
      </c>
      <c r="D49" s="2121">
        <v>185</v>
      </c>
      <c r="E49" s="2122">
        <v>78.680000000000007</v>
      </c>
      <c r="F49" s="2121" t="s">
        <v>3058</v>
      </c>
    </row>
    <row r="50" spans="1:6">
      <c r="A50" s="2121">
        <v>333</v>
      </c>
      <c r="B50" s="2121" t="s">
        <v>3055</v>
      </c>
      <c r="C50" s="2121">
        <v>-2</v>
      </c>
      <c r="D50" s="2121">
        <v>186</v>
      </c>
      <c r="E50" s="2122">
        <v>167.72</v>
      </c>
      <c r="F50" s="2121" t="s">
        <v>3058</v>
      </c>
    </row>
    <row r="51" spans="1:6">
      <c r="A51" s="2121">
        <v>334</v>
      </c>
      <c r="B51" s="2121" t="s">
        <v>3055</v>
      </c>
      <c r="C51" s="2121">
        <v>-2</v>
      </c>
      <c r="D51" s="2121">
        <v>187</v>
      </c>
      <c r="E51" s="2122">
        <v>94.21</v>
      </c>
      <c r="F51" s="2121" t="s">
        <v>3058</v>
      </c>
    </row>
    <row r="52" spans="1:6">
      <c r="A52" s="2121">
        <v>335</v>
      </c>
      <c r="B52" s="2121" t="s">
        <v>3055</v>
      </c>
      <c r="C52" s="2121">
        <v>-2</v>
      </c>
      <c r="D52" s="2121">
        <v>188</v>
      </c>
      <c r="E52" s="2122">
        <v>95.09</v>
      </c>
      <c r="F52" s="2121" t="s">
        <v>3058</v>
      </c>
    </row>
    <row r="53" spans="1:6">
      <c r="A53" s="2121">
        <v>336</v>
      </c>
      <c r="B53" s="2121" t="s">
        <v>3055</v>
      </c>
      <c r="C53" s="2121">
        <v>-2</v>
      </c>
      <c r="D53" s="2121">
        <v>189</v>
      </c>
      <c r="E53" s="2122">
        <v>85.55</v>
      </c>
      <c r="F53" s="2121" t="s">
        <v>3058</v>
      </c>
    </row>
    <row r="54" spans="1:6">
      <c r="A54" s="2121">
        <v>337</v>
      </c>
      <c r="B54" s="2121" t="s">
        <v>3055</v>
      </c>
      <c r="C54" s="2121">
        <v>-2</v>
      </c>
      <c r="D54" s="2121">
        <v>192</v>
      </c>
      <c r="E54" s="2122">
        <v>56.02</v>
      </c>
      <c r="F54" s="2121" t="s">
        <v>3058</v>
      </c>
    </row>
    <row r="55" spans="1:6">
      <c r="A55" s="2121">
        <v>338</v>
      </c>
      <c r="B55" s="2121" t="s">
        <v>3055</v>
      </c>
      <c r="C55" s="2121">
        <v>-2</v>
      </c>
      <c r="D55" s="2121">
        <v>193</v>
      </c>
      <c r="E55" s="2122">
        <v>70.66</v>
      </c>
      <c r="F55" s="2121" t="s">
        <v>3058</v>
      </c>
    </row>
    <row r="56" spans="1:6">
      <c r="A56" s="2121">
        <v>339</v>
      </c>
      <c r="B56" s="2121" t="s">
        <v>3055</v>
      </c>
      <c r="C56" s="2121">
        <v>-2</v>
      </c>
      <c r="D56" s="2121">
        <v>195</v>
      </c>
      <c r="E56" s="2122">
        <v>54.8</v>
      </c>
      <c r="F56" s="2121" t="s">
        <v>3058</v>
      </c>
    </row>
    <row r="57" spans="1:6">
      <c r="A57" s="2121">
        <v>340</v>
      </c>
      <c r="B57" s="2121" t="s">
        <v>3055</v>
      </c>
      <c r="C57" s="2121">
        <v>-2</v>
      </c>
      <c r="D57" s="2121">
        <v>196</v>
      </c>
      <c r="E57" s="2122">
        <v>71.27</v>
      </c>
      <c r="F57" s="2121" t="s">
        <v>3058</v>
      </c>
    </row>
    <row r="58" spans="1:6">
      <c r="A58" s="2121">
        <v>341</v>
      </c>
      <c r="B58" s="2121" t="s">
        <v>3055</v>
      </c>
      <c r="C58" s="2121">
        <v>-2</v>
      </c>
      <c r="D58" s="2121">
        <v>197</v>
      </c>
      <c r="E58" s="2122">
        <v>76.78</v>
      </c>
      <c r="F58" s="2121" t="s">
        <v>3058</v>
      </c>
    </row>
    <row r="59" spans="1:6">
      <c r="A59" s="2121">
        <v>342</v>
      </c>
      <c r="B59" s="2121" t="s">
        <v>3055</v>
      </c>
      <c r="C59" s="2121">
        <v>-2</v>
      </c>
      <c r="D59" s="2121">
        <v>202</v>
      </c>
      <c r="E59" s="2122">
        <v>156.22999999999999</v>
      </c>
      <c r="F59" s="2121" t="s">
        <v>3058</v>
      </c>
    </row>
    <row r="60" spans="1:6">
      <c r="A60" s="2121">
        <v>343</v>
      </c>
      <c r="B60" s="2121" t="s">
        <v>3055</v>
      </c>
      <c r="C60" s="2121">
        <v>-2</v>
      </c>
      <c r="D60" s="2121">
        <v>203</v>
      </c>
      <c r="E60" s="2122">
        <v>64.56</v>
      </c>
      <c r="F60" s="2121" t="s">
        <v>3058</v>
      </c>
    </row>
    <row r="61" spans="1:6">
      <c r="A61" s="2121">
        <v>344</v>
      </c>
      <c r="B61" s="2121" t="s">
        <v>3055</v>
      </c>
      <c r="C61" s="2121">
        <v>-2</v>
      </c>
      <c r="D61" s="2121">
        <v>205</v>
      </c>
      <c r="E61" s="2122">
        <v>63.78</v>
      </c>
      <c r="F61" s="2121" t="s">
        <v>3058</v>
      </c>
    </row>
    <row r="62" spans="1:6">
      <c r="A62" s="2121">
        <v>345</v>
      </c>
      <c r="B62" s="2121" t="s">
        <v>3055</v>
      </c>
      <c r="C62" s="2121">
        <v>-2</v>
      </c>
      <c r="D62" s="2121">
        <v>208</v>
      </c>
      <c r="E62" s="2122">
        <v>33.94</v>
      </c>
      <c r="F62" s="2121" t="s">
        <v>3058</v>
      </c>
    </row>
    <row r="63" spans="1:6">
      <c r="A63" s="2121">
        <v>346</v>
      </c>
      <c r="B63" s="2121" t="s">
        <v>3055</v>
      </c>
      <c r="C63" s="2121">
        <v>-2</v>
      </c>
      <c r="D63" s="2121">
        <v>209</v>
      </c>
      <c r="E63" s="2122">
        <v>33.94</v>
      </c>
      <c r="F63" s="2121" t="s">
        <v>3058</v>
      </c>
    </row>
    <row r="64" spans="1:6">
      <c r="A64" s="2121">
        <v>347</v>
      </c>
      <c r="B64" s="2121" t="s">
        <v>3055</v>
      </c>
      <c r="C64" s="2121">
        <v>-2</v>
      </c>
      <c r="D64" s="2121">
        <v>212</v>
      </c>
      <c r="E64" s="2122">
        <v>74.849999999999994</v>
      </c>
      <c r="F64" s="2121" t="s">
        <v>3058</v>
      </c>
    </row>
    <row r="65" spans="1:6">
      <c r="A65" s="2121">
        <v>348</v>
      </c>
      <c r="B65" s="2121" t="s">
        <v>3055</v>
      </c>
      <c r="C65" s="2121">
        <v>-2</v>
      </c>
      <c r="D65" s="2121">
        <v>232</v>
      </c>
      <c r="E65" s="2122">
        <v>76.02</v>
      </c>
      <c r="F65" s="2121" t="s">
        <v>3058</v>
      </c>
    </row>
    <row r="66" spans="1:6">
      <c r="A66" s="2121">
        <v>349</v>
      </c>
      <c r="B66" s="2121" t="s">
        <v>3055</v>
      </c>
      <c r="C66" s="2121">
        <v>-2</v>
      </c>
      <c r="D66" s="2121">
        <v>233</v>
      </c>
      <c r="E66" s="2122">
        <v>41.18</v>
      </c>
      <c r="F66" s="2121" t="s">
        <v>3058</v>
      </c>
    </row>
    <row r="67" spans="1:6">
      <c r="A67" s="2121">
        <v>350</v>
      </c>
      <c r="B67" s="2121" t="s">
        <v>3055</v>
      </c>
      <c r="C67" s="2121">
        <v>-2</v>
      </c>
      <c r="D67" s="2121">
        <v>235</v>
      </c>
      <c r="E67" s="2122">
        <v>41.16</v>
      </c>
      <c r="F67" s="2121" t="s">
        <v>3058</v>
      </c>
    </row>
    <row r="68" spans="1:6">
      <c r="A68" s="2121">
        <v>351</v>
      </c>
      <c r="B68" s="2121" t="s">
        <v>3055</v>
      </c>
      <c r="C68" s="2121">
        <v>-2</v>
      </c>
      <c r="D68" s="2121">
        <v>236</v>
      </c>
      <c r="E68" s="2122">
        <v>41.17</v>
      </c>
      <c r="F68" s="2121" t="s">
        <v>3058</v>
      </c>
    </row>
    <row r="69" spans="1:6">
      <c r="A69" s="2121">
        <v>352</v>
      </c>
      <c r="B69" s="2121" t="s">
        <v>3055</v>
      </c>
      <c r="C69" s="2121">
        <v>-2</v>
      </c>
      <c r="D69" s="2121">
        <v>237</v>
      </c>
      <c r="E69" s="2122">
        <v>41.18</v>
      </c>
      <c r="F69" s="2121" t="s">
        <v>3058</v>
      </c>
    </row>
    <row r="70" spans="1:6">
      <c r="A70" s="2121">
        <v>353</v>
      </c>
      <c r="B70" s="2121" t="s">
        <v>3055</v>
      </c>
      <c r="C70" s="2121">
        <v>-2</v>
      </c>
      <c r="D70" s="2121">
        <v>238</v>
      </c>
      <c r="E70" s="2122">
        <v>43.35</v>
      </c>
      <c r="F70" s="2121" t="s">
        <v>3058</v>
      </c>
    </row>
    <row r="71" spans="1:6">
      <c r="A71" s="2121">
        <v>354</v>
      </c>
      <c r="B71" s="2121" t="s">
        <v>3055</v>
      </c>
      <c r="C71" s="2121">
        <v>-2</v>
      </c>
      <c r="D71" s="2121">
        <v>239</v>
      </c>
      <c r="E71" s="2122">
        <v>38.83</v>
      </c>
      <c r="F71" s="2121" t="s">
        <v>3058</v>
      </c>
    </row>
    <row r="72" spans="1:6">
      <c r="A72" s="2121">
        <v>355</v>
      </c>
      <c r="B72" s="2121" t="s">
        <v>3055</v>
      </c>
      <c r="C72" s="2121">
        <v>-2</v>
      </c>
      <c r="D72" s="2121">
        <v>240</v>
      </c>
      <c r="E72" s="2122">
        <v>43.92</v>
      </c>
      <c r="F72" s="2121" t="s">
        <v>3058</v>
      </c>
    </row>
    <row r="73" spans="1:6">
      <c r="A73" s="2121">
        <v>356</v>
      </c>
      <c r="B73" s="2121" t="s">
        <v>3055</v>
      </c>
      <c r="C73" s="2121">
        <v>-2</v>
      </c>
      <c r="D73" s="2121">
        <v>247</v>
      </c>
      <c r="E73" s="2122">
        <v>41.18</v>
      </c>
      <c r="F73" s="2121" t="s">
        <v>3058</v>
      </c>
    </row>
    <row r="74" spans="1:6">
      <c r="A74" s="2121">
        <v>357</v>
      </c>
      <c r="B74" s="2121" t="s">
        <v>3055</v>
      </c>
      <c r="C74" s="2121">
        <v>-2</v>
      </c>
      <c r="D74" s="2121">
        <v>248</v>
      </c>
      <c r="E74" s="2122">
        <v>41.18</v>
      </c>
      <c r="F74" s="2121" t="s">
        <v>3058</v>
      </c>
    </row>
    <row r="75" spans="1:6">
      <c r="A75" s="2121">
        <v>358</v>
      </c>
      <c r="B75" s="2121" t="s">
        <v>3055</v>
      </c>
      <c r="C75" s="2121">
        <v>-2</v>
      </c>
      <c r="D75" s="2121">
        <v>255</v>
      </c>
      <c r="E75" s="2122">
        <v>72.37</v>
      </c>
      <c r="F75" s="2121" t="s">
        <v>3058</v>
      </c>
    </row>
    <row r="76" spans="1:6">
      <c r="A76" s="2121">
        <v>359</v>
      </c>
      <c r="B76" s="2121" t="s">
        <v>3055</v>
      </c>
      <c r="C76" s="2121">
        <v>-2</v>
      </c>
      <c r="D76" s="2121">
        <v>256</v>
      </c>
      <c r="E76" s="2122">
        <v>72.39</v>
      </c>
      <c r="F76" s="2121" t="s">
        <v>3058</v>
      </c>
    </row>
    <row r="77" spans="1:6">
      <c r="A77" s="2121">
        <v>360</v>
      </c>
      <c r="B77" s="2121" t="s">
        <v>3055</v>
      </c>
      <c r="C77" s="2121">
        <v>-2</v>
      </c>
      <c r="D77" s="2121">
        <v>262</v>
      </c>
      <c r="E77" s="2122">
        <v>76.510000000000005</v>
      </c>
      <c r="F77" s="2121" t="s">
        <v>3058</v>
      </c>
    </row>
    <row r="78" spans="1:6">
      <c r="A78" s="2121">
        <v>361</v>
      </c>
      <c r="B78" s="2121" t="s">
        <v>3055</v>
      </c>
      <c r="C78" s="2121">
        <v>-2</v>
      </c>
      <c r="D78" s="2121">
        <v>263</v>
      </c>
      <c r="E78" s="2122">
        <v>68.260000000000005</v>
      </c>
      <c r="F78" s="2121" t="s">
        <v>3058</v>
      </c>
    </row>
    <row r="79" spans="1:6">
      <c r="A79" s="2121">
        <v>362</v>
      </c>
      <c r="B79" s="2121" t="s">
        <v>3055</v>
      </c>
      <c r="C79" s="2121">
        <v>-2</v>
      </c>
      <c r="D79" s="2121">
        <v>265</v>
      </c>
      <c r="E79" s="2122">
        <v>76.540000000000006</v>
      </c>
      <c r="F79" s="2121" t="s">
        <v>3058</v>
      </c>
    </row>
    <row r="80" spans="1:6">
      <c r="A80" s="2121">
        <v>363</v>
      </c>
      <c r="B80" s="2121" t="s">
        <v>3055</v>
      </c>
      <c r="C80" s="2121">
        <v>-2</v>
      </c>
      <c r="D80" s="2121">
        <v>266</v>
      </c>
      <c r="E80" s="2122">
        <v>72.38</v>
      </c>
      <c r="F80" s="2121" t="s">
        <v>3058</v>
      </c>
    </row>
    <row r="81" spans="1:6">
      <c r="A81" s="2121">
        <v>364</v>
      </c>
      <c r="B81" s="2121" t="s">
        <v>3055</v>
      </c>
      <c r="C81" s="2121">
        <v>-2</v>
      </c>
      <c r="D81" s="2121">
        <v>267</v>
      </c>
      <c r="E81" s="2122">
        <v>72.349999999999994</v>
      </c>
      <c r="F81" s="2121" t="s">
        <v>3058</v>
      </c>
    </row>
    <row r="82" spans="1:6">
      <c r="A82" s="2121">
        <v>365</v>
      </c>
      <c r="B82" s="2121" t="s">
        <v>3055</v>
      </c>
      <c r="C82" s="2121">
        <v>-2</v>
      </c>
      <c r="D82" s="2121">
        <v>268</v>
      </c>
      <c r="E82" s="2122">
        <v>72.349999999999994</v>
      </c>
      <c r="F82" s="2121" t="s">
        <v>3058</v>
      </c>
    </row>
    <row r="83" spans="1:6">
      <c r="A83" s="2121">
        <v>366</v>
      </c>
      <c r="B83" s="2121" t="s">
        <v>3055</v>
      </c>
      <c r="C83" s="2121">
        <v>-2</v>
      </c>
      <c r="D83" s="2121">
        <v>269</v>
      </c>
      <c r="E83" s="2122">
        <v>72.38</v>
      </c>
      <c r="F83" s="2121" t="s">
        <v>3058</v>
      </c>
    </row>
    <row r="84" spans="1:6">
      <c r="A84" s="2121">
        <v>367</v>
      </c>
      <c r="B84" s="2121" t="s">
        <v>3055</v>
      </c>
      <c r="C84" s="2121">
        <v>-2</v>
      </c>
      <c r="D84" s="2121">
        <v>270</v>
      </c>
      <c r="E84" s="2122">
        <v>72.39</v>
      </c>
      <c r="F84" s="2121" t="s">
        <v>3058</v>
      </c>
    </row>
    <row r="85" spans="1:6">
      <c r="A85" s="2121">
        <v>368</v>
      </c>
      <c r="B85" s="2121" t="s">
        <v>3055</v>
      </c>
      <c r="C85" s="2121">
        <v>-2</v>
      </c>
      <c r="D85" s="2121">
        <v>271</v>
      </c>
      <c r="E85" s="2122">
        <v>45.68</v>
      </c>
      <c r="F85" s="2121" t="s">
        <v>3058</v>
      </c>
    </row>
    <row r="86" spans="1:6">
      <c r="A86" s="2121">
        <v>369</v>
      </c>
      <c r="B86" s="2121" t="s">
        <v>3056</v>
      </c>
      <c r="C86" s="2121">
        <v>-1</v>
      </c>
      <c r="D86" s="2121">
        <v>6</v>
      </c>
      <c r="E86" s="2122">
        <v>69.19</v>
      </c>
      <c r="F86" s="2121" t="s">
        <v>3058</v>
      </c>
    </row>
    <row r="87" spans="1:6">
      <c r="A87" s="2121">
        <v>370</v>
      </c>
      <c r="B87" s="2121" t="s">
        <v>3056</v>
      </c>
      <c r="C87" s="2121">
        <v>-1</v>
      </c>
      <c r="D87" s="2121">
        <v>32</v>
      </c>
      <c r="E87" s="2122">
        <v>36.58</v>
      </c>
      <c r="F87" s="2121" t="s">
        <v>3058</v>
      </c>
    </row>
    <row r="88" spans="1:6">
      <c r="A88" s="2121">
        <v>371</v>
      </c>
      <c r="B88" s="2121" t="s">
        <v>3056</v>
      </c>
      <c r="C88" s="2121">
        <v>-1</v>
      </c>
      <c r="D88" s="2121">
        <v>37</v>
      </c>
      <c r="E88" s="2122">
        <v>39.799999999999997</v>
      </c>
      <c r="F88" s="2121" t="s">
        <v>3058</v>
      </c>
    </row>
    <row r="89" spans="1:6">
      <c r="A89" s="2121">
        <v>372</v>
      </c>
      <c r="B89" s="2121" t="s">
        <v>3056</v>
      </c>
      <c r="C89" s="2121">
        <v>-1</v>
      </c>
      <c r="D89" s="2121">
        <v>149</v>
      </c>
      <c r="E89" s="2122">
        <v>50.9</v>
      </c>
      <c r="F89" s="2121" t="s">
        <v>3058</v>
      </c>
    </row>
    <row r="90" spans="1:6">
      <c r="A90" s="2121">
        <v>373</v>
      </c>
      <c r="B90" s="2121" t="s">
        <v>3056</v>
      </c>
      <c r="C90" s="2121">
        <v>-1</v>
      </c>
      <c r="D90" s="2121">
        <v>150</v>
      </c>
      <c r="E90" s="2122">
        <v>69.680000000000007</v>
      </c>
      <c r="F90" s="2121" t="s">
        <v>3058</v>
      </c>
    </row>
    <row r="91" spans="1:6">
      <c r="A91" s="2121">
        <v>374</v>
      </c>
      <c r="B91" s="2121" t="s">
        <v>3056</v>
      </c>
      <c r="C91" s="2121">
        <v>-1</v>
      </c>
      <c r="D91" s="2121">
        <v>151</v>
      </c>
      <c r="E91" s="2122">
        <v>85.72</v>
      </c>
      <c r="F91" s="2121" t="s">
        <v>3058</v>
      </c>
    </row>
    <row r="92" spans="1:6">
      <c r="A92" s="2121">
        <v>375</v>
      </c>
      <c r="B92" s="2121" t="s">
        <v>3056</v>
      </c>
      <c r="C92" s="2121">
        <v>-1</v>
      </c>
      <c r="D92" s="2121">
        <v>158</v>
      </c>
      <c r="E92" s="2122">
        <v>56.32</v>
      </c>
      <c r="F92" s="2121" t="s">
        <v>3058</v>
      </c>
    </row>
    <row r="93" spans="1:6">
      <c r="A93" s="2121">
        <v>376</v>
      </c>
      <c r="B93" s="2121" t="s">
        <v>3056</v>
      </c>
      <c r="C93" s="2121">
        <v>-2</v>
      </c>
      <c r="D93" s="2121">
        <v>173</v>
      </c>
      <c r="E93" s="2122">
        <v>47.77</v>
      </c>
      <c r="F93" s="2121" t="s">
        <v>3058</v>
      </c>
    </row>
    <row r="94" spans="1:6">
      <c r="A94" s="2121">
        <v>377</v>
      </c>
      <c r="B94" s="2121" t="s">
        <v>3056</v>
      </c>
      <c r="C94" s="2121">
        <v>-2</v>
      </c>
      <c r="D94" s="2121">
        <v>175</v>
      </c>
      <c r="E94" s="2122">
        <v>101.56</v>
      </c>
      <c r="F94" s="2121" t="s">
        <v>3058</v>
      </c>
    </row>
    <row r="95" spans="1:6">
      <c r="A95" s="2121">
        <v>378</v>
      </c>
      <c r="B95" s="2121" t="s">
        <v>3056</v>
      </c>
      <c r="C95" s="2121">
        <v>-2</v>
      </c>
      <c r="D95" s="2121">
        <v>176</v>
      </c>
      <c r="E95" s="2122">
        <v>69.599999999999994</v>
      </c>
      <c r="F95" s="2121" t="s">
        <v>3058</v>
      </c>
    </row>
    <row r="96" spans="1:6">
      <c r="A96" s="2121">
        <v>379</v>
      </c>
      <c r="B96" s="2121" t="s">
        <v>3056</v>
      </c>
      <c r="C96" s="2121">
        <v>-2</v>
      </c>
      <c r="D96" s="2121">
        <v>177</v>
      </c>
      <c r="E96" s="2122">
        <v>104.6</v>
      </c>
      <c r="F96" s="2121" t="s">
        <v>3058</v>
      </c>
    </row>
    <row r="97" spans="1:6">
      <c r="A97" s="2121">
        <v>380</v>
      </c>
      <c r="B97" s="2121" t="s">
        <v>3056</v>
      </c>
      <c r="C97" s="2121">
        <v>-2</v>
      </c>
      <c r="D97" s="2121">
        <v>178</v>
      </c>
      <c r="E97" s="2122">
        <v>83.73</v>
      </c>
      <c r="F97" s="2121" t="s">
        <v>3058</v>
      </c>
    </row>
    <row r="98" spans="1:6">
      <c r="A98" s="2121">
        <v>381</v>
      </c>
      <c r="B98" s="2121" t="s">
        <v>3056</v>
      </c>
      <c r="C98" s="2121">
        <v>-2</v>
      </c>
      <c r="D98" s="2121">
        <v>185</v>
      </c>
      <c r="E98" s="2122">
        <v>76.78</v>
      </c>
      <c r="F98" s="2121" t="s">
        <v>3058</v>
      </c>
    </row>
    <row r="99" spans="1:6">
      <c r="A99" s="2121">
        <v>382</v>
      </c>
      <c r="B99" s="2121" t="s">
        <v>3056</v>
      </c>
      <c r="C99" s="2121">
        <v>-2</v>
      </c>
      <c r="D99" s="2121">
        <v>186</v>
      </c>
      <c r="E99" s="2122">
        <v>75.790000000000006</v>
      </c>
      <c r="F99" s="2121" t="s">
        <v>3058</v>
      </c>
    </row>
    <row r="100" spans="1:6">
      <c r="A100" s="2121">
        <v>383</v>
      </c>
      <c r="B100" s="2121" t="s">
        <v>3057</v>
      </c>
      <c r="C100" s="2121">
        <v>1</v>
      </c>
      <c r="D100" s="2121">
        <v>13</v>
      </c>
      <c r="E100" s="2122">
        <v>63.95</v>
      </c>
      <c r="F100" s="2121" t="s">
        <v>3058</v>
      </c>
    </row>
    <row r="101" spans="1:6">
      <c r="A101" s="2119">
        <v>384</v>
      </c>
      <c r="B101" s="2119" t="s">
        <v>3057</v>
      </c>
      <c r="C101" s="2119">
        <v>1</v>
      </c>
      <c r="D101" s="2119">
        <v>15</v>
      </c>
      <c r="E101" s="2120">
        <v>67.86</v>
      </c>
      <c r="F101" s="2119" t="s">
        <v>3058</v>
      </c>
    </row>
    <row r="102" spans="1:6">
      <c r="A102" s="2121">
        <v>385</v>
      </c>
      <c r="B102" s="2121" t="s">
        <v>3057</v>
      </c>
      <c r="C102" s="2121">
        <v>1</v>
      </c>
      <c r="D102" s="2121">
        <v>71</v>
      </c>
      <c r="E102" s="2122">
        <v>128.85</v>
      </c>
      <c r="F102" s="2121" t="s">
        <v>3058</v>
      </c>
    </row>
    <row r="103" spans="1:6">
      <c r="A103" s="2121">
        <v>386</v>
      </c>
      <c r="B103" s="2121" t="s">
        <v>3057</v>
      </c>
      <c r="C103" s="2121">
        <v>1</v>
      </c>
      <c r="D103" s="2121">
        <v>75</v>
      </c>
      <c r="E103" s="2122">
        <v>138.1</v>
      </c>
      <c r="F103" s="2121" t="s">
        <v>3058</v>
      </c>
    </row>
    <row r="104" spans="1:6">
      <c r="A104" s="2121">
        <v>387</v>
      </c>
      <c r="B104" s="2121" t="s">
        <v>3057</v>
      </c>
      <c r="C104" s="2121">
        <v>1</v>
      </c>
      <c r="D104" s="2121">
        <v>78</v>
      </c>
      <c r="E104" s="2122">
        <v>113.95</v>
      </c>
      <c r="F104" s="2121" t="s">
        <v>3058</v>
      </c>
    </row>
    <row r="105" spans="1:6">
      <c r="A105" s="2121">
        <v>388</v>
      </c>
      <c r="B105" s="2121" t="s">
        <v>3057</v>
      </c>
      <c r="C105" s="2121">
        <v>1</v>
      </c>
      <c r="D105" s="2121">
        <v>80</v>
      </c>
      <c r="E105" s="2122">
        <v>65.540000000000006</v>
      </c>
      <c r="F105" s="2121" t="s">
        <v>3058</v>
      </c>
    </row>
    <row r="106" spans="1:6">
      <c r="A106" s="2121">
        <v>389</v>
      </c>
      <c r="B106" s="2121" t="s">
        <v>3057</v>
      </c>
      <c r="C106" s="2121">
        <v>1</v>
      </c>
      <c r="D106" s="2121">
        <v>81</v>
      </c>
      <c r="E106" s="2122">
        <v>129.52000000000001</v>
      </c>
      <c r="F106" s="2121" t="s">
        <v>3058</v>
      </c>
    </row>
    <row r="107" spans="1:6">
      <c r="A107" s="2121">
        <v>390</v>
      </c>
      <c r="B107" s="2121" t="s">
        <v>3057</v>
      </c>
      <c r="C107" s="2121">
        <v>1</v>
      </c>
      <c r="D107" s="2121">
        <v>143</v>
      </c>
      <c r="E107" s="2122">
        <v>69.94</v>
      </c>
      <c r="F107" s="2121" t="s">
        <v>3058</v>
      </c>
    </row>
    <row r="108" spans="1:6">
      <c r="A108" s="2121">
        <v>391</v>
      </c>
      <c r="B108" s="2121" t="s">
        <v>3057</v>
      </c>
      <c r="C108" s="2121">
        <v>1</v>
      </c>
      <c r="D108" s="2121">
        <v>145</v>
      </c>
      <c r="E108" s="2122">
        <v>154.38</v>
      </c>
      <c r="F108" s="2121" t="s">
        <v>3058</v>
      </c>
    </row>
    <row r="109" spans="1:6">
      <c r="A109" s="2121">
        <v>392</v>
      </c>
      <c r="B109" s="2121" t="s">
        <v>3057</v>
      </c>
      <c r="C109" s="2121">
        <v>1</v>
      </c>
      <c r="D109" s="2121">
        <v>146</v>
      </c>
      <c r="E109" s="2122">
        <v>106.5</v>
      </c>
      <c r="F109" s="2121" t="s">
        <v>3058</v>
      </c>
    </row>
    <row r="110" spans="1:6">
      <c r="A110" s="2121">
        <v>393</v>
      </c>
      <c r="B110" s="2121" t="s">
        <v>3057</v>
      </c>
      <c r="C110" s="2121">
        <v>1</v>
      </c>
      <c r="D110" s="2121">
        <v>147</v>
      </c>
      <c r="E110" s="2122">
        <v>106.5</v>
      </c>
      <c r="F110" s="2121" t="s">
        <v>3058</v>
      </c>
    </row>
    <row r="111" spans="1:6">
      <c r="A111" s="2121">
        <v>394</v>
      </c>
      <c r="B111" s="2121" t="s">
        <v>3057</v>
      </c>
      <c r="C111" s="2121">
        <v>1</v>
      </c>
      <c r="D111" s="2121">
        <v>148</v>
      </c>
      <c r="E111" s="2122">
        <v>106.67</v>
      </c>
      <c r="F111" s="2121" t="s">
        <v>3058</v>
      </c>
    </row>
    <row r="112" spans="1:6">
      <c r="A112" s="2121">
        <v>395</v>
      </c>
      <c r="B112" s="2121" t="s">
        <v>3057</v>
      </c>
      <c r="C112" s="2121">
        <v>1</v>
      </c>
      <c r="D112" s="2121">
        <v>149</v>
      </c>
      <c r="E112" s="2122">
        <v>103.44</v>
      </c>
      <c r="F112" s="2121" t="s">
        <v>3058</v>
      </c>
    </row>
    <row r="113" spans="1:6">
      <c r="A113" s="2121">
        <v>396</v>
      </c>
      <c r="B113" s="2121" t="s">
        <v>3057</v>
      </c>
      <c r="C113" s="2121">
        <v>1</v>
      </c>
      <c r="D113" s="2121">
        <v>150</v>
      </c>
      <c r="E113" s="2122">
        <v>109.92</v>
      </c>
      <c r="F113" s="2121" t="s">
        <v>3058</v>
      </c>
    </row>
    <row r="114" spans="1:6">
      <c r="A114" s="2121">
        <v>397</v>
      </c>
      <c r="B114" s="2121" t="s">
        <v>3057</v>
      </c>
      <c r="C114" s="2121">
        <v>1</v>
      </c>
      <c r="D114" s="2121">
        <v>155</v>
      </c>
      <c r="E114" s="2122">
        <v>91.42</v>
      </c>
      <c r="F114" s="2121" t="s">
        <v>3058</v>
      </c>
    </row>
    <row r="115" spans="1:6">
      <c r="A115" s="2121">
        <v>398</v>
      </c>
      <c r="B115" s="2121" t="s">
        <v>3057</v>
      </c>
      <c r="C115" s="2121">
        <v>1</v>
      </c>
      <c r="D115" s="2121">
        <v>156</v>
      </c>
      <c r="E115" s="2122">
        <v>162.84</v>
      </c>
      <c r="F115" s="2121" t="s">
        <v>3058</v>
      </c>
    </row>
    <row r="116" spans="1:6">
      <c r="A116" s="2121">
        <v>399</v>
      </c>
      <c r="B116" s="2121" t="s">
        <v>3057</v>
      </c>
      <c r="C116" s="2121">
        <v>1</v>
      </c>
      <c r="D116" s="2121">
        <v>157</v>
      </c>
      <c r="E116" s="2122">
        <v>51.15</v>
      </c>
      <c r="F116" s="2121" t="s">
        <v>3058</v>
      </c>
    </row>
    <row r="117" spans="1:6">
      <c r="A117" s="2121">
        <v>400</v>
      </c>
      <c r="B117" s="2121" t="s">
        <v>3057</v>
      </c>
      <c r="C117" s="2121">
        <v>1</v>
      </c>
      <c r="D117" s="2121">
        <v>158</v>
      </c>
      <c r="E117" s="2122">
        <v>18.11</v>
      </c>
      <c r="F117" s="2121" t="s">
        <v>3058</v>
      </c>
    </row>
    <row r="118" spans="1:6">
      <c r="A118" s="2121">
        <v>401</v>
      </c>
      <c r="B118" s="2121" t="s">
        <v>3057</v>
      </c>
      <c r="C118" s="2121">
        <v>1</v>
      </c>
      <c r="D118" s="2121">
        <v>159</v>
      </c>
      <c r="E118" s="2122">
        <v>117.83</v>
      </c>
      <c r="F118" s="2121" t="s">
        <v>3058</v>
      </c>
    </row>
    <row r="119" spans="1:6">
      <c r="A119" s="2121">
        <v>402</v>
      </c>
      <c r="B119" s="2121" t="s">
        <v>3057</v>
      </c>
      <c r="C119" s="2121">
        <v>1</v>
      </c>
      <c r="D119" s="2121">
        <v>160</v>
      </c>
      <c r="E119" s="2122">
        <v>57.6</v>
      </c>
      <c r="F119" s="2121" t="s">
        <v>3058</v>
      </c>
    </row>
    <row r="120" spans="1:6">
      <c r="A120" s="2121">
        <v>403</v>
      </c>
      <c r="B120" s="2121" t="s">
        <v>3057</v>
      </c>
      <c r="C120" s="2121">
        <v>1</v>
      </c>
      <c r="D120" s="2121">
        <v>161</v>
      </c>
      <c r="E120" s="2122">
        <v>100.72</v>
      </c>
      <c r="F120" s="2121" t="s">
        <v>3058</v>
      </c>
    </row>
    <row r="121" spans="1:6">
      <c r="A121" s="2121">
        <v>404</v>
      </c>
      <c r="B121" s="2121" t="s">
        <v>3057</v>
      </c>
      <c r="C121" s="2121">
        <v>-1</v>
      </c>
      <c r="D121" s="2121">
        <v>286</v>
      </c>
      <c r="E121" s="2122">
        <v>74.37</v>
      </c>
      <c r="F121" s="2121" t="s">
        <v>3058</v>
      </c>
    </row>
    <row r="122" spans="1:6">
      <c r="A122" s="2121">
        <v>405</v>
      </c>
      <c r="B122" s="2121" t="s">
        <v>3057</v>
      </c>
      <c r="C122" s="2121">
        <v>-1</v>
      </c>
      <c r="D122" s="2121">
        <v>287</v>
      </c>
      <c r="E122" s="2122">
        <v>75.97</v>
      </c>
      <c r="F122" s="2121" t="s">
        <v>3058</v>
      </c>
    </row>
    <row r="123" spans="1:6">
      <c r="A123" s="2121">
        <v>406</v>
      </c>
      <c r="B123" s="2121" t="s">
        <v>3057</v>
      </c>
      <c r="C123" s="2121">
        <v>-1</v>
      </c>
      <c r="D123" s="2121">
        <v>288</v>
      </c>
      <c r="E123" s="2122">
        <v>76</v>
      </c>
      <c r="F123" s="2121" t="s">
        <v>3058</v>
      </c>
    </row>
    <row r="124" spans="1:6">
      <c r="A124" s="2121">
        <v>407</v>
      </c>
      <c r="B124" s="2121" t="s">
        <v>3057</v>
      </c>
      <c r="C124" s="2121">
        <v>-1</v>
      </c>
      <c r="D124" s="2121">
        <v>289</v>
      </c>
      <c r="E124" s="2122">
        <v>76.03</v>
      </c>
      <c r="F124" s="2121" t="s">
        <v>3058</v>
      </c>
    </row>
    <row r="125" spans="1:6">
      <c r="A125" s="2121">
        <v>408</v>
      </c>
      <c r="B125" s="2121" t="s">
        <v>3057</v>
      </c>
      <c r="C125" s="2121">
        <v>-1</v>
      </c>
      <c r="D125" s="2121">
        <v>290</v>
      </c>
      <c r="E125" s="2122">
        <v>76.06</v>
      </c>
      <c r="F125" s="2121" t="s">
        <v>3058</v>
      </c>
    </row>
    <row r="126" spans="1:6">
      <c r="A126" s="2121">
        <v>409</v>
      </c>
      <c r="B126" s="2121" t="s">
        <v>3057</v>
      </c>
      <c r="C126" s="2121">
        <v>-1</v>
      </c>
      <c r="D126" s="2121">
        <v>291</v>
      </c>
      <c r="E126" s="2122">
        <v>76.09</v>
      </c>
      <c r="F126" s="2121" t="s">
        <v>3058</v>
      </c>
    </row>
    <row r="127" spans="1:6">
      <c r="A127" s="2121">
        <v>410</v>
      </c>
      <c r="B127" s="2121" t="s">
        <v>3057</v>
      </c>
      <c r="C127" s="2121">
        <v>-1</v>
      </c>
      <c r="D127" s="2121">
        <v>292</v>
      </c>
      <c r="E127" s="2122">
        <v>76.12</v>
      </c>
      <c r="F127" s="2121" t="s">
        <v>3058</v>
      </c>
    </row>
    <row r="128" spans="1:6">
      <c r="A128" s="2121">
        <v>411</v>
      </c>
      <c r="B128" s="2121" t="s">
        <v>3057</v>
      </c>
      <c r="C128" s="2121">
        <v>-1</v>
      </c>
      <c r="D128" s="2121">
        <v>293</v>
      </c>
      <c r="E128" s="2122">
        <v>76.150000000000006</v>
      </c>
      <c r="F128" s="2121" t="s">
        <v>3058</v>
      </c>
    </row>
    <row r="129" spans="1:6">
      <c r="A129" s="2121">
        <v>412</v>
      </c>
      <c r="B129" s="2121" t="s">
        <v>3057</v>
      </c>
      <c r="C129" s="2121">
        <v>-1</v>
      </c>
      <c r="D129" s="2121">
        <v>295</v>
      </c>
      <c r="E129" s="2122">
        <v>76.19</v>
      </c>
      <c r="F129" s="2121" t="s">
        <v>3058</v>
      </c>
    </row>
    <row r="130" spans="1:6">
      <c r="A130" s="2121">
        <v>413</v>
      </c>
      <c r="B130" s="2121" t="s">
        <v>3057</v>
      </c>
      <c r="C130" s="2121">
        <v>-1</v>
      </c>
      <c r="D130" s="2121">
        <v>299</v>
      </c>
      <c r="E130" s="2122">
        <v>23.08</v>
      </c>
      <c r="F130" s="2121" t="s">
        <v>3058</v>
      </c>
    </row>
    <row r="131" spans="1:6">
      <c r="A131" s="2121">
        <v>414</v>
      </c>
      <c r="B131" s="2121" t="s">
        <v>3057</v>
      </c>
      <c r="C131" s="2121">
        <v>-1</v>
      </c>
      <c r="D131" s="2121">
        <v>300</v>
      </c>
      <c r="E131" s="2122">
        <v>21.46</v>
      </c>
      <c r="F131" s="2121" t="s">
        <v>3058</v>
      </c>
    </row>
    <row r="132" spans="1:6">
      <c r="A132" s="2121">
        <v>415</v>
      </c>
      <c r="B132" s="2121" t="s">
        <v>3057</v>
      </c>
      <c r="C132" s="2121">
        <v>-1</v>
      </c>
      <c r="D132" s="2121">
        <v>308</v>
      </c>
      <c r="E132" s="2122">
        <v>30.26</v>
      </c>
      <c r="F132" s="2121" t="s">
        <v>3058</v>
      </c>
    </row>
    <row r="133" spans="1:6">
      <c r="A133" s="2121">
        <v>416</v>
      </c>
      <c r="B133" s="2121" t="s">
        <v>3057</v>
      </c>
      <c r="C133" s="2121">
        <v>-1</v>
      </c>
      <c r="D133" s="2121">
        <v>309</v>
      </c>
      <c r="E133" s="2122">
        <v>30.29</v>
      </c>
      <c r="F133" s="2121" t="s">
        <v>3058</v>
      </c>
    </row>
    <row r="134" spans="1:6">
      <c r="A134" s="2121">
        <v>417</v>
      </c>
      <c r="B134" s="2121" t="s">
        <v>3057</v>
      </c>
      <c r="C134" s="2121">
        <v>-1</v>
      </c>
      <c r="D134" s="2121">
        <v>310</v>
      </c>
      <c r="E134" s="2122">
        <v>30.33</v>
      </c>
      <c r="F134" s="2121" t="s">
        <v>3058</v>
      </c>
    </row>
    <row r="135" spans="1:6">
      <c r="A135" s="2121">
        <v>418</v>
      </c>
      <c r="B135" s="2121" t="s">
        <v>3057</v>
      </c>
      <c r="C135" s="2121">
        <v>-1</v>
      </c>
      <c r="D135" s="2121">
        <v>311</v>
      </c>
      <c r="E135" s="2122">
        <v>30.35</v>
      </c>
      <c r="F135" s="2121" t="s">
        <v>3058</v>
      </c>
    </row>
    <row r="136" spans="1:6">
      <c r="A136" s="2121">
        <v>419</v>
      </c>
      <c r="B136" s="2121" t="s">
        <v>3057</v>
      </c>
      <c r="C136" s="2121">
        <v>-1</v>
      </c>
      <c r="D136" s="2121">
        <v>436</v>
      </c>
      <c r="E136" s="2122">
        <v>29.02</v>
      </c>
      <c r="F136" s="2121" t="s">
        <v>3058</v>
      </c>
    </row>
    <row r="137" spans="1:6">
      <c r="A137" s="2121">
        <v>420</v>
      </c>
      <c r="B137" s="2121" t="s">
        <v>3057</v>
      </c>
      <c r="C137" s="2121">
        <v>-1</v>
      </c>
      <c r="D137" s="2121">
        <v>437</v>
      </c>
      <c r="E137" s="2122">
        <v>57.47</v>
      </c>
      <c r="F137" s="2121" t="s">
        <v>3058</v>
      </c>
    </row>
    <row r="138" spans="1:6">
      <c r="A138" s="2121">
        <v>421</v>
      </c>
      <c r="B138" s="2121" t="s">
        <v>3057</v>
      </c>
      <c r="C138" s="2121">
        <v>-1</v>
      </c>
      <c r="D138" s="2121">
        <v>438</v>
      </c>
      <c r="E138" s="2122">
        <v>42.5</v>
      </c>
      <c r="F138" s="2121" t="s">
        <v>3058</v>
      </c>
    </row>
    <row r="139" spans="1:6">
      <c r="A139" s="2121">
        <v>422</v>
      </c>
      <c r="B139" s="2121" t="s">
        <v>3057</v>
      </c>
      <c r="C139" s="2121">
        <v>-1</v>
      </c>
      <c r="D139" s="2121">
        <v>439</v>
      </c>
      <c r="E139" s="2122">
        <v>42.5</v>
      </c>
      <c r="F139" s="2121" t="s">
        <v>3058</v>
      </c>
    </row>
    <row r="140" spans="1:6">
      <c r="A140" s="2121">
        <v>423</v>
      </c>
      <c r="B140" s="2121" t="s">
        <v>3057</v>
      </c>
      <c r="C140" s="2121">
        <v>-1</v>
      </c>
      <c r="D140" s="2121">
        <v>440</v>
      </c>
      <c r="E140" s="2122">
        <v>42.5</v>
      </c>
      <c r="F140" s="2121" t="s">
        <v>3058</v>
      </c>
    </row>
    <row r="141" spans="1:6">
      <c r="A141" s="2121">
        <v>424</v>
      </c>
      <c r="B141" s="2121" t="s">
        <v>3057</v>
      </c>
      <c r="C141" s="2121">
        <v>-1</v>
      </c>
      <c r="D141" s="2121">
        <v>441</v>
      </c>
      <c r="E141" s="2122">
        <v>42.5</v>
      </c>
      <c r="F141" s="2121" t="s">
        <v>3058</v>
      </c>
    </row>
    <row r="142" spans="1:6">
      <c r="A142" s="2121">
        <v>425</v>
      </c>
      <c r="B142" s="2121" t="s">
        <v>3057</v>
      </c>
      <c r="C142" s="2121">
        <v>-1</v>
      </c>
      <c r="D142" s="2121">
        <v>442</v>
      </c>
      <c r="E142" s="2122">
        <v>87.92</v>
      </c>
      <c r="F142" s="2121" t="s">
        <v>3058</v>
      </c>
    </row>
    <row r="143" spans="1:6">
      <c r="A143" s="2121">
        <v>426</v>
      </c>
      <c r="B143" s="2121" t="s">
        <v>3057</v>
      </c>
      <c r="C143" s="2121">
        <v>-1</v>
      </c>
      <c r="D143" s="2121">
        <v>443</v>
      </c>
      <c r="E143" s="2122">
        <v>71.14</v>
      </c>
      <c r="F143" s="2121" t="s">
        <v>3058</v>
      </c>
    </row>
    <row r="144" spans="1:6">
      <c r="A144" s="2121">
        <v>427</v>
      </c>
      <c r="B144" s="2121" t="s">
        <v>3057</v>
      </c>
      <c r="C144" s="2121">
        <v>-1</v>
      </c>
      <c r="D144" s="2121">
        <v>445</v>
      </c>
      <c r="E144" s="2122">
        <v>61.07</v>
      </c>
      <c r="F144" s="2121" t="s">
        <v>3058</v>
      </c>
    </row>
    <row r="145" spans="1:6">
      <c r="A145" s="2121">
        <v>428</v>
      </c>
      <c r="B145" s="2121" t="s">
        <v>3057</v>
      </c>
      <c r="C145" s="2121">
        <v>-1</v>
      </c>
      <c r="D145" s="2121">
        <v>446</v>
      </c>
      <c r="E145" s="2122">
        <v>61.07</v>
      </c>
      <c r="F145" s="2121" t="s">
        <v>3058</v>
      </c>
    </row>
    <row r="146" spans="1:6">
      <c r="A146" s="2121">
        <v>429</v>
      </c>
      <c r="B146" s="2121" t="s">
        <v>3057</v>
      </c>
      <c r="C146" s="2121">
        <v>-1</v>
      </c>
      <c r="D146" s="2121">
        <v>447</v>
      </c>
      <c r="E146" s="2122">
        <v>61.07</v>
      </c>
      <c r="F146" s="2121" t="s">
        <v>3058</v>
      </c>
    </row>
    <row r="147" spans="1:6">
      <c r="A147" s="2121">
        <v>430</v>
      </c>
      <c r="B147" s="2121" t="s">
        <v>3057</v>
      </c>
      <c r="C147" s="2121">
        <v>-1</v>
      </c>
      <c r="D147" s="2121">
        <v>448</v>
      </c>
      <c r="E147" s="2122">
        <v>61.07</v>
      </c>
      <c r="F147" s="2121" t="s">
        <v>3058</v>
      </c>
    </row>
    <row r="148" spans="1:6">
      <c r="A148" s="2121">
        <v>431</v>
      </c>
      <c r="B148" s="2121" t="s">
        <v>3057</v>
      </c>
      <c r="C148" s="2121">
        <v>-1</v>
      </c>
      <c r="D148" s="2121">
        <v>449</v>
      </c>
      <c r="E148" s="2122">
        <v>61.07</v>
      </c>
      <c r="F148" s="2121" t="s">
        <v>3058</v>
      </c>
    </row>
    <row r="149" spans="1:6">
      <c r="A149" s="2121">
        <v>432</v>
      </c>
      <c r="B149" s="2121" t="s">
        <v>3057</v>
      </c>
      <c r="C149" s="2121">
        <v>-1</v>
      </c>
      <c r="D149" s="2121">
        <v>457</v>
      </c>
      <c r="E149" s="2122">
        <v>61.08</v>
      </c>
      <c r="F149" s="2121" t="s">
        <v>3058</v>
      </c>
    </row>
    <row r="150" spans="1:6">
      <c r="A150" s="2123">
        <v>522</v>
      </c>
      <c r="B150" s="2123">
        <v>11</v>
      </c>
      <c r="C150" s="2123">
        <v>1</v>
      </c>
      <c r="D150" s="2123">
        <v>2</v>
      </c>
      <c r="E150" s="2124">
        <v>93.34</v>
      </c>
      <c r="F150" s="2125" t="s">
        <v>3058</v>
      </c>
    </row>
    <row r="151" spans="1:6">
      <c r="A151" s="2123">
        <v>523</v>
      </c>
      <c r="B151" s="2123">
        <v>11</v>
      </c>
      <c r="C151" s="2123">
        <v>1</v>
      </c>
      <c r="D151" s="2123">
        <v>3</v>
      </c>
      <c r="E151" s="2124">
        <v>56.08</v>
      </c>
      <c r="F151" s="2125" t="s">
        <v>3058</v>
      </c>
    </row>
    <row r="152" spans="1:6">
      <c r="A152" s="2123">
        <v>524</v>
      </c>
      <c r="B152" s="2123">
        <v>11</v>
      </c>
      <c r="C152" s="2123">
        <v>1</v>
      </c>
      <c r="D152" s="2123">
        <v>5</v>
      </c>
      <c r="E152" s="2124">
        <v>46.18</v>
      </c>
      <c r="F152" s="2125" t="s">
        <v>3058</v>
      </c>
    </row>
    <row r="153" spans="1:6">
      <c r="A153" s="2123">
        <v>525</v>
      </c>
      <c r="B153" s="2123">
        <v>11</v>
      </c>
      <c r="C153" s="2123">
        <v>1</v>
      </c>
      <c r="D153" s="2123">
        <v>6</v>
      </c>
      <c r="E153" s="2124">
        <v>44.08</v>
      </c>
      <c r="F153" s="2125" t="s">
        <v>3058</v>
      </c>
    </row>
    <row r="154" spans="1:6">
      <c r="A154" s="2123">
        <v>526</v>
      </c>
      <c r="B154" s="2123">
        <v>11</v>
      </c>
      <c r="C154" s="2123">
        <v>1</v>
      </c>
      <c r="D154" s="2123">
        <v>7</v>
      </c>
      <c r="E154" s="2124">
        <v>44.08</v>
      </c>
      <c r="F154" s="2125" t="s">
        <v>3058</v>
      </c>
    </row>
    <row r="155" spans="1:6">
      <c r="A155" s="2123">
        <v>527</v>
      </c>
      <c r="B155" s="2123">
        <v>11</v>
      </c>
      <c r="C155" s="2123">
        <v>1</v>
      </c>
      <c r="D155" s="2123">
        <v>8</v>
      </c>
      <c r="E155" s="2124">
        <v>45.76</v>
      </c>
      <c r="F155" s="2125" t="s">
        <v>3058</v>
      </c>
    </row>
    <row r="156" spans="1:6">
      <c r="A156" s="2123">
        <v>528</v>
      </c>
      <c r="B156" s="2123">
        <v>11</v>
      </c>
      <c r="C156" s="2123">
        <v>1</v>
      </c>
      <c r="D156" s="2123">
        <v>9</v>
      </c>
      <c r="E156" s="2124">
        <v>44.05</v>
      </c>
      <c r="F156" s="2125" t="s">
        <v>3058</v>
      </c>
    </row>
    <row r="157" spans="1:6">
      <c r="A157" s="2123">
        <v>529</v>
      </c>
      <c r="B157" s="2123">
        <v>11</v>
      </c>
      <c r="C157" s="2123">
        <v>1</v>
      </c>
      <c r="D157" s="2123">
        <v>10</v>
      </c>
      <c r="E157" s="2124">
        <v>29.84</v>
      </c>
      <c r="F157" s="2125" t="s">
        <v>3058</v>
      </c>
    </row>
    <row r="158" spans="1:6">
      <c r="A158" s="2123">
        <v>530</v>
      </c>
      <c r="B158" s="2123">
        <v>11</v>
      </c>
      <c r="C158" s="2123">
        <v>1</v>
      </c>
      <c r="D158" s="2123">
        <v>13</v>
      </c>
      <c r="E158" s="2124">
        <v>44.08</v>
      </c>
      <c r="F158" s="2125" t="s">
        <v>3058</v>
      </c>
    </row>
    <row r="159" spans="1:6">
      <c r="A159" s="2123">
        <v>531</v>
      </c>
      <c r="B159" s="2123">
        <v>11</v>
      </c>
      <c r="C159" s="2123">
        <v>1</v>
      </c>
      <c r="D159" s="2123">
        <v>15</v>
      </c>
      <c r="E159" s="2124">
        <v>44.08</v>
      </c>
      <c r="F159" s="2125" t="s">
        <v>3058</v>
      </c>
    </row>
    <row r="160" spans="1:6">
      <c r="A160" s="2123">
        <v>532</v>
      </c>
      <c r="B160" s="2123">
        <v>11</v>
      </c>
      <c r="C160" s="2123">
        <v>1</v>
      </c>
      <c r="D160" s="2123">
        <v>16</v>
      </c>
      <c r="E160" s="2124">
        <v>44.08</v>
      </c>
      <c r="F160" s="2125" t="s">
        <v>3058</v>
      </c>
    </row>
    <row r="161" spans="1:6">
      <c r="A161" s="2123">
        <v>533</v>
      </c>
      <c r="B161" s="2123">
        <v>11</v>
      </c>
      <c r="C161" s="2123">
        <v>1</v>
      </c>
      <c r="D161" s="2123">
        <v>17</v>
      </c>
      <c r="E161" s="2124">
        <v>46.18</v>
      </c>
      <c r="F161" s="2125" t="s">
        <v>3058</v>
      </c>
    </row>
    <row r="162" spans="1:6">
      <c r="A162" s="2123">
        <v>534</v>
      </c>
      <c r="B162" s="2123">
        <v>11</v>
      </c>
      <c r="C162" s="2123">
        <v>1</v>
      </c>
      <c r="D162" s="2123">
        <v>18</v>
      </c>
      <c r="E162" s="2124">
        <v>56.08</v>
      </c>
      <c r="F162" s="2125" t="s">
        <v>3058</v>
      </c>
    </row>
    <row r="163" spans="1:6">
      <c r="A163" s="2123">
        <v>535</v>
      </c>
      <c r="B163" s="2123">
        <v>11</v>
      </c>
      <c r="C163" s="2123">
        <v>1</v>
      </c>
      <c r="D163" s="2123">
        <v>21</v>
      </c>
      <c r="E163" s="2124">
        <v>94.52</v>
      </c>
      <c r="F163" s="2125" t="s">
        <v>3058</v>
      </c>
    </row>
    <row r="164" spans="1:6">
      <c r="A164" s="2123">
        <v>536</v>
      </c>
      <c r="B164" s="2123">
        <v>11</v>
      </c>
      <c r="C164" s="2123">
        <v>1</v>
      </c>
      <c r="D164" s="2123">
        <v>23</v>
      </c>
      <c r="E164" s="2124">
        <v>43.21</v>
      </c>
      <c r="F164" s="2125" t="s">
        <v>3058</v>
      </c>
    </row>
    <row r="165" spans="1:6">
      <c r="A165" s="2123">
        <v>537</v>
      </c>
      <c r="B165" s="2123">
        <v>11</v>
      </c>
      <c r="C165" s="2123">
        <v>1</v>
      </c>
      <c r="D165" s="2123">
        <v>25</v>
      </c>
      <c r="E165" s="2124">
        <v>43.21</v>
      </c>
      <c r="F165" s="2125" t="s">
        <v>3058</v>
      </c>
    </row>
    <row r="166" spans="1:6">
      <c r="A166" s="2123">
        <v>538</v>
      </c>
      <c r="B166" s="2123">
        <v>11</v>
      </c>
      <c r="C166" s="2123">
        <v>1</v>
      </c>
      <c r="D166" s="2123">
        <v>26</v>
      </c>
      <c r="E166" s="2124">
        <v>43.21</v>
      </c>
      <c r="F166" s="2125" t="s">
        <v>3058</v>
      </c>
    </row>
    <row r="167" spans="1:6">
      <c r="A167" s="2123">
        <v>539</v>
      </c>
      <c r="B167" s="2123">
        <v>11</v>
      </c>
      <c r="C167" s="2123">
        <v>1</v>
      </c>
      <c r="D167" s="2123">
        <v>27</v>
      </c>
      <c r="E167" s="2124">
        <v>43.21</v>
      </c>
      <c r="F167" s="2125" t="s">
        <v>3058</v>
      </c>
    </row>
    <row r="168" spans="1:6">
      <c r="A168" s="2123">
        <v>540</v>
      </c>
      <c r="B168" s="2123">
        <v>11</v>
      </c>
      <c r="C168" s="2123">
        <v>1</v>
      </c>
      <c r="D168" s="2123">
        <v>28</v>
      </c>
      <c r="E168" s="2124">
        <v>45.27</v>
      </c>
      <c r="F168" s="2125" t="s">
        <v>3058</v>
      </c>
    </row>
    <row r="169" spans="1:6">
      <c r="A169" s="2123">
        <v>541</v>
      </c>
      <c r="B169" s="2123">
        <v>11</v>
      </c>
      <c r="C169" s="2123">
        <v>1</v>
      </c>
      <c r="D169" s="2123">
        <v>29</v>
      </c>
      <c r="E169" s="2124">
        <v>35.25</v>
      </c>
      <c r="F169" s="2125" t="s">
        <v>3058</v>
      </c>
    </row>
    <row r="170" spans="1:6">
      <c r="A170" s="2123">
        <v>542</v>
      </c>
      <c r="B170" s="2123">
        <v>11</v>
      </c>
      <c r="C170" s="2123">
        <v>1</v>
      </c>
      <c r="D170" s="2123">
        <v>30</v>
      </c>
      <c r="E170" s="2124">
        <v>37.79</v>
      </c>
      <c r="F170" s="2125" t="s">
        <v>3058</v>
      </c>
    </row>
    <row r="171" spans="1:6">
      <c r="A171" s="2123">
        <v>543</v>
      </c>
      <c r="B171" s="2123">
        <v>11</v>
      </c>
      <c r="C171" s="2123">
        <v>1</v>
      </c>
      <c r="D171" s="2123">
        <v>31</v>
      </c>
      <c r="E171" s="2124">
        <v>43.21</v>
      </c>
      <c r="F171" s="2125" t="s">
        <v>3058</v>
      </c>
    </row>
    <row r="172" spans="1:6">
      <c r="A172" s="2123">
        <v>544</v>
      </c>
      <c r="B172" s="2123">
        <v>11</v>
      </c>
      <c r="C172" s="2123">
        <v>1</v>
      </c>
      <c r="D172" s="2123">
        <v>32</v>
      </c>
      <c r="E172" s="2124">
        <v>43.21</v>
      </c>
      <c r="F172" s="2125" t="s">
        <v>3058</v>
      </c>
    </row>
    <row r="173" spans="1:6">
      <c r="A173" s="2123">
        <v>545</v>
      </c>
      <c r="B173" s="2123">
        <v>11</v>
      </c>
      <c r="C173" s="2123">
        <v>1</v>
      </c>
      <c r="D173" s="2123">
        <v>33</v>
      </c>
      <c r="E173" s="2124">
        <v>45.26</v>
      </c>
      <c r="F173" s="2125" t="s">
        <v>3058</v>
      </c>
    </row>
    <row r="174" spans="1:6" s="2138" customFormat="1">
      <c r="A174" s="2123">
        <v>546</v>
      </c>
      <c r="B174" s="2123">
        <v>11</v>
      </c>
      <c r="C174" s="2123">
        <v>1</v>
      </c>
      <c r="D174" s="2123">
        <v>37</v>
      </c>
      <c r="E174" s="2124">
        <v>109.79</v>
      </c>
      <c r="F174" s="2125" t="s">
        <v>3058</v>
      </c>
    </row>
    <row r="175" spans="1:6">
      <c r="A175" s="2123">
        <v>547</v>
      </c>
      <c r="B175" s="2123">
        <v>11</v>
      </c>
      <c r="C175" s="2123">
        <v>1</v>
      </c>
      <c r="D175" s="2123">
        <v>38</v>
      </c>
      <c r="E175" s="2124">
        <v>72.599999999999994</v>
      </c>
      <c r="F175" s="2125" t="s">
        <v>3058</v>
      </c>
    </row>
    <row r="176" spans="1:6">
      <c r="A176" s="2123">
        <v>548</v>
      </c>
      <c r="B176" s="2123">
        <v>11</v>
      </c>
      <c r="C176" s="2123">
        <v>1</v>
      </c>
      <c r="D176" s="2123">
        <v>39</v>
      </c>
      <c r="E176" s="2124">
        <v>72.599999999999994</v>
      </c>
      <c r="F176" s="2125" t="s">
        <v>3058</v>
      </c>
    </row>
    <row r="177" spans="1:6">
      <c r="A177" s="2123">
        <v>549</v>
      </c>
      <c r="B177" s="2123">
        <v>11</v>
      </c>
      <c r="C177" s="2123">
        <v>1</v>
      </c>
      <c r="D177" s="2123">
        <v>42</v>
      </c>
      <c r="E177" s="2124">
        <v>8.7899999999999991</v>
      </c>
      <c r="F177" s="2125" t="s">
        <v>3058</v>
      </c>
    </row>
    <row r="178" spans="1:6">
      <c r="A178" s="2123">
        <v>550</v>
      </c>
      <c r="B178" s="2123">
        <v>11</v>
      </c>
      <c r="C178" s="2123">
        <v>1</v>
      </c>
      <c r="D178" s="2123">
        <v>48</v>
      </c>
      <c r="E178" s="2124">
        <v>81.67</v>
      </c>
      <c r="F178" s="2125" t="s">
        <v>3058</v>
      </c>
    </row>
    <row r="179" spans="1:6">
      <c r="A179" s="2123">
        <v>551</v>
      </c>
      <c r="B179" s="2123">
        <v>11</v>
      </c>
      <c r="C179" s="2123">
        <v>1</v>
      </c>
      <c r="D179" s="2123">
        <v>50</v>
      </c>
      <c r="E179" s="2124">
        <v>41.38</v>
      </c>
      <c r="F179" s="2125" t="s">
        <v>3058</v>
      </c>
    </row>
    <row r="180" spans="1:6">
      <c r="A180" s="2123">
        <v>552</v>
      </c>
      <c r="B180" s="2123">
        <v>11</v>
      </c>
      <c r="C180" s="2123">
        <v>1</v>
      </c>
      <c r="D180" s="2123">
        <v>52</v>
      </c>
      <c r="E180" s="2124">
        <v>39.5</v>
      </c>
      <c r="F180" s="2125" t="s">
        <v>3058</v>
      </c>
    </row>
    <row r="181" spans="1:6">
      <c r="A181" s="2123">
        <v>553</v>
      </c>
      <c r="B181" s="2123">
        <v>11</v>
      </c>
      <c r="C181" s="2123">
        <v>1</v>
      </c>
      <c r="D181" s="2123">
        <v>53</v>
      </c>
      <c r="E181" s="2124">
        <v>37.24</v>
      </c>
      <c r="F181" s="2125" t="s">
        <v>3058</v>
      </c>
    </row>
    <row r="182" spans="1:6">
      <c r="A182" s="2123">
        <v>554</v>
      </c>
      <c r="B182" s="2123">
        <v>11</v>
      </c>
      <c r="C182" s="2123">
        <v>1</v>
      </c>
      <c r="D182" s="2123">
        <v>55</v>
      </c>
      <c r="E182" s="2124">
        <v>90.62</v>
      </c>
      <c r="F182" s="2125" t="s">
        <v>3058</v>
      </c>
    </row>
    <row r="183" spans="1:6">
      <c r="A183" s="2123">
        <v>555</v>
      </c>
      <c r="B183" s="2123">
        <v>11</v>
      </c>
      <c r="C183" s="2123">
        <v>1</v>
      </c>
      <c r="D183" s="2123">
        <v>56</v>
      </c>
      <c r="E183" s="2124">
        <v>29.81</v>
      </c>
      <c r="F183" s="2125" t="s">
        <v>3058</v>
      </c>
    </row>
    <row r="184" spans="1:6">
      <c r="A184" s="2123">
        <v>556</v>
      </c>
      <c r="B184" s="2123">
        <v>11</v>
      </c>
      <c r="C184" s="2123">
        <v>1</v>
      </c>
      <c r="D184" s="2123">
        <v>58</v>
      </c>
      <c r="E184" s="2124">
        <v>78.540000000000006</v>
      </c>
      <c r="F184" s="2125" t="s">
        <v>3058</v>
      </c>
    </row>
    <row r="185" spans="1:6">
      <c r="A185" s="2123">
        <v>557</v>
      </c>
      <c r="B185" s="2123">
        <v>11</v>
      </c>
      <c r="C185" s="2123">
        <v>1</v>
      </c>
      <c r="D185" s="2123">
        <v>59</v>
      </c>
      <c r="E185" s="2124">
        <v>39.5</v>
      </c>
      <c r="F185" s="2125" t="s">
        <v>3058</v>
      </c>
    </row>
    <row r="186" spans="1:6">
      <c r="A186" s="2123">
        <v>558</v>
      </c>
      <c r="B186" s="2123">
        <v>11</v>
      </c>
      <c r="C186" s="2123">
        <v>1</v>
      </c>
      <c r="D186" s="2123">
        <v>60</v>
      </c>
      <c r="E186" s="2124">
        <v>39.5</v>
      </c>
      <c r="F186" s="2125" t="s">
        <v>3058</v>
      </c>
    </row>
    <row r="187" spans="1:6">
      <c r="A187" s="2123">
        <v>559</v>
      </c>
      <c r="B187" s="2123">
        <v>11</v>
      </c>
      <c r="C187" s="2123">
        <v>1</v>
      </c>
      <c r="D187" s="2123">
        <v>63</v>
      </c>
      <c r="E187" s="2124">
        <v>40.47</v>
      </c>
      <c r="F187" s="2125" t="s">
        <v>3058</v>
      </c>
    </row>
    <row r="188" spans="1:6">
      <c r="A188" s="2123">
        <v>560</v>
      </c>
      <c r="B188" s="2123">
        <v>11</v>
      </c>
      <c r="C188" s="2123">
        <v>1</v>
      </c>
      <c r="D188" s="2123">
        <v>65</v>
      </c>
      <c r="E188" s="2124">
        <v>38.630000000000003</v>
      </c>
      <c r="F188" s="2125" t="s">
        <v>3058</v>
      </c>
    </row>
    <row r="189" spans="1:6">
      <c r="A189" s="2123">
        <v>561</v>
      </c>
      <c r="B189" s="2123">
        <v>11</v>
      </c>
      <c r="C189" s="2123">
        <v>1</v>
      </c>
      <c r="D189" s="2123">
        <v>66</v>
      </c>
      <c r="E189" s="2124">
        <v>38.630000000000003</v>
      </c>
      <c r="F189" s="2125" t="s">
        <v>3058</v>
      </c>
    </row>
    <row r="190" spans="1:6">
      <c r="A190" s="2123">
        <v>562</v>
      </c>
      <c r="B190" s="2123">
        <v>11</v>
      </c>
      <c r="C190" s="2123">
        <v>1</v>
      </c>
      <c r="D190" s="2123">
        <v>67</v>
      </c>
      <c r="E190" s="2124">
        <v>38.64</v>
      </c>
      <c r="F190" s="2125" t="s">
        <v>3058</v>
      </c>
    </row>
    <row r="191" spans="1:6">
      <c r="A191" s="2123">
        <v>563</v>
      </c>
      <c r="B191" s="2123">
        <v>11</v>
      </c>
      <c r="C191" s="2123">
        <v>1</v>
      </c>
      <c r="D191" s="2123">
        <v>68</v>
      </c>
      <c r="E191" s="2124">
        <v>41.15</v>
      </c>
      <c r="F191" s="2125" t="s">
        <v>3058</v>
      </c>
    </row>
    <row r="192" spans="1:6">
      <c r="A192" s="2123">
        <v>564</v>
      </c>
      <c r="B192" s="2123">
        <v>11</v>
      </c>
      <c r="C192" s="2123">
        <v>1</v>
      </c>
      <c r="D192" s="2123">
        <v>69</v>
      </c>
      <c r="E192" s="2124">
        <v>42.56</v>
      </c>
      <c r="F192" s="2125" t="s">
        <v>3058</v>
      </c>
    </row>
    <row r="193" spans="1:6">
      <c r="A193" s="2123">
        <v>565</v>
      </c>
      <c r="B193" s="2123">
        <v>11</v>
      </c>
      <c r="C193" s="2123">
        <v>1</v>
      </c>
      <c r="D193" s="2123">
        <v>70</v>
      </c>
      <c r="E193" s="2124">
        <v>51.02</v>
      </c>
      <c r="F193" s="2125" t="s">
        <v>3058</v>
      </c>
    </row>
    <row r="194" spans="1:6">
      <c r="A194" s="2123">
        <v>566</v>
      </c>
      <c r="B194" s="2123">
        <v>11</v>
      </c>
      <c r="C194" s="2123">
        <v>1</v>
      </c>
      <c r="D194" s="2123">
        <v>71</v>
      </c>
      <c r="E194" s="2124">
        <v>38.630000000000003</v>
      </c>
      <c r="F194" s="2125" t="s">
        <v>3058</v>
      </c>
    </row>
    <row r="195" spans="1:6">
      <c r="A195" s="2123">
        <v>567</v>
      </c>
      <c r="B195" s="2123">
        <v>11</v>
      </c>
      <c r="C195" s="2123">
        <v>1</v>
      </c>
      <c r="D195" s="2123">
        <v>72</v>
      </c>
      <c r="E195" s="2124">
        <v>38.630000000000003</v>
      </c>
      <c r="F195" s="2125" t="s">
        <v>3058</v>
      </c>
    </row>
    <row r="196" spans="1:6">
      <c r="A196" s="2123">
        <v>568</v>
      </c>
      <c r="B196" s="2123">
        <v>11</v>
      </c>
      <c r="C196" s="2123">
        <v>1</v>
      </c>
      <c r="D196" s="2123">
        <v>73</v>
      </c>
      <c r="E196" s="2124">
        <v>40.47</v>
      </c>
      <c r="F196" s="2125" t="s">
        <v>3058</v>
      </c>
    </row>
    <row r="197" spans="1:6">
      <c r="A197" s="2123">
        <v>569</v>
      </c>
      <c r="B197" s="2123">
        <v>11</v>
      </c>
      <c r="C197" s="2123">
        <v>1</v>
      </c>
      <c r="D197" s="2123">
        <v>75</v>
      </c>
      <c r="E197" s="2124">
        <v>105.04</v>
      </c>
      <c r="F197" s="2125" t="s">
        <v>3058</v>
      </c>
    </row>
    <row r="198" spans="1:6">
      <c r="A198" s="2123">
        <v>570</v>
      </c>
      <c r="B198" s="2123">
        <v>11</v>
      </c>
      <c r="C198" s="2123">
        <v>1</v>
      </c>
      <c r="D198" s="2123">
        <v>76</v>
      </c>
      <c r="E198" s="2124">
        <v>44.48</v>
      </c>
      <c r="F198" s="2125" t="s">
        <v>3058</v>
      </c>
    </row>
    <row r="199" spans="1:6">
      <c r="A199" s="2123">
        <v>571</v>
      </c>
      <c r="B199" s="2123">
        <v>11</v>
      </c>
      <c r="C199" s="2123">
        <v>1</v>
      </c>
      <c r="D199" s="2123">
        <v>77</v>
      </c>
      <c r="E199" s="2124">
        <v>45.31</v>
      </c>
      <c r="F199" s="2125" t="s">
        <v>3058</v>
      </c>
    </row>
    <row r="200" spans="1:6">
      <c r="A200" s="2123">
        <v>572</v>
      </c>
      <c r="B200" s="2123">
        <v>11</v>
      </c>
      <c r="C200" s="2123">
        <v>1</v>
      </c>
      <c r="D200" s="2123">
        <v>78</v>
      </c>
      <c r="E200" s="2124">
        <v>41.98</v>
      </c>
      <c r="F200" s="2125" t="s">
        <v>3058</v>
      </c>
    </row>
    <row r="201" spans="1:6">
      <c r="A201" s="2123">
        <v>573</v>
      </c>
      <c r="B201" s="2123">
        <v>11</v>
      </c>
      <c r="C201" s="2123">
        <v>1</v>
      </c>
      <c r="D201" s="2123">
        <v>79</v>
      </c>
      <c r="E201" s="2124">
        <v>49.18</v>
      </c>
      <c r="F201" s="2125" t="s">
        <v>3058</v>
      </c>
    </row>
    <row r="202" spans="1:6">
      <c r="A202" s="2123">
        <v>574</v>
      </c>
      <c r="B202" s="2123">
        <v>11</v>
      </c>
      <c r="C202" s="2123">
        <v>1</v>
      </c>
      <c r="D202" s="2123">
        <v>80</v>
      </c>
      <c r="E202" s="2124">
        <v>53.5</v>
      </c>
      <c r="F202" s="2125" t="s">
        <v>3058</v>
      </c>
    </row>
    <row r="203" spans="1:6">
      <c r="A203" s="2123">
        <v>575</v>
      </c>
      <c r="B203" s="2123">
        <v>11</v>
      </c>
      <c r="C203" s="2123">
        <v>1</v>
      </c>
      <c r="D203" s="2123">
        <v>82</v>
      </c>
      <c r="E203" s="2124">
        <v>46.14</v>
      </c>
      <c r="F203" s="2125" t="s">
        <v>3058</v>
      </c>
    </row>
    <row r="204" spans="1:6">
      <c r="A204" s="2123">
        <v>576</v>
      </c>
      <c r="B204" s="2123">
        <v>11</v>
      </c>
      <c r="C204" s="2123">
        <v>1</v>
      </c>
      <c r="D204" s="2123">
        <v>83</v>
      </c>
      <c r="E204" s="2124">
        <v>54.01</v>
      </c>
      <c r="F204" s="2125" t="s">
        <v>3058</v>
      </c>
    </row>
    <row r="205" spans="1:6">
      <c r="A205" s="2123">
        <v>577</v>
      </c>
      <c r="B205" s="2123">
        <v>11</v>
      </c>
      <c r="C205" s="2123">
        <v>1</v>
      </c>
      <c r="D205" s="2123">
        <v>85</v>
      </c>
      <c r="E205" s="2124">
        <v>79.64</v>
      </c>
      <c r="F205" s="2125" t="s">
        <v>3058</v>
      </c>
    </row>
    <row r="206" spans="1:6">
      <c r="A206" s="2123">
        <v>578</v>
      </c>
      <c r="B206" s="2123">
        <v>11</v>
      </c>
      <c r="C206" s="2123">
        <v>1</v>
      </c>
      <c r="D206" s="2123">
        <v>86</v>
      </c>
      <c r="E206" s="2124">
        <v>64.25</v>
      </c>
      <c r="F206" s="2125" t="s">
        <v>3058</v>
      </c>
    </row>
    <row r="207" spans="1:6">
      <c r="A207" s="2123">
        <v>579</v>
      </c>
      <c r="B207" s="2123">
        <v>11</v>
      </c>
      <c r="C207" s="2123">
        <v>1</v>
      </c>
      <c r="D207" s="2123">
        <v>87</v>
      </c>
      <c r="E207" s="2124">
        <v>67.59</v>
      </c>
      <c r="F207" s="2125" t="s">
        <v>3058</v>
      </c>
    </row>
    <row r="208" spans="1:6">
      <c r="A208" s="2123">
        <v>580</v>
      </c>
      <c r="B208" s="2123">
        <v>11</v>
      </c>
      <c r="C208" s="2123">
        <v>1</v>
      </c>
      <c r="D208" s="2123">
        <v>88</v>
      </c>
      <c r="E208" s="2124">
        <v>68.930000000000007</v>
      </c>
      <c r="F208" s="2125" t="s">
        <v>3058</v>
      </c>
    </row>
    <row r="209" spans="1:6">
      <c r="A209" s="2123">
        <v>581</v>
      </c>
      <c r="B209" s="2123">
        <v>11</v>
      </c>
      <c r="C209" s="2123">
        <v>1</v>
      </c>
      <c r="D209" s="2123">
        <v>89</v>
      </c>
      <c r="E209" s="2124">
        <v>79.099999999999994</v>
      </c>
      <c r="F209" s="2125" t="s">
        <v>3058</v>
      </c>
    </row>
    <row r="210" spans="1:6">
      <c r="A210" s="2123">
        <v>582</v>
      </c>
      <c r="B210" s="2123">
        <v>11</v>
      </c>
      <c r="C210" s="2123">
        <v>1</v>
      </c>
      <c r="D210" s="2123">
        <v>91</v>
      </c>
      <c r="E210" s="2124">
        <v>40.14</v>
      </c>
      <c r="F210" s="2125" t="s">
        <v>3058</v>
      </c>
    </row>
    <row r="211" spans="1:6">
      <c r="A211" s="2123">
        <v>583</v>
      </c>
      <c r="B211" s="2123">
        <v>11</v>
      </c>
      <c r="C211" s="2123">
        <v>1</v>
      </c>
      <c r="D211" s="2123">
        <v>92</v>
      </c>
      <c r="E211" s="2124">
        <v>48.34</v>
      </c>
      <c r="F211" s="2125" t="s">
        <v>3058</v>
      </c>
    </row>
    <row r="212" spans="1:6">
      <c r="A212" s="2123">
        <v>584</v>
      </c>
      <c r="B212" s="2123">
        <v>11</v>
      </c>
      <c r="C212" s="2123">
        <v>1</v>
      </c>
      <c r="D212" s="2123">
        <v>93</v>
      </c>
      <c r="E212" s="2124">
        <v>46.5</v>
      </c>
      <c r="F212" s="2125" t="s">
        <v>3058</v>
      </c>
    </row>
    <row r="213" spans="1:6">
      <c r="A213" s="2123">
        <v>585</v>
      </c>
      <c r="B213" s="2123">
        <v>11</v>
      </c>
      <c r="C213" s="2123">
        <v>1</v>
      </c>
      <c r="D213" s="2123">
        <v>95</v>
      </c>
      <c r="E213" s="2124">
        <v>72.91</v>
      </c>
      <c r="F213" s="2125" t="s">
        <v>3058</v>
      </c>
    </row>
    <row r="214" spans="1:6">
      <c r="A214" s="2123">
        <v>586</v>
      </c>
      <c r="B214" s="2123">
        <v>11</v>
      </c>
      <c r="C214" s="2123">
        <v>1</v>
      </c>
      <c r="D214" s="2123">
        <v>96</v>
      </c>
      <c r="E214" s="2124">
        <v>77.510000000000005</v>
      </c>
      <c r="F214" s="2125" t="s">
        <v>3058</v>
      </c>
    </row>
    <row r="215" spans="1:6">
      <c r="A215" s="2123">
        <v>587</v>
      </c>
      <c r="B215" s="2123">
        <v>11</v>
      </c>
      <c r="C215" s="2123">
        <v>1</v>
      </c>
      <c r="D215" s="2123">
        <v>97</v>
      </c>
      <c r="E215" s="2124">
        <v>70.239999999999995</v>
      </c>
      <c r="F215" s="2125" t="s">
        <v>3058</v>
      </c>
    </row>
    <row r="216" spans="1:6">
      <c r="A216" s="2123">
        <v>588</v>
      </c>
      <c r="B216" s="2123">
        <v>11</v>
      </c>
      <c r="C216" s="2123">
        <v>1</v>
      </c>
      <c r="D216" s="2123">
        <v>98</v>
      </c>
      <c r="E216" s="2124">
        <v>53.53</v>
      </c>
      <c r="F216" s="2125" t="s">
        <v>3058</v>
      </c>
    </row>
    <row r="217" spans="1:6">
      <c r="A217" s="2123">
        <v>589</v>
      </c>
      <c r="B217" s="2123">
        <v>11</v>
      </c>
      <c r="C217" s="2123">
        <v>1</v>
      </c>
      <c r="D217" s="2123">
        <v>99</v>
      </c>
      <c r="E217" s="2124">
        <v>73.17</v>
      </c>
      <c r="F217" s="2125" t="s">
        <v>3058</v>
      </c>
    </row>
    <row r="218" spans="1:6">
      <c r="A218" s="2123">
        <v>590</v>
      </c>
      <c r="B218" s="2123">
        <v>11</v>
      </c>
      <c r="C218" s="2123">
        <v>1</v>
      </c>
      <c r="D218" s="2123">
        <v>103</v>
      </c>
      <c r="E218" s="2124">
        <v>32.51</v>
      </c>
      <c r="F218" s="2125" t="s">
        <v>3058</v>
      </c>
    </row>
    <row r="219" spans="1:6">
      <c r="A219" s="2123">
        <v>591</v>
      </c>
      <c r="B219" s="2123">
        <v>11</v>
      </c>
      <c r="C219" s="2123">
        <v>1</v>
      </c>
      <c r="D219" s="2123">
        <v>106</v>
      </c>
      <c r="E219" s="2124">
        <v>72.92</v>
      </c>
      <c r="F219" s="2125" t="s">
        <v>3058</v>
      </c>
    </row>
    <row r="220" spans="1:6">
      <c r="A220" s="2123">
        <v>592</v>
      </c>
      <c r="B220" s="2123">
        <v>11</v>
      </c>
      <c r="C220" s="2123">
        <v>1</v>
      </c>
      <c r="D220" s="2123">
        <v>107</v>
      </c>
      <c r="E220" s="2124">
        <v>47.86</v>
      </c>
      <c r="F220" s="2125" t="s">
        <v>3058</v>
      </c>
    </row>
    <row r="221" spans="1:6">
      <c r="A221" s="2123">
        <v>593</v>
      </c>
      <c r="B221" s="2123">
        <v>11</v>
      </c>
      <c r="C221" s="2123">
        <v>1</v>
      </c>
      <c r="D221" s="2123">
        <v>108</v>
      </c>
      <c r="E221" s="2124">
        <v>38.369999999999997</v>
      </c>
      <c r="F221" s="2125" t="s">
        <v>3058</v>
      </c>
    </row>
    <row r="222" spans="1:6">
      <c r="A222" s="2123">
        <v>594</v>
      </c>
      <c r="B222" s="2123">
        <v>11</v>
      </c>
      <c r="C222" s="2123">
        <v>1</v>
      </c>
      <c r="D222" s="2123">
        <v>109</v>
      </c>
      <c r="E222" s="2124">
        <v>34.79</v>
      </c>
      <c r="F222" s="2125" t="s">
        <v>3058</v>
      </c>
    </row>
    <row r="223" spans="1:6">
      <c r="A223" s="2123">
        <v>595</v>
      </c>
      <c r="B223" s="2123">
        <v>11</v>
      </c>
      <c r="C223" s="2123">
        <v>1</v>
      </c>
      <c r="D223" s="2123">
        <v>110</v>
      </c>
      <c r="E223" s="2124">
        <v>79.099999999999994</v>
      </c>
      <c r="F223" s="2125" t="s">
        <v>3058</v>
      </c>
    </row>
    <row r="224" spans="1:6">
      <c r="A224" s="2123">
        <v>596</v>
      </c>
      <c r="B224" s="2123">
        <v>11</v>
      </c>
      <c r="C224" s="2123">
        <v>1</v>
      </c>
      <c r="D224" s="2123">
        <v>117</v>
      </c>
      <c r="E224" s="2124">
        <v>28.62</v>
      </c>
      <c r="F224" s="2125" t="s">
        <v>3058</v>
      </c>
    </row>
    <row r="225" spans="1:6">
      <c r="A225" s="2123">
        <v>597</v>
      </c>
      <c r="B225" s="2123">
        <v>11</v>
      </c>
      <c r="C225" s="2123">
        <v>1</v>
      </c>
      <c r="D225" s="2123">
        <v>118</v>
      </c>
      <c r="E225" s="2124">
        <v>40.53</v>
      </c>
      <c r="F225" s="2125" t="s">
        <v>3058</v>
      </c>
    </row>
    <row r="226" spans="1:6">
      <c r="A226" s="2123">
        <v>598</v>
      </c>
      <c r="B226" s="2123">
        <v>11</v>
      </c>
      <c r="C226" s="2123">
        <v>1</v>
      </c>
      <c r="D226" s="2123">
        <v>121</v>
      </c>
      <c r="E226" s="2124">
        <v>33.770000000000003</v>
      </c>
      <c r="F226" s="2125" t="s">
        <v>3058</v>
      </c>
    </row>
    <row r="227" spans="1:6">
      <c r="A227" s="2123">
        <v>599</v>
      </c>
      <c r="B227" s="2123">
        <v>11</v>
      </c>
      <c r="C227" s="2123">
        <v>1</v>
      </c>
      <c r="D227" s="2123">
        <v>122</v>
      </c>
      <c r="E227" s="2124">
        <v>53.63</v>
      </c>
      <c r="F227" s="2125" t="s">
        <v>3058</v>
      </c>
    </row>
    <row r="228" spans="1:6">
      <c r="A228" s="2123">
        <v>600</v>
      </c>
      <c r="B228" s="2123">
        <v>11</v>
      </c>
      <c r="C228" s="2123">
        <v>1</v>
      </c>
      <c r="D228" s="2123">
        <v>123</v>
      </c>
      <c r="E228" s="2124">
        <v>8.98</v>
      </c>
      <c r="F228" s="2125" t="s">
        <v>3058</v>
      </c>
    </row>
    <row r="229" spans="1:6">
      <c r="A229" s="2123">
        <v>601</v>
      </c>
      <c r="B229" s="2123">
        <v>11</v>
      </c>
      <c r="C229" s="2123">
        <v>1</v>
      </c>
      <c r="D229" s="2123">
        <v>125</v>
      </c>
      <c r="E229" s="2124">
        <v>40.69</v>
      </c>
      <c r="F229" s="2125" t="s">
        <v>3058</v>
      </c>
    </row>
    <row r="230" spans="1:6">
      <c r="A230" s="2123">
        <v>602</v>
      </c>
      <c r="B230" s="2123">
        <v>11</v>
      </c>
      <c r="C230" s="2123">
        <v>1</v>
      </c>
      <c r="D230" s="2123">
        <v>126</v>
      </c>
      <c r="E230" s="2124">
        <v>41.61</v>
      </c>
      <c r="F230" s="2125" t="s">
        <v>3058</v>
      </c>
    </row>
    <row r="231" spans="1:6">
      <c r="A231" s="2123">
        <v>603</v>
      </c>
      <c r="B231" s="2123">
        <v>11</v>
      </c>
      <c r="C231" s="2123">
        <v>1</v>
      </c>
      <c r="D231" s="2123">
        <v>127</v>
      </c>
      <c r="E231" s="2124">
        <v>73.5</v>
      </c>
      <c r="F231" s="2125" t="s">
        <v>3058</v>
      </c>
    </row>
    <row r="232" spans="1:6">
      <c r="A232" s="2123">
        <v>604</v>
      </c>
      <c r="B232" s="2123">
        <v>11</v>
      </c>
      <c r="C232" s="2123">
        <v>1</v>
      </c>
      <c r="D232" s="2123">
        <v>128</v>
      </c>
      <c r="E232" s="2124">
        <v>80.91</v>
      </c>
      <c r="F232" s="2125" t="s">
        <v>3058</v>
      </c>
    </row>
    <row r="233" spans="1:6">
      <c r="A233" s="2123">
        <v>605</v>
      </c>
      <c r="B233" s="2123">
        <v>11</v>
      </c>
      <c r="C233" s="2123">
        <v>1</v>
      </c>
      <c r="D233" s="2123">
        <v>129</v>
      </c>
      <c r="E233" s="2124">
        <v>79.739999999999995</v>
      </c>
      <c r="F233" s="2125" t="s">
        <v>3058</v>
      </c>
    </row>
    <row r="234" spans="1:6">
      <c r="A234" s="2123">
        <v>606</v>
      </c>
      <c r="B234" s="2123">
        <v>11</v>
      </c>
      <c r="C234" s="2123">
        <v>1</v>
      </c>
      <c r="D234" s="2123">
        <v>130</v>
      </c>
      <c r="E234" s="2124">
        <v>65.84</v>
      </c>
      <c r="F234" s="2125" t="s">
        <v>3058</v>
      </c>
    </row>
    <row r="235" spans="1:6">
      <c r="A235" s="2123">
        <v>607</v>
      </c>
      <c r="B235" s="2123">
        <v>11</v>
      </c>
      <c r="C235" s="2123">
        <v>1</v>
      </c>
      <c r="D235" s="2123">
        <v>131</v>
      </c>
      <c r="E235" s="2124">
        <v>64.010000000000005</v>
      </c>
      <c r="F235" s="2125" t="s">
        <v>3058</v>
      </c>
    </row>
    <row r="236" spans="1:6">
      <c r="A236" s="2123">
        <v>608</v>
      </c>
      <c r="B236" s="2123">
        <v>11</v>
      </c>
      <c r="C236" s="2123">
        <v>1</v>
      </c>
      <c r="D236" s="2123">
        <v>132</v>
      </c>
      <c r="E236" s="2124">
        <v>30.92</v>
      </c>
      <c r="F236" s="2125" t="s">
        <v>3058</v>
      </c>
    </row>
    <row r="237" spans="1:6">
      <c r="A237" s="2123">
        <v>609</v>
      </c>
      <c r="B237" s="2123">
        <v>11</v>
      </c>
      <c r="C237" s="2123">
        <v>1</v>
      </c>
      <c r="D237" s="2123">
        <v>133</v>
      </c>
      <c r="E237" s="2124">
        <v>31.28</v>
      </c>
      <c r="F237" s="2125" t="s">
        <v>3058</v>
      </c>
    </row>
    <row r="238" spans="1:6">
      <c r="A238" s="2123">
        <v>610</v>
      </c>
      <c r="B238" s="2123">
        <v>11</v>
      </c>
      <c r="C238" s="2123">
        <v>1</v>
      </c>
      <c r="D238" s="2123">
        <v>135</v>
      </c>
      <c r="E238" s="2124">
        <v>30.86</v>
      </c>
      <c r="F238" s="2125" t="s">
        <v>3058</v>
      </c>
    </row>
    <row r="239" spans="1:6">
      <c r="A239" s="2123">
        <v>611</v>
      </c>
      <c r="B239" s="2123">
        <v>11</v>
      </c>
      <c r="C239" s="2123">
        <v>1</v>
      </c>
      <c r="D239" s="2123">
        <v>136</v>
      </c>
      <c r="E239" s="2124">
        <v>43.21</v>
      </c>
      <c r="F239" s="2125" t="s">
        <v>3058</v>
      </c>
    </row>
    <row r="240" spans="1:6">
      <c r="A240" s="2123">
        <v>612</v>
      </c>
      <c r="B240" s="2123">
        <v>11</v>
      </c>
      <c r="C240" s="2123">
        <v>1</v>
      </c>
      <c r="D240" s="2123">
        <v>139</v>
      </c>
      <c r="E240" s="2124">
        <v>38.909999999999997</v>
      </c>
      <c r="F240" s="2125" t="s">
        <v>3058</v>
      </c>
    </row>
    <row r="241" spans="1:6">
      <c r="A241" s="2123">
        <v>613</v>
      </c>
      <c r="B241" s="2123">
        <v>11</v>
      </c>
      <c r="C241" s="2123">
        <v>1</v>
      </c>
      <c r="D241" s="2123">
        <v>140</v>
      </c>
      <c r="E241" s="2124">
        <v>33.049999999999997</v>
      </c>
      <c r="F241" s="2125" t="s">
        <v>3058</v>
      </c>
    </row>
    <row r="242" spans="1:6">
      <c r="A242" s="2123">
        <v>614</v>
      </c>
      <c r="B242" s="2123">
        <v>11</v>
      </c>
      <c r="C242" s="2123">
        <v>1</v>
      </c>
      <c r="D242" s="2123">
        <v>150</v>
      </c>
      <c r="E242" s="2124">
        <v>75.5</v>
      </c>
      <c r="F242" s="2125" t="s">
        <v>3058</v>
      </c>
    </row>
    <row r="243" spans="1:6">
      <c r="A243" s="2123">
        <v>615</v>
      </c>
      <c r="B243" s="2123">
        <v>11</v>
      </c>
      <c r="C243" s="2123">
        <v>1</v>
      </c>
      <c r="D243" s="2123">
        <v>151</v>
      </c>
      <c r="E243" s="2124">
        <v>94.2</v>
      </c>
      <c r="F243" s="2125" t="s">
        <v>3058</v>
      </c>
    </row>
    <row r="244" spans="1:6">
      <c r="A244" s="2123">
        <v>616</v>
      </c>
      <c r="B244" s="2123">
        <v>11</v>
      </c>
      <c r="C244" s="2123">
        <v>1</v>
      </c>
      <c r="D244" s="2123">
        <v>152</v>
      </c>
      <c r="E244" s="2124">
        <v>79.099999999999994</v>
      </c>
      <c r="F244" s="2125" t="s">
        <v>3058</v>
      </c>
    </row>
    <row r="245" spans="1:6">
      <c r="A245" s="2123">
        <v>617</v>
      </c>
      <c r="B245" s="2123">
        <v>11</v>
      </c>
      <c r="C245" s="2123">
        <v>1</v>
      </c>
      <c r="D245" s="2123">
        <v>153</v>
      </c>
      <c r="E245" s="2124">
        <v>75.510000000000005</v>
      </c>
      <c r="F245" s="2125" t="s">
        <v>3058</v>
      </c>
    </row>
    <row r="246" spans="1:6">
      <c r="A246" s="2123">
        <v>618</v>
      </c>
      <c r="B246" s="2123">
        <v>11</v>
      </c>
      <c r="C246" s="2123">
        <v>1</v>
      </c>
      <c r="D246" s="2123">
        <v>155</v>
      </c>
      <c r="E246" s="2124">
        <v>75.510000000000005</v>
      </c>
      <c r="F246" s="2125" t="s">
        <v>3058</v>
      </c>
    </row>
    <row r="247" spans="1:6">
      <c r="A247" s="2123">
        <v>619</v>
      </c>
      <c r="B247" s="2123">
        <v>11</v>
      </c>
      <c r="C247" s="2123">
        <v>1</v>
      </c>
      <c r="D247" s="2123">
        <v>156</v>
      </c>
      <c r="E247" s="2124">
        <v>75.5</v>
      </c>
      <c r="F247" s="2125" t="s">
        <v>3058</v>
      </c>
    </row>
    <row r="248" spans="1:6">
      <c r="A248" s="2123">
        <v>620</v>
      </c>
      <c r="B248" s="2123">
        <v>11</v>
      </c>
      <c r="C248" s="2123">
        <v>1</v>
      </c>
      <c r="D248" s="2123">
        <v>157</v>
      </c>
      <c r="E248" s="2124">
        <v>71.03</v>
      </c>
      <c r="F248" s="2125" t="s">
        <v>3058</v>
      </c>
    </row>
    <row r="249" spans="1:6">
      <c r="A249" s="2123">
        <v>621</v>
      </c>
      <c r="B249" s="2123">
        <v>11</v>
      </c>
      <c r="C249" s="2123">
        <v>1</v>
      </c>
      <c r="D249" s="2123">
        <v>158</v>
      </c>
      <c r="E249" s="2124">
        <v>76.03</v>
      </c>
      <c r="F249" s="2125" t="s">
        <v>3058</v>
      </c>
    </row>
    <row r="250" spans="1:6">
      <c r="A250" s="2123">
        <v>622</v>
      </c>
      <c r="B250" s="2123">
        <v>11</v>
      </c>
      <c r="C250" s="2123">
        <v>1</v>
      </c>
      <c r="D250" s="2123">
        <v>159</v>
      </c>
      <c r="E250" s="2124">
        <v>79.099999999999994</v>
      </c>
      <c r="F250" s="2125" t="s">
        <v>3058</v>
      </c>
    </row>
    <row r="251" spans="1:6">
      <c r="A251" s="2123">
        <v>623</v>
      </c>
      <c r="B251" s="2123">
        <v>11</v>
      </c>
      <c r="C251" s="2123">
        <v>1</v>
      </c>
      <c r="D251" s="2123">
        <v>160</v>
      </c>
      <c r="E251" s="2124">
        <v>75.510000000000005</v>
      </c>
      <c r="F251" s="2125" t="s">
        <v>3058</v>
      </c>
    </row>
    <row r="252" spans="1:6">
      <c r="A252" s="2123">
        <v>624</v>
      </c>
      <c r="B252" s="2123">
        <v>11</v>
      </c>
      <c r="C252" s="2123">
        <v>1</v>
      </c>
      <c r="D252" s="2123">
        <v>161</v>
      </c>
      <c r="E252" s="2124">
        <v>75.510000000000005</v>
      </c>
      <c r="F252" s="2125" t="s">
        <v>3058</v>
      </c>
    </row>
    <row r="253" spans="1:6">
      <c r="A253" s="2123">
        <v>625</v>
      </c>
      <c r="B253" s="2123">
        <v>11</v>
      </c>
      <c r="C253" s="2123">
        <v>1</v>
      </c>
      <c r="D253" s="2123">
        <v>162</v>
      </c>
      <c r="E253" s="2124">
        <v>75.510000000000005</v>
      </c>
      <c r="F253" s="2125" t="s">
        <v>3058</v>
      </c>
    </row>
    <row r="254" spans="1:6">
      <c r="A254" s="2123">
        <v>626</v>
      </c>
      <c r="B254" s="2123">
        <v>11</v>
      </c>
      <c r="C254" s="2123">
        <v>1</v>
      </c>
      <c r="D254" s="2123">
        <v>163</v>
      </c>
      <c r="E254" s="2124">
        <v>75.510000000000005</v>
      </c>
      <c r="F254" s="2125" t="s">
        <v>3058</v>
      </c>
    </row>
    <row r="255" spans="1:6">
      <c r="A255" s="2123">
        <v>627</v>
      </c>
      <c r="B255" s="2123">
        <v>11</v>
      </c>
      <c r="C255" s="2123">
        <v>1</v>
      </c>
      <c r="D255" s="2123">
        <v>165</v>
      </c>
      <c r="E255" s="2124">
        <v>79.099999999999994</v>
      </c>
      <c r="F255" s="2125" t="s">
        <v>3058</v>
      </c>
    </row>
    <row r="256" spans="1:6">
      <c r="A256" s="2123">
        <v>628</v>
      </c>
      <c r="B256" s="2123">
        <v>11</v>
      </c>
      <c r="C256" s="2123">
        <v>1</v>
      </c>
      <c r="D256" s="2123">
        <v>166</v>
      </c>
      <c r="E256" s="2124">
        <v>94.2</v>
      </c>
      <c r="F256" s="2125" t="s">
        <v>3058</v>
      </c>
    </row>
    <row r="257" spans="1:6">
      <c r="A257" s="2123">
        <v>629</v>
      </c>
      <c r="B257" s="2123">
        <v>11</v>
      </c>
      <c r="C257" s="2123">
        <v>1</v>
      </c>
      <c r="D257" s="2123">
        <v>167</v>
      </c>
      <c r="E257" s="2124">
        <v>75.319999999999993</v>
      </c>
      <c r="F257" s="2125" t="s">
        <v>3058</v>
      </c>
    </row>
    <row r="258" spans="1:6">
      <c r="A258" s="2123">
        <v>630</v>
      </c>
      <c r="B258" s="2123">
        <v>11</v>
      </c>
      <c r="C258" s="2123">
        <v>1</v>
      </c>
      <c r="D258" s="2123">
        <v>168</v>
      </c>
      <c r="E258" s="2124">
        <v>37.950000000000003</v>
      </c>
      <c r="F258" s="2125" t="s">
        <v>3058</v>
      </c>
    </row>
    <row r="259" spans="1:6">
      <c r="A259" s="2123">
        <v>631</v>
      </c>
      <c r="B259" s="2123">
        <v>11</v>
      </c>
      <c r="C259" s="2123">
        <v>1</v>
      </c>
      <c r="D259" s="2123">
        <v>169</v>
      </c>
      <c r="E259" s="2124">
        <v>40.69</v>
      </c>
      <c r="F259" s="2125" t="s">
        <v>3058</v>
      </c>
    </row>
    <row r="260" spans="1:6">
      <c r="A260" s="2119">
        <v>632</v>
      </c>
      <c r="B260" s="2119">
        <v>12</v>
      </c>
      <c r="C260" s="2119">
        <v>1</v>
      </c>
      <c r="D260" s="2119">
        <v>9</v>
      </c>
      <c r="E260" s="2119">
        <v>56.41</v>
      </c>
      <c r="F260" s="2119" t="s">
        <v>3058</v>
      </c>
    </row>
    <row r="261" spans="1:6">
      <c r="A261" s="2119">
        <v>633</v>
      </c>
      <c r="B261" s="2119">
        <v>12</v>
      </c>
      <c r="C261" s="2119">
        <v>1</v>
      </c>
      <c r="D261" s="2119">
        <v>10</v>
      </c>
      <c r="E261" s="2119">
        <v>169.64</v>
      </c>
      <c r="F261" s="2119" t="s">
        <v>3058</v>
      </c>
    </row>
    <row r="262" spans="1:6">
      <c r="A262" s="2119">
        <v>634</v>
      </c>
      <c r="B262" s="2119">
        <v>12</v>
      </c>
      <c r="C262" s="2119">
        <v>1</v>
      </c>
      <c r="D262" s="2119">
        <v>12</v>
      </c>
      <c r="E262" s="2119">
        <v>174.44</v>
      </c>
      <c r="F262" s="2119" t="s">
        <v>3058</v>
      </c>
    </row>
    <row r="263" spans="1:6">
      <c r="A263" s="2119">
        <v>635</v>
      </c>
      <c r="B263" s="2119">
        <v>12</v>
      </c>
      <c r="C263" s="2119">
        <v>1</v>
      </c>
      <c r="D263" s="2119">
        <v>15</v>
      </c>
      <c r="E263" s="2119">
        <v>81.98</v>
      </c>
      <c r="F263" s="2119" t="s">
        <v>3058</v>
      </c>
    </row>
    <row r="264" spans="1:6">
      <c r="A264" s="2119">
        <v>636</v>
      </c>
      <c r="B264" s="2119">
        <v>12</v>
      </c>
      <c r="C264" s="2119">
        <v>1</v>
      </c>
      <c r="D264" s="2119">
        <v>17</v>
      </c>
      <c r="E264" s="2119">
        <v>85.98</v>
      </c>
      <c r="F264" s="2119" t="s">
        <v>3058</v>
      </c>
    </row>
    <row r="265" spans="1:6">
      <c r="A265" s="2119">
        <v>637</v>
      </c>
      <c r="B265" s="2119">
        <v>12</v>
      </c>
      <c r="C265" s="2119">
        <v>1</v>
      </c>
      <c r="D265" s="2119">
        <v>18</v>
      </c>
      <c r="E265" s="2119">
        <v>160.47</v>
      </c>
      <c r="F265" s="2119" t="s">
        <v>3058</v>
      </c>
    </row>
    <row r="266" spans="1:6">
      <c r="A266" s="2119">
        <v>638</v>
      </c>
      <c r="B266" s="2119">
        <v>12</v>
      </c>
      <c r="C266" s="2119">
        <v>1</v>
      </c>
      <c r="D266" s="2119">
        <v>19</v>
      </c>
      <c r="E266" s="2119">
        <v>150.81</v>
      </c>
      <c r="F266" s="2119" t="s">
        <v>3058</v>
      </c>
    </row>
    <row r="267" spans="1:6">
      <c r="A267" s="2119">
        <v>639</v>
      </c>
      <c r="B267" s="2119">
        <v>12</v>
      </c>
      <c r="C267" s="2119">
        <v>1</v>
      </c>
      <c r="D267" s="2119">
        <v>20</v>
      </c>
      <c r="E267" s="2119">
        <v>63.63</v>
      </c>
      <c r="F267" s="2119" t="s">
        <v>3058</v>
      </c>
    </row>
    <row r="268" spans="1:6">
      <c r="A268" s="2119">
        <v>640</v>
      </c>
      <c r="B268" s="2119">
        <v>12</v>
      </c>
      <c r="C268" s="2119">
        <v>1</v>
      </c>
      <c r="D268" s="2119">
        <v>21</v>
      </c>
      <c r="E268" s="2119">
        <v>61.13</v>
      </c>
      <c r="F268" s="2119" t="s">
        <v>3058</v>
      </c>
    </row>
    <row r="269" spans="1:6">
      <c r="A269" s="2119">
        <v>641</v>
      </c>
      <c r="B269" s="2119">
        <v>12</v>
      </c>
      <c r="C269" s="2119">
        <v>1</v>
      </c>
      <c r="D269" s="2119">
        <v>22</v>
      </c>
      <c r="E269" s="2119">
        <v>5.91</v>
      </c>
      <c r="F269" s="2119" t="s">
        <v>3058</v>
      </c>
    </row>
    <row r="270" spans="1:6">
      <c r="A270" s="2119">
        <v>642</v>
      </c>
      <c r="B270" s="2119">
        <v>12</v>
      </c>
      <c r="C270" s="2119">
        <v>1</v>
      </c>
      <c r="D270" s="2119">
        <v>26</v>
      </c>
      <c r="E270" s="2119">
        <v>54.49</v>
      </c>
      <c r="F270" s="2119" t="s">
        <v>3058</v>
      </c>
    </row>
    <row r="271" spans="1:6">
      <c r="A271" s="2119">
        <v>643</v>
      </c>
      <c r="B271" s="2119">
        <v>12</v>
      </c>
      <c r="C271" s="2119">
        <v>1</v>
      </c>
      <c r="D271" s="2119">
        <v>32</v>
      </c>
      <c r="E271" s="2119">
        <v>55.43</v>
      </c>
      <c r="F271" s="2119" t="s">
        <v>3058</v>
      </c>
    </row>
    <row r="272" spans="1:6">
      <c r="A272" s="2119">
        <v>644</v>
      </c>
      <c r="B272" s="2119">
        <v>12</v>
      </c>
      <c r="C272" s="2119">
        <v>1</v>
      </c>
      <c r="D272" s="2119">
        <v>33</v>
      </c>
      <c r="E272" s="2119">
        <v>49.27</v>
      </c>
      <c r="F272" s="2119" t="s">
        <v>3058</v>
      </c>
    </row>
    <row r="273" spans="1:6">
      <c r="A273" s="2119">
        <v>645</v>
      </c>
      <c r="B273" s="2119">
        <v>12</v>
      </c>
      <c r="C273" s="2119">
        <v>1</v>
      </c>
      <c r="D273" s="2119">
        <v>36</v>
      </c>
      <c r="E273" s="2119">
        <v>57.46</v>
      </c>
      <c r="F273" s="2119" t="s">
        <v>3058</v>
      </c>
    </row>
    <row r="274" spans="1:6">
      <c r="A274" s="2119">
        <v>646</v>
      </c>
      <c r="B274" s="2119">
        <v>12</v>
      </c>
      <c r="C274" s="2119">
        <v>1</v>
      </c>
      <c r="D274" s="2119">
        <v>38</v>
      </c>
      <c r="E274" s="2119">
        <v>51.86</v>
      </c>
      <c r="F274" s="2119" t="s">
        <v>3058</v>
      </c>
    </row>
    <row r="275" spans="1:6">
      <c r="A275" s="2119">
        <v>647</v>
      </c>
      <c r="B275" s="2119">
        <v>12</v>
      </c>
      <c r="C275" s="2119">
        <v>1</v>
      </c>
      <c r="D275" s="2119">
        <v>43</v>
      </c>
      <c r="E275" s="2119">
        <v>59.05</v>
      </c>
      <c r="F275" s="2119" t="s">
        <v>3058</v>
      </c>
    </row>
    <row r="276" spans="1:6">
      <c r="A276" s="2119">
        <v>648</v>
      </c>
      <c r="B276" s="2119">
        <v>12</v>
      </c>
      <c r="C276" s="2119">
        <v>1</v>
      </c>
      <c r="D276" s="2119">
        <v>45</v>
      </c>
      <c r="E276" s="2119">
        <v>70.59</v>
      </c>
      <c r="F276" s="2119" t="s">
        <v>3058</v>
      </c>
    </row>
    <row r="277" spans="1:6">
      <c r="A277" s="2119">
        <v>649</v>
      </c>
      <c r="B277" s="2119">
        <v>12</v>
      </c>
      <c r="C277" s="2119">
        <v>1</v>
      </c>
      <c r="D277" s="2119">
        <v>48</v>
      </c>
      <c r="E277" s="2119">
        <v>112</v>
      </c>
      <c r="F277" s="2119" t="s">
        <v>3058</v>
      </c>
    </row>
    <row r="278" spans="1:6">
      <c r="A278" s="2119">
        <v>650</v>
      </c>
      <c r="B278" s="2119">
        <v>12</v>
      </c>
      <c r="C278" s="2119">
        <v>1</v>
      </c>
      <c r="D278" s="2119">
        <v>49</v>
      </c>
      <c r="E278" s="2119">
        <v>73.91</v>
      </c>
      <c r="F278" s="2119" t="s">
        <v>3058</v>
      </c>
    </row>
    <row r="279" spans="1:6">
      <c r="A279" s="2119">
        <v>651</v>
      </c>
      <c r="B279" s="2119">
        <v>12</v>
      </c>
      <c r="C279" s="2119">
        <v>1</v>
      </c>
      <c r="D279" s="2119">
        <v>52</v>
      </c>
      <c r="E279" s="2119">
        <v>51.62</v>
      </c>
      <c r="F279" s="2119" t="s">
        <v>3058</v>
      </c>
    </row>
    <row r="280" spans="1:6">
      <c r="A280" s="2119">
        <v>652</v>
      </c>
      <c r="B280" s="2119">
        <v>12</v>
      </c>
      <c r="C280" s="2119">
        <v>1</v>
      </c>
      <c r="D280" s="2119">
        <v>56</v>
      </c>
      <c r="E280" s="2119">
        <v>76.59</v>
      </c>
      <c r="F280" s="2119" t="s">
        <v>3058</v>
      </c>
    </row>
    <row r="281" spans="1:6">
      <c r="A281" s="2119">
        <v>653</v>
      </c>
      <c r="B281" s="2119">
        <v>12</v>
      </c>
      <c r="C281" s="2119">
        <v>1</v>
      </c>
      <c r="D281" s="2119">
        <v>57</v>
      </c>
      <c r="E281" s="2119">
        <v>74.459999999999994</v>
      </c>
      <c r="F281" s="2119" t="s">
        <v>3058</v>
      </c>
    </row>
    <row r="282" spans="1:6">
      <c r="A282" s="2119">
        <v>654</v>
      </c>
      <c r="B282" s="2119">
        <v>12</v>
      </c>
      <c r="C282" s="2119">
        <v>1</v>
      </c>
      <c r="D282" s="2119">
        <v>58</v>
      </c>
      <c r="E282" s="2119">
        <v>71.58</v>
      </c>
      <c r="F282" s="2119" t="s">
        <v>3058</v>
      </c>
    </row>
    <row r="283" spans="1:6">
      <c r="A283" s="2119">
        <v>655</v>
      </c>
      <c r="B283" s="2119">
        <v>12</v>
      </c>
      <c r="C283" s="2119">
        <v>1</v>
      </c>
      <c r="D283" s="2119">
        <v>62</v>
      </c>
      <c r="E283" s="2119">
        <v>34.31</v>
      </c>
      <c r="F283" s="2119" t="s">
        <v>3058</v>
      </c>
    </row>
    <row r="284" spans="1:6">
      <c r="A284" s="2119">
        <v>656</v>
      </c>
      <c r="B284" s="2119">
        <v>12</v>
      </c>
      <c r="C284" s="2119">
        <v>1</v>
      </c>
      <c r="D284" s="2119">
        <v>65</v>
      </c>
      <c r="E284" s="2119">
        <v>28.14</v>
      </c>
      <c r="F284" s="2119" t="s">
        <v>3058</v>
      </c>
    </row>
    <row r="285" spans="1:6">
      <c r="A285" s="2119">
        <v>657</v>
      </c>
      <c r="B285" s="2119">
        <v>12</v>
      </c>
      <c r="C285" s="2119">
        <v>1</v>
      </c>
      <c r="D285" s="2119">
        <v>66</v>
      </c>
      <c r="E285" s="2119">
        <v>74.44</v>
      </c>
      <c r="F285" s="2119" t="s">
        <v>3058</v>
      </c>
    </row>
    <row r="286" spans="1:6">
      <c r="A286" s="2119">
        <v>658</v>
      </c>
      <c r="B286" s="2119">
        <v>12</v>
      </c>
      <c r="C286" s="2119">
        <v>1</v>
      </c>
      <c r="D286" s="2119">
        <v>67</v>
      </c>
      <c r="E286" s="2119">
        <v>75.88</v>
      </c>
      <c r="F286" s="2119" t="s">
        <v>3058</v>
      </c>
    </row>
    <row r="287" spans="1:6">
      <c r="A287" s="2119">
        <v>659</v>
      </c>
      <c r="B287" s="2119">
        <v>12</v>
      </c>
      <c r="C287" s="2119">
        <v>1</v>
      </c>
      <c r="D287" s="2119">
        <v>68</v>
      </c>
      <c r="E287" s="2119">
        <v>74.45</v>
      </c>
      <c r="F287" s="2119" t="s">
        <v>3058</v>
      </c>
    </row>
    <row r="288" spans="1:6">
      <c r="A288" s="2119">
        <v>660</v>
      </c>
      <c r="B288" s="2119">
        <v>12</v>
      </c>
      <c r="C288" s="2119">
        <v>1</v>
      </c>
      <c r="D288" s="2119">
        <v>69</v>
      </c>
      <c r="E288" s="2119">
        <v>79.47</v>
      </c>
      <c r="F288" s="2119" t="s">
        <v>3058</v>
      </c>
    </row>
    <row r="289" spans="1:6">
      <c r="A289" s="2119">
        <v>661</v>
      </c>
      <c r="B289" s="2119">
        <v>12</v>
      </c>
      <c r="C289" s="2119">
        <v>1</v>
      </c>
      <c r="D289" s="2119">
        <v>70</v>
      </c>
      <c r="E289" s="2119">
        <v>83.87</v>
      </c>
      <c r="F289" s="2119" t="s">
        <v>3058</v>
      </c>
    </row>
    <row r="290" spans="1:6">
      <c r="A290" s="2119">
        <v>662</v>
      </c>
      <c r="B290" s="2119">
        <v>12</v>
      </c>
      <c r="C290" s="2119">
        <v>1</v>
      </c>
      <c r="D290" s="2119">
        <v>86</v>
      </c>
      <c r="E290" s="2119">
        <v>37.49</v>
      </c>
      <c r="F290" s="2119" t="s">
        <v>3058</v>
      </c>
    </row>
    <row r="291" spans="1:6">
      <c r="A291" s="2119">
        <v>663</v>
      </c>
      <c r="B291" s="2119">
        <v>12</v>
      </c>
      <c r="C291" s="2119">
        <v>1</v>
      </c>
      <c r="D291" s="2119">
        <v>90</v>
      </c>
      <c r="E291" s="2119">
        <v>190.95</v>
      </c>
      <c r="F291" s="2119" t="s">
        <v>3058</v>
      </c>
    </row>
    <row r="292" spans="1:6">
      <c r="A292" s="2119">
        <v>664</v>
      </c>
      <c r="B292" s="2119">
        <v>12</v>
      </c>
      <c r="C292" s="2119">
        <v>1</v>
      </c>
      <c r="D292" s="2119">
        <v>98</v>
      </c>
      <c r="E292" s="2119">
        <v>72.67</v>
      </c>
      <c r="F292" s="2119" t="s">
        <v>3058</v>
      </c>
    </row>
    <row r="293" spans="1:6">
      <c r="A293" s="2119">
        <v>665</v>
      </c>
      <c r="B293" s="2119">
        <v>12</v>
      </c>
      <c r="C293" s="2119">
        <v>1</v>
      </c>
      <c r="D293" s="2119">
        <v>99</v>
      </c>
      <c r="E293" s="2119">
        <v>71.959999999999994</v>
      </c>
      <c r="F293" s="2119" t="s">
        <v>3058</v>
      </c>
    </row>
    <row r="294" spans="1:6">
      <c r="A294" s="2119">
        <v>666</v>
      </c>
      <c r="B294" s="2119">
        <v>12</v>
      </c>
      <c r="C294" s="2119">
        <v>1</v>
      </c>
      <c r="D294" s="2119">
        <v>100</v>
      </c>
      <c r="E294" s="2119">
        <v>73.349999999999994</v>
      </c>
      <c r="F294" s="2119" t="s">
        <v>3058</v>
      </c>
    </row>
    <row r="295" spans="1:6">
      <c r="A295" s="2119">
        <v>667</v>
      </c>
      <c r="B295" s="2119">
        <v>12</v>
      </c>
      <c r="C295" s="2119">
        <v>1</v>
      </c>
      <c r="D295" s="2119">
        <v>101</v>
      </c>
      <c r="E295" s="2119">
        <v>67.86</v>
      </c>
      <c r="F295" s="2119" t="s">
        <v>3058</v>
      </c>
    </row>
    <row r="296" spans="1:6">
      <c r="A296" s="2119">
        <v>668</v>
      </c>
      <c r="B296" s="2119">
        <v>12</v>
      </c>
      <c r="C296" s="2119">
        <v>1</v>
      </c>
      <c r="D296" s="2119">
        <v>102</v>
      </c>
      <c r="E296" s="2119">
        <v>76.92</v>
      </c>
      <c r="F296" s="2119" t="s">
        <v>3058</v>
      </c>
    </row>
    <row r="297" spans="1:6">
      <c r="A297" s="2119">
        <v>669</v>
      </c>
      <c r="B297" s="2119">
        <v>12</v>
      </c>
      <c r="C297" s="2119">
        <v>1</v>
      </c>
      <c r="D297" s="2119">
        <v>103</v>
      </c>
      <c r="E297" s="2119">
        <v>59.82</v>
      </c>
      <c r="F297" s="2119" t="s">
        <v>3058</v>
      </c>
    </row>
    <row r="298" spans="1:6">
      <c r="A298" s="2119">
        <v>670</v>
      </c>
      <c r="B298" s="2119">
        <v>12</v>
      </c>
      <c r="C298" s="2119">
        <v>1</v>
      </c>
      <c r="D298" s="2119">
        <v>105</v>
      </c>
      <c r="E298" s="2119">
        <v>70.13</v>
      </c>
      <c r="F298" s="2119" t="s">
        <v>3058</v>
      </c>
    </row>
    <row r="299" spans="1:6">
      <c r="A299" s="2119">
        <v>671</v>
      </c>
      <c r="B299" s="2119">
        <v>12</v>
      </c>
      <c r="C299" s="2119">
        <v>1</v>
      </c>
      <c r="D299" s="2119">
        <v>106</v>
      </c>
      <c r="E299" s="2119">
        <v>72.650000000000006</v>
      </c>
      <c r="F299" s="2119" t="s">
        <v>3058</v>
      </c>
    </row>
    <row r="300" spans="1:6">
      <c r="A300" s="2119">
        <v>672</v>
      </c>
      <c r="B300" s="2119">
        <v>12</v>
      </c>
      <c r="C300" s="2119">
        <v>1</v>
      </c>
      <c r="D300" s="2119">
        <v>107</v>
      </c>
      <c r="E300" s="2119">
        <v>72.64</v>
      </c>
      <c r="F300" s="2119" t="s">
        <v>3058</v>
      </c>
    </row>
    <row r="301" spans="1:6">
      <c r="A301" s="2119">
        <v>673</v>
      </c>
      <c r="B301" s="2119">
        <v>12</v>
      </c>
      <c r="C301" s="2119">
        <v>1</v>
      </c>
      <c r="D301" s="2119">
        <v>108</v>
      </c>
      <c r="E301" s="2119">
        <v>72.650000000000006</v>
      </c>
      <c r="F301" s="2119" t="s">
        <v>3058</v>
      </c>
    </row>
    <row r="302" spans="1:6">
      <c r="A302" s="2119">
        <v>674</v>
      </c>
      <c r="B302" s="2119">
        <v>12</v>
      </c>
      <c r="C302" s="2119">
        <v>1</v>
      </c>
      <c r="D302" s="2119">
        <v>109</v>
      </c>
      <c r="E302" s="2119">
        <v>76.099999999999994</v>
      </c>
      <c r="F302" s="2119" t="s">
        <v>3058</v>
      </c>
    </row>
    <row r="303" spans="1:6">
      <c r="A303" s="2119">
        <v>675</v>
      </c>
      <c r="B303" s="2119">
        <v>12</v>
      </c>
      <c r="C303" s="2119">
        <v>1</v>
      </c>
      <c r="D303" s="2119">
        <v>110</v>
      </c>
      <c r="E303" s="2119">
        <v>90.63</v>
      </c>
      <c r="F303" s="2119" t="s">
        <v>3058</v>
      </c>
    </row>
    <row r="304" spans="1:6">
      <c r="A304" s="2119">
        <v>676</v>
      </c>
      <c r="B304" s="2119">
        <v>12</v>
      </c>
      <c r="C304" s="2119">
        <v>1</v>
      </c>
      <c r="D304" s="2119">
        <v>111</v>
      </c>
      <c r="E304" s="2119">
        <v>148.08000000000001</v>
      </c>
      <c r="F304" s="2119" t="s">
        <v>3058</v>
      </c>
    </row>
    <row r="305" spans="1:6">
      <c r="A305" s="2119">
        <v>697</v>
      </c>
      <c r="B305" s="2119" t="s">
        <v>3054</v>
      </c>
      <c r="C305" s="2119">
        <v>1</v>
      </c>
      <c r="D305" s="2119">
        <v>7</v>
      </c>
      <c r="E305" s="2120">
        <v>88.99</v>
      </c>
      <c r="F305" s="2119"/>
    </row>
    <row r="306" spans="1:6">
      <c r="A306" s="2119">
        <v>698</v>
      </c>
      <c r="B306" s="2119" t="s">
        <v>3054</v>
      </c>
      <c r="C306" s="2119">
        <v>4</v>
      </c>
      <c r="D306" s="2119">
        <v>1</v>
      </c>
      <c r="E306" s="2120">
        <v>97.37</v>
      </c>
      <c r="F306" s="2119"/>
    </row>
    <row r="307" spans="1:6">
      <c r="A307" s="2119">
        <v>699</v>
      </c>
      <c r="B307" s="2119" t="s">
        <v>3054</v>
      </c>
      <c r="C307" s="2119">
        <v>4</v>
      </c>
      <c r="D307" s="2119">
        <v>2</v>
      </c>
      <c r="E307" s="2120">
        <v>65.58</v>
      </c>
      <c r="F307" s="2119"/>
    </row>
    <row r="308" spans="1:6">
      <c r="A308" s="2119">
        <v>700</v>
      </c>
      <c r="B308" s="2119" t="s">
        <v>3054</v>
      </c>
      <c r="C308" s="2119">
        <v>4</v>
      </c>
      <c r="D308" s="2119">
        <v>3</v>
      </c>
      <c r="E308" s="2120">
        <v>65.62</v>
      </c>
      <c r="F308" s="2119"/>
    </row>
    <row r="309" spans="1:6">
      <c r="A309" s="2119">
        <v>701</v>
      </c>
      <c r="B309" s="2119" t="s">
        <v>3054</v>
      </c>
      <c r="C309" s="2119">
        <v>4</v>
      </c>
      <c r="D309" s="2119">
        <v>5</v>
      </c>
      <c r="E309" s="2120">
        <v>117.18</v>
      </c>
      <c r="F309" s="2119"/>
    </row>
    <row r="310" spans="1:6">
      <c r="A310" s="2119">
        <v>702</v>
      </c>
      <c r="B310" s="2119" t="s">
        <v>3054</v>
      </c>
      <c r="C310" s="2119">
        <v>4</v>
      </c>
      <c r="D310" s="2119">
        <v>7</v>
      </c>
      <c r="E310" s="2120">
        <v>123.51</v>
      </c>
      <c r="F310" s="2119"/>
    </row>
    <row r="311" spans="1:6">
      <c r="A311" s="2119">
        <v>703</v>
      </c>
      <c r="B311" s="2119" t="s">
        <v>3054</v>
      </c>
      <c r="C311" s="2119">
        <v>4</v>
      </c>
      <c r="D311" s="2119">
        <v>8</v>
      </c>
      <c r="E311" s="2120">
        <v>65.61</v>
      </c>
      <c r="F311" s="2119"/>
    </row>
    <row r="312" spans="1:6">
      <c r="A312" s="2119">
        <v>704</v>
      </c>
      <c r="B312" s="2119" t="s">
        <v>3054</v>
      </c>
      <c r="C312" s="2119">
        <v>4</v>
      </c>
      <c r="D312" s="2119">
        <v>9</v>
      </c>
      <c r="E312" s="2120">
        <v>65.59</v>
      </c>
      <c r="F312" s="2119"/>
    </row>
    <row r="313" spans="1:6">
      <c r="A313" s="2119">
        <v>705</v>
      </c>
      <c r="B313" s="2119" t="s">
        <v>3054</v>
      </c>
      <c r="C313" s="2119">
        <v>4</v>
      </c>
      <c r="D313" s="2119">
        <v>20</v>
      </c>
      <c r="E313" s="2120">
        <v>65.239999999999995</v>
      </c>
      <c r="F313" s="2119"/>
    </row>
    <row r="314" spans="1:6">
      <c r="A314" s="2119">
        <v>706</v>
      </c>
      <c r="B314" s="2119" t="s">
        <v>3054</v>
      </c>
      <c r="C314" s="2119">
        <v>4</v>
      </c>
      <c r="D314" s="2119">
        <v>21</v>
      </c>
      <c r="E314" s="2120">
        <v>78.19</v>
      </c>
      <c r="F314" s="2119"/>
    </row>
    <row r="315" spans="1:6">
      <c r="A315" s="2119">
        <v>707</v>
      </c>
      <c r="B315" s="2119" t="s">
        <v>3054</v>
      </c>
      <c r="C315" s="2119">
        <v>4</v>
      </c>
      <c r="D315" s="2119">
        <v>22</v>
      </c>
      <c r="E315" s="2120">
        <v>74.260000000000005</v>
      </c>
      <c r="F315" s="2119"/>
    </row>
    <row r="316" spans="1:6">
      <c r="A316" s="2119">
        <v>708</v>
      </c>
      <c r="B316" s="2119" t="s">
        <v>3054</v>
      </c>
      <c r="C316" s="2119">
        <v>4</v>
      </c>
      <c r="D316" s="2119">
        <v>23</v>
      </c>
      <c r="E316" s="2120">
        <v>80.44</v>
      </c>
      <c r="F316" s="2119"/>
    </row>
    <row r="317" spans="1:6">
      <c r="A317" s="2119">
        <v>709</v>
      </c>
      <c r="B317" s="2119" t="s">
        <v>3054</v>
      </c>
      <c r="C317" s="2119">
        <v>4</v>
      </c>
      <c r="D317" s="2119">
        <v>25</v>
      </c>
      <c r="E317" s="2120">
        <v>67.17</v>
      </c>
      <c r="F317" s="2119"/>
    </row>
    <row r="318" spans="1:6">
      <c r="A318" s="2119">
        <v>710</v>
      </c>
      <c r="B318" s="2119" t="s">
        <v>3054</v>
      </c>
      <c r="C318" s="2119">
        <v>4</v>
      </c>
      <c r="D318" s="2119">
        <v>37</v>
      </c>
      <c r="E318" s="2120">
        <v>55.5</v>
      </c>
      <c r="F318" s="2119"/>
    </row>
    <row r="319" spans="1:6">
      <c r="A319" s="2119">
        <v>711</v>
      </c>
      <c r="B319" s="2119" t="s">
        <v>3054</v>
      </c>
      <c r="C319" s="2119">
        <v>4</v>
      </c>
      <c r="D319" s="2119">
        <v>38</v>
      </c>
      <c r="E319" s="2120">
        <v>49.95</v>
      </c>
      <c r="F319" s="2119"/>
    </row>
    <row r="320" spans="1:6">
      <c r="A320" s="2119">
        <v>712</v>
      </c>
      <c r="B320" s="2119" t="s">
        <v>3054</v>
      </c>
      <c r="C320" s="2119">
        <v>4</v>
      </c>
      <c r="D320" s="2119">
        <v>39</v>
      </c>
      <c r="E320" s="2120">
        <v>43.21</v>
      </c>
      <c r="F320" s="2119"/>
    </row>
    <row r="321" spans="1:6">
      <c r="A321" s="2119">
        <v>713</v>
      </c>
      <c r="B321" s="2119" t="s">
        <v>3054</v>
      </c>
      <c r="C321" s="2119">
        <v>4</v>
      </c>
      <c r="D321" s="2119">
        <v>40</v>
      </c>
      <c r="E321" s="2120">
        <v>73.55</v>
      </c>
      <c r="F321" s="2119"/>
    </row>
    <row r="322" spans="1:6">
      <c r="A322" s="2119">
        <v>714</v>
      </c>
      <c r="B322" s="2119" t="s">
        <v>3054</v>
      </c>
      <c r="C322" s="2119">
        <v>4</v>
      </c>
      <c r="D322" s="2119">
        <v>41</v>
      </c>
      <c r="E322" s="2120">
        <v>79.77</v>
      </c>
      <c r="F322" s="2119"/>
    </row>
    <row r="323" spans="1:6">
      <c r="A323" s="2119">
        <v>715</v>
      </c>
      <c r="B323" s="2119" t="s">
        <v>3054</v>
      </c>
      <c r="C323" s="2119">
        <v>4</v>
      </c>
      <c r="D323" s="2119">
        <v>42</v>
      </c>
      <c r="E323" s="2120">
        <v>67.489999999999995</v>
      </c>
      <c r="F323" s="2119"/>
    </row>
    <row r="324" spans="1:6">
      <c r="A324" s="2119">
        <v>716</v>
      </c>
      <c r="B324" s="2119" t="s">
        <v>3054</v>
      </c>
      <c r="C324" s="2119">
        <v>4</v>
      </c>
      <c r="D324" s="2119">
        <v>43</v>
      </c>
      <c r="E324" s="2120">
        <v>75.489999999999995</v>
      </c>
      <c r="F324" s="2119"/>
    </row>
    <row r="325" spans="1:6">
      <c r="A325" s="2119">
        <v>717</v>
      </c>
      <c r="B325" s="2119" t="s">
        <v>3054</v>
      </c>
      <c r="C325" s="2119">
        <v>4</v>
      </c>
      <c r="D325" s="2119">
        <v>45</v>
      </c>
      <c r="E325" s="2120">
        <v>74.62</v>
      </c>
      <c r="F325" s="2119"/>
    </row>
    <row r="326" spans="1:6">
      <c r="A326" s="2119">
        <v>718</v>
      </c>
      <c r="B326" s="2119" t="s">
        <v>3054</v>
      </c>
      <c r="C326" s="2119">
        <v>4</v>
      </c>
      <c r="D326" s="2119">
        <v>46</v>
      </c>
      <c r="E326" s="2120">
        <v>71.92</v>
      </c>
      <c r="F326" s="2119"/>
    </row>
    <row r="327" spans="1:6">
      <c r="A327" s="2119">
        <v>719</v>
      </c>
      <c r="B327" s="2119" t="s">
        <v>3054</v>
      </c>
      <c r="C327" s="2119">
        <v>4</v>
      </c>
      <c r="D327" s="2119">
        <v>47</v>
      </c>
      <c r="E327" s="2120">
        <v>43.13</v>
      </c>
      <c r="F327" s="2119"/>
    </row>
    <row r="328" spans="1:6">
      <c r="A328" s="2119">
        <v>720</v>
      </c>
      <c r="B328" s="2119" t="s">
        <v>3054</v>
      </c>
      <c r="C328" s="2119">
        <v>4</v>
      </c>
      <c r="D328" s="2119">
        <v>48</v>
      </c>
      <c r="E328" s="2120">
        <v>67.3</v>
      </c>
      <c r="F328" s="2119"/>
    </row>
    <row r="329" spans="1:6">
      <c r="A329" s="2119">
        <v>721</v>
      </c>
      <c r="B329" s="2119" t="s">
        <v>3054</v>
      </c>
      <c r="C329" s="2119">
        <v>4</v>
      </c>
      <c r="D329" s="2119">
        <v>49</v>
      </c>
      <c r="E329" s="2120">
        <v>72.59</v>
      </c>
      <c r="F329" s="2119"/>
    </row>
    <row r="330" spans="1:6">
      <c r="A330" s="2119">
        <v>722</v>
      </c>
      <c r="B330" s="2119" t="s">
        <v>3054</v>
      </c>
      <c r="C330" s="2119">
        <v>4</v>
      </c>
      <c r="D330" s="2119">
        <v>50</v>
      </c>
      <c r="E330" s="2120">
        <v>72.540000000000006</v>
      </c>
      <c r="F330" s="2119"/>
    </row>
    <row r="331" spans="1:6">
      <c r="A331" s="2119">
        <v>723</v>
      </c>
      <c r="B331" s="2119" t="s">
        <v>3054</v>
      </c>
      <c r="C331" s="2119">
        <v>4</v>
      </c>
      <c r="D331" s="2119">
        <v>51</v>
      </c>
      <c r="E331" s="2120">
        <v>66.900000000000006</v>
      </c>
      <c r="F331" s="2119"/>
    </row>
    <row r="332" spans="1:6">
      <c r="A332" s="2119">
        <v>724</v>
      </c>
      <c r="B332" s="2119" t="s">
        <v>3054</v>
      </c>
      <c r="C332" s="2119">
        <v>4</v>
      </c>
      <c r="D332" s="2119">
        <v>53</v>
      </c>
      <c r="E332" s="2120">
        <v>54.81</v>
      </c>
      <c r="F332" s="2119"/>
    </row>
    <row r="333" spans="1:6">
      <c r="A333" s="2119">
        <v>725</v>
      </c>
      <c r="B333" s="2119" t="s">
        <v>3054</v>
      </c>
      <c r="C333" s="2119">
        <v>4</v>
      </c>
      <c r="D333" s="2119">
        <v>55</v>
      </c>
      <c r="E333" s="2120">
        <v>41.72</v>
      </c>
      <c r="F333" s="2119"/>
    </row>
    <row r="334" spans="1:6">
      <c r="A334" s="2119">
        <v>726</v>
      </c>
      <c r="B334" s="2119" t="s">
        <v>3054</v>
      </c>
      <c r="C334" s="2119">
        <v>4</v>
      </c>
      <c r="D334" s="2119">
        <v>56</v>
      </c>
      <c r="E334" s="2120">
        <v>91.99</v>
      </c>
      <c r="F334" s="2119"/>
    </row>
    <row r="335" spans="1:6">
      <c r="A335" s="2119">
        <v>727</v>
      </c>
      <c r="B335" s="2119" t="s">
        <v>3054</v>
      </c>
      <c r="C335" s="2119">
        <v>4</v>
      </c>
      <c r="D335" s="2119">
        <v>57</v>
      </c>
      <c r="E335" s="2120">
        <v>91.99</v>
      </c>
      <c r="F335" s="2119"/>
    </row>
    <row r="336" spans="1:6">
      <c r="A336" s="2119">
        <v>728</v>
      </c>
      <c r="B336" s="2119" t="s">
        <v>3054</v>
      </c>
      <c r="C336" s="2119">
        <v>4</v>
      </c>
      <c r="D336" s="2119">
        <v>58</v>
      </c>
      <c r="E336" s="2120">
        <v>63.08</v>
      </c>
      <c r="F336" s="2119"/>
    </row>
    <row r="337" spans="1:6">
      <c r="A337" s="2119">
        <v>729</v>
      </c>
      <c r="B337" s="2119" t="s">
        <v>3054</v>
      </c>
      <c r="C337" s="2119">
        <v>4</v>
      </c>
      <c r="D337" s="2119">
        <v>62</v>
      </c>
      <c r="E337" s="2120">
        <v>44.34</v>
      </c>
      <c r="F337" s="2119"/>
    </row>
    <row r="338" spans="1:6">
      <c r="A338" s="2119">
        <v>730</v>
      </c>
      <c r="B338" s="2119" t="s">
        <v>3054</v>
      </c>
      <c r="C338" s="2119">
        <v>4</v>
      </c>
      <c r="D338" s="2119">
        <v>76</v>
      </c>
      <c r="E338" s="2120">
        <v>67.28</v>
      </c>
      <c r="F338" s="2119"/>
    </row>
    <row r="339" spans="1:6">
      <c r="A339" s="2119">
        <v>731</v>
      </c>
      <c r="B339" s="2119" t="s">
        <v>3054</v>
      </c>
      <c r="C339" s="2119">
        <v>4</v>
      </c>
      <c r="D339" s="2119">
        <v>77</v>
      </c>
      <c r="E339" s="2120">
        <v>53.86</v>
      </c>
      <c r="F339" s="2119"/>
    </row>
    <row r="340" spans="1:6">
      <c r="A340" s="2119">
        <v>732</v>
      </c>
      <c r="B340" s="2119" t="s">
        <v>3054</v>
      </c>
      <c r="C340" s="2119">
        <v>4</v>
      </c>
      <c r="D340" s="2119">
        <v>78</v>
      </c>
      <c r="E340" s="2120">
        <v>63.5</v>
      </c>
      <c r="F340" s="2119"/>
    </row>
    <row r="341" spans="1:6">
      <c r="A341" s="2119">
        <v>733</v>
      </c>
      <c r="B341" s="2119" t="s">
        <v>3054</v>
      </c>
      <c r="C341" s="2119">
        <v>4</v>
      </c>
      <c r="D341" s="2119">
        <v>79</v>
      </c>
      <c r="E341" s="2120">
        <v>59.16</v>
      </c>
      <c r="F341" s="2119"/>
    </row>
    <row r="342" spans="1:6">
      <c r="A342" s="2119">
        <v>734</v>
      </c>
      <c r="B342" s="2119" t="s">
        <v>3054</v>
      </c>
      <c r="C342" s="2119">
        <v>4</v>
      </c>
      <c r="D342" s="2119">
        <v>80</v>
      </c>
      <c r="E342" s="2120">
        <v>58.82</v>
      </c>
      <c r="F342" s="2119"/>
    </row>
    <row r="343" spans="1:6">
      <c r="A343" s="2119">
        <v>735</v>
      </c>
      <c r="B343" s="2119" t="s">
        <v>3054</v>
      </c>
      <c r="C343" s="2119">
        <v>4</v>
      </c>
      <c r="D343" s="2119">
        <v>82</v>
      </c>
      <c r="E343" s="2120">
        <v>80.790000000000006</v>
      </c>
      <c r="F343" s="2119"/>
    </row>
    <row r="344" spans="1:6">
      <c r="A344" s="2119">
        <v>736</v>
      </c>
      <c r="B344" s="2119" t="s">
        <v>3054</v>
      </c>
      <c r="C344" s="2119">
        <v>4</v>
      </c>
      <c r="D344" s="2119">
        <v>83</v>
      </c>
      <c r="E344" s="2120">
        <v>107.3</v>
      </c>
      <c r="F344" s="2119"/>
    </row>
    <row r="345" spans="1:6">
      <c r="A345" s="2119">
        <v>737</v>
      </c>
      <c r="B345" s="2119" t="s">
        <v>3054</v>
      </c>
      <c r="C345" s="2119">
        <v>4</v>
      </c>
      <c r="D345" s="2119">
        <v>85</v>
      </c>
      <c r="E345" s="2120">
        <v>88.89</v>
      </c>
      <c r="F345" s="2119"/>
    </row>
    <row r="346" spans="1:6">
      <c r="A346" s="2119">
        <v>738</v>
      </c>
      <c r="B346" s="2119" t="s">
        <v>3054</v>
      </c>
      <c r="C346" s="2119">
        <v>4</v>
      </c>
      <c r="D346" s="2119">
        <v>92</v>
      </c>
      <c r="E346" s="2120">
        <v>54.99</v>
      </c>
      <c r="F346" s="2119"/>
    </row>
    <row r="347" spans="1:6">
      <c r="A347" s="2119">
        <v>739</v>
      </c>
      <c r="B347" s="2119" t="s">
        <v>3054</v>
      </c>
      <c r="C347" s="2119">
        <v>-1</v>
      </c>
      <c r="D347" s="2119">
        <v>56</v>
      </c>
      <c r="E347" s="2120">
        <v>42.93</v>
      </c>
      <c r="F347" s="2119"/>
    </row>
    <row r="348" spans="1:6">
      <c r="A348" s="2119">
        <v>740</v>
      </c>
      <c r="B348" s="2119" t="s">
        <v>3054</v>
      </c>
      <c r="C348" s="2119">
        <v>-1</v>
      </c>
      <c r="D348" s="2119">
        <v>57</v>
      </c>
      <c r="E348" s="2120">
        <v>58.53</v>
      </c>
      <c r="F348" s="2119"/>
    </row>
    <row r="349" spans="1:6">
      <c r="A349" s="2119">
        <v>741</v>
      </c>
      <c r="B349" s="2119" t="s">
        <v>3054</v>
      </c>
      <c r="C349" s="2119">
        <v>-1</v>
      </c>
      <c r="D349" s="2119">
        <v>58</v>
      </c>
      <c r="E349" s="2120">
        <v>67.930000000000007</v>
      </c>
      <c r="F349" s="2119"/>
    </row>
    <row r="350" spans="1:6">
      <c r="A350" s="2119">
        <v>742</v>
      </c>
      <c r="B350" s="2119" t="s">
        <v>3054</v>
      </c>
      <c r="C350" s="2119">
        <v>-1</v>
      </c>
      <c r="D350" s="2119">
        <v>113</v>
      </c>
      <c r="E350" s="2120">
        <v>60.57</v>
      </c>
      <c r="F350" s="2119"/>
    </row>
    <row r="351" spans="1:6">
      <c r="A351" s="2119">
        <v>743</v>
      </c>
      <c r="B351" s="2119" t="s">
        <v>3054</v>
      </c>
      <c r="C351" s="2119">
        <v>-1</v>
      </c>
      <c r="D351" s="2119">
        <v>300</v>
      </c>
      <c r="E351" s="2120">
        <v>49.07</v>
      </c>
      <c r="F351" s="2119"/>
    </row>
    <row r="352" spans="1:6">
      <c r="A352" s="2119">
        <v>744</v>
      </c>
      <c r="B352" s="2119" t="s">
        <v>3054</v>
      </c>
      <c r="C352" s="2119">
        <v>-1</v>
      </c>
      <c r="D352" s="2119">
        <v>301</v>
      </c>
      <c r="E352" s="2120">
        <v>68.34</v>
      </c>
      <c r="F352" s="2119"/>
    </row>
    <row r="353" spans="1:6">
      <c r="A353" s="2119">
        <v>745</v>
      </c>
      <c r="B353" s="2119" t="s">
        <v>3054</v>
      </c>
      <c r="C353" s="2119">
        <v>-1</v>
      </c>
      <c r="D353" s="2119">
        <v>302</v>
      </c>
      <c r="E353" s="2120">
        <v>43.49</v>
      </c>
      <c r="F353" s="2119"/>
    </row>
    <row r="354" spans="1:6">
      <c r="A354" s="2119">
        <v>746</v>
      </c>
      <c r="B354" s="2119" t="s">
        <v>3054</v>
      </c>
      <c r="C354" s="2119">
        <v>-1</v>
      </c>
      <c r="D354" s="2119">
        <v>303</v>
      </c>
      <c r="E354" s="2120">
        <v>42.61</v>
      </c>
      <c r="F354" s="2119"/>
    </row>
    <row r="355" spans="1:6">
      <c r="A355" s="2119">
        <v>747</v>
      </c>
      <c r="B355" s="2119" t="s">
        <v>3054</v>
      </c>
      <c r="C355" s="2119">
        <v>-1</v>
      </c>
      <c r="D355" s="2119">
        <v>305</v>
      </c>
      <c r="E355" s="2120">
        <v>61.51</v>
      </c>
      <c r="F355" s="2119"/>
    </row>
    <row r="356" spans="1:6">
      <c r="A356" s="2119">
        <v>748</v>
      </c>
      <c r="B356" s="2119" t="s">
        <v>3054</v>
      </c>
      <c r="C356" s="2119">
        <v>-1</v>
      </c>
      <c r="D356" s="2119">
        <v>306</v>
      </c>
      <c r="E356" s="2120">
        <v>60.41</v>
      </c>
      <c r="F356" s="2119"/>
    </row>
    <row r="357" spans="1:6">
      <c r="A357" s="2119">
        <v>749</v>
      </c>
      <c r="B357" s="2119" t="s">
        <v>3054</v>
      </c>
      <c r="C357" s="2119">
        <v>-1</v>
      </c>
      <c r="D357" s="2119">
        <v>307</v>
      </c>
      <c r="E357" s="2120">
        <v>58.18</v>
      </c>
      <c r="F357" s="2119"/>
    </row>
    <row r="358" spans="1:6">
      <c r="A358" s="2119">
        <v>750</v>
      </c>
      <c r="B358" s="2119" t="s">
        <v>3055</v>
      </c>
      <c r="C358" s="2119">
        <v>1</v>
      </c>
      <c r="D358" s="2119">
        <v>145</v>
      </c>
      <c r="E358" s="2120">
        <v>45.36</v>
      </c>
      <c r="F358" s="2119"/>
    </row>
    <row r="359" spans="1:6">
      <c r="A359" s="2119">
        <v>751</v>
      </c>
      <c r="B359" s="2119" t="s">
        <v>3055</v>
      </c>
      <c r="C359" s="2119">
        <v>1</v>
      </c>
      <c r="D359" s="2119">
        <v>165</v>
      </c>
      <c r="E359" s="2120">
        <v>73.38</v>
      </c>
      <c r="F359" s="2119"/>
    </row>
    <row r="360" spans="1:6">
      <c r="A360" s="2119">
        <v>752</v>
      </c>
      <c r="B360" s="2119" t="s">
        <v>3055</v>
      </c>
      <c r="C360" s="2119">
        <v>2</v>
      </c>
      <c r="D360" s="2119">
        <v>26</v>
      </c>
      <c r="E360" s="2120">
        <v>38.96</v>
      </c>
      <c r="F360" s="2119"/>
    </row>
    <row r="361" spans="1:6">
      <c r="A361" s="2119">
        <v>753</v>
      </c>
      <c r="B361" s="2119" t="s">
        <v>3055</v>
      </c>
      <c r="C361" s="2119">
        <v>2</v>
      </c>
      <c r="D361" s="2119">
        <v>65</v>
      </c>
      <c r="E361" s="2120">
        <v>118.41</v>
      </c>
      <c r="F361" s="2119"/>
    </row>
    <row r="362" spans="1:6">
      <c r="A362" s="2119">
        <v>754</v>
      </c>
      <c r="B362" s="2119" t="s">
        <v>3055</v>
      </c>
      <c r="C362" s="2119">
        <v>2</v>
      </c>
      <c r="D362" s="2119">
        <v>103</v>
      </c>
      <c r="E362" s="2120">
        <v>120.99</v>
      </c>
      <c r="F362" s="2119"/>
    </row>
    <row r="363" spans="1:6">
      <c r="A363" s="2119">
        <v>755</v>
      </c>
      <c r="B363" s="2119" t="s">
        <v>3055</v>
      </c>
      <c r="C363" s="2119">
        <v>2</v>
      </c>
      <c r="D363" s="2119">
        <v>146</v>
      </c>
      <c r="E363" s="2120">
        <v>68.010000000000005</v>
      </c>
      <c r="F363" s="2119"/>
    </row>
    <row r="364" spans="1:6">
      <c r="A364" s="2119">
        <v>756</v>
      </c>
      <c r="B364" s="2119" t="s">
        <v>3055</v>
      </c>
      <c r="C364" s="2119">
        <v>2</v>
      </c>
      <c r="D364" s="2119">
        <v>168</v>
      </c>
      <c r="E364" s="2120">
        <v>69.709999999999994</v>
      </c>
      <c r="F364" s="2119"/>
    </row>
    <row r="365" spans="1:6">
      <c r="A365" s="2119">
        <v>757</v>
      </c>
      <c r="B365" s="2119" t="s">
        <v>3055</v>
      </c>
      <c r="C365" s="2119">
        <v>2</v>
      </c>
      <c r="D365" s="2119">
        <v>245</v>
      </c>
      <c r="E365" s="2120">
        <v>59.14</v>
      </c>
      <c r="F365" s="2119"/>
    </row>
    <row r="366" spans="1:6">
      <c r="A366" s="2119">
        <v>758</v>
      </c>
      <c r="B366" s="2119" t="s">
        <v>3055</v>
      </c>
      <c r="C366" s="2119">
        <v>3</v>
      </c>
      <c r="D366" s="2119">
        <v>166</v>
      </c>
      <c r="E366" s="2120">
        <v>90.46</v>
      </c>
      <c r="F366" s="2119"/>
    </row>
    <row r="367" spans="1:6">
      <c r="A367" s="2119">
        <v>759</v>
      </c>
      <c r="B367" s="2119" t="s">
        <v>3056</v>
      </c>
      <c r="C367" s="2119">
        <v>1</v>
      </c>
      <c r="D367" s="2119">
        <v>27</v>
      </c>
      <c r="E367" s="2120">
        <v>97.36</v>
      </c>
      <c r="F367" s="2119"/>
    </row>
    <row r="368" spans="1:6">
      <c r="A368" s="2119">
        <v>760</v>
      </c>
      <c r="B368" s="2119" t="s">
        <v>3056</v>
      </c>
      <c r="C368" s="2119">
        <v>-1</v>
      </c>
      <c r="D368" s="2119">
        <v>247</v>
      </c>
      <c r="E368" s="2120">
        <v>80</v>
      </c>
      <c r="F368" s="2119"/>
    </row>
    <row r="369" spans="1:6">
      <c r="A369" s="2119">
        <v>761</v>
      </c>
      <c r="B369" s="2119" t="s">
        <v>3056</v>
      </c>
      <c r="C369" s="2119">
        <v>-1</v>
      </c>
      <c r="D369" s="2119">
        <v>308</v>
      </c>
      <c r="E369" s="2120">
        <v>38.67</v>
      </c>
      <c r="F369" s="2119"/>
    </row>
    <row r="370" spans="1:6">
      <c r="A370" s="2119">
        <v>762</v>
      </c>
      <c r="B370" s="2119" t="s">
        <v>3056</v>
      </c>
      <c r="C370" s="2119">
        <v>-1</v>
      </c>
      <c r="D370" s="2119">
        <v>313</v>
      </c>
      <c r="E370" s="2120">
        <v>64.33</v>
      </c>
      <c r="F370" s="2119"/>
    </row>
    <row r="371" spans="1:6">
      <c r="A371" s="2119">
        <v>763</v>
      </c>
      <c r="B371" s="2119" t="s">
        <v>3056</v>
      </c>
      <c r="C371" s="2119">
        <v>-1</v>
      </c>
      <c r="D371" s="2119">
        <v>315</v>
      </c>
      <c r="E371" s="2120">
        <v>64.33</v>
      </c>
      <c r="F371" s="2119"/>
    </row>
    <row r="372" spans="1:6">
      <c r="A372" s="2119">
        <v>764</v>
      </c>
      <c r="B372" s="2119" t="s">
        <v>3056</v>
      </c>
      <c r="C372" s="2119">
        <v>-1</v>
      </c>
      <c r="D372" s="2119">
        <v>316</v>
      </c>
      <c r="E372" s="2120">
        <v>64.33</v>
      </c>
      <c r="F372" s="2119"/>
    </row>
    <row r="373" spans="1:6">
      <c r="A373" s="2119">
        <v>765</v>
      </c>
      <c r="B373" s="2119" t="s">
        <v>3056</v>
      </c>
      <c r="C373" s="2119">
        <v>-1</v>
      </c>
      <c r="D373" s="2119">
        <v>336</v>
      </c>
      <c r="E373" s="2120">
        <v>64.33</v>
      </c>
      <c r="F373" s="2119"/>
    </row>
    <row r="374" spans="1:6">
      <c r="A374" s="2119">
        <v>766</v>
      </c>
      <c r="B374" s="2119" t="s">
        <v>3056</v>
      </c>
      <c r="C374" s="2119">
        <v>-1</v>
      </c>
      <c r="D374" s="2119">
        <v>337</v>
      </c>
      <c r="E374" s="2120">
        <v>62.5</v>
      </c>
      <c r="F374" s="2119"/>
    </row>
    <row r="375" spans="1:6">
      <c r="A375" s="2119">
        <v>767</v>
      </c>
      <c r="B375" s="2119" t="s">
        <v>3057</v>
      </c>
      <c r="C375" s="2119">
        <v>1</v>
      </c>
      <c r="D375" s="2119">
        <v>22</v>
      </c>
      <c r="E375" s="2120">
        <v>70.260000000000005</v>
      </c>
      <c r="F375" s="2119"/>
    </row>
    <row r="376" spans="1:6">
      <c r="A376" s="2119">
        <v>768</v>
      </c>
      <c r="B376" s="2119" t="s">
        <v>3057</v>
      </c>
      <c r="C376" s="2119">
        <v>1</v>
      </c>
      <c r="D376" s="2119">
        <v>151</v>
      </c>
      <c r="E376" s="2120">
        <v>81.45</v>
      </c>
      <c r="F376" s="2119"/>
    </row>
    <row r="377" spans="1:6">
      <c r="A377" s="2119">
        <v>769</v>
      </c>
      <c r="B377" s="2119" t="s">
        <v>3057</v>
      </c>
      <c r="C377" s="2119">
        <v>1</v>
      </c>
      <c r="D377" s="2119">
        <v>152</v>
      </c>
      <c r="E377" s="2120">
        <v>38.130000000000003</v>
      </c>
      <c r="F377" s="2119"/>
    </row>
    <row r="378" spans="1:6">
      <c r="E378" s="2117">
        <f>SUM(E2:E377)</f>
        <v>25283.950000000023</v>
      </c>
    </row>
    <row r="379" spans="1:6">
      <c r="E379" s="2117">
        <f>E378+Sheet2!E293</f>
        <v>44525.130000000012</v>
      </c>
    </row>
  </sheetData>
  <autoFilter ref="A1:F379">
    <sortState ref="A2:F379">
      <sortCondition ref="A1"/>
    </sortState>
  </autoFilter>
  <phoneticPr fontId="143" type="noConversion"/>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XEW562"/>
  <sheetViews>
    <sheetView workbookViewId="0">
      <selection activeCell="E4" sqref="E4"/>
    </sheetView>
  </sheetViews>
  <sheetFormatPr defaultColWidth="9" defaultRowHeight="18.75"/>
  <cols>
    <col min="1" max="4" width="9" style="2126"/>
    <col min="5" max="5" width="13.25" style="2126" customWidth="1"/>
    <col min="6" max="16377" width="9" style="2126"/>
    <col min="16378" max="16384" width="9" style="2137"/>
  </cols>
  <sheetData>
    <row r="1" spans="1:5" s="2126" customFormat="1"/>
    <row r="2" spans="1:5" s="2126" customFormat="1">
      <c r="A2" s="4016" t="s">
        <v>3059</v>
      </c>
      <c r="B2" s="4017"/>
      <c r="C2" s="4017"/>
      <c r="D2" s="4017"/>
      <c r="E2" s="4017"/>
    </row>
    <row r="3" spans="1:5" s="2126" customFormat="1">
      <c r="A3" s="2127" t="s">
        <v>3049</v>
      </c>
      <c r="B3" s="2127" t="s">
        <v>3050</v>
      </c>
      <c r="C3" s="2127" t="s">
        <v>3051</v>
      </c>
      <c r="D3" s="2127" t="s">
        <v>3052</v>
      </c>
      <c r="E3" s="2127" t="s">
        <v>3053</v>
      </c>
    </row>
    <row r="4" spans="1:5" s="2126" customFormat="1">
      <c r="A4" s="2128">
        <v>1</v>
      </c>
      <c r="B4" s="2129" t="s">
        <v>3054</v>
      </c>
      <c r="C4" s="2129">
        <v>1</v>
      </c>
      <c r="D4" s="2129">
        <v>22</v>
      </c>
      <c r="E4" s="2129">
        <v>71.430000000000007</v>
      </c>
    </row>
    <row r="5" spans="1:5" s="2126" customFormat="1">
      <c r="A5" s="2128">
        <v>2</v>
      </c>
      <c r="B5" s="2129" t="s">
        <v>3054</v>
      </c>
      <c r="C5" s="2129">
        <v>1</v>
      </c>
      <c r="D5" s="2129">
        <v>23</v>
      </c>
      <c r="E5" s="2129">
        <v>69.5</v>
      </c>
    </row>
    <row r="6" spans="1:5" s="2126" customFormat="1">
      <c r="A6" s="2128">
        <v>3</v>
      </c>
      <c r="B6" s="2129" t="s">
        <v>3054</v>
      </c>
      <c r="C6" s="2129">
        <v>1</v>
      </c>
      <c r="D6" s="2129">
        <v>26</v>
      </c>
      <c r="E6" s="2129">
        <v>95.51</v>
      </c>
    </row>
    <row r="7" spans="1:5" s="2126" customFormat="1">
      <c r="A7" s="2128">
        <v>4</v>
      </c>
      <c r="B7" s="2129" t="s">
        <v>3054</v>
      </c>
      <c r="C7" s="2129">
        <v>1</v>
      </c>
      <c r="D7" s="2129">
        <v>171</v>
      </c>
      <c r="E7" s="2129">
        <v>43.46</v>
      </c>
    </row>
    <row r="8" spans="1:5" s="2126" customFormat="1">
      <c r="A8" s="2128">
        <v>5</v>
      </c>
      <c r="B8" s="2129" t="s">
        <v>3054</v>
      </c>
      <c r="C8" s="2129">
        <v>1</v>
      </c>
      <c r="D8" s="2129">
        <v>186</v>
      </c>
      <c r="E8" s="2129">
        <v>89.77</v>
      </c>
    </row>
    <row r="9" spans="1:5" s="2126" customFormat="1" hidden="1">
      <c r="A9" s="2128">
        <v>6</v>
      </c>
      <c r="B9" s="2129" t="s">
        <v>3054</v>
      </c>
      <c r="C9" s="2129">
        <v>2</v>
      </c>
      <c r="D9" s="2129">
        <v>41</v>
      </c>
      <c r="E9" s="2129">
        <v>48.27</v>
      </c>
    </row>
    <row r="10" spans="1:5" s="2126" customFormat="1" hidden="1">
      <c r="A10" s="2128">
        <v>7</v>
      </c>
      <c r="B10" s="2129" t="s">
        <v>3054</v>
      </c>
      <c r="C10" s="2129">
        <v>2</v>
      </c>
      <c r="D10" s="2129">
        <v>42</v>
      </c>
      <c r="E10" s="2129">
        <v>62.79</v>
      </c>
    </row>
    <row r="11" spans="1:5" s="2126" customFormat="1" hidden="1">
      <c r="A11" s="2128">
        <v>8</v>
      </c>
      <c r="B11" s="2129" t="s">
        <v>3054</v>
      </c>
      <c r="C11" s="2129">
        <v>2</v>
      </c>
      <c r="D11" s="2129">
        <v>43</v>
      </c>
      <c r="E11" s="2129">
        <v>33.92</v>
      </c>
    </row>
    <row r="12" spans="1:5" s="2126" customFormat="1" hidden="1">
      <c r="A12" s="2128">
        <v>9</v>
      </c>
      <c r="B12" s="2129" t="s">
        <v>3054</v>
      </c>
      <c r="C12" s="2129">
        <v>2</v>
      </c>
      <c r="D12" s="2129">
        <v>57</v>
      </c>
      <c r="E12" s="2129">
        <v>25.38</v>
      </c>
    </row>
    <row r="13" spans="1:5" s="2126" customFormat="1" hidden="1">
      <c r="A13" s="2128">
        <v>10</v>
      </c>
      <c r="B13" s="2129" t="s">
        <v>3054</v>
      </c>
      <c r="C13" s="2129">
        <v>2</v>
      </c>
      <c r="D13" s="2129">
        <v>128</v>
      </c>
      <c r="E13" s="2129">
        <v>115.72</v>
      </c>
    </row>
    <row r="14" spans="1:5" s="2126" customFormat="1" hidden="1">
      <c r="A14" s="2128">
        <v>11</v>
      </c>
      <c r="B14" s="2129" t="s">
        <v>3054</v>
      </c>
      <c r="C14" s="2129">
        <v>2</v>
      </c>
      <c r="D14" s="2129">
        <v>233</v>
      </c>
      <c r="E14" s="2129">
        <v>42.78</v>
      </c>
    </row>
    <row r="15" spans="1:5" s="2126" customFormat="1" hidden="1">
      <c r="A15" s="2128">
        <v>12</v>
      </c>
      <c r="B15" s="2129" t="s">
        <v>3054</v>
      </c>
      <c r="C15" s="2129">
        <v>2</v>
      </c>
      <c r="D15" s="2129">
        <v>235</v>
      </c>
      <c r="E15" s="2129">
        <v>42.78</v>
      </c>
    </row>
    <row r="16" spans="1:5" s="2126" customFormat="1" hidden="1">
      <c r="A16" s="2128">
        <v>13</v>
      </c>
      <c r="B16" s="2129" t="s">
        <v>3054</v>
      </c>
      <c r="C16" s="2129">
        <v>3</v>
      </c>
      <c r="D16" s="2129">
        <v>65</v>
      </c>
      <c r="E16" s="2129">
        <v>60.66</v>
      </c>
    </row>
    <row r="17" spans="1:5" s="2126" customFormat="1" hidden="1">
      <c r="A17" s="2128">
        <v>14</v>
      </c>
      <c r="B17" s="2129" t="s">
        <v>3054</v>
      </c>
      <c r="C17" s="2129">
        <v>3</v>
      </c>
      <c r="D17" s="2129">
        <v>75</v>
      </c>
      <c r="E17" s="2129">
        <v>55.2</v>
      </c>
    </row>
    <row r="18" spans="1:5" s="2126" customFormat="1" hidden="1">
      <c r="A18" s="2128">
        <v>15</v>
      </c>
      <c r="B18" s="2129" t="s">
        <v>3054</v>
      </c>
      <c r="C18" s="2129">
        <v>-1</v>
      </c>
      <c r="D18" s="2129">
        <v>31</v>
      </c>
      <c r="E18" s="2129">
        <v>45.97</v>
      </c>
    </row>
    <row r="19" spans="1:5" s="2126" customFormat="1" hidden="1">
      <c r="A19" s="2128">
        <v>16</v>
      </c>
      <c r="B19" s="2129" t="s">
        <v>3054</v>
      </c>
      <c r="C19" s="2129">
        <v>-1</v>
      </c>
      <c r="D19" s="2129">
        <v>42</v>
      </c>
      <c r="E19" s="2129">
        <v>23.9</v>
      </c>
    </row>
    <row r="20" spans="1:5" s="2126" customFormat="1" hidden="1">
      <c r="A20" s="2128">
        <v>17</v>
      </c>
      <c r="B20" s="2129" t="s">
        <v>3054</v>
      </c>
      <c r="C20" s="2129">
        <v>-1</v>
      </c>
      <c r="D20" s="2129">
        <v>96</v>
      </c>
      <c r="E20" s="2129">
        <v>76.540000000000006</v>
      </c>
    </row>
    <row r="21" spans="1:5" s="2126" customFormat="1" hidden="1">
      <c r="A21" s="2128">
        <v>18</v>
      </c>
      <c r="B21" s="2129" t="s">
        <v>3054</v>
      </c>
      <c r="C21" s="2129">
        <v>-1</v>
      </c>
      <c r="D21" s="2129">
        <v>153</v>
      </c>
      <c r="E21" s="2129">
        <v>85.33</v>
      </c>
    </row>
    <row r="22" spans="1:5" s="2126" customFormat="1" hidden="1">
      <c r="A22" s="2128">
        <v>19</v>
      </c>
      <c r="B22" s="2129" t="s">
        <v>3054</v>
      </c>
      <c r="C22" s="2129">
        <v>-1</v>
      </c>
      <c r="D22" s="2129">
        <v>157</v>
      </c>
      <c r="E22" s="2129">
        <v>51.08</v>
      </c>
    </row>
    <row r="23" spans="1:5" s="2126" customFormat="1" hidden="1">
      <c r="A23" s="2128">
        <v>20</v>
      </c>
      <c r="B23" s="2129" t="s">
        <v>3054</v>
      </c>
      <c r="C23" s="2129">
        <v>-1</v>
      </c>
      <c r="D23" s="2129">
        <v>160</v>
      </c>
      <c r="E23" s="2129">
        <v>48.86</v>
      </c>
    </row>
    <row r="24" spans="1:5" s="2126" customFormat="1" hidden="1">
      <c r="A24" s="2128">
        <v>21</v>
      </c>
      <c r="B24" s="2129" t="s">
        <v>3054</v>
      </c>
      <c r="C24" s="2129">
        <v>-1</v>
      </c>
      <c r="D24" s="2129">
        <v>279</v>
      </c>
      <c r="E24" s="2129">
        <v>84.5</v>
      </c>
    </row>
    <row r="25" spans="1:5" s="2126" customFormat="1">
      <c r="A25" s="2128">
        <v>22</v>
      </c>
      <c r="B25" s="2129" t="s">
        <v>3055</v>
      </c>
      <c r="C25" s="2129">
        <v>1</v>
      </c>
      <c r="D25" s="2129">
        <v>71</v>
      </c>
      <c r="E25" s="2129">
        <v>138.15</v>
      </c>
    </row>
    <row r="26" spans="1:5" s="2126" customFormat="1">
      <c r="A26" s="2128">
        <v>23</v>
      </c>
      <c r="B26" s="2129" t="s">
        <v>3055</v>
      </c>
      <c r="C26" s="2129">
        <v>1</v>
      </c>
      <c r="D26" s="2129">
        <v>130</v>
      </c>
      <c r="E26" s="2129">
        <v>44.39</v>
      </c>
    </row>
    <row r="27" spans="1:5" s="2126" customFormat="1" hidden="1">
      <c r="A27" s="2128">
        <v>24</v>
      </c>
      <c r="B27" s="2129" t="s">
        <v>3055</v>
      </c>
      <c r="C27" s="2129">
        <v>2</v>
      </c>
      <c r="D27" s="2129">
        <v>3</v>
      </c>
      <c r="E27" s="2129">
        <v>38.96</v>
      </c>
    </row>
    <row r="28" spans="1:5" s="2126" customFormat="1" hidden="1">
      <c r="A28" s="2128">
        <v>25</v>
      </c>
      <c r="B28" s="2129" t="s">
        <v>3055</v>
      </c>
      <c r="C28" s="2129">
        <v>2</v>
      </c>
      <c r="D28" s="2129">
        <v>82</v>
      </c>
      <c r="E28" s="2129">
        <v>39.94</v>
      </c>
    </row>
    <row r="29" spans="1:5" s="2126" customFormat="1" hidden="1">
      <c r="A29" s="2128">
        <v>26</v>
      </c>
      <c r="B29" s="2129" t="s">
        <v>3055</v>
      </c>
      <c r="C29" s="2129">
        <v>2</v>
      </c>
      <c r="D29" s="2129">
        <v>83</v>
      </c>
      <c r="E29" s="2129">
        <v>27.96</v>
      </c>
    </row>
    <row r="30" spans="1:5" s="2126" customFormat="1" hidden="1">
      <c r="A30" s="2128">
        <v>27</v>
      </c>
      <c r="B30" s="2129" t="s">
        <v>3055</v>
      </c>
      <c r="C30" s="2129">
        <v>2</v>
      </c>
      <c r="D30" s="2129">
        <v>108</v>
      </c>
      <c r="E30" s="2129">
        <v>79.03</v>
      </c>
    </row>
    <row r="31" spans="1:5" s="2126" customFormat="1" hidden="1">
      <c r="A31" s="2128">
        <v>28</v>
      </c>
      <c r="B31" s="2129" t="s">
        <v>3055</v>
      </c>
      <c r="C31" s="2129">
        <v>2</v>
      </c>
      <c r="D31" s="2129">
        <v>116</v>
      </c>
      <c r="E31" s="2129">
        <v>118.85</v>
      </c>
    </row>
    <row r="32" spans="1:5" s="2126" customFormat="1" hidden="1">
      <c r="A32" s="2128">
        <v>29</v>
      </c>
      <c r="B32" s="2129" t="s">
        <v>3055</v>
      </c>
      <c r="C32" s="2129">
        <v>2</v>
      </c>
      <c r="D32" s="2129">
        <v>131</v>
      </c>
      <c r="E32" s="2129">
        <v>79.17</v>
      </c>
    </row>
    <row r="33" spans="1:5" s="2126" customFormat="1" hidden="1">
      <c r="A33" s="2128">
        <v>30</v>
      </c>
      <c r="B33" s="2129" t="s">
        <v>3055</v>
      </c>
      <c r="C33" s="2129">
        <v>2</v>
      </c>
      <c r="D33" s="2129">
        <v>132</v>
      </c>
      <c r="E33" s="2129">
        <v>44.03</v>
      </c>
    </row>
    <row r="34" spans="1:5" s="2126" customFormat="1" hidden="1">
      <c r="A34" s="2128">
        <v>31</v>
      </c>
      <c r="B34" s="2129" t="s">
        <v>3055</v>
      </c>
      <c r="C34" s="2129">
        <v>2</v>
      </c>
      <c r="D34" s="2129">
        <v>133</v>
      </c>
      <c r="E34" s="2129">
        <v>45.29</v>
      </c>
    </row>
    <row r="35" spans="1:5" s="2126" customFormat="1" hidden="1">
      <c r="A35" s="2128">
        <v>32</v>
      </c>
      <c r="B35" s="2129" t="s">
        <v>3055</v>
      </c>
      <c r="C35" s="2129">
        <v>2</v>
      </c>
      <c r="D35" s="2129">
        <v>189</v>
      </c>
      <c r="E35" s="2129">
        <v>25.73</v>
      </c>
    </row>
    <row r="36" spans="1:5" s="2126" customFormat="1" hidden="1">
      <c r="A36" s="2128">
        <v>33</v>
      </c>
      <c r="B36" s="2129" t="s">
        <v>3055</v>
      </c>
      <c r="C36" s="2129">
        <v>2</v>
      </c>
      <c r="D36" s="2129">
        <v>190</v>
      </c>
      <c r="E36" s="2129">
        <v>44.85</v>
      </c>
    </row>
    <row r="37" spans="1:5" s="2126" customFormat="1" hidden="1">
      <c r="A37" s="2128">
        <v>34</v>
      </c>
      <c r="B37" s="2129" t="s">
        <v>3055</v>
      </c>
      <c r="C37" s="2129">
        <v>2</v>
      </c>
      <c r="D37" s="2129">
        <v>195</v>
      </c>
      <c r="E37" s="2129">
        <v>42.84</v>
      </c>
    </row>
    <row r="38" spans="1:5" s="2126" customFormat="1" hidden="1">
      <c r="A38" s="2128">
        <v>35</v>
      </c>
      <c r="B38" s="2129" t="s">
        <v>3055</v>
      </c>
      <c r="C38" s="2129">
        <v>2</v>
      </c>
      <c r="D38" s="2129">
        <v>196</v>
      </c>
      <c r="E38" s="2129">
        <v>42.84</v>
      </c>
    </row>
    <row r="39" spans="1:5" s="2126" customFormat="1" hidden="1">
      <c r="A39" s="2128">
        <v>36</v>
      </c>
      <c r="B39" s="2129" t="s">
        <v>3055</v>
      </c>
      <c r="C39" s="2129">
        <v>2</v>
      </c>
      <c r="D39" s="2129">
        <v>226</v>
      </c>
      <c r="E39" s="2129">
        <v>39.51</v>
      </c>
    </row>
    <row r="40" spans="1:5" s="2126" customFormat="1" hidden="1">
      <c r="A40" s="2128">
        <v>37</v>
      </c>
      <c r="B40" s="2129" t="s">
        <v>3055</v>
      </c>
      <c r="C40" s="2129">
        <v>2</v>
      </c>
      <c r="D40" s="2129">
        <v>239</v>
      </c>
      <c r="E40" s="2129">
        <v>39.49</v>
      </c>
    </row>
    <row r="41" spans="1:5" s="2126" customFormat="1" hidden="1">
      <c r="A41" s="2128">
        <v>38</v>
      </c>
      <c r="B41" s="2129" t="s">
        <v>3055</v>
      </c>
      <c r="C41" s="2129">
        <v>3</v>
      </c>
      <c r="D41" s="2129">
        <v>77</v>
      </c>
      <c r="E41" s="2129">
        <v>39.79</v>
      </c>
    </row>
    <row r="42" spans="1:5" s="2126" customFormat="1" hidden="1">
      <c r="A42" s="2128">
        <v>39</v>
      </c>
      <c r="B42" s="2129" t="s">
        <v>3055</v>
      </c>
      <c r="C42" s="2129">
        <v>3</v>
      </c>
      <c r="D42" s="2129">
        <v>78</v>
      </c>
      <c r="E42" s="2129">
        <v>27.85</v>
      </c>
    </row>
    <row r="43" spans="1:5" s="2126" customFormat="1" hidden="1">
      <c r="A43" s="2128">
        <v>40</v>
      </c>
      <c r="B43" s="2129" t="s">
        <v>3055</v>
      </c>
      <c r="C43" s="2129">
        <v>3</v>
      </c>
      <c r="D43" s="2129">
        <v>146</v>
      </c>
      <c r="E43" s="2129">
        <v>131</v>
      </c>
    </row>
    <row r="44" spans="1:5" s="2126" customFormat="1" hidden="1">
      <c r="A44" s="2128">
        <v>41</v>
      </c>
      <c r="B44" s="2129" t="s">
        <v>3055</v>
      </c>
      <c r="C44" s="2129">
        <v>3</v>
      </c>
      <c r="D44" s="2129">
        <v>175</v>
      </c>
      <c r="E44" s="2129">
        <v>105.82</v>
      </c>
    </row>
    <row r="45" spans="1:5" s="2126" customFormat="1" hidden="1">
      <c r="A45" s="2128">
        <v>42</v>
      </c>
      <c r="B45" s="2129" t="s">
        <v>3055</v>
      </c>
      <c r="C45" s="2129">
        <v>4</v>
      </c>
      <c r="D45" s="2129">
        <v>40</v>
      </c>
      <c r="E45" s="2129">
        <v>64.8</v>
      </c>
    </row>
    <row r="46" spans="1:5" s="2126" customFormat="1" hidden="1">
      <c r="A46" s="2128">
        <v>43</v>
      </c>
      <c r="B46" s="2129" t="s">
        <v>3055</v>
      </c>
      <c r="C46" s="2129">
        <v>4</v>
      </c>
      <c r="D46" s="2129">
        <v>55</v>
      </c>
      <c r="E46" s="2129">
        <v>63.09</v>
      </c>
    </row>
    <row r="47" spans="1:5" s="2126" customFormat="1" hidden="1">
      <c r="A47" s="2128">
        <v>44</v>
      </c>
      <c r="B47" s="2129" t="s">
        <v>3055</v>
      </c>
      <c r="C47" s="2129">
        <v>4</v>
      </c>
      <c r="D47" s="2129">
        <v>56</v>
      </c>
      <c r="E47" s="2129">
        <v>65.05</v>
      </c>
    </row>
    <row r="48" spans="1:5" s="2126" customFormat="1" hidden="1">
      <c r="A48" s="2128">
        <v>45</v>
      </c>
      <c r="B48" s="2129" t="s">
        <v>3055</v>
      </c>
      <c r="C48" s="2129">
        <v>4</v>
      </c>
      <c r="D48" s="2129">
        <v>57</v>
      </c>
      <c r="E48" s="2129">
        <v>122.68</v>
      </c>
    </row>
    <row r="49" spans="1:5" s="2126" customFormat="1" hidden="1">
      <c r="A49" s="2128">
        <v>46</v>
      </c>
      <c r="B49" s="2129" t="s">
        <v>3055</v>
      </c>
      <c r="C49" s="2129">
        <v>4</v>
      </c>
      <c r="D49" s="2129">
        <v>58</v>
      </c>
      <c r="E49" s="2129">
        <v>136.9</v>
      </c>
    </row>
    <row r="50" spans="1:5" s="2126" customFormat="1" hidden="1">
      <c r="A50" s="2128">
        <v>47</v>
      </c>
      <c r="B50" s="2129" t="s">
        <v>3055</v>
      </c>
      <c r="C50" s="2129">
        <v>5</v>
      </c>
      <c r="D50" s="2129">
        <v>47</v>
      </c>
      <c r="E50" s="2129">
        <v>39.909999999999997</v>
      </c>
    </row>
    <row r="51" spans="1:5" s="2126" customFormat="1" hidden="1">
      <c r="A51" s="2128">
        <v>48</v>
      </c>
      <c r="B51" s="2129" t="s">
        <v>3055</v>
      </c>
      <c r="C51" s="2129">
        <v>-1</v>
      </c>
      <c r="D51" s="2129">
        <v>85</v>
      </c>
      <c r="E51" s="2129">
        <v>51.7</v>
      </c>
    </row>
    <row r="52" spans="1:5" s="2126" customFormat="1" hidden="1">
      <c r="A52" s="2128">
        <v>49</v>
      </c>
      <c r="B52" s="2129" t="s">
        <v>3055</v>
      </c>
      <c r="C52" s="2129">
        <v>-1</v>
      </c>
      <c r="D52" s="2129">
        <v>96</v>
      </c>
      <c r="E52" s="2129">
        <v>75.13</v>
      </c>
    </row>
    <row r="53" spans="1:5" s="2126" customFormat="1" hidden="1">
      <c r="A53" s="2128">
        <v>50</v>
      </c>
      <c r="B53" s="2129" t="s">
        <v>3055</v>
      </c>
      <c r="C53" s="2129">
        <v>-1</v>
      </c>
      <c r="D53" s="2129">
        <v>105</v>
      </c>
      <c r="E53" s="2129">
        <v>27.26</v>
      </c>
    </row>
    <row r="54" spans="1:5" s="2126" customFormat="1" hidden="1">
      <c r="A54" s="2128">
        <v>51</v>
      </c>
      <c r="B54" s="2129" t="s">
        <v>3055</v>
      </c>
      <c r="C54" s="2129">
        <v>-1</v>
      </c>
      <c r="D54" s="2129">
        <v>183</v>
      </c>
      <c r="E54" s="2129">
        <v>101.16</v>
      </c>
    </row>
    <row r="55" spans="1:5" s="2126" customFormat="1" hidden="1">
      <c r="A55" s="2128">
        <v>52</v>
      </c>
      <c r="B55" s="2129" t="s">
        <v>3055</v>
      </c>
      <c r="C55" s="2129">
        <v>-1</v>
      </c>
      <c r="D55" s="2129">
        <v>230</v>
      </c>
      <c r="E55" s="2129">
        <v>56.53</v>
      </c>
    </row>
    <row r="56" spans="1:5" s="2126" customFormat="1" hidden="1">
      <c r="A56" s="2128">
        <v>53</v>
      </c>
      <c r="B56" s="2129" t="s">
        <v>3055</v>
      </c>
      <c r="C56" s="2129">
        <v>-2</v>
      </c>
      <c r="D56" s="2129">
        <v>105</v>
      </c>
      <c r="E56" s="2129">
        <v>74.87</v>
      </c>
    </row>
    <row r="57" spans="1:5" s="2126" customFormat="1" hidden="1">
      <c r="A57" s="2128">
        <v>54</v>
      </c>
      <c r="B57" s="2129" t="s">
        <v>3055</v>
      </c>
      <c r="C57" s="2129">
        <v>-2</v>
      </c>
      <c r="D57" s="2129">
        <v>106</v>
      </c>
      <c r="E57" s="2129">
        <v>125.62</v>
      </c>
    </row>
    <row r="58" spans="1:5" s="2126" customFormat="1">
      <c r="A58" s="2128">
        <v>55</v>
      </c>
      <c r="B58" s="2130" t="s">
        <v>3056</v>
      </c>
      <c r="C58" s="2130">
        <v>1</v>
      </c>
      <c r="D58" s="2130">
        <v>69</v>
      </c>
      <c r="E58" s="2130">
        <v>52.16</v>
      </c>
    </row>
    <row r="59" spans="1:5" s="2126" customFormat="1">
      <c r="A59" s="2128">
        <v>56</v>
      </c>
      <c r="B59" s="2130" t="s">
        <v>3056</v>
      </c>
      <c r="C59" s="2130">
        <v>1</v>
      </c>
      <c r="D59" s="2130">
        <v>70</v>
      </c>
      <c r="E59" s="2130">
        <v>53.61</v>
      </c>
    </row>
    <row r="60" spans="1:5" s="2126" customFormat="1">
      <c r="A60" s="2128">
        <v>57</v>
      </c>
      <c r="B60" s="2130" t="s">
        <v>3056</v>
      </c>
      <c r="C60" s="2130">
        <v>1</v>
      </c>
      <c r="D60" s="2130">
        <v>71</v>
      </c>
      <c r="E60" s="2130">
        <v>54.96</v>
      </c>
    </row>
    <row r="61" spans="1:5" s="2126" customFormat="1">
      <c r="A61" s="2128">
        <v>58</v>
      </c>
      <c r="B61" s="2130" t="s">
        <v>3056</v>
      </c>
      <c r="C61" s="2130">
        <v>1</v>
      </c>
      <c r="D61" s="2130">
        <v>72</v>
      </c>
      <c r="E61" s="2130">
        <v>54.4</v>
      </c>
    </row>
    <row r="62" spans="1:5" s="2126" customFormat="1">
      <c r="A62" s="2128">
        <v>59</v>
      </c>
      <c r="B62" s="2130" t="s">
        <v>3056</v>
      </c>
      <c r="C62" s="2130">
        <v>1</v>
      </c>
      <c r="D62" s="2130">
        <v>73</v>
      </c>
      <c r="E62" s="2130">
        <v>66.37</v>
      </c>
    </row>
    <row r="63" spans="1:5" s="2126" customFormat="1">
      <c r="A63" s="2128">
        <v>60</v>
      </c>
      <c r="B63" s="2130" t="s">
        <v>3056</v>
      </c>
      <c r="C63" s="2130">
        <v>1</v>
      </c>
      <c r="D63" s="2130">
        <v>142</v>
      </c>
      <c r="E63" s="2130">
        <v>37.75</v>
      </c>
    </row>
    <row r="64" spans="1:5" s="2126" customFormat="1" hidden="1">
      <c r="A64" s="2128">
        <v>61</v>
      </c>
      <c r="B64" s="2130" t="s">
        <v>3056</v>
      </c>
      <c r="C64" s="2130">
        <v>2</v>
      </c>
      <c r="D64" s="2130">
        <v>223</v>
      </c>
      <c r="E64" s="2130">
        <v>47.97</v>
      </c>
    </row>
    <row r="65" spans="1:5" s="2126" customFormat="1" hidden="1">
      <c r="A65" s="2128">
        <v>62</v>
      </c>
      <c r="B65" s="2130" t="s">
        <v>3056</v>
      </c>
      <c r="C65" s="2130">
        <v>3</v>
      </c>
      <c r="D65" s="2130">
        <v>26</v>
      </c>
      <c r="E65" s="2130">
        <v>60.06</v>
      </c>
    </row>
    <row r="66" spans="1:5" s="2126" customFormat="1" hidden="1">
      <c r="A66" s="2128">
        <v>63</v>
      </c>
      <c r="B66" s="2130" t="s">
        <v>3056</v>
      </c>
      <c r="C66" s="2130">
        <v>3</v>
      </c>
      <c r="D66" s="2130">
        <v>37</v>
      </c>
      <c r="E66" s="2130">
        <v>80.92</v>
      </c>
    </row>
    <row r="67" spans="1:5" s="2126" customFormat="1" hidden="1">
      <c r="A67" s="2128">
        <v>64</v>
      </c>
      <c r="B67" s="2130" t="s">
        <v>3056</v>
      </c>
      <c r="C67" s="2130">
        <v>-1</v>
      </c>
      <c r="D67" s="2130">
        <v>16</v>
      </c>
      <c r="E67" s="2130">
        <v>40.42</v>
      </c>
    </row>
    <row r="68" spans="1:5" s="2126" customFormat="1" hidden="1">
      <c r="A68" s="2128">
        <v>65</v>
      </c>
      <c r="B68" s="2130" t="s">
        <v>3056</v>
      </c>
      <c r="C68" s="2130">
        <v>-1</v>
      </c>
      <c r="D68" s="2130">
        <v>17</v>
      </c>
      <c r="E68" s="2130">
        <v>45.64</v>
      </c>
    </row>
    <row r="69" spans="1:5" s="2126" customFormat="1" hidden="1">
      <c r="A69" s="2128">
        <v>66</v>
      </c>
      <c r="B69" s="2130" t="s">
        <v>3056</v>
      </c>
      <c r="C69" s="2130">
        <v>-1</v>
      </c>
      <c r="D69" s="2130">
        <v>18</v>
      </c>
      <c r="E69" s="2130">
        <v>45.64</v>
      </c>
    </row>
    <row r="70" spans="1:5" s="2126" customFormat="1" hidden="1">
      <c r="A70" s="2128">
        <v>67</v>
      </c>
      <c r="B70" s="2130" t="s">
        <v>3056</v>
      </c>
      <c r="C70" s="2130">
        <v>-1</v>
      </c>
      <c r="D70" s="2130">
        <v>19</v>
      </c>
      <c r="E70" s="2130">
        <v>45.56</v>
      </c>
    </row>
    <row r="71" spans="1:5" s="2126" customFormat="1" hidden="1">
      <c r="A71" s="2128">
        <v>68</v>
      </c>
      <c r="B71" s="2130" t="s">
        <v>3056</v>
      </c>
      <c r="C71" s="2130">
        <v>-1</v>
      </c>
      <c r="D71" s="2130">
        <v>20</v>
      </c>
      <c r="E71" s="2130">
        <v>45.38</v>
      </c>
    </row>
    <row r="72" spans="1:5" s="2126" customFormat="1" hidden="1">
      <c r="A72" s="2128">
        <v>69</v>
      </c>
      <c r="B72" s="2130" t="s">
        <v>3056</v>
      </c>
      <c r="C72" s="2130">
        <v>-1</v>
      </c>
      <c r="D72" s="2130">
        <v>21</v>
      </c>
      <c r="E72" s="2130">
        <v>45.2</v>
      </c>
    </row>
    <row r="73" spans="1:5" s="2126" customFormat="1" hidden="1">
      <c r="A73" s="2128">
        <v>70</v>
      </c>
      <c r="B73" s="2130" t="s">
        <v>3056</v>
      </c>
      <c r="C73" s="2130">
        <v>-1</v>
      </c>
      <c r="D73" s="2130">
        <v>35</v>
      </c>
      <c r="E73" s="2130">
        <v>63.81</v>
      </c>
    </row>
    <row r="74" spans="1:5" s="2126" customFormat="1" hidden="1">
      <c r="A74" s="2128">
        <v>71</v>
      </c>
      <c r="B74" s="2130" t="s">
        <v>3056</v>
      </c>
      <c r="C74" s="2130">
        <v>-1</v>
      </c>
      <c r="D74" s="2130">
        <v>42</v>
      </c>
      <c r="E74" s="2130">
        <v>75.260000000000005</v>
      </c>
    </row>
    <row r="75" spans="1:5" s="2126" customFormat="1" hidden="1">
      <c r="A75" s="2128">
        <v>72</v>
      </c>
      <c r="B75" s="2130" t="s">
        <v>3056</v>
      </c>
      <c r="C75" s="2130">
        <v>-1</v>
      </c>
      <c r="D75" s="2130">
        <v>43</v>
      </c>
      <c r="E75" s="2130">
        <v>43.48</v>
      </c>
    </row>
    <row r="76" spans="1:5" s="2126" customFormat="1" hidden="1">
      <c r="A76" s="2128">
        <v>73</v>
      </c>
      <c r="B76" s="2130" t="s">
        <v>3056</v>
      </c>
      <c r="C76" s="2130">
        <v>-1</v>
      </c>
      <c r="D76" s="2130">
        <v>45</v>
      </c>
      <c r="E76" s="2130">
        <v>33.69</v>
      </c>
    </row>
    <row r="77" spans="1:5" s="2126" customFormat="1" hidden="1">
      <c r="A77" s="2128">
        <v>74</v>
      </c>
      <c r="B77" s="2130" t="s">
        <v>3056</v>
      </c>
      <c r="C77" s="2130">
        <v>-1</v>
      </c>
      <c r="D77" s="2130">
        <v>46</v>
      </c>
      <c r="E77" s="2130">
        <v>19.23</v>
      </c>
    </row>
    <row r="78" spans="1:5" s="2126" customFormat="1" hidden="1">
      <c r="A78" s="2128">
        <v>75</v>
      </c>
      <c r="B78" s="2130" t="s">
        <v>3056</v>
      </c>
      <c r="C78" s="2130">
        <v>-1</v>
      </c>
      <c r="D78" s="2130">
        <v>59</v>
      </c>
      <c r="E78" s="2130">
        <v>42.59</v>
      </c>
    </row>
    <row r="79" spans="1:5" s="2126" customFormat="1" hidden="1">
      <c r="A79" s="2128">
        <v>76</v>
      </c>
      <c r="B79" s="2130" t="s">
        <v>3056</v>
      </c>
      <c r="C79" s="2130">
        <v>-1</v>
      </c>
      <c r="D79" s="2130">
        <v>98</v>
      </c>
      <c r="E79" s="2130">
        <v>34.43</v>
      </c>
    </row>
    <row r="80" spans="1:5" s="2126" customFormat="1" hidden="1">
      <c r="A80" s="2128">
        <v>77</v>
      </c>
      <c r="B80" s="2130" t="s">
        <v>3056</v>
      </c>
      <c r="C80" s="2130">
        <v>-1</v>
      </c>
      <c r="D80" s="2130">
        <v>99</v>
      </c>
      <c r="E80" s="2130">
        <v>34.43</v>
      </c>
    </row>
    <row r="81" spans="1:5" s="2126" customFormat="1" hidden="1">
      <c r="A81" s="2128">
        <v>78</v>
      </c>
      <c r="B81" s="2130" t="s">
        <v>3056</v>
      </c>
      <c r="C81" s="2130">
        <v>-1</v>
      </c>
      <c r="D81" s="2130">
        <v>101</v>
      </c>
      <c r="E81" s="2130">
        <v>52.46</v>
      </c>
    </row>
    <row r="82" spans="1:5" s="2126" customFormat="1" hidden="1">
      <c r="A82" s="2128">
        <v>79</v>
      </c>
      <c r="B82" s="2130" t="s">
        <v>3056</v>
      </c>
      <c r="C82" s="2130">
        <v>-1</v>
      </c>
      <c r="D82" s="2130">
        <v>110</v>
      </c>
      <c r="E82" s="2130">
        <v>62.79</v>
      </c>
    </row>
    <row r="83" spans="1:5" s="2126" customFormat="1" hidden="1">
      <c r="A83" s="2128">
        <v>80</v>
      </c>
      <c r="B83" s="2130" t="s">
        <v>3056</v>
      </c>
      <c r="C83" s="2130">
        <v>-1</v>
      </c>
      <c r="D83" s="2130">
        <v>113</v>
      </c>
      <c r="E83" s="2130">
        <v>79.95</v>
      </c>
    </row>
    <row r="84" spans="1:5" s="2126" customFormat="1" hidden="1">
      <c r="A84" s="2128">
        <v>81</v>
      </c>
      <c r="B84" s="2130" t="s">
        <v>3056</v>
      </c>
      <c r="C84" s="2130">
        <v>-1</v>
      </c>
      <c r="D84" s="2130">
        <v>115</v>
      </c>
      <c r="E84" s="2130">
        <v>85.55</v>
      </c>
    </row>
    <row r="85" spans="1:5" s="2126" customFormat="1" hidden="1">
      <c r="A85" s="2128">
        <v>82</v>
      </c>
      <c r="B85" s="2130" t="s">
        <v>3056</v>
      </c>
      <c r="C85" s="2130">
        <v>-1</v>
      </c>
      <c r="D85" s="2130">
        <v>116</v>
      </c>
      <c r="E85" s="2130">
        <v>63.14</v>
      </c>
    </row>
    <row r="86" spans="1:5" s="2126" customFormat="1" hidden="1">
      <c r="A86" s="2128">
        <v>83</v>
      </c>
      <c r="B86" s="2130" t="s">
        <v>3056</v>
      </c>
      <c r="C86" s="2130">
        <v>-1</v>
      </c>
      <c r="D86" s="2130">
        <v>117</v>
      </c>
      <c r="E86" s="2130">
        <v>64.78</v>
      </c>
    </row>
    <row r="87" spans="1:5" s="2126" customFormat="1" hidden="1">
      <c r="A87" s="2128">
        <v>84</v>
      </c>
      <c r="B87" s="2130" t="s">
        <v>3056</v>
      </c>
      <c r="C87" s="2130">
        <v>-1</v>
      </c>
      <c r="D87" s="2130">
        <v>130</v>
      </c>
      <c r="E87" s="2130">
        <v>91.33</v>
      </c>
    </row>
    <row r="88" spans="1:5" s="2126" customFormat="1" hidden="1">
      <c r="A88" s="2128">
        <v>85</v>
      </c>
      <c r="B88" s="2130" t="s">
        <v>3056</v>
      </c>
      <c r="C88" s="2130">
        <v>-1</v>
      </c>
      <c r="D88" s="2130">
        <v>131</v>
      </c>
      <c r="E88" s="2130">
        <v>113.26</v>
      </c>
    </row>
    <row r="89" spans="1:5" s="2126" customFormat="1" hidden="1">
      <c r="A89" s="2128">
        <v>86</v>
      </c>
      <c r="B89" s="2130" t="s">
        <v>3056</v>
      </c>
      <c r="C89" s="2130">
        <v>-1</v>
      </c>
      <c r="D89" s="2130">
        <v>146</v>
      </c>
      <c r="E89" s="2130">
        <v>67.39</v>
      </c>
    </row>
    <row r="90" spans="1:5" s="2126" customFormat="1" hidden="1">
      <c r="A90" s="2128">
        <v>87</v>
      </c>
      <c r="B90" s="2130" t="s">
        <v>3056</v>
      </c>
      <c r="C90" s="2130">
        <v>-1</v>
      </c>
      <c r="D90" s="2130">
        <v>148</v>
      </c>
      <c r="E90" s="2130">
        <v>53.31</v>
      </c>
    </row>
    <row r="91" spans="1:5" s="2126" customFormat="1" hidden="1">
      <c r="A91" s="2128">
        <v>88</v>
      </c>
      <c r="B91" s="2130" t="s">
        <v>3056</v>
      </c>
      <c r="C91" s="2130">
        <v>-1</v>
      </c>
      <c r="D91" s="2130">
        <v>153</v>
      </c>
      <c r="E91" s="2130">
        <v>61.26</v>
      </c>
    </row>
    <row r="92" spans="1:5" s="2126" customFormat="1" hidden="1">
      <c r="A92" s="2128">
        <v>89</v>
      </c>
      <c r="B92" s="2130" t="s">
        <v>3056</v>
      </c>
      <c r="C92" s="2130">
        <v>-1</v>
      </c>
      <c r="D92" s="2130">
        <v>155</v>
      </c>
      <c r="E92" s="2130">
        <v>61.78</v>
      </c>
    </row>
    <row r="93" spans="1:5" s="2126" customFormat="1" hidden="1">
      <c r="A93" s="2128">
        <v>90</v>
      </c>
      <c r="B93" s="2130" t="s">
        <v>3056</v>
      </c>
      <c r="C93" s="2130">
        <v>-1</v>
      </c>
      <c r="D93" s="2130">
        <v>156</v>
      </c>
      <c r="E93" s="2130">
        <v>63.18</v>
      </c>
    </row>
    <row r="94" spans="1:5" s="2126" customFormat="1" hidden="1">
      <c r="A94" s="2128">
        <v>91</v>
      </c>
      <c r="B94" s="2130" t="s">
        <v>3056</v>
      </c>
      <c r="C94" s="2130">
        <v>-1</v>
      </c>
      <c r="D94" s="2130">
        <v>159</v>
      </c>
      <c r="E94" s="2130">
        <v>194.41</v>
      </c>
    </row>
    <row r="95" spans="1:5" s="2126" customFormat="1" hidden="1">
      <c r="A95" s="2128">
        <v>92</v>
      </c>
      <c r="B95" s="2130" t="s">
        <v>3056</v>
      </c>
      <c r="C95" s="2130">
        <v>-1</v>
      </c>
      <c r="D95" s="2130">
        <v>190</v>
      </c>
      <c r="E95" s="2130">
        <v>70.83</v>
      </c>
    </row>
    <row r="96" spans="1:5" s="2126" customFormat="1" hidden="1">
      <c r="A96" s="2128">
        <v>93</v>
      </c>
      <c r="B96" s="2130" t="s">
        <v>3056</v>
      </c>
      <c r="C96" s="2130">
        <v>-1</v>
      </c>
      <c r="D96" s="2130">
        <v>195</v>
      </c>
      <c r="E96" s="2130">
        <v>62.67</v>
      </c>
    </row>
    <row r="97" spans="1:5" s="2126" customFormat="1" hidden="1">
      <c r="A97" s="2128">
        <v>94</v>
      </c>
      <c r="B97" s="2130" t="s">
        <v>3056</v>
      </c>
      <c r="C97" s="2130">
        <v>-1</v>
      </c>
      <c r="D97" s="2130">
        <v>202</v>
      </c>
      <c r="E97" s="2130">
        <v>78.87</v>
      </c>
    </row>
    <row r="98" spans="1:5" s="2126" customFormat="1" hidden="1">
      <c r="A98" s="2128">
        <v>95</v>
      </c>
      <c r="B98" s="2130" t="s">
        <v>3056</v>
      </c>
      <c r="C98" s="2130">
        <v>-1</v>
      </c>
      <c r="D98" s="2130">
        <v>208</v>
      </c>
      <c r="E98" s="2130">
        <v>73.37</v>
      </c>
    </row>
    <row r="99" spans="1:5" s="2126" customFormat="1" hidden="1">
      <c r="A99" s="2128">
        <v>96</v>
      </c>
      <c r="B99" s="2130" t="s">
        <v>3056</v>
      </c>
      <c r="C99" s="2130">
        <v>-1</v>
      </c>
      <c r="D99" s="2130">
        <v>211</v>
      </c>
      <c r="E99" s="2130">
        <v>43.83</v>
      </c>
    </row>
    <row r="100" spans="1:5" s="2126" customFormat="1" hidden="1">
      <c r="A100" s="2128">
        <v>97</v>
      </c>
      <c r="B100" s="2130" t="s">
        <v>3056</v>
      </c>
      <c r="C100" s="2130">
        <v>-1</v>
      </c>
      <c r="D100" s="2130">
        <v>213</v>
      </c>
      <c r="E100" s="2130">
        <v>45.59</v>
      </c>
    </row>
    <row r="101" spans="1:5" s="2126" customFormat="1" hidden="1">
      <c r="A101" s="2128">
        <v>98</v>
      </c>
      <c r="B101" s="2130" t="s">
        <v>3056</v>
      </c>
      <c r="C101" s="2130">
        <v>-1</v>
      </c>
      <c r="D101" s="2130">
        <v>215</v>
      </c>
      <c r="E101" s="2130">
        <v>65.5</v>
      </c>
    </row>
    <row r="102" spans="1:5" s="2126" customFormat="1" hidden="1">
      <c r="A102" s="2128">
        <v>99</v>
      </c>
      <c r="B102" s="2130" t="s">
        <v>3056</v>
      </c>
      <c r="C102" s="2130">
        <v>-1</v>
      </c>
      <c r="D102" s="2130">
        <v>221</v>
      </c>
      <c r="E102" s="2130">
        <v>83.41</v>
      </c>
    </row>
    <row r="103" spans="1:5" s="2126" customFormat="1" hidden="1">
      <c r="A103" s="2128">
        <v>100</v>
      </c>
      <c r="B103" s="2130" t="s">
        <v>3056</v>
      </c>
      <c r="C103" s="2130">
        <v>-1</v>
      </c>
      <c r="D103" s="2130">
        <v>226</v>
      </c>
      <c r="E103" s="2130">
        <v>66.86</v>
      </c>
    </row>
    <row r="104" spans="1:5" s="2126" customFormat="1" hidden="1">
      <c r="A104" s="2128">
        <v>101</v>
      </c>
      <c r="B104" s="2130" t="s">
        <v>3056</v>
      </c>
      <c r="C104" s="2130">
        <v>-1</v>
      </c>
      <c r="D104" s="2130">
        <v>228</v>
      </c>
      <c r="E104" s="2130">
        <v>67.709999999999994</v>
      </c>
    </row>
    <row r="105" spans="1:5" s="2126" customFormat="1" hidden="1">
      <c r="A105" s="2128">
        <v>102</v>
      </c>
      <c r="B105" s="2130" t="s">
        <v>3056</v>
      </c>
      <c r="C105" s="2130">
        <v>-1</v>
      </c>
      <c r="D105" s="2130">
        <v>229</v>
      </c>
      <c r="E105" s="2130">
        <v>70.98</v>
      </c>
    </row>
    <row r="106" spans="1:5" s="2126" customFormat="1" hidden="1">
      <c r="A106" s="2128">
        <v>103</v>
      </c>
      <c r="B106" s="2130" t="s">
        <v>3056</v>
      </c>
      <c r="C106" s="2130">
        <v>-1</v>
      </c>
      <c r="D106" s="2130">
        <v>232</v>
      </c>
      <c r="E106" s="2130">
        <v>59.79</v>
      </c>
    </row>
    <row r="107" spans="1:5" s="2126" customFormat="1" hidden="1">
      <c r="A107" s="2128">
        <v>104</v>
      </c>
      <c r="B107" s="2130" t="s">
        <v>3056</v>
      </c>
      <c r="C107" s="2130">
        <v>-1</v>
      </c>
      <c r="D107" s="2130">
        <v>233</v>
      </c>
      <c r="E107" s="2130">
        <v>70.52</v>
      </c>
    </row>
    <row r="108" spans="1:5" s="2126" customFormat="1" hidden="1">
      <c r="A108" s="2128">
        <v>105</v>
      </c>
      <c r="B108" s="2130" t="s">
        <v>3056</v>
      </c>
      <c r="C108" s="2130">
        <v>-1</v>
      </c>
      <c r="D108" s="2130">
        <v>235</v>
      </c>
      <c r="E108" s="2130">
        <v>73.31</v>
      </c>
    </row>
    <row r="109" spans="1:5" s="2126" customFormat="1" hidden="1">
      <c r="A109" s="2128">
        <v>106</v>
      </c>
      <c r="B109" s="2130" t="s">
        <v>3056</v>
      </c>
      <c r="C109" s="2130">
        <v>-1</v>
      </c>
      <c r="D109" s="2130">
        <v>236</v>
      </c>
      <c r="E109" s="2130">
        <v>59.42</v>
      </c>
    </row>
    <row r="110" spans="1:5" s="2126" customFormat="1" hidden="1">
      <c r="A110" s="2128">
        <v>107</v>
      </c>
      <c r="B110" s="2130" t="s">
        <v>3056</v>
      </c>
      <c r="C110" s="2130">
        <v>-1</v>
      </c>
      <c r="D110" s="2130">
        <v>237</v>
      </c>
      <c r="E110" s="2130">
        <v>54.99</v>
      </c>
    </row>
    <row r="111" spans="1:5" s="2126" customFormat="1" hidden="1">
      <c r="A111" s="2128">
        <v>108</v>
      </c>
      <c r="B111" s="2130" t="s">
        <v>3056</v>
      </c>
      <c r="C111" s="2130">
        <v>-1</v>
      </c>
      <c r="D111" s="2130">
        <v>238</v>
      </c>
      <c r="E111" s="2130">
        <v>53.03</v>
      </c>
    </row>
    <row r="112" spans="1:5" s="2126" customFormat="1" hidden="1">
      <c r="A112" s="2128">
        <v>109</v>
      </c>
      <c r="B112" s="2130" t="s">
        <v>3056</v>
      </c>
      <c r="C112" s="2130">
        <v>-1</v>
      </c>
      <c r="D112" s="2130">
        <v>239</v>
      </c>
      <c r="E112" s="2130">
        <v>53.03</v>
      </c>
    </row>
    <row r="113" spans="1:5" s="2126" customFormat="1" hidden="1">
      <c r="A113" s="2128">
        <v>110</v>
      </c>
      <c r="B113" s="2130" t="s">
        <v>3056</v>
      </c>
      <c r="C113" s="2130">
        <v>-1</v>
      </c>
      <c r="D113" s="2130">
        <v>243</v>
      </c>
      <c r="E113" s="2130">
        <v>78.56</v>
      </c>
    </row>
    <row r="114" spans="1:5" s="2126" customFormat="1" hidden="1">
      <c r="A114" s="2128">
        <v>111</v>
      </c>
      <c r="B114" s="2130" t="s">
        <v>3056</v>
      </c>
      <c r="C114" s="2130">
        <v>-1</v>
      </c>
      <c r="D114" s="2130">
        <v>245</v>
      </c>
      <c r="E114" s="2130">
        <v>72.61</v>
      </c>
    </row>
    <row r="115" spans="1:5" s="2126" customFormat="1" hidden="1">
      <c r="A115" s="2128">
        <v>112</v>
      </c>
      <c r="B115" s="2130" t="s">
        <v>3056</v>
      </c>
      <c r="C115" s="2130">
        <v>-1</v>
      </c>
      <c r="D115" s="2130">
        <v>246</v>
      </c>
      <c r="E115" s="2130">
        <v>75.650000000000006</v>
      </c>
    </row>
    <row r="116" spans="1:5" s="2126" customFormat="1" hidden="1">
      <c r="A116" s="2128">
        <v>113</v>
      </c>
      <c r="B116" s="2130" t="s">
        <v>3056</v>
      </c>
      <c r="C116" s="2130">
        <v>-1</v>
      </c>
      <c r="D116" s="2130">
        <v>248</v>
      </c>
      <c r="E116" s="2130">
        <v>83.54</v>
      </c>
    </row>
    <row r="117" spans="1:5" s="2126" customFormat="1" hidden="1">
      <c r="A117" s="2128">
        <v>114</v>
      </c>
      <c r="B117" s="2130" t="s">
        <v>3056</v>
      </c>
      <c r="C117" s="2130">
        <v>-1</v>
      </c>
      <c r="D117" s="2130">
        <v>251</v>
      </c>
      <c r="E117" s="2130">
        <v>105.02</v>
      </c>
    </row>
    <row r="118" spans="1:5" s="2126" customFormat="1" hidden="1">
      <c r="A118" s="2128">
        <v>115</v>
      </c>
      <c r="B118" s="2130" t="s">
        <v>3056</v>
      </c>
      <c r="C118" s="2130">
        <v>-1</v>
      </c>
      <c r="D118" s="2130">
        <v>257</v>
      </c>
      <c r="E118" s="2130">
        <v>87.45</v>
      </c>
    </row>
    <row r="119" spans="1:5" s="2126" customFormat="1" hidden="1">
      <c r="A119" s="2128">
        <v>116</v>
      </c>
      <c r="B119" s="2130" t="s">
        <v>3056</v>
      </c>
      <c r="C119" s="2130">
        <v>-1</v>
      </c>
      <c r="D119" s="2130">
        <v>258</v>
      </c>
      <c r="E119" s="2130">
        <v>79.98</v>
      </c>
    </row>
    <row r="120" spans="1:5" s="2126" customFormat="1" hidden="1">
      <c r="A120" s="2128">
        <v>117</v>
      </c>
      <c r="B120" s="2130" t="s">
        <v>3056</v>
      </c>
      <c r="C120" s="2130">
        <v>-1</v>
      </c>
      <c r="D120" s="2130">
        <v>259</v>
      </c>
      <c r="E120" s="2130">
        <v>75.63</v>
      </c>
    </row>
    <row r="121" spans="1:5" s="2126" customFormat="1" hidden="1">
      <c r="A121" s="2128">
        <v>118</v>
      </c>
      <c r="B121" s="2130" t="s">
        <v>3056</v>
      </c>
      <c r="C121" s="2130">
        <v>-1</v>
      </c>
      <c r="D121" s="2130">
        <v>260</v>
      </c>
      <c r="E121" s="2130">
        <v>72.61</v>
      </c>
    </row>
    <row r="122" spans="1:5" s="2126" customFormat="1" hidden="1">
      <c r="A122" s="2128">
        <v>119</v>
      </c>
      <c r="B122" s="2130" t="s">
        <v>3056</v>
      </c>
      <c r="C122" s="2130">
        <v>-1</v>
      </c>
      <c r="D122" s="2130">
        <v>262</v>
      </c>
      <c r="E122" s="2130">
        <v>36.39</v>
      </c>
    </row>
    <row r="123" spans="1:5" s="2126" customFormat="1" hidden="1">
      <c r="A123" s="2128">
        <v>120</v>
      </c>
      <c r="B123" s="2130" t="s">
        <v>3056</v>
      </c>
      <c r="C123" s="2130">
        <v>-1</v>
      </c>
      <c r="D123" s="2130">
        <v>263</v>
      </c>
      <c r="E123" s="2130">
        <v>72.95</v>
      </c>
    </row>
    <row r="124" spans="1:5" s="2126" customFormat="1" hidden="1">
      <c r="A124" s="2128">
        <v>121</v>
      </c>
      <c r="B124" s="2130" t="s">
        <v>3056</v>
      </c>
      <c r="C124" s="2130">
        <v>-1</v>
      </c>
      <c r="D124" s="2130">
        <v>289</v>
      </c>
      <c r="E124" s="2130">
        <v>39.119999999999997</v>
      </c>
    </row>
    <row r="125" spans="1:5" s="2126" customFormat="1" hidden="1">
      <c r="A125" s="2128">
        <v>122</v>
      </c>
      <c r="B125" s="2130" t="s">
        <v>3056</v>
      </c>
      <c r="C125" s="2130">
        <v>-1</v>
      </c>
      <c r="D125" s="2130">
        <v>290</v>
      </c>
      <c r="E125" s="2130">
        <v>39.119999999999997</v>
      </c>
    </row>
    <row r="126" spans="1:5" s="2126" customFormat="1" hidden="1">
      <c r="A126" s="2128">
        <v>123</v>
      </c>
      <c r="B126" s="2130" t="s">
        <v>3056</v>
      </c>
      <c r="C126" s="2130">
        <v>-1</v>
      </c>
      <c r="D126" s="2130">
        <v>291</v>
      </c>
      <c r="E126" s="2130">
        <v>39.119999999999997</v>
      </c>
    </row>
    <row r="127" spans="1:5" s="2126" customFormat="1" hidden="1">
      <c r="A127" s="2128">
        <v>124</v>
      </c>
      <c r="B127" s="2130" t="s">
        <v>3056</v>
      </c>
      <c r="C127" s="2130">
        <v>-1</v>
      </c>
      <c r="D127" s="2130">
        <v>292</v>
      </c>
      <c r="E127" s="2130">
        <v>39.119999999999997</v>
      </c>
    </row>
    <row r="128" spans="1:5" s="2126" customFormat="1" hidden="1">
      <c r="A128" s="2128">
        <v>125</v>
      </c>
      <c r="B128" s="2130" t="s">
        <v>3056</v>
      </c>
      <c r="C128" s="2130">
        <v>-1</v>
      </c>
      <c r="D128" s="2130">
        <v>293</v>
      </c>
      <c r="E128" s="2130">
        <v>39.119999999999997</v>
      </c>
    </row>
    <row r="129" spans="1:5" s="2126" customFormat="1" hidden="1">
      <c r="A129" s="2128">
        <v>126</v>
      </c>
      <c r="B129" s="2130" t="s">
        <v>3056</v>
      </c>
      <c r="C129" s="2130">
        <v>-1</v>
      </c>
      <c r="D129" s="2130">
        <v>295</v>
      </c>
      <c r="E129" s="2130">
        <v>39.119999999999997</v>
      </c>
    </row>
    <row r="130" spans="1:5" s="2126" customFormat="1" hidden="1">
      <c r="A130" s="2128">
        <v>127</v>
      </c>
      <c r="B130" s="2130" t="s">
        <v>3056</v>
      </c>
      <c r="C130" s="2130">
        <v>-1</v>
      </c>
      <c r="D130" s="2130">
        <v>296</v>
      </c>
      <c r="E130" s="2130">
        <v>39.119999999999997</v>
      </c>
    </row>
    <row r="131" spans="1:5" s="2126" customFormat="1" hidden="1">
      <c r="A131" s="2128">
        <v>128</v>
      </c>
      <c r="B131" s="2130" t="s">
        <v>3056</v>
      </c>
      <c r="C131" s="2130">
        <v>-1</v>
      </c>
      <c r="D131" s="2130">
        <v>300</v>
      </c>
      <c r="E131" s="2130">
        <v>39.119999999999997</v>
      </c>
    </row>
    <row r="132" spans="1:5" s="2126" customFormat="1" hidden="1">
      <c r="A132" s="2128">
        <v>129</v>
      </c>
      <c r="B132" s="2130" t="s">
        <v>3056</v>
      </c>
      <c r="C132" s="2130">
        <v>-1</v>
      </c>
      <c r="D132" s="2130">
        <v>301</v>
      </c>
      <c r="E132" s="2130">
        <v>39.119999999999997</v>
      </c>
    </row>
    <row r="133" spans="1:5" s="2126" customFormat="1" hidden="1">
      <c r="A133" s="2128">
        <v>130</v>
      </c>
      <c r="B133" s="2130" t="s">
        <v>3056</v>
      </c>
      <c r="C133" s="2130">
        <v>-1</v>
      </c>
      <c r="D133" s="2130">
        <v>302</v>
      </c>
      <c r="E133" s="2130">
        <v>39.119999999999997</v>
      </c>
    </row>
    <row r="134" spans="1:5" s="2126" customFormat="1" hidden="1">
      <c r="A134" s="2128">
        <v>131</v>
      </c>
      <c r="B134" s="2130" t="s">
        <v>3056</v>
      </c>
      <c r="C134" s="2130">
        <v>-1</v>
      </c>
      <c r="D134" s="2130">
        <v>303</v>
      </c>
      <c r="E134" s="2130">
        <v>39.119999999999997</v>
      </c>
    </row>
    <row r="135" spans="1:5" s="2126" customFormat="1" hidden="1">
      <c r="A135" s="2128">
        <v>132</v>
      </c>
      <c r="B135" s="2130" t="s">
        <v>3056</v>
      </c>
      <c r="C135" s="2130">
        <v>-1</v>
      </c>
      <c r="D135" s="2130">
        <v>305</v>
      </c>
      <c r="E135" s="2130">
        <v>39.119999999999997</v>
      </c>
    </row>
    <row r="136" spans="1:5" s="2126" customFormat="1" hidden="1">
      <c r="A136" s="2128">
        <v>133</v>
      </c>
      <c r="B136" s="2130" t="s">
        <v>3056</v>
      </c>
      <c r="C136" s="2130">
        <v>-1</v>
      </c>
      <c r="D136" s="2130">
        <v>310</v>
      </c>
      <c r="E136" s="2130">
        <v>101.65</v>
      </c>
    </row>
    <row r="137" spans="1:5" s="2126" customFormat="1" hidden="1">
      <c r="A137" s="2128">
        <v>134</v>
      </c>
      <c r="B137" s="2130" t="s">
        <v>3056</v>
      </c>
      <c r="C137" s="2130">
        <v>-1</v>
      </c>
      <c r="D137" s="2130">
        <v>317</v>
      </c>
      <c r="E137" s="2130">
        <v>64.33</v>
      </c>
    </row>
    <row r="138" spans="1:5" s="2126" customFormat="1" hidden="1">
      <c r="A138" s="2128">
        <v>135</v>
      </c>
      <c r="B138" s="2130" t="s">
        <v>3056</v>
      </c>
      <c r="C138" s="2130">
        <v>-1</v>
      </c>
      <c r="D138" s="2130">
        <v>318</v>
      </c>
      <c r="E138" s="2130">
        <v>64.33</v>
      </c>
    </row>
    <row r="139" spans="1:5" s="2126" customFormat="1" hidden="1">
      <c r="A139" s="2128">
        <v>136</v>
      </c>
      <c r="B139" s="2130" t="s">
        <v>3056</v>
      </c>
      <c r="C139" s="2130">
        <v>-1</v>
      </c>
      <c r="D139" s="2130">
        <v>319</v>
      </c>
      <c r="E139" s="2130">
        <v>64.33</v>
      </c>
    </row>
    <row r="140" spans="1:5" s="2126" customFormat="1" hidden="1">
      <c r="A140" s="2128">
        <v>137</v>
      </c>
      <c r="B140" s="2130" t="s">
        <v>3056</v>
      </c>
      <c r="C140" s="2130">
        <v>-1</v>
      </c>
      <c r="D140" s="2130">
        <v>320</v>
      </c>
      <c r="E140" s="2130">
        <v>64.33</v>
      </c>
    </row>
    <row r="141" spans="1:5" s="2126" customFormat="1" hidden="1">
      <c r="A141" s="2128">
        <v>138</v>
      </c>
      <c r="B141" s="2130" t="s">
        <v>3056</v>
      </c>
      <c r="C141" s="2130">
        <v>-1</v>
      </c>
      <c r="D141" s="2130">
        <v>321</v>
      </c>
      <c r="E141" s="2130">
        <v>64.33</v>
      </c>
    </row>
    <row r="142" spans="1:5" s="2126" customFormat="1" hidden="1">
      <c r="A142" s="2128">
        <v>139</v>
      </c>
      <c r="B142" s="2130" t="s">
        <v>3056</v>
      </c>
      <c r="C142" s="2130">
        <v>-1</v>
      </c>
      <c r="D142" s="2130">
        <v>322</v>
      </c>
      <c r="E142" s="2130">
        <v>65.44</v>
      </c>
    </row>
    <row r="143" spans="1:5" s="2126" customFormat="1" hidden="1">
      <c r="A143" s="2128">
        <v>140</v>
      </c>
      <c r="B143" s="2130" t="s">
        <v>3056</v>
      </c>
      <c r="C143" s="2130">
        <v>-1</v>
      </c>
      <c r="D143" s="2130">
        <v>323</v>
      </c>
      <c r="E143" s="2130">
        <v>68.010000000000005</v>
      </c>
    </row>
    <row r="144" spans="1:5" s="2126" customFormat="1" hidden="1">
      <c r="A144" s="2128">
        <v>141</v>
      </c>
      <c r="B144" s="2130" t="s">
        <v>3056</v>
      </c>
      <c r="C144" s="2130">
        <v>-1</v>
      </c>
      <c r="D144" s="2130">
        <v>325</v>
      </c>
      <c r="E144" s="2130">
        <v>64.33</v>
      </c>
    </row>
    <row r="145" spans="1:5" s="2126" customFormat="1" hidden="1">
      <c r="A145" s="2128">
        <v>142</v>
      </c>
      <c r="B145" s="2130" t="s">
        <v>3056</v>
      </c>
      <c r="C145" s="2130">
        <v>-1</v>
      </c>
      <c r="D145" s="2130">
        <v>326</v>
      </c>
      <c r="E145" s="2130">
        <v>64.33</v>
      </c>
    </row>
    <row r="146" spans="1:5" s="2126" customFormat="1" hidden="1">
      <c r="A146" s="2128">
        <v>143</v>
      </c>
      <c r="B146" s="2130" t="s">
        <v>3056</v>
      </c>
      <c r="C146" s="2130">
        <v>-1</v>
      </c>
      <c r="D146" s="2130">
        <v>327</v>
      </c>
      <c r="E146" s="2130">
        <v>64.33</v>
      </c>
    </row>
    <row r="147" spans="1:5" s="2126" customFormat="1" hidden="1">
      <c r="A147" s="2128">
        <v>144</v>
      </c>
      <c r="B147" s="2130" t="s">
        <v>3056</v>
      </c>
      <c r="C147" s="2130">
        <v>-1</v>
      </c>
      <c r="D147" s="2130">
        <v>328</v>
      </c>
      <c r="E147" s="2130">
        <v>64.33</v>
      </c>
    </row>
    <row r="148" spans="1:5" s="2126" customFormat="1">
      <c r="A148" s="2128">
        <v>288</v>
      </c>
      <c r="B148" s="2131" t="s">
        <v>3054</v>
      </c>
      <c r="C148" s="2131">
        <v>1</v>
      </c>
      <c r="D148" s="2132">
        <v>27</v>
      </c>
      <c r="E148" s="2133">
        <v>95.27</v>
      </c>
    </row>
    <row r="149" spans="1:5" s="2126" customFormat="1">
      <c r="A149" s="2128">
        <v>289</v>
      </c>
      <c r="B149" s="2131" t="s">
        <v>3054</v>
      </c>
      <c r="C149" s="2131">
        <v>1</v>
      </c>
      <c r="D149" s="2132">
        <v>183</v>
      </c>
      <c r="E149" s="2133">
        <v>71.5</v>
      </c>
    </row>
    <row r="150" spans="1:5" s="2126" customFormat="1">
      <c r="A150" s="2128">
        <v>290</v>
      </c>
      <c r="B150" s="2131" t="s">
        <v>3054</v>
      </c>
      <c r="C150" s="2131">
        <v>1</v>
      </c>
      <c r="D150" s="2132">
        <v>185</v>
      </c>
      <c r="E150" s="2133">
        <v>66.72</v>
      </c>
    </row>
    <row r="151" spans="1:5" s="2126" customFormat="1" hidden="1">
      <c r="A151" s="2128">
        <v>291</v>
      </c>
      <c r="B151" s="2131" t="s">
        <v>3054</v>
      </c>
      <c r="C151" s="2133">
        <v>3</v>
      </c>
      <c r="D151" s="2133">
        <v>38</v>
      </c>
      <c r="E151" s="2133">
        <v>86.31</v>
      </c>
    </row>
    <row r="152" spans="1:5" s="2126" customFormat="1" hidden="1">
      <c r="A152" s="2128">
        <v>292</v>
      </c>
      <c r="B152" s="2131" t="s">
        <v>3054</v>
      </c>
      <c r="C152" s="2133">
        <v>3</v>
      </c>
      <c r="D152" s="2133">
        <v>97</v>
      </c>
      <c r="E152" s="2133">
        <v>45.54</v>
      </c>
    </row>
    <row r="153" spans="1:5" s="2126" customFormat="1">
      <c r="A153" s="2128">
        <v>293</v>
      </c>
      <c r="B153" s="2131" t="s">
        <v>3055</v>
      </c>
      <c r="C153" s="2131">
        <v>1</v>
      </c>
      <c r="D153" s="2132">
        <v>155</v>
      </c>
      <c r="E153" s="2134">
        <v>127.21</v>
      </c>
    </row>
    <row r="154" spans="1:5" s="2126" customFormat="1" hidden="1">
      <c r="A154" s="2128">
        <v>294</v>
      </c>
      <c r="B154" s="2131" t="s">
        <v>3055</v>
      </c>
      <c r="C154" s="2131">
        <v>3</v>
      </c>
      <c r="D154" s="2131">
        <v>62</v>
      </c>
      <c r="E154" s="2134">
        <v>67.33</v>
      </c>
    </row>
    <row r="155" spans="1:5" s="2126" customFormat="1" hidden="1">
      <c r="A155" s="2128">
        <v>295</v>
      </c>
      <c r="B155" s="2131" t="s">
        <v>3055</v>
      </c>
      <c r="C155" s="2131">
        <v>3</v>
      </c>
      <c r="D155" s="2131">
        <v>75</v>
      </c>
      <c r="E155" s="2134">
        <v>84.13</v>
      </c>
    </row>
    <row r="156" spans="1:5" s="2126" customFormat="1">
      <c r="A156" s="2128">
        <v>318</v>
      </c>
      <c r="B156" s="2128">
        <v>11</v>
      </c>
      <c r="C156" s="2128">
        <v>1</v>
      </c>
      <c r="D156" s="2128">
        <v>36</v>
      </c>
      <c r="E156" s="2128">
        <v>68.489999999999995</v>
      </c>
    </row>
    <row r="157" spans="1:5" s="2126" customFormat="1">
      <c r="A157" s="2128">
        <v>319</v>
      </c>
      <c r="B157" s="2128">
        <v>11</v>
      </c>
      <c r="C157" s="2128">
        <v>1</v>
      </c>
      <c r="D157" s="2128">
        <v>61</v>
      </c>
      <c r="E157" s="2128">
        <v>39.5</v>
      </c>
    </row>
    <row r="158" spans="1:5" s="2126" customFormat="1">
      <c r="A158" s="2128">
        <v>320</v>
      </c>
      <c r="B158" s="2128">
        <v>11</v>
      </c>
      <c r="C158" s="2128">
        <v>1</v>
      </c>
      <c r="D158" s="2128">
        <v>81</v>
      </c>
      <c r="E158" s="2128">
        <v>45.72</v>
      </c>
    </row>
    <row r="159" spans="1:5" s="2126" customFormat="1">
      <c r="A159" s="2128">
        <v>321</v>
      </c>
      <c r="B159" s="2128">
        <v>11</v>
      </c>
      <c r="C159" s="2128">
        <v>1</v>
      </c>
      <c r="D159" s="2128">
        <v>146</v>
      </c>
      <c r="E159" s="2128">
        <v>53.91</v>
      </c>
    </row>
    <row r="160" spans="1:5" s="2126" customFormat="1">
      <c r="A160" s="2128">
        <v>322</v>
      </c>
      <c r="B160" s="2128">
        <v>11</v>
      </c>
      <c r="C160" s="2128">
        <v>1</v>
      </c>
      <c r="D160" s="2128">
        <v>147</v>
      </c>
      <c r="E160" s="2128">
        <v>87.65</v>
      </c>
    </row>
    <row r="161" spans="1:5" s="2126" customFormat="1" hidden="1">
      <c r="A161" s="2128">
        <v>323</v>
      </c>
      <c r="B161" s="2128">
        <v>11</v>
      </c>
      <c r="C161" s="2128">
        <v>-1</v>
      </c>
      <c r="D161" s="2128">
        <v>5</v>
      </c>
      <c r="E161" s="2128">
        <v>108.34</v>
      </c>
    </row>
    <row r="162" spans="1:5" s="2126" customFormat="1" hidden="1">
      <c r="A162" s="2128">
        <v>324</v>
      </c>
      <c r="B162" s="2128">
        <v>11</v>
      </c>
      <c r="C162" s="2128">
        <v>-1</v>
      </c>
      <c r="D162" s="2128">
        <v>11</v>
      </c>
      <c r="E162" s="2128">
        <v>56.57</v>
      </c>
    </row>
    <row r="163" spans="1:5" s="2126" customFormat="1" hidden="1">
      <c r="A163" s="2128">
        <v>325</v>
      </c>
      <c r="B163" s="2128">
        <v>11</v>
      </c>
      <c r="C163" s="2128">
        <v>-1</v>
      </c>
      <c r="D163" s="2128">
        <v>13</v>
      </c>
      <c r="E163" s="2128">
        <v>53.58</v>
      </c>
    </row>
    <row r="164" spans="1:5" s="2126" customFormat="1" hidden="1">
      <c r="A164" s="2128">
        <v>326</v>
      </c>
      <c r="B164" s="2128">
        <v>11</v>
      </c>
      <c r="C164" s="2128">
        <v>-1</v>
      </c>
      <c r="D164" s="2128">
        <v>21</v>
      </c>
      <c r="E164" s="2128">
        <v>106.14</v>
      </c>
    </row>
    <row r="165" spans="1:5" s="2126" customFormat="1" hidden="1">
      <c r="A165" s="2128">
        <v>327</v>
      </c>
      <c r="B165" s="2128">
        <v>11</v>
      </c>
      <c r="C165" s="2128">
        <v>-1</v>
      </c>
      <c r="D165" s="2128">
        <v>39</v>
      </c>
      <c r="E165" s="2128">
        <v>95</v>
      </c>
    </row>
    <row r="166" spans="1:5" s="2126" customFormat="1" hidden="1">
      <c r="A166" s="2128">
        <v>328</v>
      </c>
      <c r="B166" s="2128">
        <v>11</v>
      </c>
      <c r="C166" s="2128">
        <v>-1</v>
      </c>
      <c r="D166" s="2128">
        <v>41</v>
      </c>
      <c r="E166" s="2128">
        <v>90.68</v>
      </c>
    </row>
    <row r="167" spans="1:5" s="2126" customFormat="1" hidden="1">
      <c r="A167" s="2128">
        <v>329</v>
      </c>
      <c r="B167" s="2128">
        <v>11</v>
      </c>
      <c r="C167" s="2128">
        <v>-1</v>
      </c>
      <c r="D167" s="2128">
        <v>63</v>
      </c>
      <c r="E167" s="2128">
        <v>130.07</v>
      </c>
    </row>
    <row r="168" spans="1:5" s="2126" customFormat="1" hidden="1">
      <c r="A168" s="2128">
        <v>330</v>
      </c>
      <c r="B168" s="2128">
        <v>11</v>
      </c>
      <c r="C168" s="2128">
        <v>-1</v>
      </c>
      <c r="D168" s="2128">
        <v>71</v>
      </c>
      <c r="E168" s="2128">
        <v>62.31</v>
      </c>
    </row>
    <row r="169" spans="1:5" s="2126" customFormat="1" hidden="1">
      <c r="A169" s="2128">
        <v>331</v>
      </c>
      <c r="B169" s="2128">
        <v>11</v>
      </c>
      <c r="C169" s="2128">
        <v>-1</v>
      </c>
      <c r="D169" s="2128">
        <v>78</v>
      </c>
      <c r="E169" s="2128">
        <v>98.1</v>
      </c>
    </row>
    <row r="170" spans="1:5" s="2126" customFormat="1" hidden="1">
      <c r="A170" s="2128">
        <v>332</v>
      </c>
      <c r="B170" s="2128">
        <v>11</v>
      </c>
      <c r="C170" s="2128">
        <v>-1</v>
      </c>
      <c r="D170" s="2128">
        <v>113</v>
      </c>
      <c r="E170" s="2128">
        <v>179.45</v>
      </c>
    </row>
    <row r="171" spans="1:5" s="2126" customFormat="1" hidden="1">
      <c r="A171" s="2128">
        <v>333</v>
      </c>
      <c r="B171" s="2128">
        <v>11</v>
      </c>
      <c r="C171" s="2128">
        <v>-1</v>
      </c>
      <c r="D171" s="2128">
        <v>127</v>
      </c>
      <c r="E171" s="2128">
        <v>35.82</v>
      </c>
    </row>
    <row r="172" spans="1:5" s="2126" customFormat="1" hidden="1">
      <c r="A172" s="2128">
        <v>334</v>
      </c>
      <c r="B172" s="2128">
        <v>11</v>
      </c>
      <c r="C172" s="2128">
        <v>-1</v>
      </c>
      <c r="D172" s="2128">
        <v>136</v>
      </c>
      <c r="E172" s="2128">
        <v>62.57</v>
      </c>
    </row>
    <row r="173" spans="1:5" s="2126" customFormat="1" hidden="1">
      <c r="A173" s="2128">
        <v>335</v>
      </c>
      <c r="B173" s="2128">
        <v>11</v>
      </c>
      <c r="C173" s="2128">
        <v>-1</v>
      </c>
      <c r="D173" s="2128">
        <v>140</v>
      </c>
      <c r="E173" s="2128">
        <v>44.9</v>
      </c>
    </row>
    <row r="174" spans="1:5" s="2126" customFormat="1" hidden="1">
      <c r="A174" s="2128">
        <v>336</v>
      </c>
      <c r="B174" s="2128">
        <v>11</v>
      </c>
      <c r="C174" s="2128">
        <v>-1</v>
      </c>
      <c r="D174" s="2128">
        <v>146</v>
      </c>
      <c r="E174" s="2128">
        <v>87.64</v>
      </c>
    </row>
    <row r="175" spans="1:5" s="2126" customFormat="1" hidden="1">
      <c r="A175" s="2128">
        <v>337</v>
      </c>
      <c r="B175" s="2128">
        <v>11</v>
      </c>
      <c r="C175" s="2128">
        <v>-1</v>
      </c>
      <c r="D175" s="2128">
        <v>157</v>
      </c>
      <c r="E175" s="2128">
        <v>91.81</v>
      </c>
    </row>
    <row r="176" spans="1:5" s="2126" customFormat="1" hidden="1">
      <c r="A176" s="2128">
        <v>338</v>
      </c>
      <c r="B176" s="2128">
        <v>11</v>
      </c>
      <c r="C176" s="2128">
        <v>-2</v>
      </c>
      <c r="D176" s="2128">
        <v>25</v>
      </c>
      <c r="E176" s="2128">
        <v>47.58</v>
      </c>
    </row>
    <row r="177" spans="1:5" s="2126" customFormat="1" hidden="1">
      <c r="A177" s="2128">
        <v>339</v>
      </c>
      <c r="B177" s="2128">
        <v>11</v>
      </c>
      <c r="C177" s="2128">
        <v>-2</v>
      </c>
      <c r="D177" s="2128">
        <v>37</v>
      </c>
      <c r="E177" s="2128">
        <v>46.64</v>
      </c>
    </row>
    <row r="178" spans="1:5" s="2126" customFormat="1" hidden="1">
      <c r="A178" s="2128">
        <v>340</v>
      </c>
      <c r="B178" s="2128">
        <v>11</v>
      </c>
      <c r="C178" s="2128">
        <v>-2</v>
      </c>
      <c r="D178" s="2128">
        <v>78</v>
      </c>
      <c r="E178" s="2128">
        <v>74.27</v>
      </c>
    </row>
    <row r="179" spans="1:5" s="2126" customFormat="1" hidden="1">
      <c r="A179" s="2128">
        <v>341</v>
      </c>
      <c r="B179" s="2128">
        <v>11</v>
      </c>
      <c r="C179" s="2128">
        <v>-2</v>
      </c>
      <c r="D179" s="2128">
        <v>80</v>
      </c>
      <c r="E179" s="2128">
        <v>98.48</v>
      </c>
    </row>
    <row r="180" spans="1:5" s="2126" customFormat="1" hidden="1">
      <c r="A180" s="2128">
        <v>342</v>
      </c>
      <c r="B180" s="2128">
        <v>11</v>
      </c>
      <c r="C180" s="2128">
        <v>-2</v>
      </c>
      <c r="D180" s="2128">
        <v>126</v>
      </c>
      <c r="E180" s="2128">
        <v>43.92</v>
      </c>
    </row>
    <row r="181" spans="1:5" s="2126" customFormat="1" hidden="1">
      <c r="A181" s="2128">
        <v>343</v>
      </c>
      <c r="B181" s="2128">
        <v>11</v>
      </c>
      <c r="C181" s="2128">
        <v>-2</v>
      </c>
      <c r="D181" s="2128">
        <v>128</v>
      </c>
      <c r="E181" s="2128">
        <v>43.92</v>
      </c>
    </row>
    <row r="182" spans="1:5" s="2126" customFormat="1" hidden="1">
      <c r="A182" s="2128">
        <v>344</v>
      </c>
      <c r="B182" s="2128">
        <v>11</v>
      </c>
      <c r="C182" s="2128">
        <v>-2</v>
      </c>
      <c r="D182" s="2128">
        <v>147</v>
      </c>
      <c r="E182" s="2128">
        <v>83.09</v>
      </c>
    </row>
    <row r="183" spans="1:5" s="2126" customFormat="1" hidden="1">
      <c r="A183" s="2128">
        <v>345</v>
      </c>
      <c r="B183" s="2128">
        <v>11</v>
      </c>
      <c r="C183" s="2128">
        <v>-2</v>
      </c>
      <c r="D183" s="2128">
        <v>163</v>
      </c>
      <c r="E183" s="2128">
        <v>18.84</v>
      </c>
    </row>
    <row r="184" spans="1:5" s="2126" customFormat="1">
      <c r="A184" s="2128">
        <v>346</v>
      </c>
      <c r="B184" s="2128">
        <v>12</v>
      </c>
      <c r="C184" s="2128">
        <v>1</v>
      </c>
      <c r="D184" s="2128">
        <v>6</v>
      </c>
      <c r="E184" s="2128">
        <v>158.02000000000001</v>
      </c>
    </row>
    <row r="185" spans="1:5" s="2126" customFormat="1">
      <c r="A185" s="2128">
        <v>347</v>
      </c>
      <c r="B185" s="2128">
        <v>12</v>
      </c>
      <c r="C185" s="2128">
        <v>1</v>
      </c>
      <c r="D185" s="2128">
        <v>7</v>
      </c>
      <c r="E185" s="2128">
        <v>150.76</v>
      </c>
    </row>
    <row r="186" spans="1:5" s="2126" customFormat="1">
      <c r="A186" s="2128">
        <v>348</v>
      </c>
      <c r="B186" s="2128">
        <v>12</v>
      </c>
      <c r="C186" s="2128">
        <v>1</v>
      </c>
      <c r="D186" s="2128">
        <v>30</v>
      </c>
      <c r="E186" s="2128">
        <v>58.23</v>
      </c>
    </row>
    <row r="187" spans="1:5" s="2126" customFormat="1" hidden="1">
      <c r="A187" s="2128">
        <v>349</v>
      </c>
      <c r="B187" s="2128">
        <v>12</v>
      </c>
      <c r="C187" s="2135">
        <v>-1</v>
      </c>
      <c r="D187" s="2135">
        <v>7</v>
      </c>
      <c r="E187" s="2128">
        <v>61.92</v>
      </c>
    </row>
    <row r="188" spans="1:5" s="2126" customFormat="1" hidden="1">
      <c r="A188" s="2128">
        <v>350</v>
      </c>
      <c r="B188" s="2128">
        <v>12</v>
      </c>
      <c r="C188" s="2135">
        <v>-1</v>
      </c>
      <c r="D188" s="2135">
        <v>9</v>
      </c>
      <c r="E188" s="2128">
        <v>60.01</v>
      </c>
    </row>
    <row r="189" spans="1:5" s="2126" customFormat="1" hidden="1">
      <c r="A189" s="2128">
        <v>351</v>
      </c>
      <c r="B189" s="2128">
        <v>12</v>
      </c>
      <c r="C189" s="2135">
        <v>-1</v>
      </c>
      <c r="D189" s="2135">
        <v>21</v>
      </c>
      <c r="E189" s="2128">
        <v>61.17</v>
      </c>
    </row>
    <row r="190" spans="1:5" s="2126" customFormat="1" hidden="1">
      <c r="A190" s="2128">
        <v>352</v>
      </c>
      <c r="B190" s="2128">
        <v>12</v>
      </c>
      <c r="C190" s="2135">
        <v>-1</v>
      </c>
      <c r="D190" s="2135">
        <v>22</v>
      </c>
      <c r="E190" s="2128">
        <v>69.63</v>
      </c>
    </row>
    <row r="191" spans="1:5" s="2126" customFormat="1" hidden="1">
      <c r="A191" s="2128">
        <v>353</v>
      </c>
      <c r="B191" s="2128">
        <v>12</v>
      </c>
      <c r="C191" s="2135">
        <v>-1</v>
      </c>
      <c r="D191" s="2135">
        <v>25</v>
      </c>
      <c r="E191" s="2128">
        <v>70.209999999999994</v>
      </c>
    </row>
    <row r="192" spans="1:5" s="2126" customFormat="1" hidden="1">
      <c r="A192" s="2128">
        <v>354</v>
      </c>
      <c r="B192" s="2128">
        <v>12</v>
      </c>
      <c r="C192" s="2135">
        <v>-1</v>
      </c>
      <c r="D192" s="2135">
        <v>30</v>
      </c>
      <c r="E192" s="2128">
        <v>60.68</v>
      </c>
    </row>
    <row r="193" spans="1:5" s="2126" customFormat="1" hidden="1">
      <c r="A193" s="2128">
        <v>355</v>
      </c>
      <c r="B193" s="2128">
        <v>12</v>
      </c>
      <c r="C193" s="2135">
        <v>-1</v>
      </c>
      <c r="D193" s="2135">
        <v>53</v>
      </c>
      <c r="E193" s="2128">
        <v>69.42</v>
      </c>
    </row>
    <row r="194" spans="1:5" s="2126" customFormat="1" hidden="1">
      <c r="A194" s="2128">
        <v>356</v>
      </c>
      <c r="B194" s="2128">
        <v>12</v>
      </c>
      <c r="C194" s="2135">
        <v>-1</v>
      </c>
      <c r="D194" s="2135">
        <v>56</v>
      </c>
      <c r="E194" s="2128">
        <v>68.11</v>
      </c>
    </row>
    <row r="195" spans="1:5" s="2126" customFormat="1" hidden="1">
      <c r="A195" s="2128">
        <v>357</v>
      </c>
      <c r="B195" s="2128">
        <v>12</v>
      </c>
      <c r="C195" s="2135">
        <v>-1</v>
      </c>
      <c r="D195" s="2135">
        <v>80</v>
      </c>
      <c r="E195" s="2128">
        <v>58.94</v>
      </c>
    </row>
    <row r="196" spans="1:5" s="2126" customFormat="1" hidden="1">
      <c r="A196" s="2128">
        <v>358</v>
      </c>
      <c r="B196" s="2128">
        <v>12</v>
      </c>
      <c r="C196" s="2135">
        <v>-1</v>
      </c>
      <c r="D196" s="2135">
        <v>120</v>
      </c>
      <c r="E196" s="2128">
        <v>113.97</v>
      </c>
    </row>
    <row r="197" spans="1:5" s="2126" customFormat="1" hidden="1">
      <c r="A197" s="2128">
        <v>359</v>
      </c>
      <c r="B197" s="2128">
        <v>12</v>
      </c>
      <c r="C197" s="2135">
        <v>-1</v>
      </c>
      <c r="D197" s="2135">
        <v>133</v>
      </c>
      <c r="E197" s="2128">
        <v>71.03</v>
      </c>
    </row>
    <row r="198" spans="1:5" s="2126" customFormat="1" hidden="1">
      <c r="A198" s="2128">
        <v>360</v>
      </c>
      <c r="B198" s="2128">
        <v>12</v>
      </c>
      <c r="C198" s="2135">
        <v>-1</v>
      </c>
      <c r="D198" s="2135">
        <v>176</v>
      </c>
      <c r="E198" s="2128">
        <v>71.150000000000006</v>
      </c>
    </row>
    <row r="199" spans="1:5" s="2126" customFormat="1" hidden="1">
      <c r="A199" s="2128">
        <v>361</v>
      </c>
      <c r="B199" s="2128">
        <v>12</v>
      </c>
      <c r="C199" s="2135">
        <v>-1</v>
      </c>
      <c r="D199" s="2135">
        <v>203</v>
      </c>
      <c r="E199" s="2128">
        <v>84.43</v>
      </c>
    </row>
    <row r="200" spans="1:5" s="2126" customFormat="1" hidden="1">
      <c r="A200" s="2128">
        <v>362</v>
      </c>
      <c r="B200" s="2128">
        <v>12</v>
      </c>
      <c r="C200" s="2135">
        <v>-1</v>
      </c>
      <c r="D200" s="2135">
        <v>205</v>
      </c>
      <c r="E200" s="2128">
        <v>86.07</v>
      </c>
    </row>
    <row r="201" spans="1:5" s="2126" customFormat="1" hidden="1">
      <c r="A201" s="2128">
        <v>363</v>
      </c>
      <c r="B201" s="2128">
        <v>12</v>
      </c>
      <c r="C201" s="2135">
        <v>-1</v>
      </c>
      <c r="D201" s="2135">
        <v>206</v>
      </c>
      <c r="E201" s="2128">
        <v>90.17</v>
      </c>
    </row>
    <row r="202" spans="1:5" s="2126" customFormat="1" hidden="1">
      <c r="A202" s="2128">
        <v>364</v>
      </c>
      <c r="B202" s="2128">
        <v>12</v>
      </c>
      <c r="C202" s="2135">
        <v>-1</v>
      </c>
      <c r="D202" s="2135">
        <v>208</v>
      </c>
      <c r="E202" s="2128">
        <v>102.94</v>
      </c>
    </row>
    <row r="203" spans="1:5" s="2126" customFormat="1" hidden="1">
      <c r="A203" s="2128">
        <v>365</v>
      </c>
      <c r="B203" s="2128">
        <v>12</v>
      </c>
      <c r="C203" s="2135">
        <v>-1</v>
      </c>
      <c r="D203" s="2135">
        <v>216</v>
      </c>
      <c r="E203" s="2128">
        <v>47.61</v>
      </c>
    </row>
    <row r="204" spans="1:5" s="2126" customFormat="1" hidden="1">
      <c r="A204" s="2128">
        <v>366</v>
      </c>
      <c r="B204" s="2128">
        <v>12</v>
      </c>
      <c r="C204" s="2135">
        <v>-1</v>
      </c>
      <c r="D204" s="2135">
        <v>229</v>
      </c>
      <c r="E204" s="2128">
        <v>42.72</v>
      </c>
    </row>
    <row r="205" spans="1:5" s="2126" customFormat="1" hidden="1">
      <c r="A205" s="2128">
        <v>367</v>
      </c>
      <c r="B205" s="2128">
        <v>12</v>
      </c>
      <c r="C205" s="2135">
        <v>-1</v>
      </c>
      <c r="D205" s="2135">
        <v>246</v>
      </c>
      <c r="E205" s="2128">
        <v>90.97</v>
      </c>
    </row>
    <row r="206" spans="1:5" s="2126" customFormat="1" hidden="1">
      <c r="A206" s="2128">
        <v>368</v>
      </c>
      <c r="B206" s="2128">
        <v>12</v>
      </c>
      <c r="C206" s="2128">
        <v>-2</v>
      </c>
      <c r="D206" s="2128">
        <v>22</v>
      </c>
      <c r="E206" s="2128">
        <v>90.66</v>
      </c>
    </row>
    <row r="207" spans="1:5" s="2126" customFormat="1" hidden="1">
      <c r="A207" s="2128">
        <v>369</v>
      </c>
      <c r="B207" s="2128">
        <v>12</v>
      </c>
      <c r="C207" s="2128">
        <v>-2</v>
      </c>
      <c r="D207" s="2128">
        <v>96</v>
      </c>
      <c r="E207" s="2128">
        <v>97.22</v>
      </c>
    </row>
    <row r="208" spans="1:5" s="2126" customFormat="1" hidden="1">
      <c r="A208" s="2128">
        <v>370</v>
      </c>
      <c r="B208" s="2128">
        <v>12</v>
      </c>
      <c r="C208" s="2128">
        <v>-2</v>
      </c>
      <c r="D208" s="2128">
        <v>197</v>
      </c>
      <c r="E208" s="2128">
        <v>41.52</v>
      </c>
    </row>
    <row r="209" spans="1:5" s="2126" customFormat="1" hidden="1">
      <c r="A209" s="2128">
        <v>371</v>
      </c>
      <c r="B209" s="2128">
        <v>12</v>
      </c>
      <c r="C209" s="2128">
        <v>-2</v>
      </c>
      <c r="D209" s="2128">
        <v>215</v>
      </c>
      <c r="E209" s="2128">
        <v>78.040000000000006</v>
      </c>
    </row>
    <row r="210" spans="1:5" s="2126" customFormat="1" hidden="1">
      <c r="A210" s="2128">
        <v>372</v>
      </c>
      <c r="B210" s="2128">
        <v>12</v>
      </c>
      <c r="C210" s="2128">
        <v>-2</v>
      </c>
      <c r="D210" s="2128">
        <v>270</v>
      </c>
      <c r="E210" s="2128">
        <v>72.52</v>
      </c>
    </row>
    <row r="211" spans="1:5" s="2126" customFormat="1">
      <c r="A211" s="2128">
        <v>375</v>
      </c>
      <c r="B211" s="2128">
        <v>11</v>
      </c>
      <c r="C211" s="2128">
        <v>1</v>
      </c>
      <c r="D211" s="2128">
        <v>1</v>
      </c>
      <c r="E211" s="2128">
        <v>45.34</v>
      </c>
    </row>
    <row r="212" spans="1:5" s="2126" customFormat="1">
      <c r="A212" s="2128">
        <v>376</v>
      </c>
      <c r="B212" s="2128">
        <v>11</v>
      </c>
      <c r="C212" s="2128">
        <v>1</v>
      </c>
      <c r="D212" s="2128">
        <v>35</v>
      </c>
      <c r="E212" s="2128">
        <v>44.44</v>
      </c>
    </row>
    <row r="213" spans="1:5" s="2126" customFormat="1">
      <c r="A213" s="2128">
        <v>377</v>
      </c>
      <c r="B213" s="2128">
        <v>11</v>
      </c>
      <c r="C213" s="2128">
        <v>1</v>
      </c>
      <c r="D213" s="2128">
        <v>41</v>
      </c>
      <c r="E213" s="2128">
        <v>41.15</v>
      </c>
    </row>
    <row r="214" spans="1:5" s="2126" customFormat="1">
      <c r="A214" s="2128">
        <v>378</v>
      </c>
      <c r="B214" s="2128">
        <v>11</v>
      </c>
      <c r="C214" s="2128">
        <v>1</v>
      </c>
      <c r="D214" s="2128">
        <v>148</v>
      </c>
      <c r="E214" s="2128">
        <v>38.61</v>
      </c>
    </row>
    <row r="215" spans="1:5" s="2126" customFormat="1">
      <c r="A215" s="2128">
        <v>379</v>
      </c>
      <c r="B215" s="2128">
        <v>11</v>
      </c>
      <c r="C215" s="2128">
        <v>1</v>
      </c>
      <c r="D215" s="2128">
        <v>149</v>
      </c>
      <c r="E215" s="2128">
        <v>39.06</v>
      </c>
    </row>
    <row r="216" spans="1:5" s="2126" customFormat="1">
      <c r="A216" s="2128">
        <v>380</v>
      </c>
      <c r="B216" s="2128">
        <v>12</v>
      </c>
      <c r="C216" s="2128">
        <v>1</v>
      </c>
      <c r="D216" s="2128">
        <v>13</v>
      </c>
      <c r="E216" s="2128">
        <v>123.8</v>
      </c>
    </row>
    <row r="217" spans="1:5" s="2126" customFormat="1">
      <c r="A217" s="2128">
        <v>381</v>
      </c>
      <c r="B217" s="2128">
        <v>12</v>
      </c>
      <c r="C217" s="2128">
        <v>1</v>
      </c>
      <c r="D217" s="2128">
        <v>16</v>
      </c>
      <c r="E217" s="2128">
        <v>129.83000000000001</v>
      </c>
    </row>
    <row r="218" spans="1:5" s="2126" customFormat="1">
      <c r="A218" s="2128">
        <v>382</v>
      </c>
      <c r="B218" s="2128">
        <v>12</v>
      </c>
      <c r="C218" s="2128">
        <v>1</v>
      </c>
      <c r="D218" s="2128">
        <v>27</v>
      </c>
      <c r="E218" s="2128">
        <v>18.18</v>
      </c>
    </row>
    <row r="219" spans="1:5" s="2126" customFormat="1">
      <c r="A219" s="2128">
        <v>383</v>
      </c>
      <c r="B219" s="2128">
        <v>12</v>
      </c>
      <c r="C219" s="2128">
        <v>1</v>
      </c>
      <c r="D219" s="2128">
        <v>61</v>
      </c>
      <c r="E219" s="2128">
        <v>40.22</v>
      </c>
    </row>
    <row r="220" spans="1:5" s="2126" customFormat="1">
      <c r="A220" s="2128">
        <v>384</v>
      </c>
      <c r="B220" s="2128">
        <v>12</v>
      </c>
      <c r="C220" s="2128">
        <v>1</v>
      </c>
      <c r="D220" s="2128">
        <v>78</v>
      </c>
      <c r="E220" s="2128">
        <v>33.909999999999997</v>
      </c>
    </row>
    <row r="221" spans="1:5" s="2126" customFormat="1" hidden="1">
      <c r="A221" s="2128">
        <v>385</v>
      </c>
      <c r="B221" s="2128">
        <v>12</v>
      </c>
      <c r="C221" s="2128">
        <v>-1</v>
      </c>
      <c r="D221" s="2128">
        <v>1</v>
      </c>
      <c r="E221" s="2128">
        <v>76.14</v>
      </c>
    </row>
    <row r="222" spans="1:5" s="2126" customFormat="1" hidden="1">
      <c r="A222" s="2128">
        <v>386</v>
      </c>
      <c r="B222" s="2128">
        <v>12</v>
      </c>
      <c r="C222" s="2128">
        <v>-1</v>
      </c>
      <c r="D222" s="2128">
        <v>60</v>
      </c>
      <c r="E222" s="2128">
        <v>63.96</v>
      </c>
    </row>
    <row r="223" spans="1:5" s="2126" customFormat="1" hidden="1">
      <c r="A223" s="2128">
        <v>387</v>
      </c>
      <c r="B223" s="2128">
        <v>12</v>
      </c>
      <c r="C223" s="2128">
        <v>-1</v>
      </c>
      <c r="D223" s="2128">
        <v>61</v>
      </c>
      <c r="E223" s="2128">
        <v>65.180000000000007</v>
      </c>
    </row>
    <row r="224" spans="1:5" s="2126" customFormat="1" hidden="1">
      <c r="A224" s="2128">
        <v>388</v>
      </c>
      <c r="B224" s="2128">
        <v>12</v>
      </c>
      <c r="C224" s="2128">
        <v>-1</v>
      </c>
      <c r="D224" s="2128">
        <v>121</v>
      </c>
      <c r="E224" s="2128">
        <v>113.97</v>
      </c>
    </row>
    <row r="225" spans="1:5" s="2126" customFormat="1" hidden="1">
      <c r="A225" s="2128">
        <v>389</v>
      </c>
      <c r="B225" s="2128">
        <v>12</v>
      </c>
      <c r="C225" s="2128">
        <v>-1</v>
      </c>
      <c r="D225" s="2128">
        <v>130</v>
      </c>
      <c r="E225" s="2128">
        <v>23.67</v>
      </c>
    </row>
    <row r="226" spans="1:5" s="2126" customFormat="1" hidden="1">
      <c r="A226" s="2128">
        <v>390</v>
      </c>
      <c r="B226" s="2128">
        <v>12</v>
      </c>
      <c r="C226" s="2128">
        <v>-1</v>
      </c>
      <c r="D226" s="2128">
        <v>158</v>
      </c>
      <c r="E226" s="2128">
        <v>74.58</v>
      </c>
    </row>
    <row r="227" spans="1:5" s="2126" customFormat="1" hidden="1">
      <c r="A227" s="2128">
        <v>391</v>
      </c>
      <c r="B227" s="2128">
        <v>12</v>
      </c>
      <c r="C227" s="2128">
        <v>-1</v>
      </c>
      <c r="D227" s="2128">
        <v>169</v>
      </c>
      <c r="E227" s="2128">
        <v>46.32</v>
      </c>
    </row>
    <row r="228" spans="1:5" s="2126" customFormat="1" hidden="1">
      <c r="A228" s="2128">
        <v>392</v>
      </c>
      <c r="B228" s="2128">
        <v>12</v>
      </c>
      <c r="C228" s="2128">
        <v>-2</v>
      </c>
      <c r="D228" s="2128">
        <v>112</v>
      </c>
      <c r="E228" s="2128">
        <v>75.790000000000006</v>
      </c>
    </row>
    <row r="229" spans="1:5" s="2126" customFormat="1" hidden="1">
      <c r="A229" s="2128">
        <v>393</v>
      </c>
      <c r="B229" s="2128">
        <v>12</v>
      </c>
      <c r="C229" s="2128">
        <v>-2</v>
      </c>
      <c r="D229" s="2128">
        <v>169</v>
      </c>
      <c r="E229" s="2128">
        <v>67.61</v>
      </c>
    </row>
    <row r="230" spans="1:5" s="2126" customFormat="1" hidden="1">
      <c r="A230" s="2128">
        <v>394</v>
      </c>
      <c r="B230" s="2128">
        <v>12</v>
      </c>
      <c r="C230" s="2128">
        <v>-2</v>
      </c>
      <c r="D230" s="2128">
        <v>216</v>
      </c>
      <c r="E230" s="2128">
        <v>81.75</v>
      </c>
    </row>
    <row r="231" spans="1:5" s="2126" customFormat="1" hidden="1">
      <c r="A231" s="2128">
        <v>395</v>
      </c>
      <c r="B231" s="2128">
        <v>12</v>
      </c>
      <c r="C231" s="2128">
        <v>-2</v>
      </c>
      <c r="D231" s="2128">
        <v>230</v>
      </c>
      <c r="E231" s="2128">
        <v>43.16</v>
      </c>
    </row>
    <row r="232" spans="1:5" s="2126" customFormat="1" hidden="1">
      <c r="A232" s="2128">
        <v>396</v>
      </c>
      <c r="B232" s="2128">
        <v>12</v>
      </c>
      <c r="C232" s="2128">
        <v>-2</v>
      </c>
      <c r="D232" s="2128">
        <v>231</v>
      </c>
      <c r="E232" s="2128">
        <v>43.16</v>
      </c>
    </row>
    <row r="233" spans="1:5" s="2126" customFormat="1" hidden="1">
      <c r="A233" s="2128">
        <v>397</v>
      </c>
      <c r="B233" s="2128">
        <v>12</v>
      </c>
      <c r="C233" s="2128">
        <v>-2</v>
      </c>
      <c r="D233" s="2128">
        <v>233</v>
      </c>
      <c r="E233" s="2128">
        <v>43.16</v>
      </c>
    </row>
    <row r="234" spans="1:5" s="2126" customFormat="1" hidden="1">
      <c r="A234" s="2128">
        <v>398</v>
      </c>
      <c r="B234" s="2128">
        <v>12</v>
      </c>
      <c r="C234" s="2128">
        <v>-2</v>
      </c>
      <c r="D234" s="2128">
        <v>238</v>
      </c>
      <c r="E234" s="2128">
        <v>43.16</v>
      </c>
    </row>
    <row r="235" spans="1:5" s="2126" customFormat="1" hidden="1">
      <c r="A235" s="2128">
        <v>399</v>
      </c>
      <c r="B235" s="2136">
        <v>12</v>
      </c>
      <c r="C235" s="2136">
        <v>-2</v>
      </c>
      <c r="D235" s="2136">
        <v>263</v>
      </c>
      <c r="E235" s="2136">
        <v>75.42</v>
      </c>
    </row>
    <row r="236" spans="1:5" s="2126" customFormat="1" hidden="1">
      <c r="A236" s="2128">
        <v>400</v>
      </c>
      <c r="B236" s="2128">
        <v>12</v>
      </c>
      <c r="C236" s="2128">
        <v>-2</v>
      </c>
      <c r="D236" s="2128">
        <v>265</v>
      </c>
      <c r="E236" s="2128">
        <v>75.42</v>
      </c>
    </row>
    <row r="237" spans="1:5" s="2126" customFormat="1" hidden="1">
      <c r="A237" s="2128">
        <v>504</v>
      </c>
      <c r="B237" s="2128">
        <v>9</v>
      </c>
      <c r="C237" s="2128">
        <v>-1</v>
      </c>
      <c r="D237" s="2128">
        <v>69</v>
      </c>
      <c r="E237" s="2128">
        <v>79.8</v>
      </c>
    </row>
    <row r="238" spans="1:5" s="2126" customFormat="1" hidden="1">
      <c r="A238" s="2128">
        <v>505</v>
      </c>
      <c r="B238" s="2128">
        <v>9</v>
      </c>
      <c r="C238" s="2128">
        <v>-1</v>
      </c>
      <c r="D238" s="2128">
        <v>77</v>
      </c>
      <c r="E238" s="2128">
        <v>41.44</v>
      </c>
    </row>
    <row r="239" spans="1:5" s="2126" customFormat="1" hidden="1">
      <c r="A239" s="2128">
        <v>506</v>
      </c>
      <c r="B239" s="2128">
        <v>9</v>
      </c>
      <c r="C239" s="2128">
        <v>-1</v>
      </c>
      <c r="D239" s="2128">
        <v>78</v>
      </c>
      <c r="E239" s="2128">
        <v>83.21</v>
      </c>
    </row>
    <row r="240" spans="1:5" s="2126" customFormat="1" hidden="1">
      <c r="A240" s="2128">
        <v>507</v>
      </c>
      <c r="B240" s="2128">
        <v>9</v>
      </c>
      <c r="C240" s="2128">
        <v>-1</v>
      </c>
      <c r="D240" s="2128">
        <v>97</v>
      </c>
      <c r="E240" s="2128">
        <v>62.34</v>
      </c>
    </row>
    <row r="241" spans="1:5" s="2126" customFormat="1" hidden="1">
      <c r="A241" s="2128">
        <v>508</v>
      </c>
      <c r="B241" s="2128">
        <v>9</v>
      </c>
      <c r="C241" s="2128">
        <v>-1</v>
      </c>
      <c r="D241" s="2128">
        <v>98</v>
      </c>
      <c r="E241" s="2128">
        <v>59.51</v>
      </c>
    </row>
    <row r="242" spans="1:5" s="2126" customFormat="1" hidden="1">
      <c r="A242" s="2128">
        <v>509</v>
      </c>
      <c r="B242" s="2128">
        <v>9</v>
      </c>
      <c r="C242" s="2128">
        <v>-1</v>
      </c>
      <c r="D242" s="2128">
        <v>102</v>
      </c>
      <c r="E242" s="2128">
        <v>62.33</v>
      </c>
    </row>
    <row r="243" spans="1:5" s="2126" customFormat="1" hidden="1">
      <c r="A243" s="2128">
        <v>510</v>
      </c>
      <c r="B243" s="2128">
        <v>9</v>
      </c>
      <c r="C243" s="2128">
        <v>-1</v>
      </c>
      <c r="D243" s="2128">
        <v>108</v>
      </c>
      <c r="E243" s="2128">
        <v>59.51</v>
      </c>
    </row>
    <row r="244" spans="1:5" s="2126" customFormat="1" hidden="1">
      <c r="A244" s="2128">
        <v>511</v>
      </c>
      <c r="B244" s="2128">
        <v>9</v>
      </c>
      <c r="C244" s="2128">
        <v>-1</v>
      </c>
      <c r="D244" s="2128">
        <v>133</v>
      </c>
      <c r="E244" s="2128">
        <v>71.39</v>
      </c>
    </row>
    <row r="245" spans="1:5" s="2126" customFormat="1" hidden="1">
      <c r="A245" s="2128">
        <v>512</v>
      </c>
      <c r="B245" s="2128">
        <v>9</v>
      </c>
      <c r="C245" s="2128">
        <v>-2</v>
      </c>
      <c r="D245" s="2128">
        <v>23</v>
      </c>
      <c r="E245" s="2128">
        <v>75.02</v>
      </c>
    </row>
    <row r="246" spans="1:5" s="2126" customFormat="1" hidden="1">
      <c r="A246" s="2128">
        <v>513</v>
      </c>
      <c r="B246" s="2128">
        <v>9</v>
      </c>
      <c r="C246" s="2128">
        <v>-2</v>
      </c>
      <c r="D246" s="2128">
        <v>25</v>
      </c>
      <c r="E246" s="2128">
        <v>75.02</v>
      </c>
    </row>
    <row r="247" spans="1:5" s="2126" customFormat="1" hidden="1">
      <c r="A247" s="2128">
        <v>514</v>
      </c>
      <c r="B247" s="2128">
        <v>9</v>
      </c>
      <c r="C247" s="2128">
        <v>-2</v>
      </c>
      <c r="D247" s="2128">
        <v>95</v>
      </c>
      <c r="E247" s="2128">
        <v>95.25</v>
      </c>
    </row>
    <row r="248" spans="1:5" s="2126" customFormat="1">
      <c r="A248" s="2128">
        <v>515</v>
      </c>
      <c r="B248" s="2128">
        <v>11</v>
      </c>
      <c r="C248" s="2128">
        <v>1</v>
      </c>
      <c r="D248" s="2128">
        <v>46</v>
      </c>
      <c r="E248" s="2128">
        <v>44.65</v>
      </c>
    </row>
    <row r="249" spans="1:5" s="2126" customFormat="1">
      <c r="A249" s="2128">
        <v>516</v>
      </c>
      <c r="B249" s="2128">
        <v>11</v>
      </c>
      <c r="C249" s="2128">
        <v>1</v>
      </c>
      <c r="D249" s="2128">
        <v>47</v>
      </c>
      <c r="E249" s="2128">
        <v>44.65</v>
      </c>
    </row>
    <row r="250" spans="1:5" s="2126" customFormat="1">
      <c r="A250" s="2128">
        <v>517</v>
      </c>
      <c r="B250" s="2128">
        <v>11</v>
      </c>
      <c r="C250" s="2128">
        <v>1</v>
      </c>
      <c r="D250" s="2128">
        <v>100</v>
      </c>
      <c r="E250" s="2128">
        <v>72.5</v>
      </c>
    </row>
    <row r="251" spans="1:5" s="2126" customFormat="1">
      <c r="A251" s="2128">
        <v>518</v>
      </c>
      <c r="B251" s="2128">
        <v>11</v>
      </c>
      <c r="C251" s="2128">
        <v>1</v>
      </c>
      <c r="D251" s="2128">
        <v>120</v>
      </c>
      <c r="E251" s="2128">
        <v>41.05</v>
      </c>
    </row>
    <row r="252" spans="1:5" s="2126" customFormat="1">
      <c r="A252" s="2128">
        <v>519</v>
      </c>
      <c r="B252" s="2128">
        <v>11</v>
      </c>
      <c r="C252" s="2128">
        <v>1</v>
      </c>
      <c r="D252" s="2128">
        <v>142</v>
      </c>
      <c r="E252" s="2128">
        <v>44.03</v>
      </c>
    </row>
    <row r="253" spans="1:5" s="2126" customFormat="1" hidden="1">
      <c r="A253" s="2128">
        <v>520</v>
      </c>
      <c r="B253" s="2128">
        <v>11</v>
      </c>
      <c r="C253" s="2128">
        <v>-1</v>
      </c>
      <c r="D253" s="2128">
        <v>7</v>
      </c>
      <c r="E253" s="2128">
        <v>106.14</v>
      </c>
    </row>
    <row r="254" spans="1:5" s="2126" customFormat="1" hidden="1">
      <c r="A254" s="2128">
        <v>521</v>
      </c>
      <c r="B254" s="2128">
        <v>11</v>
      </c>
      <c r="C254" s="2128">
        <v>-1</v>
      </c>
      <c r="D254" s="2128">
        <v>8</v>
      </c>
      <c r="E254" s="2128">
        <v>101.31</v>
      </c>
    </row>
    <row r="255" spans="1:5" s="2126" customFormat="1" hidden="1">
      <c r="A255" s="2128">
        <v>522</v>
      </c>
      <c r="B255" s="2128">
        <v>11</v>
      </c>
      <c r="C255" s="2128">
        <v>-1</v>
      </c>
      <c r="D255" s="2128">
        <v>15</v>
      </c>
      <c r="E255" s="2128">
        <v>49.22</v>
      </c>
    </row>
    <row r="256" spans="1:5" s="2126" customFormat="1" hidden="1">
      <c r="A256" s="2128">
        <v>523</v>
      </c>
      <c r="B256" s="2128">
        <v>11</v>
      </c>
      <c r="C256" s="2128">
        <v>-1</v>
      </c>
      <c r="D256" s="2128">
        <v>18</v>
      </c>
      <c r="E256" s="2128">
        <v>101.31</v>
      </c>
    </row>
    <row r="257" spans="1:5" s="2126" customFormat="1" hidden="1">
      <c r="A257" s="2128">
        <v>524</v>
      </c>
      <c r="B257" s="2128">
        <v>11</v>
      </c>
      <c r="C257" s="2128">
        <v>-2</v>
      </c>
      <c r="D257" s="2128">
        <v>40</v>
      </c>
      <c r="E257" s="2128">
        <v>46.64</v>
      </c>
    </row>
    <row r="258" spans="1:5" s="2126" customFormat="1" hidden="1">
      <c r="A258" s="2128">
        <v>525</v>
      </c>
      <c r="B258" s="2128">
        <v>11</v>
      </c>
      <c r="C258" s="2128">
        <v>-2</v>
      </c>
      <c r="D258" s="2128">
        <v>138</v>
      </c>
      <c r="E258" s="2128">
        <v>40.33</v>
      </c>
    </row>
    <row r="259" spans="1:5" s="2126" customFormat="1">
      <c r="A259" s="2128">
        <v>526</v>
      </c>
      <c r="B259" s="2128">
        <v>12</v>
      </c>
      <c r="C259" s="2128">
        <v>1</v>
      </c>
      <c r="D259" s="2128">
        <v>1</v>
      </c>
      <c r="E259" s="2128">
        <v>84.98</v>
      </c>
    </row>
    <row r="260" spans="1:5" s="2126" customFormat="1">
      <c r="A260" s="2128">
        <v>527</v>
      </c>
      <c r="B260" s="2128">
        <v>12</v>
      </c>
      <c r="C260" s="2128">
        <v>1</v>
      </c>
      <c r="D260" s="2128">
        <v>2</v>
      </c>
      <c r="E260" s="2128">
        <v>84.48</v>
      </c>
    </row>
    <row r="261" spans="1:5" s="2126" customFormat="1">
      <c r="A261" s="2128">
        <v>528</v>
      </c>
      <c r="B261" s="2128">
        <v>12</v>
      </c>
      <c r="C261" s="2128">
        <v>1</v>
      </c>
      <c r="D261" s="2128">
        <v>3</v>
      </c>
      <c r="E261" s="2128">
        <v>72.88</v>
      </c>
    </row>
    <row r="262" spans="1:5" s="2126" customFormat="1">
      <c r="A262" s="2128">
        <v>529</v>
      </c>
      <c r="B262" s="2128">
        <v>12</v>
      </c>
      <c r="C262" s="2128">
        <v>1</v>
      </c>
      <c r="D262" s="2128">
        <v>5</v>
      </c>
      <c r="E262" s="2128">
        <v>73.2</v>
      </c>
    </row>
    <row r="263" spans="1:5" s="2126" customFormat="1">
      <c r="A263" s="2128">
        <v>530</v>
      </c>
      <c r="B263" s="2128">
        <v>12</v>
      </c>
      <c r="C263" s="2128">
        <v>1</v>
      </c>
      <c r="D263" s="2128">
        <v>42</v>
      </c>
      <c r="E263" s="2128">
        <v>50.77</v>
      </c>
    </row>
    <row r="264" spans="1:5" s="2126" customFormat="1">
      <c r="A264" s="2128">
        <v>531</v>
      </c>
      <c r="B264" s="2128">
        <v>12</v>
      </c>
      <c r="C264" s="2128">
        <v>1</v>
      </c>
      <c r="D264" s="2128">
        <v>47</v>
      </c>
      <c r="E264" s="2128">
        <v>39.42</v>
      </c>
    </row>
    <row r="265" spans="1:5" s="2126" customFormat="1">
      <c r="A265" s="2128">
        <v>532</v>
      </c>
      <c r="B265" s="2128">
        <v>12</v>
      </c>
      <c r="C265" s="2128">
        <v>1</v>
      </c>
      <c r="D265" s="2128">
        <v>63</v>
      </c>
      <c r="E265" s="2128">
        <v>43.99</v>
      </c>
    </row>
    <row r="266" spans="1:5" s="2126" customFormat="1">
      <c r="A266" s="2128">
        <v>533</v>
      </c>
      <c r="B266" s="2128">
        <v>12</v>
      </c>
      <c r="C266" s="2128">
        <v>1</v>
      </c>
      <c r="D266" s="2128">
        <v>75</v>
      </c>
      <c r="E266" s="2128">
        <v>41.58</v>
      </c>
    </row>
    <row r="267" spans="1:5" s="2126" customFormat="1">
      <c r="A267" s="2128">
        <v>534</v>
      </c>
      <c r="B267" s="2128">
        <v>12</v>
      </c>
      <c r="C267" s="2128">
        <v>1</v>
      </c>
      <c r="D267" s="2128">
        <v>76</v>
      </c>
      <c r="E267" s="2128">
        <v>41.57</v>
      </c>
    </row>
    <row r="268" spans="1:5" s="2126" customFormat="1">
      <c r="A268" s="2128">
        <v>535</v>
      </c>
      <c r="B268" s="2128">
        <v>12</v>
      </c>
      <c r="C268" s="2128">
        <v>1</v>
      </c>
      <c r="D268" s="2128">
        <v>77</v>
      </c>
      <c r="E268" s="2128">
        <v>43.55</v>
      </c>
    </row>
    <row r="269" spans="1:5" s="2126" customFormat="1">
      <c r="A269" s="2128">
        <v>536</v>
      </c>
      <c r="B269" s="2128">
        <v>12</v>
      </c>
      <c r="C269" s="2128">
        <v>1</v>
      </c>
      <c r="D269" s="2128">
        <v>95</v>
      </c>
      <c r="E269" s="2128">
        <v>134.43</v>
      </c>
    </row>
    <row r="270" spans="1:5" s="2126" customFormat="1">
      <c r="A270" s="2128">
        <v>537</v>
      </c>
      <c r="B270" s="2128">
        <v>12</v>
      </c>
      <c r="C270" s="2128">
        <v>1</v>
      </c>
      <c r="D270" s="2128">
        <v>96</v>
      </c>
      <c r="E270" s="2128">
        <v>90.04</v>
      </c>
    </row>
    <row r="271" spans="1:5" s="2126" customFormat="1">
      <c r="A271" s="2128">
        <v>538</v>
      </c>
      <c r="B271" s="2128">
        <v>12</v>
      </c>
      <c r="C271" s="2128">
        <v>1</v>
      </c>
      <c r="D271" s="2128">
        <v>97</v>
      </c>
      <c r="E271" s="2128">
        <v>76.12</v>
      </c>
    </row>
    <row r="272" spans="1:5" s="2126" customFormat="1" hidden="1">
      <c r="A272" s="2128">
        <v>539</v>
      </c>
      <c r="B272" s="2128">
        <v>12</v>
      </c>
      <c r="C272" s="2128">
        <v>-1</v>
      </c>
      <c r="D272" s="2128">
        <v>55</v>
      </c>
      <c r="E272" s="2128">
        <v>87.28</v>
      </c>
    </row>
    <row r="273" spans="1:5" s="2126" customFormat="1" hidden="1">
      <c r="A273" s="2128">
        <v>540</v>
      </c>
      <c r="B273" s="2128">
        <v>12</v>
      </c>
      <c r="C273" s="2128">
        <v>-1</v>
      </c>
      <c r="D273" s="2128">
        <v>126</v>
      </c>
      <c r="E273" s="2128">
        <v>70.53</v>
      </c>
    </row>
    <row r="274" spans="1:5" s="2126" customFormat="1" hidden="1">
      <c r="A274" s="2128">
        <v>541</v>
      </c>
      <c r="B274" s="2128">
        <v>12</v>
      </c>
      <c r="C274" s="2128">
        <v>-1</v>
      </c>
      <c r="D274" s="2128">
        <v>162</v>
      </c>
      <c r="E274" s="2128">
        <v>52.38</v>
      </c>
    </row>
    <row r="275" spans="1:5" s="2126" customFormat="1" hidden="1">
      <c r="A275" s="2128">
        <v>542</v>
      </c>
      <c r="B275" s="2128">
        <v>12</v>
      </c>
      <c r="C275" s="2128">
        <v>-1</v>
      </c>
      <c r="D275" s="2128">
        <v>178</v>
      </c>
      <c r="E275" s="2128">
        <v>28.03</v>
      </c>
    </row>
    <row r="276" spans="1:5" s="2126" customFormat="1" hidden="1">
      <c r="A276" s="2128">
        <v>543</v>
      </c>
      <c r="B276" s="2128">
        <v>12</v>
      </c>
      <c r="C276" s="2128">
        <v>-1</v>
      </c>
      <c r="D276" s="2128">
        <v>217</v>
      </c>
      <c r="E276" s="2128">
        <v>47.61</v>
      </c>
    </row>
    <row r="277" spans="1:5" s="2126" customFormat="1" hidden="1">
      <c r="A277" s="2128">
        <v>544</v>
      </c>
      <c r="B277" s="2128">
        <v>12</v>
      </c>
      <c r="C277" s="2128">
        <v>-1</v>
      </c>
      <c r="D277" s="2128">
        <v>233</v>
      </c>
      <c r="E277" s="2128">
        <v>83.19</v>
      </c>
    </row>
    <row r="278" spans="1:5" s="2126" customFormat="1" hidden="1">
      <c r="A278" s="2128">
        <v>545</v>
      </c>
      <c r="B278" s="2128">
        <v>12</v>
      </c>
      <c r="C278" s="2128">
        <v>-1</v>
      </c>
      <c r="D278" s="2128">
        <v>241</v>
      </c>
      <c r="E278" s="2128">
        <v>83.19</v>
      </c>
    </row>
    <row r="279" spans="1:5" s="2126" customFormat="1" hidden="1">
      <c r="A279" s="2128">
        <v>546</v>
      </c>
      <c r="B279" s="2128">
        <v>12</v>
      </c>
      <c r="C279" s="2128">
        <v>-1</v>
      </c>
      <c r="D279" s="2128">
        <v>252</v>
      </c>
      <c r="E279" s="2128">
        <v>103.11</v>
      </c>
    </row>
    <row r="280" spans="1:5" s="2126" customFormat="1" hidden="1">
      <c r="A280" s="2128">
        <v>547</v>
      </c>
      <c r="B280" s="2128">
        <v>12</v>
      </c>
      <c r="C280" s="2128">
        <v>-1</v>
      </c>
      <c r="D280" s="2128">
        <v>257</v>
      </c>
      <c r="E280" s="2128">
        <v>50.56</v>
      </c>
    </row>
    <row r="281" spans="1:5" s="2126" customFormat="1" hidden="1">
      <c r="A281" s="2128">
        <v>548</v>
      </c>
      <c r="B281" s="2128">
        <v>12</v>
      </c>
      <c r="C281" s="2128">
        <v>-2</v>
      </c>
      <c r="D281" s="2128">
        <v>118</v>
      </c>
      <c r="E281" s="2128">
        <v>100.91</v>
      </c>
    </row>
    <row r="282" spans="1:5" s="2126" customFormat="1" hidden="1">
      <c r="A282" s="2128">
        <v>549</v>
      </c>
      <c r="B282" s="2128">
        <v>12</v>
      </c>
      <c r="C282" s="2128">
        <v>-2</v>
      </c>
      <c r="D282" s="2128">
        <v>127</v>
      </c>
      <c r="E282" s="2128">
        <v>85.74</v>
      </c>
    </row>
    <row r="283" spans="1:5" s="2126" customFormat="1" hidden="1">
      <c r="A283" s="2128">
        <v>550</v>
      </c>
      <c r="B283" s="2128">
        <v>12</v>
      </c>
      <c r="C283" s="2128">
        <v>-2</v>
      </c>
      <c r="D283" s="2128">
        <v>156</v>
      </c>
      <c r="E283" s="2128">
        <v>61.01</v>
      </c>
    </row>
    <row r="284" spans="1:5" s="2126" customFormat="1" hidden="1">
      <c r="A284" s="2128">
        <v>551</v>
      </c>
      <c r="B284" s="2128">
        <v>12</v>
      </c>
      <c r="C284" s="2128">
        <v>-2</v>
      </c>
      <c r="D284" s="2128">
        <v>157</v>
      </c>
      <c r="E284" s="2128">
        <v>50.2</v>
      </c>
    </row>
    <row r="285" spans="1:5" s="2126" customFormat="1" hidden="1">
      <c r="A285" s="2128">
        <v>552</v>
      </c>
      <c r="B285" s="2128">
        <v>12</v>
      </c>
      <c r="C285" s="2128">
        <v>-2</v>
      </c>
      <c r="D285" s="2128">
        <v>170</v>
      </c>
      <c r="E285" s="2128">
        <v>77.78</v>
      </c>
    </row>
    <row r="286" spans="1:5" s="2126" customFormat="1" hidden="1">
      <c r="A286" s="2128">
        <v>553</v>
      </c>
      <c r="B286" s="2128">
        <v>12</v>
      </c>
      <c r="C286" s="2128">
        <v>-2</v>
      </c>
      <c r="D286" s="2128">
        <v>247</v>
      </c>
      <c r="E286" s="2128">
        <v>75.42</v>
      </c>
    </row>
    <row r="287" spans="1:5" s="2126" customFormat="1" hidden="1">
      <c r="A287" s="2128">
        <v>554</v>
      </c>
      <c r="B287" s="2128">
        <v>12</v>
      </c>
      <c r="C287" s="2128">
        <v>-2</v>
      </c>
      <c r="D287" s="2128">
        <v>255</v>
      </c>
      <c r="E287" s="2128">
        <v>75.42</v>
      </c>
    </row>
    <row r="288" spans="1:5" s="2126" customFormat="1" hidden="1">
      <c r="A288" s="2128">
        <v>555</v>
      </c>
      <c r="B288" s="2128">
        <v>12</v>
      </c>
      <c r="C288" s="2128">
        <v>-2</v>
      </c>
      <c r="D288" s="2128">
        <v>256</v>
      </c>
      <c r="E288" s="2128">
        <v>75.42</v>
      </c>
    </row>
    <row r="289" spans="1:5" s="2126" customFormat="1" hidden="1">
      <c r="A289" s="2128">
        <v>556</v>
      </c>
      <c r="B289" s="2128">
        <v>12</v>
      </c>
      <c r="C289" s="2128">
        <v>-2</v>
      </c>
      <c r="D289" s="2128">
        <v>257</v>
      </c>
      <c r="E289" s="2128">
        <v>75.42</v>
      </c>
    </row>
    <row r="290" spans="1:5" s="2126" customFormat="1" hidden="1">
      <c r="A290" s="2128">
        <v>557</v>
      </c>
      <c r="B290" s="2128">
        <v>12</v>
      </c>
      <c r="C290" s="2128">
        <v>-2</v>
      </c>
      <c r="D290" s="2128">
        <v>258</v>
      </c>
      <c r="E290" s="2128">
        <v>72.81</v>
      </c>
    </row>
    <row r="291" spans="1:5" s="2126" customFormat="1" hidden="1">
      <c r="A291" s="2128">
        <v>558</v>
      </c>
      <c r="B291" s="2128">
        <v>12</v>
      </c>
      <c r="C291" s="2128">
        <v>-2</v>
      </c>
      <c r="D291" s="2128">
        <v>267</v>
      </c>
      <c r="E291" s="2128">
        <v>93.47</v>
      </c>
    </row>
    <row r="292" spans="1:5" s="2126" customFormat="1" hidden="1">
      <c r="A292" s="2128">
        <v>559</v>
      </c>
      <c r="B292" s="2128">
        <v>12</v>
      </c>
      <c r="C292" s="2128">
        <v>-2</v>
      </c>
      <c r="D292" s="2128">
        <v>269</v>
      </c>
      <c r="E292" s="2128">
        <v>75.23</v>
      </c>
    </row>
    <row r="293" spans="1:5" s="2126" customFormat="1" hidden="1">
      <c r="A293" s="4018" t="s">
        <v>37</v>
      </c>
      <c r="B293" s="4018"/>
      <c r="C293" s="4018"/>
      <c r="D293" s="4018"/>
      <c r="E293" s="2127">
        <f>SUM(E4:E292)</f>
        <v>19241.179999999989</v>
      </c>
    </row>
    <row r="294" spans="1:5" s="2126" customFormat="1"/>
    <row r="295" spans="1:5" s="2126" customFormat="1"/>
    <row r="296" spans="1:5" s="2126" customFormat="1"/>
    <row r="297" spans="1:5" s="2126" customFormat="1"/>
    <row r="298" spans="1:5" s="2126" customFormat="1"/>
    <row r="299" spans="1:5" s="2126" customFormat="1"/>
    <row r="300" spans="1:5" s="2126" customFormat="1"/>
    <row r="301" spans="1:5" s="2126" customFormat="1"/>
    <row r="302" spans="1:5" s="2126" customFormat="1"/>
    <row r="303" spans="1:5" s="2126" customFormat="1"/>
    <row r="304" spans="1:5" s="2126" customFormat="1"/>
    <row r="305" s="2126" customFormat="1"/>
    <row r="306" s="2126" customFormat="1"/>
    <row r="307" s="2126" customFormat="1"/>
    <row r="308" s="2126" customFormat="1"/>
    <row r="309" s="2126" customFormat="1"/>
    <row r="310" s="2126" customFormat="1"/>
    <row r="311" s="2126" customFormat="1"/>
    <row r="312" s="2126" customFormat="1"/>
    <row r="313" s="2126" customFormat="1"/>
    <row r="314" s="2126" customFormat="1"/>
    <row r="315" s="2126" customFormat="1"/>
    <row r="316" s="2126" customFormat="1"/>
    <row r="317" s="2126" customFormat="1"/>
    <row r="318" s="2126" customFormat="1"/>
    <row r="319" s="2126" customFormat="1"/>
    <row r="320" s="2126" customFormat="1"/>
    <row r="321" s="2126" customFormat="1"/>
    <row r="322" s="2126" customFormat="1"/>
    <row r="323" s="2126" customFormat="1"/>
    <row r="324" s="2126" customFormat="1"/>
    <row r="325" s="2126" customFormat="1"/>
    <row r="326" s="2126" customFormat="1"/>
    <row r="327" s="2126" customFormat="1"/>
    <row r="328" s="2126" customFormat="1"/>
    <row r="329" s="2126" customFormat="1"/>
    <row r="330" s="2126" customFormat="1"/>
    <row r="331" s="2126" customFormat="1"/>
    <row r="332" s="2126" customFormat="1"/>
    <row r="333" s="2126" customFormat="1"/>
    <row r="334" s="2126" customFormat="1"/>
    <row r="335" s="2126" customFormat="1"/>
    <row r="336" s="2126" customFormat="1"/>
    <row r="337" s="2126" customFormat="1"/>
    <row r="338" s="2126" customFormat="1"/>
    <row r="339" s="2126" customFormat="1"/>
    <row r="340" s="2126" customFormat="1"/>
    <row r="341" s="2126" customFormat="1"/>
    <row r="342" s="2126" customFormat="1"/>
    <row r="343" s="2126" customFormat="1"/>
    <row r="344" s="2126" customFormat="1"/>
    <row r="345" s="2126" customFormat="1"/>
    <row r="346" s="2126" customFormat="1"/>
    <row r="347" s="2126" customFormat="1"/>
    <row r="348" s="2126" customFormat="1"/>
    <row r="349" s="2126" customFormat="1"/>
    <row r="350" s="2126" customFormat="1"/>
    <row r="351" s="2126" customFormat="1"/>
    <row r="352" s="2126" customFormat="1"/>
    <row r="353" s="2126" customFormat="1"/>
    <row r="354" s="2126" customFormat="1"/>
    <row r="355" s="2126" customFormat="1"/>
    <row r="356" s="2126" customFormat="1"/>
    <row r="357" s="2126" customFormat="1"/>
    <row r="358" s="2126" customFormat="1"/>
    <row r="359" s="2126" customFormat="1"/>
    <row r="360" s="2126" customFormat="1"/>
    <row r="361" s="2126" customFormat="1"/>
    <row r="362" s="2126" customFormat="1"/>
    <row r="363" s="2126" customFormat="1"/>
    <row r="364" s="2126" customFormat="1"/>
    <row r="365" s="2126" customFormat="1"/>
    <row r="366" s="2126" customFormat="1"/>
    <row r="367" s="2126" customFormat="1"/>
    <row r="368" s="2126" customFormat="1"/>
    <row r="369" s="2126" customFormat="1"/>
    <row r="370" s="2126" customFormat="1"/>
    <row r="371" s="2126" customFormat="1"/>
    <row r="372" s="2126" customFormat="1"/>
    <row r="373" s="2126" customFormat="1"/>
    <row r="374" s="2126" customFormat="1"/>
    <row r="375" s="2126" customFormat="1"/>
    <row r="376" s="2126" customFormat="1"/>
    <row r="377" s="2126" customFormat="1"/>
    <row r="378" s="2126" customFormat="1"/>
    <row r="379" s="2126" customFormat="1"/>
    <row r="380" s="2126" customFormat="1"/>
    <row r="381" s="2126" customFormat="1"/>
    <row r="382" s="2126" customFormat="1"/>
    <row r="383" s="2126" customFormat="1"/>
    <row r="384" s="2126" customFormat="1"/>
    <row r="385" s="2126" customFormat="1"/>
    <row r="386" s="2126" customFormat="1"/>
    <row r="387" s="2126" customFormat="1"/>
    <row r="388" s="2126" customFormat="1"/>
    <row r="389" s="2126" customFormat="1"/>
    <row r="390" s="2126" customFormat="1"/>
    <row r="391" s="2126" customFormat="1"/>
    <row r="392" s="2126" customFormat="1"/>
    <row r="393" s="2126" customFormat="1"/>
    <row r="394" s="2126" customFormat="1"/>
    <row r="395" s="2126" customFormat="1"/>
    <row r="396" s="2126" customFormat="1"/>
    <row r="397" s="2126" customFormat="1"/>
    <row r="398" s="2126" customFormat="1"/>
    <row r="399" s="2126" customFormat="1"/>
    <row r="400" s="2126" customFormat="1"/>
    <row r="401" s="2126" customFormat="1"/>
    <row r="402" s="2126" customFormat="1"/>
    <row r="403" s="2126" customFormat="1"/>
    <row r="404" s="2126" customFormat="1"/>
    <row r="405" s="2126" customFormat="1"/>
    <row r="406" s="2126" customFormat="1"/>
    <row r="407" s="2126" customFormat="1"/>
    <row r="408" s="2126" customFormat="1"/>
    <row r="409" s="2126" customFormat="1"/>
    <row r="410" s="2126" customFormat="1"/>
    <row r="411" s="2126" customFormat="1"/>
    <row r="412" s="2126" customFormat="1"/>
    <row r="413" s="2126" customFormat="1"/>
    <row r="414" s="2126" customFormat="1"/>
    <row r="415" s="2126" customFormat="1"/>
    <row r="416" s="2126" customFormat="1"/>
    <row r="417" s="2126" customFormat="1"/>
    <row r="418" s="2126" customFormat="1"/>
    <row r="419" s="2126" customFormat="1"/>
    <row r="420" s="2126" customFormat="1"/>
    <row r="421" s="2126" customFormat="1"/>
    <row r="422" s="2126" customFormat="1"/>
    <row r="423" s="2126" customFormat="1"/>
    <row r="424" s="2126" customFormat="1"/>
    <row r="425" s="2126" customFormat="1"/>
    <row r="426" s="2126" customFormat="1"/>
    <row r="427" s="2126" customFormat="1"/>
    <row r="428" s="2126" customFormat="1"/>
    <row r="429" s="2126" customFormat="1"/>
    <row r="430" s="2126" customFormat="1"/>
    <row r="431" s="2126" customFormat="1"/>
    <row r="432" s="2126" customFormat="1"/>
    <row r="433" s="2126" customFormat="1"/>
    <row r="434" s="2126" customFormat="1"/>
    <row r="435" s="2126" customFormat="1"/>
    <row r="436" s="2126" customFormat="1"/>
    <row r="437" s="2126" customFormat="1"/>
    <row r="438" s="2126" customFormat="1"/>
    <row r="439" s="2126" customFormat="1"/>
    <row r="440" s="2126" customFormat="1"/>
    <row r="441" s="2126" customFormat="1"/>
    <row r="442" s="2126" customFormat="1"/>
    <row r="443" s="2126" customFormat="1"/>
    <row r="444" s="2126" customFormat="1"/>
    <row r="445" s="2126" customFormat="1"/>
    <row r="446" s="2126" customFormat="1"/>
    <row r="447" s="2126" customFormat="1"/>
    <row r="448" s="2126" customFormat="1"/>
    <row r="449" s="2126" customFormat="1"/>
    <row r="450" s="2126" customFormat="1"/>
    <row r="451" s="2126" customFormat="1"/>
    <row r="452" s="2126" customFormat="1"/>
    <row r="453" s="2126" customFormat="1"/>
    <row r="454" s="2126" customFormat="1"/>
    <row r="455" s="2126" customFormat="1"/>
    <row r="456" s="2126" customFormat="1"/>
    <row r="457" s="2126" customFormat="1"/>
    <row r="458" s="2126" customFormat="1"/>
    <row r="459" s="2126" customFormat="1"/>
    <row r="460" s="2126" customFormat="1"/>
    <row r="461" s="2126" customFormat="1"/>
    <row r="462" s="2126" customFormat="1"/>
    <row r="463" s="2126" customFormat="1"/>
    <row r="464" s="2126" customFormat="1"/>
    <row r="465" s="2126" customFormat="1"/>
    <row r="466" s="2126" customFormat="1"/>
    <row r="467" s="2126" customFormat="1"/>
    <row r="468" s="2126" customFormat="1"/>
    <row r="469" s="2126" customFormat="1"/>
    <row r="470" s="2126" customFormat="1"/>
    <row r="471" s="2126" customFormat="1"/>
    <row r="472" s="2126" customFormat="1"/>
    <row r="473" s="2126" customFormat="1"/>
    <row r="474" s="2126" customFormat="1"/>
    <row r="475" s="2126" customFormat="1"/>
    <row r="476" s="2126" customFormat="1"/>
    <row r="477" s="2126" customFormat="1"/>
    <row r="478" s="2126" customFormat="1"/>
    <row r="479" s="2126" customFormat="1"/>
    <row r="480" s="2126" customFormat="1"/>
    <row r="481" s="2126" customFormat="1"/>
    <row r="482" s="2126" customFormat="1"/>
    <row r="483" s="2126" customFormat="1"/>
    <row r="484" s="2126" customFormat="1"/>
    <row r="485" s="2126" customFormat="1"/>
    <row r="486" s="2126" customFormat="1"/>
    <row r="487" s="2126" customFormat="1"/>
    <row r="488" s="2126" customFormat="1"/>
    <row r="489" s="2126" customFormat="1"/>
    <row r="490" s="2126" customFormat="1"/>
    <row r="491" s="2126" customFormat="1"/>
    <row r="492" s="2126" customFormat="1"/>
    <row r="493" s="2126" customFormat="1"/>
    <row r="494" s="2126" customFormat="1"/>
    <row r="495" s="2126" customFormat="1"/>
    <row r="496" s="2126" customFormat="1"/>
    <row r="497" s="2126" customFormat="1"/>
    <row r="498" s="2126" customFormat="1"/>
    <row r="499" s="2126" customFormat="1"/>
    <row r="500" s="2126" customFormat="1"/>
    <row r="501" s="2126" customFormat="1"/>
    <row r="502" s="2126" customFormat="1"/>
    <row r="503" s="2126" customFormat="1"/>
    <row r="504" s="2126" customFormat="1"/>
    <row r="505" s="2126" customFormat="1"/>
    <row r="506" s="2126" customFormat="1"/>
    <row r="507" s="2126" customFormat="1"/>
    <row r="508" s="2126" customFormat="1"/>
    <row r="509" s="2126" customFormat="1"/>
    <row r="510" s="2126" customFormat="1"/>
    <row r="511" s="2126" customFormat="1"/>
    <row r="512" s="2126" customFormat="1"/>
    <row r="513" s="2126" customFormat="1"/>
    <row r="514" s="2126" customFormat="1"/>
    <row r="515" s="2126" customFormat="1"/>
    <row r="516" s="2126" customFormat="1"/>
    <row r="517" s="2126" customFormat="1"/>
    <row r="518" s="2126" customFormat="1"/>
    <row r="519" s="2126" customFormat="1"/>
    <row r="520" s="2126" customFormat="1"/>
    <row r="521" s="2126" customFormat="1"/>
    <row r="522" s="2126" customFormat="1"/>
    <row r="523" s="2126" customFormat="1"/>
    <row r="524" s="2126" customFormat="1"/>
    <row r="525" s="2126" customFormat="1"/>
    <row r="526" s="2126" customFormat="1"/>
    <row r="527" s="2126" customFormat="1"/>
    <row r="528" s="2126" customFormat="1"/>
    <row r="529" s="2126" customFormat="1"/>
    <row r="530" s="2126" customFormat="1"/>
    <row r="531" s="2126" customFormat="1"/>
    <row r="532" s="2126" customFormat="1"/>
    <row r="533" s="2126" customFormat="1"/>
    <row r="534" s="2126" customFormat="1"/>
    <row r="535" s="2126" customFormat="1"/>
    <row r="536" s="2126" customFormat="1"/>
    <row r="537" s="2126" customFormat="1"/>
    <row r="538" s="2126" customFormat="1"/>
    <row r="539" s="2126" customFormat="1"/>
    <row r="540" s="2126" customFormat="1"/>
    <row r="541" s="2126" customFormat="1"/>
    <row r="542" s="2126" customFormat="1"/>
    <row r="543" s="2126" customFormat="1"/>
    <row r="544" s="2126" customFormat="1"/>
    <row r="545" s="2126" customFormat="1"/>
    <row r="546" s="2126" customFormat="1"/>
    <row r="547" s="2126" customFormat="1"/>
    <row r="548" s="2126" customFormat="1"/>
    <row r="549" s="2126" customFormat="1"/>
    <row r="550" s="2126" customFormat="1"/>
    <row r="551" s="2126" customFormat="1"/>
    <row r="552" s="2126" customFormat="1"/>
    <row r="553" s="2126" customFormat="1"/>
    <row r="554" s="2126" customFormat="1"/>
    <row r="555" s="2126" customFormat="1"/>
    <row r="556" s="2126" customFormat="1"/>
    <row r="557" s="2126" customFormat="1"/>
    <row r="558" s="2126" customFormat="1"/>
    <row r="559" s="2126" customFormat="1"/>
    <row r="560" s="2126" customFormat="1"/>
    <row r="561" s="2126" customFormat="1"/>
    <row r="562" s="2137" customFormat="1" ht="13.5"/>
  </sheetData>
  <autoFilter ref="A3:XEW293">
    <filterColumn colId="2">
      <filters>
        <filter val="1"/>
      </filters>
    </filterColumn>
  </autoFilter>
  <mergeCells count="2">
    <mergeCell ref="A2:E2"/>
    <mergeCell ref="A293:D293"/>
  </mergeCells>
  <phoneticPr fontId="143" type="noConversion"/>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67"/>
  <sheetViews>
    <sheetView topLeftCell="A64" workbookViewId="0">
      <selection activeCell="I2" sqref="I2"/>
    </sheetView>
  </sheetViews>
  <sheetFormatPr defaultRowHeight="13.5"/>
  <cols>
    <col min="1" max="1" width="10.5" style="3453" bestFit="1" customWidth="1"/>
    <col min="2" max="2" width="9.25" style="3453" bestFit="1" customWidth="1"/>
    <col min="3" max="3" width="9.125" style="3453" customWidth="1"/>
    <col min="4" max="4" width="10.5" style="3453" bestFit="1" customWidth="1"/>
    <col min="5" max="5" width="15.375" style="3454" customWidth="1"/>
    <col min="6" max="6" width="9" style="3387"/>
    <col min="7" max="7" width="9" style="3386"/>
    <col min="8" max="8" width="10.5" style="3419" bestFit="1" customWidth="1"/>
    <col min="9" max="9" width="18.5" style="3386" customWidth="1"/>
    <col min="10" max="10" width="17.75" style="3386" customWidth="1"/>
    <col min="11" max="16384" width="9" style="3386"/>
  </cols>
  <sheetData>
    <row r="1" spans="1:11">
      <c r="A1" s="3453" t="s">
        <v>3049</v>
      </c>
      <c r="B1" s="3453" t="s">
        <v>3050</v>
      </c>
      <c r="C1" s="3453" t="s">
        <v>3051</v>
      </c>
      <c r="D1" s="3453" t="s">
        <v>3052</v>
      </c>
      <c r="E1" s="3454" t="s">
        <v>3053</v>
      </c>
      <c r="H1" s="3458" t="s">
        <v>7131</v>
      </c>
      <c r="I1" s="3459" t="s">
        <v>7129</v>
      </c>
      <c r="J1" s="3459" t="s">
        <v>7150</v>
      </c>
      <c r="K1" s="3459" t="s">
        <v>7152</v>
      </c>
    </row>
    <row r="2" spans="1:11">
      <c r="A2" s="3420">
        <v>285</v>
      </c>
      <c r="B2" s="3420" t="s">
        <v>3054</v>
      </c>
      <c r="C2" s="3420">
        <v>1</v>
      </c>
      <c r="D2" s="3420">
        <v>3</v>
      </c>
      <c r="E2" s="3389">
        <v>178.15</v>
      </c>
      <c r="F2" s="3388" t="s">
        <v>3058</v>
      </c>
      <c r="H2" s="3458" t="s">
        <v>7133</v>
      </c>
      <c r="I2" s="3388">
        <f>SUMIF(C2:C666,1,E2:E666)</f>
        <v>15927.419999999993</v>
      </c>
      <c r="J2" s="3521">
        <f t="shared" ref="J2:J8" si="0">COUNTIF($C$2:$C$666,H2)</f>
        <v>237</v>
      </c>
      <c r="K2" s="3521">
        <f>ROUND(I2/J2,2)</f>
        <v>67.2</v>
      </c>
    </row>
    <row r="3" spans="1:11">
      <c r="A3" s="3420">
        <v>286</v>
      </c>
      <c r="B3" s="3420" t="s">
        <v>3054</v>
      </c>
      <c r="C3" s="3420">
        <v>3</v>
      </c>
      <c r="D3" s="3420">
        <v>76</v>
      </c>
      <c r="E3" s="3389">
        <v>106.31</v>
      </c>
      <c r="F3" s="3388" t="s">
        <v>3058</v>
      </c>
      <c r="H3" s="3458" t="s">
        <v>7135</v>
      </c>
      <c r="I3" s="3388">
        <f>SUMIF(C2:C666,2,E2:E666)</f>
        <v>1603.3200000000004</v>
      </c>
      <c r="J3" s="3521">
        <f t="shared" si="0"/>
        <v>28</v>
      </c>
      <c r="K3" s="3521">
        <f t="shared" ref="K3:K8" si="1">ROUND(I3/J3,2)</f>
        <v>57.26</v>
      </c>
    </row>
    <row r="4" spans="1:11">
      <c r="A4" s="3420">
        <v>287</v>
      </c>
      <c r="B4" s="3420" t="s">
        <v>3054</v>
      </c>
      <c r="C4" s="3420">
        <v>4</v>
      </c>
      <c r="D4" s="3420">
        <v>117</v>
      </c>
      <c r="E4" s="3389">
        <v>43.64</v>
      </c>
      <c r="F4" s="3388" t="s">
        <v>3058</v>
      </c>
      <c r="H4" s="3458" t="s">
        <v>7137</v>
      </c>
      <c r="I4" s="3388">
        <f>SUMIF(C2:C666,3,E2:E666)</f>
        <v>1041.3799999999999</v>
      </c>
      <c r="J4" s="3521">
        <f t="shared" si="0"/>
        <v>14</v>
      </c>
      <c r="K4" s="3521">
        <f t="shared" si="1"/>
        <v>74.38</v>
      </c>
    </row>
    <row r="5" spans="1:11">
      <c r="A5" s="3420">
        <v>288</v>
      </c>
      <c r="B5" s="3420" t="s">
        <v>3054</v>
      </c>
      <c r="C5" s="3420">
        <v>4</v>
      </c>
      <c r="D5" s="3420">
        <v>127</v>
      </c>
      <c r="E5" s="3389">
        <v>110.33</v>
      </c>
      <c r="F5" s="3388" t="s">
        <v>3058</v>
      </c>
      <c r="H5" s="3458" t="s">
        <v>7138</v>
      </c>
      <c r="I5" s="3388">
        <f>SUMIF(C2:C666,4,E2:E666)</f>
        <v>4097.9399999999996</v>
      </c>
      <c r="J5" s="3521">
        <f t="shared" si="0"/>
        <v>58</v>
      </c>
      <c r="K5" s="3521">
        <f t="shared" si="1"/>
        <v>70.650000000000006</v>
      </c>
    </row>
    <row r="6" spans="1:11">
      <c r="A6" s="3420">
        <v>289</v>
      </c>
      <c r="B6" s="3420" t="s">
        <v>3054</v>
      </c>
      <c r="C6" s="3420">
        <v>-1</v>
      </c>
      <c r="D6" s="3420">
        <v>17</v>
      </c>
      <c r="E6" s="3389">
        <v>73.14</v>
      </c>
      <c r="F6" s="3388" t="s">
        <v>3058</v>
      </c>
      <c r="H6" s="3458" t="s">
        <v>7139</v>
      </c>
      <c r="I6" s="3388">
        <f>SUMIF(C2:C666,5,E2:E666)</f>
        <v>39.909999999999997</v>
      </c>
      <c r="J6" s="3521">
        <f t="shared" si="0"/>
        <v>1</v>
      </c>
      <c r="K6" s="3521">
        <f t="shared" si="1"/>
        <v>39.909999999999997</v>
      </c>
    </row>
    <row r="7" spans="1:11">
      <c r="A7" s="3420">
        <v>290</v>
      </c>
      <c r="B7" s="3420" t="s">
        <v>3054</v>
      </c>
      <c r="C7" s="3420">
        <v>-1</v>
      </c>
      <c r="D7" s="3420">
        <v>329</v>
      </c>
      <c r="E7" s="3389">
        <v>64.66</v>
      </c>
      <c r="F7" s="3388" t="s">
        <v>3058</v>
      </c>
      <c r="H7" s="3458" t="s">
        <v>7140</v>
      </c>
      <c r="I7" s="3388">
        <f>SUMIF(C2:C666,-1,E2:E666)</f>
        <v>15001.590000000007</v>
      </c>
      <c r="J7" s="3521">
        <f t="shared" si="0"/>
        <v>229</v>
      </c>
      <c r="K7" s="3521">
        <f t="shared" si="1"/>
        <v>65.510000000000005</v>
      </c>
    </row>
    <row r="8" spans="1:11">
      <c r="A8" s="3420">
        <v>291</v>
      </c>
      <c r="B8" s="3420" t="s">
        <v>3054</v>
      </c>
      <c r="C8" s="3420">
        <v>-1</v>
      </c>
      <c r="D8" s="3420">
        <v>336</v>
      </c>
      <c r="E8" s="3389">
        <v>73.52</v>
      </c>
      <c r="F8" s="3388" t="s">
        <v>3058</v>
      </c>
      <c r="H8" s="3458" t="s">
        <v>7141</v>
      </c>
      <c r="I8" s="3388">
        <f>SUMIF(C2:C666,-2,E2:E666)</f>
        <v>6813.5700000000006</v>
      </c>
      <c r="J8" s="3521">
        <f t="shared" si="0"/>
        <v>98</v>
      </c>
      <c r="K8" s="3521">
        <f t="shared" si="1"/>
        <v>69.53</v>
      </c>
    </row>
    <row r="9" spans="1:11">
      <c r="A9" s="3420">
        <v>292</v>
      </c>
      <c r="B9" s="3420" t="s">
        <v>3054</v>
      </c>
      <c r="C9" s="3420">
        <v>-1</v>
      </c>
      <c r="D9" s="3420">
        <v>337</v>
      </c>
      <c r="E9" s="3389">
        <v>73.55</v>
      </c>
      <c r="F9" s="3388" t="s">
        <v>3058</v>
      </c>
      <c r="H9" s="3458" t="s">
        <v>7142</v>
      </c>
      <c r="I9" s="3388">
        <f>SUM(I2:I8)</f>
        <v>44525.13</v>
      </c>
      <c r="J9" s="3521">
        <f>SUM(J2:J8)</f>
        <v>665</v>
      </c>
      <c r="K9" s="3521">
        <f>ROUND(I9/J9,2)</f>
        <v>66.959999999999994</v>
      </c>
    </row>
    <row r="10" spans="1:11">
      <c r="A10" s="3420">
        <v>293</v>
      </c>
      <c r="B10" s="3420" t="s">
        <v>3054</v>
      </c>
      <c r="C10" s="3420">
        <v>-1</v>
      </c>
      <c r="D10" s="3420">
        <v>338</v>
      </c>
      <c r="E10" s="3389">
        <v>73.55</v>
      </c>
      <c r="F10" s="3388" t="s">
        <v>3058</v>
      </c>
    </row>
    <row r="11" spans="1:11">
      <c r="A11" s="3420">
        <v>294</v>
      </c>
      <c r="B11" s="3420" t="s">
        <v>3054</v>
      </c>
      <c r="C11" s="3420">
        <v>-1</v>
      </c>
      <c r="D11" s="3420">
        <v>339</v>
      </c>
      <c r="E11" s="3389">
        <v>71.16</v>
      </c>
      <c r="F11" s="3388" t="s">
        <v>3058</v>
      </c>
    </row>
    <row r="12" spans="1:11">
      <c r="A12" s="3420">
        <v>295</v>
      </c>
      <c r="B12" s="3420" t="s">
        <v>3054</v>
      </c>
      <c r="C12" s="3420">
        <v>-1</v>
      </c>
      <c r="D12" s="3420">
        <v>340</v>
      </c>
      <c r="E12" s="3389">
        <v>74.25</v>
      </c>
      <c r="F12" s="3388" t="s">
        <v>3058</v>
      </c>
    </row>
    <row r="13" spans="1:11">
      <c r="A13" s="3420">
        <v>296</v>
      </c>
      <c r="B13" s="3420" t="s">
        <v>3054</v>
      </c>
      <c r="C13" s="3420">
        <v>-1</v>
      </c>
      <c r="D13" s="3420">
        <v>341</v>
      </c>
      <c r="E13" s="3389">
        <v>72.42</v>
      </c>
      <c r="F13" s="3388" t="s">
        <v>3058</v>
      </c>
    </row>
    <row r="14" spans="1:11">
      <c r="A14" s="3420">
        <v>297</v>
      </c>
      <c r="B14" s="3420" t="s">
        <v>3055</v>
      </c>
      <c r="C14" s="3420">
        <v>4</v>
      </c>
      <c r="D14" s="3420">
        <v>1</v>
      </c>
      <c r="E14" s="3389">
        <v>87.79</v>
      </c>
      <c r="F14" s="3388" t="s">
        <v>3058</v>
      </c>
    </row>
    <row r="15" spans="1:11">
      <c r="A15" s="3420">
        <v>298</v>
      </c>
      <c r="B15" s="3420" t="s">
        <v>3055</v>
      </c>
      <c r="C15" s="3420">
        <v>4</v>
      </c>
      <c r="D15" s="3420">
        <v>2</v>
      </c>
      <c r="E15" s="3389">
        <v>69.7</v>
      </c>
      <c r="F15" s="3388" t="s">
        <v>3058</v>
      </c>
    </row>
    <row r="16" spans="1:11">
      <c r="A16" s="3420">
        <v>299</v>
      </c>
      <c r="B16" s="3420" t="s">
        <v>3055</v>
      </c>
      <c r="C16" s="3420">
        <v>4</v>
      </c>
      <c r="D16" s="3420">
        <v>5</v>
      </c>
      <c r="E16" s="3389">
        <v>47.97</v>
      </c>
      <c r="F16" s="3388" t="s">
        <v>3058</v>
      </c>
    </row>
    <row r="17" spans="1:6">
      <c r="A17" s="3420">
        <v>300</v>
      </c>
      <c r="B17" s="3420" t="s">
        <v>3055</v>
      </c>
      <c r="C17" s="3420">
        <v>4</v>
      </c>
      <c r="D17" s="3420">
        <v>6</v>
      </c>
      <c r="E17" s="3389">
        <v>77.56</v>
      </c>
      <c r="F17" s="3388" t="s">
        <v>3058</v>
      </c>
    </row>
    <row r="18" spans="1:6">
      <c r="A18" s="3420">
        <v>301</v>
      </c>
      <c r="B18" s="3420" t="s">
        <v>3055</v>
      </c>
      <c r="C18" s="3420">
        <v>4</v>
      </c>
      <c r="D18" s="3420">
        <v>13</v>
      </c>
      <c r="E18" s="3389">
        <v>69.47</v>
      </c>
      <c r="F18" s="3388" t="s">
        <v>3058</v>
      </c>
    </row>
    <row r="19" spans="1:6">
      <c r="A19" s="3420">
        <v>302</v>
      </c>
      <c r="B19" s="3420" t="s">
        <v>3055</v>
      </c>
      <c r="C19" s="3420">
        <v>4</v>
      </c>
      <c r="D19" s="3420">
        <v>15</v>
      </c>
      <c r="E19" s="3389">
        <v>69.47</v>
      </c>
      <c r="F19" s="3388" t="s">
        <v>3058</v>
      </c>
    </row>
    <row r="20" spans="1:6">
      <c r="A20" s="3420">
        <v>303</v>
      </c>
      <c r="B20" s="3420" t="s">
        <v>3055</v>
      </c>
      <c r="C20" s="3420">
        <v>4</v>
      </c>
      <c r="D20" s="3420">
        <v>25</v>
      </c>
      <c r="E20" s="3389">
        <v>45.56</v>
      </c>
      <c r="F20" s="3388" t="s">
        <v>3058</v>
      </c>
    </row>
    <row r="21" spans="1:6">
      <c r="A21" s="3420">
        <v>304</v>
      </c>
      <c r="B21" s="3420" t="s">
        <v>3055</v>
      </c>
      <c r="C21" s="3420">
        <v>4</v>
      </c>
      <c r="D21" s="3420">
        <v>26</v>
      </c>
      <c r="E21" s="3389">
        <v>44.45</v>
      </c>
      <c r="F21" s="3388" t="s">
        <v>3058</v>
      </c>
    </row>
    <row r="22" spans="1:6">
      <c r="A22" s="3420">
        <v>305</v>
      </c>
      <c r="B22" s="3420" t="s">
        <v>3055</v>
      </c>
      <c r="C22" s="3420">
        <v>4</v>
      </c>
      <c r="D22" s="3420">
        <v>107</v>
      </c>
      <c r="E22" s="3389">
        <v>42.18</v>
      </c>
      <c r="F22" s="3388" t="s">
        <v>3058</v>
      </c>
    </row>
    <row r="23" spans="1:6">
      <c r="A23" s="3420">
        <v>306</v>
      </c>
      <c r="B23" s="3420" t="s">
        <v>3055</v>
      </c>
      <c r="C23" s="3420">
        <v>4</v>
      </c>
      <c r="D23" s="3420">
        <v>108</v>
      </c>
      <c r="E23" s="3389">
        <v>35.06</v>
      </c>
      <c r="F23" s="3388" t="s">
        <v>3058</v>
      </c>
    </row>
    <row r="24" spans="1:6">
      <c r="A24" s="3420">
        <v>307</v>
      </c>
      <c r="B24" s="3420" t="s">
        <v>3055</v>
      </c>
      <c r="C24" s="3420">
        <v>-1</v>
      </c>
      <c r="D24" s="3420">
        <v>71</v>
      </c>
      <c r="E24" s="3389">
        <v>57.51</v>
      </c>
      <c r="F24" s="3388" t="s">
        <v>3058</v>
      </c>
    </row>
    <row r="25" spans="1:6">
      <c r="A25" s="3420">
        <v>308</v>
      </c>
      <c r="B25" s="3420" t="s">
        <v>3055</v>
      </c>
      <c r="C25" s="3420">
        <v>-1</v>
      </c>
      <c r="D25" s="3420">
        <v>90</v>
      </c>
      <c r="E25" s="3389">
        <v>92.41</v>
      </c>
      <c r="F25" s="3388" t="s">
        <v>3058</v>
      </c>
    </row>
    <row r="26" spans="1:6">
      <c r="A26" s="3420">
        <v>309</v>
      </c>
      <c r="B26" s="3420" t="s">
        <v>3055</v>
      </c>
      <c r="C26" s="3420">
        <v>-1</v>
      </c>
      <c r="D26" s="3420">
        <v>185</v>
      </c>
      <c r="E26" s="3389">
        <v>155.72</v>
      </c>
      <c r="F26" s="3388" t="s">
        <v>3058</v>
      </c>
    </row>
    <row r="27" spans="1:6">
      <c r="A27" s="3420">
        <v>310</v>
      </c>
      <c r="B27" s="3420" t="s">
        <v>3055</v>
      </c>
      <c r="C27" s="3420">
        <v>-1</v>
      </c>
      <c r="D27" s="3420">
        <v>192</v>
      </c>
      <c r="E27" s="3389">
        <v>41.14</v>
      </c>
      <c r="F27" s="3388" t="s">
        <v>3058</v>
      </c>
    </row>
    <row r="28" spans="1:6">
      <c r="A28" s="3420">
        <v>311</v>
      </c>
      <c r="B28" s="3420" t="s">
        <v>3055</v>
      </c>
      <c r="C28" s="3420">
        <v>-1</v>
      </c>
      <c r="D28" s="3420">
        <v>193</v>
      </c>
      <c r="E28" s="3389">
        <v>15.36</v>
      </c>
      <c r="F28" s="3388" t="s">
        <v>3058</v>
      </c>
    </row>
    <row r="29" spans="1:6">
      <c r="A29" s="3420">
        <v>312</v>
      </c>
      <c r="B29" s="3420" t="s">
        <v>3055</v>
      </c>
      <c r="C29" s="3420">
        <v>-1</v>
      </c>
      <c r="D29" s="3420">
        <v>261</v>
      </c>
      <c r="E29" s="3389">
        <v>108.8</v>
      </c>
      <c r="F29" s="3388" t="s">
        <v>3058</v>
      </c>
    </row>
    <row r="30" spans="1:6">
      <c r="A30" s="3420">
        <v>313</v>
      </c>
      <c r="B30" s="3420" t="s">
        <v>3055</v>
      </c>
      <c r="C30" s="3420">
        <v>-1</v>
      </c>
      <c r="D30" s="3420">
        <v>262</v>
      </c>
      <c r="E30" s="3389">
        <v>125.96</v>
      </c>
      <c r="F30" s="3388" t="s">
        <v>3058</v>
      </c>
    </row>
    <row r="31" spans="1:6">
      <c r="A31" s="3420">
        <v>314</v>
      </c>
      <c r="B31" s="3420" t="s">
        <v>3055</v>
      </c>
      <c r="C31" s="3420">
        <v>-1</v>
      </c>
      <c r="D31" s="3420">
        <v>265</v>
      </c>
      <c r="E31" s="3389">
        <v>74.36</v>
      </c>
      <c r="F31" s="3388" t="s">
        <v>3058</v>
      </c>
    </row>
    <row r="32" spans="1:6">
      <c r="A32" s="3420">
        <v>315</v>
      </c>
      <c r="B32" s="3420" t="s">
        <v>3055</v>
      </c>
      <c r="C32" s="3420">
        <v>-1</v>
      </c>
      <c r="D32" s="3420">
        <v>266</v>
      </c>
      <c r="E32" s="3389">
        <v>74.349999999999994</v>
      </c>
      <c r="F32" s="3388" t="s">
        <v>3058</v>
      </c>
    </row>
    <row r="33" spans="1:6">
      <c r="A33" s="3420">
        <v>316</v>
      </c>
      <c r="B33" s="3420" t="s">
        <v>3055</v>
      </c>
      <c r="C33" s="3420">
        <v>-1</v>
      </c>
      <c r="D33" s="3420">
        <v>268</v>
      </c>
      <c r="E33" s="3389">
        <v>74.41</v>
      </c>
      <c r="F33" s="3388" t="s">
        <v>3058</v>
      </c>
    </row>
    <row r="34" spans="1:6">
      <c r="A34" s="3420">
        <v>317</v>
      </c>
      <c r="B34" s="3420" t="s">
        <v>3055</v>
      </c>
      <c r="C34" s="3420">
        <v>-1</v>
      </c>
      <c r="D34" s="3420">
        <v>269</v>
      </c>
      <c r="E34" s="3389">
        <v>78.56</v>
      </c>
      <c r="F34" s="3388" t="s">
        <v>3058</v>
      </c>
    </row>
    <row r="35" spans="1:6">
      <c r="A35" s="3420">
        <v>318</v>
      </c>
      <c r="B35" s="3420" t="s">
        <v>3055</v>
      </c>
      <c r="C35" s="3420">
        <v>-1</v>
      </c>
      <c r="D35" s="3420">
        <v>271</v>
      </c>
      <c r="E35" s="3389">
        <v>69.52</v>
      </c>
      <c r="F35" s="3388" t="s">
        <v>3058</v>
      </c>
    </row>
    <row r="36" spans="1:6">
      <c r="A36" s="3420">
        <v>319</v>
      </c>
      <c r="B36" s="3420" t="s">
        <v>3055</v>
      </c>
      <c r="C36" s="3420">
        <v>-2</v>
      </c>
      <c r="D36" s="3420">
        <v>7</v>
      </c>
      <c r="E36" s="3389">
        <v>71.959999999999994</v>
      </c>
      <c r="F36" s="3388" t="s">
        <v>3058</v>
      </c>
    </row>
    <row r="37" spans="1:6">
      <c r="A37" s="3420">
        <v>320</v>
      </c>
      <c r="B37" s="3420" t="s">
        <v>3055</v>
      </c>
      <c r="C37" s="3420">
        <v>-2</v>
      </c>
      <c r="D37" s="3420">
        <v>53</v>
      </c>
      <c r="E37" s="3389">
        <v>48.66</v>
      </c>
      <c r="F37" s="3388" t="s">
        <v>3058</v>
      </c>
    </row>
    <row r="38" spans="1:6">
      <c r="A38" s="3420">
        <v>321</v>
      </c>
      <c r="B38" s="3420" t="s">
        <v>3055</v>
      </c>
      <c r="C38" s="3420">
        <v>-2</v>
      </c>
      <c r="D38" s="3420">
        <v>55</v>
      </c>
      <c r="E38" s="3389">
        <v>48.36</v>
      </c>
      <c r="F38" s="3388" t="s">
        <v>3058</v>
      </c>
    </row>
    <row r="39" spans="1:6">
      <c r="A39" s="3420">
        <v>322</v>
      </c>
      <c r="B39" s="3420" t="s">
        <v>3055</v>
      </c>
      <c r="C39" s="3420">
        <v>-2</v>
      </c>
      <c r="D39" s="3420">
        <v>76</v>
      </c>
      <c r="E39" s="3389">
        <v>76.66</v>
      </c>
      <c r="F39" s="3388" t="s">
        <v>3058</v>
      </c>
    </row>
    <row r="40" spans="1:6">
      <c r="A40" s="3420">
        <v>323</v>
      </c>
      <c r="B40" s="3420" t="s">
        <v>3055</v>
      </c>
      <c r="C40" s="3420">
        <v>-2</v>
      </c>
      <c r="D40" s="3420">
        <v>91</v>
      </c>
      <c r="E40" s="3389">
        <v>48.39</v>
      </c>
      <c r="F40" s="3388" t="s">
        <v>3058</v>
      </c>
    </row>
    <row r="41" spans="1:6">
      <c r="A41" s="3420">
        <v>324</v>
      </c>
      <c r="B41" s="3420" t="s">
        <v>3055</v>
      </c>
      <c r="C41" s="3420">
        <v>-2</v>
      </c>
      <c r="D41" s="3420">
        <v>108</v>
      </c>
      <c r="E41" s="3389">
        <v>182.42</v>
      </c>
      <c r="F41" s="3388" t="s">
        <v>3058</v>
      </c>
    </row>
    <row r="42" spans="1:6">
      <c r="A42" s="3420">
        <v>325</v>
      </c>
      <c r="B42" s="3420" t="s">
        <v>3055</v>
      </c>
      <c r="C42" s="3420">
        <v>-2</v>
      </c>
      <c r="D42" s="3420">
        <v>109</v>
      </c>
      <c r="E42" s="3389">
        <v>94.19</v>
      </c>
      <c r="F42" s="3388" t="s">
        <v>3058</v>
      </c>
    </row>
    <row r="43" spans="1:6">
      <c r="A43" s="3420">
        <v>326</v>
      </c>
      <c r="B43" s="3420" t="s">
        <v>3055</v>
      </c>
      <c r="C43" s="3420">
        <v>-2</v>
      </c>
      <c r="D43" s="3420">
        <v>176</v>
      </c>
      <c r="E43" s="3389">
        <v>60.56</v>
      </c>
      <c r="F43" s="3388" t="s">
        <v>3058</v>
      </c>
    </row>
    <row r="44" spans="1:6">
      <c r="A44" s="3420">
        <v>327</v>
      </c>
      <c r="B44" s="3420" t="s">
        <v>3055</v>
      </c>
      <c r="C44" s="3420">
        <v>-2</v>
      </c>
      <c r="D44" s="3420">
        <v>177</v>
      </c>
      <c r="E44" s="3389">
        <v>60.56</v>
      </c>
      <c r="F44" s="3388" t="s">
        <v>3058</v>
      </c>
    </row>
    <row r="45" spans="1:6">
      <c r="A45" s="3420">
        <v>328</v>
      </c>
      <c r="B45" s="3420" t="s">
        <v>3055</v>
      </c>
      <c r="C45" s="3420">
        <v>-2</v>
      </c>
      <c r="D45" s="3420">
        <v>178</v>
      </c>
      <c r="E45" s="3389">
        <v>49</v>
      </c>
      <c r="F45" s="3388" t="s">
        <v>3058</v>
      </c>
    </row>
    <row r="46" spans="1:6">
      <c r="A46" s="3420">
        <v>329</v>
      </c>
      <c r="B46" s="3420" t="s">
        <v>3055</v>
      </c>
      <c r="C46" s="3420">
        <v>-2</v>
      </c>
      <c r="D46" s="3420">
        <v>179</v>
      </c>
      <c r="E46" s="3389">
        <v>58.17</v>
      </c>
      <c r="F46" s="3388" t="s">
        <v>3058</v>
      </c>
    </row>
    <row r="47" spans="1:6">
      <c r="A47" s="3420">
        <v>330</v>
      </c>
      <c r="B47" s="3420" t="s">
        <v>3055</v>
      </c>
      <c r="C47" s="3420">
        <v>-2</v>
      </c>
      <c r="D47" s="3420">
        <v>180</v>
      </c>
      <c r="E47" s="3389">
        <v>44.61</v>
      </c>
      <c r="F47" s="3388" t="s">
        <v>3058</v>
      </c>
    </row>
    <row r="48" spans="1:6">
      <c r="A48" s="3420">
        <v>331</v>
      </c>
      <c r="B48" s="3420" t="s">
        <v>3055</v>
      </c>
      <c r="C48" s="3420">
        <v>-2</v>
      </c>
      <c r="D48" s="3420">
        <v>183</v>
      </c>
      <c r="E48" s="3389">
        <v>72.44</v>
      </c>
      <c r="F48" s="3388" t="s">
        <v>3058</v>
      </c>
    </row>
    <row r="49" spans="1:6">
      <c r="A49" s="3420">
        <v>332</v>
      </c>
      <c r="B49" s="3420" t="s">
        <v>3055</v>
      </c>
      <c r="C49" s="3420">
        <v>-2</v>
      </c>
      <c r="D49" s="3420">
        <v>185</v>
      </c>
      <c r="E49" s="3389">
        <v>78.680000000000007</v>
      </c>
      <c r="F49" s="3388" t="s">
        <v>3058</v>
      </c>
    </row>
    <row r="50" spans="1:6">
      <c r="A50" s="3420">
        <v>333</v>
      </c>
      <c r="B50" s="3420" t="s">
        <v>3055</v>
      </c>
      <c r="C50" s="3420">
        <v>-2</v>
      </c>
      <c r="D50" s="3420">
        <v>186</v>
      </c>
      <c r="E50" s="3389">
        <v>167.72</v>
      </c>
      <c r="F50" s="3388" t="s">
        <v>3058</v>
      </c>
    </row>
    <row r="51" spans="1:6">
      <c r="A51" s="3420">
        <v>334</v>
      </c>
      <c r="B51" s="3420" t="s">
        <v>3055</v>
      </c>
      <c r="C51" s="3420">
        <v>-2</v>
      </c>
      <c r="D51" s="3420">
        <v>187</v>
      </c>
      <c r="E51" s="3389">
        <v>94.21</v>
      </c>
      <c r="F51" s="3388" t="s">
        <v>3058</v>
      </c>
    </row>
    <row r="52" spans="1:6">
      <c r="A52" s="3420">
        <v>335</v>
      </c>
      <c r="B52" s="3420" t="s">
        <v>3055</v>
      </c>
      <c r="C52" s="3420">
        <v>-2</v>
      </c>
      <c r="D52" s="3420">
        <v>188</v>
      </c>
      <c r="E52" s="3389">
        <v>95.09</v>
      </c>
      <c r="F52" s="3388" t="s">
        <v>3058</v>
      </c>
    </row>
    <row r="53" spans="1:6">
      <c r="A53" s="3420">
        <v>336</v>
      </c>
      <c r="B53" s="3420" t="s">
        <v>3055</v>
      </c>
      <c r="C53" s="3420">
        <v>-2</v>
      </c>
      <c r="D53" s="3420">
        <v>189</v>
      </c>
      <c r="E53" s="3389">
        <v>85.55</v>
      </c>
      <c r="F53" s="3388" t="s">
        <v>3058</v>
      </c>
    </row>
    <row r="54" spans="1:6">
      <c r="A54" s="3420">
        <v>337</v>
      </c>
      <c r="B54" s="3420" t="s">
        <v>3055</v>
      </c>
      <c r="C54" s="3420">
        <v>-2</v>
      </c>
      <c r="D54" s="3420">
        <v>192</v>
      </c>
      <c r="E54" s="3389">
        <v>56.02</v>
      </c>
      <c r="F54" s="3388" t="s">
        <v>3058</v>
      </c>
    </row>
    <row r="55" spans="1:6">
      <c r="A55" s="3420">
        <v>338</v>
      </c>
      <c r="B55" s="3420" t="s">
        <v>3055</v>
      </c>
      <c r="C55" s="3420">
        <v>-2</v>
      </c>
      <c r="D55" s="3420">
        <v>193</v>
      </c>
      <c r="E55" s="3389">
        <v>70.66</v>
      </c>
      <c r="F55" s="3388" t="s">
        <v>3058</v>
      </c>
    </row>
    <row r="56" spans="1:6">
      <c r="A56" s="3420">
        <v>339</v>
      </c>
      <c r="B56" s="3420" t="s">
        <v>3055</v>
      </c>
      <c r="C56" s="3420">
        <v>-2</v>
      </c>
      <c r="D56" s="3420">
        <v>195</v>
      </c>
      <c r="E56" s="3389">
        <v>54.8</v>
      </c>
      <c r="F56" s="3388" t="s">
        <v>3058</v>
      </c>
    </row>
    <row r="57" spans="1:6">
      <c r="A57" s="3420">
        <v>340</v>
      </c>
      <c r="B57" s="3420" t="s">
        <v>3055</v>
      </c>
      <c r="C57" s="3420">
        <v>-2</v>
      </c>
      <c r="D57" s="3420">
        <v>196</v>
      </c>
      <c r="E57" s="3389">
        <v>71.27</v>
      </c>
      <c r="F57" s="3388" t="s">
        <v>3058</v>
      </c>
    </row>
    <row r="58" spans="1:6">
      <c r="A58" s="3420">
        <v>341</v>
      </c>
      <c r="B58" s="3420" t="s">
        <v>3055</v>
      </c>
      <c r="C58" s="3420">
        <v>-2</v>
      </c>
      <c r="D58" s="3420">
        <v>197</v>
      </c>
      <c r="E58" s="3389">
        <v>76.78</v>
      </c>
      <c r="F58" s="3388" t="s">
        <v>3058</v>
      </c>
    </row>
    <row r="59" spans="1:6">
      <c r="A59" s="3420">
        <v>342</v>
      </c>
      <c r="B59" s="3420" t="s">
        <v>3055</v>
      </c>
      <c r="C59" s="3420">
        <v>-2</v>
      </c>
      <c r="D59" s="3420">
        <v>202</v>
      </c>
      <c r="E59" s="3389">
        <v>156.22999999999999</v>
      </c>
      <c r="F59" s="3388" t="s">
        <v>3058</v>
      </c>
    </row>
    <row r="60" spans="1:6">
      <c r="A60" s="3420">
        <v>343</v>
      </c>
      <c r="B60" s="3420" t="s">
        <v>3055</v>
      </c>
      <c r="C60" s="3420">
        <v>-2</v>
      </c>
      <c r="D60" s="3420">
        <v>203</v>
      </c>
      <c r="E60" s="3389">
        <v>64.56</v>
      </c>
      <c r="F60" s="3388" t="s">
        <v>3058</v>
      </c>
    </row>
    <row r="61" spans="1:6">
      <c r="A61" s="3420">
        <v>344</v>
      </c>
      <c r="B61" s="3420" t="s">
        <v>3055</v>
      </c>
      <c r="C61" s="3420">
        <v>-2</v>
      </c>
      <c r="D61" s="3420">
        <v>205</v>
      </c>
      <c r="E61" s="3389">
        <v>63.78</v>
      </c>
      <c r="F61" s="3388" t="s">
        <v>3058</v>
      </c>
    </row>
    <row r="62" spans="1:6">
      <c r="A62" s="3420">
        <v>345</v>
      </c>
      <c r="B62" s="3420" t="s">
        <v>3055</v>
      </c>
      <c r="C62" s="3420">
        <v>-2</v>
      </c>
      <c r="D62" s="3420">
        <v>208</v>
      </c>
      <c r="E62" s="3389">
        <v>33.94</v>
      </c>
      <c r="F62" s="3388" t="s">
        <v>3058</v>
      </c>
    </row>
    <row r="63" spans="1:6">
      <c r="A63" s="3420">
        <v>346</v>
      </c>
      <c r="B63" s="3420" t="s">
        <v>3055</v>
      </c>
      <c r="C63" s="3420">
        <v>-2</v>
      </c>
      <c r="D63" s="3420">
        <v>209</v>
      </c>
      <c r="E63" s="3389">
        <v>33.94</v>
      </c>
      <c r="F63" s="3388" t="s">
        <v>3058</v>
      </c>
    </row>
    <row r="64" spans="1:6">
      <c r="A64" s="3420">
        <v>347</v>
      </c>
      <c r="B64" s="3420" t="s">
        <v>3055</v>
      </c>
      <c r="C64" s="3420">
        <v>-2</v>
      </c>
      <c r="D64" s="3420">
        <v>212</v>
      </c>
      <c r="E64" s="3389">
        <v>74.849999999999994</v>
      </c>
      <c r="F64" s="3388" t="s">
        <v>3058</v>
      </c>
    </row>
    <row r="65" spans="1:6">
      <c r="A65" s="3420">
        <v>348</v>
      </c>
      <c r="B65" s="3420" t="s">
        <v>3055</v>
      </c>
      <c r="C65" s="3420">
        <v>-2</v>
      </c>
      <c r="D65" s="3420">
        <v>232</v>
      </c>
      <c r="E65" s="3389">
        <v>76.02</v>
      </c>
      <c r="F65" s="3388" t="s">
        <v>3058</v>
      </c>
    </row>
    <row r="66" spans="1:6">
      <c r="A66" s="3420">
        <v>349</v>
      </c>
      <c r="B66" s="3420" t="s">
        <v>3055</v>
      </c>
      <c r="C66" s="3420">
        <v>-2</v>
      </c>
      <c r="D66" s="3420">
        <v>233</v>
      </c>
      <c r="E66" s="3389">
        <v>41.18</v>
      </c>
      <c r="F66" s="3388" t="s">
        <v>3058</v>
      </c>
    </row>
    <row r="67" spans="1:6">
      <c r="A67" s="3420">
        <v>350</v>
      </c>
      <c r="B67" s="3420" t="s">
        <v>3055</v>
      </c>
      <c r="C67" s="3420">
        <v>-2</v>
      </c>
      <c r="D67" s="3420">
        <v>235</v>
      </c>
      <c r="E67" s="3389">
        <v>41.16</v>
      </c>
      <c r="F67" s="3388" t="s">
        <v>3058</v>
      </c>
    </row>
    <row r="68" spans="1:6">
      <c r="A68" s="3420">
        <v>351</v>
      </c>
      <c r="B68" s="3420" t="s">
        <v>3055</v>
      </c>
      <c r="C68" s="3420">
        <v>-2</v>
      </c>
      <c r="D68" s="3420">
        <v>236</v>
      </c>
      <c r="E68" s="3389">
        <v>41.17</v>
      </c>
      <c r="F68" s="3388" t="s">
        <v>3058</v>
      </c>
    </row>
    <row r="69" spans="1:6">
      <c r="A69" s="3420">
        <v>352</v>
      </c>
      <c r="B69" s="3420" t="s">
        <v>3055</v>
      </c>
      <c r="C69" s="3420">
        <v>-2</v>
      </c>
      <c r="D69" s="3420">
        <v>237</v>
      </c>
      <c r="E69" s="3389">
        <v>41.18</v>
      </c>
      <c r="F69" s="3388" t="s">
        <v>3058</v>
      </c>
    </row>
    <row r="70" spans="1:6">
      <c r="A70" s="3420">
        <v>353</v>
      </c>
      <c r="B70" s="3420" t="s">
        <v>3055</v>
      </c>
      <c r="C70" s="3420">
        <v>-2</v>
      </c>
      <c r="D70" s="3420">
        <v>238</v>
      </c>
      <c r="E70" s="3389">
        <v>43.35</v>
      </c>
      <c r="F70" s="3388" t="s">
        <v>3058</v>
      </c>
    </row>
    <row r="71" spans="1:6">
      <c r="A71" s="3420">
        <v>354</v>
      </c>
      <c r="B71" s="3420" t="s">
        <v>3055</v>
      </c>
      <c r="C71" s="3420">
        <v>-2</v>
      </c>
      <c r="D71" s="3420">
        <v>239</v>
      </c>
      <c r="E71" s="3389">
        <v>38.83</v>
      </c>
      <c r="F71" s="3388" t="s">
        <v>3058</v>
      </c>
    </row>
    <row r="72" spans="1:6">
      <c r="A72" s="3420">
        <v>355</v>
      </c>
      <c r="B72" s="3420" t="s">
        <v>3055</v>
      </c>
      <c r="C72" s="3420">
        <v>-2</v>
      </c>
      <c r="D72" s="3420">
        <v>240</v>
      </c>
      <c r="E72" s="3389">
        <v>43.92</v>
      </c>
      <c r="F72" s="3388" t="s">
        <v>3058</v>
      </c>
    </row>
    <row r="73" spans="1:6">
      <c r="A73" s="3420">
        <v>356</v>
      </c>
      <c r="B73" s="3420" t="s">
        <v>3055</v>
      </c>
      <c r="C73" s="3420">
        <v>-2</v>
      </c>
      <c r="D73" s="3420">
        <v>247</v>
      </c>
      <c r="E73" s="3389">
        <v>41.18</v>
      </c>
      <c r="F73" s="3388" t="s">
        <v>3058</v>
      </c>
    </row>
    <row r="74" spans="1:6">
      <c r="A74" s="3420">
        <v>357</v>
      </c>
      <c r="B74" s="3420" t="s">
        <v>3055</v>
      </c>
      <c r="C74" s="3420">
        <v>-2</v>
      </c>
      <c r="D74" s="3420">
        <v>248</v>
      </c>
      <c r="E74" s="3389">
        <v>41.18</v>
      </c>
      <c r="F74" s="3388" t="s">
        <v>3058</v>
      </c>
    </row>
    <row r="75" spans="1:6">
      <c r="A75" s="3420">
        <v>358</v>
      </c>
      <c r="B75" s="3420" t="s">
        <v>3055</v>
      </c>
      <c r="C75" s="3420">
        <v>-2</v>
      </c>
      <c r="D75" s="3420">
        <v>255</v>
      </c>
      <c r="E75" s="3389">
        <v>72.37</v>
      </c>
      <c r="F75" s="3388" t="s">
        <v>3058</v>
      </c>
    </row>
    <row r="76" spans="1:6">
      <c r="A76" s="3420">
        <v>359</v>
      </c>
      <c r="B76" s="3420" t="s">
        <v>3055</v>
      </c>
      <c r="C76" s="3420">
        <v>-2</v>
      </c>
      <c r="D76" s="3420">
        <v>256</v>
      </c>
      <c r="E76" s="3389">
        <v>72.39</v>
      </c>
      <c r="F76" s="3388" t="s">
        <v>3058</v>
      </c>
    </row>
    <row r="77" spans="1:6">
      <c r="A77" s="3420">
        <v>360</v>
      </c>
      <c r="B77" s="3420" t="s">
        <v>3055</v>
      </c>
      <c r="C77" s="3420">
        <v>-2</v>
      </c>
      <c r="D77" s="3420">
        <v>262</v>
      </c>
      <c r="E77" s="3389">
        <v>76.510000000000005</v>
      </c>
      <c r="F77" s="3388" t="s">
        <v>3058</v>
      </c>
    </row>
    <row r="78" spans="1:6">
      <c r="A78" s="3420">
        <v>361</v>
      </c>
      <c r="B78" s="3420" t="s">
        <v>3055</v>
      </c>
      <c r="C78" s="3420">
        <v>-2</v>
      </c>
      <c r="D78" s="3420">
        <v>263</v>
      </c>
      <c r="E78" s="3389">
        <v>68.260000000000005</v>
      </c>
      <c r="F78" s="3388" t="s">
        <v>3058</v>
      </c>
    </row>
    <row r="79" spans="1:6">
      <c r="A79" s="3420">
        <v>362</v>
      </c>
      <c r="B79" s="3420" t="s">
        <v>3055</v>
      </c>
      <c r="C79" s="3420">
        <v>-2</v>
      </c>
      <c r="D79" s="3420">
        <v>265</v>
      </c>
      <c r="E79" s="3389">
        <v>76.540000000000006</v>
      </c>
      <c r="F79" s="3388" t="s">
        <v>3058</v>
      </c>
    </row>
    <row r="80" spans="1:6">
      <c r="A80" s="3420">
        <v>363</v>
      </c>
      <c r="B80" s="3420" t="s">
        <v>3055</v>
      </c>
      <c r="C80" s="3420">
        <v>-2</v>
      </c>
      <c r="D80" s="3420">
        <v>266</v>
      </c>
      <c r="E80" s="3389">
        <v>72.38</v>
      </c>
      <c r="F80" s="3388" t="s">
        <v>3058</v>
      </c>
    </row>
    <row r="81" spans="1:6">
      <c r="A81" s="3420">
        <v>364</v>
      </c>
      <c r="B81" s="3420" t="s">
        <v>3055</v>
      </c>
      <c r="C81" s="3420">
        <v>-2</v>
      </c>
      <c r="D81" s="3420">
        <v>267</v>
      </c>
      <c r="E81" s="3389">
        <v>72.349999999999994</v>
      </c>
      <c r="F81" s="3388" t="s">
        <v>3058</v>
      </c>
    </row>
    <row r="82" spans="1:6">
      <c r="A82" s="3420">
        <v>365</v>
      </c>
      <c r="B82" s="3420" t="s">
        <v>3055</v>
      </c>
      <c r="C82" s="3420">
        <v>-2</v>
      </c>
      <c r="D82" s="3420">
        <v>268</v>
      </c>
      <c r="E82" s="3389">
        <v>72.349999999999994</v>
      </c>
      <c r="F82" s="3388" t="s">
        <v>3058</v>
      </c>
    </row>
    <row r="83" spans="1:6">
      <c r="A83" s="3420">
        <v>366</v>
      </c>
      <c r="B83" s="3420" t="s">
        <v>3055</v>
      </c>
      <c r="C83" s="3420">
        <v>-2</v>
      </c>
      <c r="D83" s="3420">
        <v>269</v>
      </c>
      <c r="E83" s="3389">
        <v>72.38</v>
      </c>
      <c r="F83" s="3388" t="s">
        <v>3058</v>
      </c>
    </row>
    <row r="84" spans="1:6">
      <c r="A84" s="3420">
        <v>367</v>
      </c>
      <c r="B84" s="3420" t="s">
        <v>3055</v>
      </c>
      <c r="C84" s="3420">
        <v>-2</v>
      </c>
      <c r="D84" s="3420">
        <v>270</v>
      </c>
      <c r="E84" s="3389">
        <v>72.39</v>
      </c>
      <c r="F84" s="3388" t="s">
        <v>3058</v>
      </c>
    </row>
    <row r="85" spans="1:6">
      <c r="A85" s="3420">
        <v>368</v>
      </c>
      <c r="B85" s="3420" t="s">
        <v>3055</v>
      </c>
      <c r="C85" s="3420">
        <v>-2</v>
      </c>
      <c r="D85" s="3420">
        <v>271</v>
      </c>
      <c r="E85" s="3389">
        <v>45.68</v>
      </c>
      <c r="F85" s="3388" t="s">
        <v>3058</v>
      </c>
    </row>
    <row r="86" spans="1:6">
      <c r="A86" s="3420">
        <v>369</v>
      </c>
      <c r="B86" s="3420" t="s">
        <v>3056</v>
      </c>
      <c r="C86" s="3420">
        <v>-1</v>
      </c>
      <c r="D86" s="3420">
        <v>6</v>
      </c>
      <c r="E86" s="3389">
        <v>69.19</v>
      </c>
      <c r="F86" s="3388" t="s">
        <v>3058</v>
      </c>
    </row>
    <row r="87" spans="1:6">
      <c r="A87" s="3420">
        <v>370</v>
      </c>
      <c r="B87" s="3420" t="s">
        <v>3056</v>
      </c>
      <c r="C87" s="3420">
        <v>-1</v>
      </c>
      <c r="D87" s="3420">
        <v>32</v>
      </c>
      <c r="E87" s="3389">
        <v>36.58</v>
      </c>
      <c r="F87" s="3388" t="s">
        <v>3058</v>
      </c>
    </row>
    <row r="88" spans="1:6">
      <c r="A88" s="3420">
        <v>371</v>
      </c>
      <c r="B88" s="3420" t="s">
        <v>3056</v>
      </c>
      <c r="C88" s="3420">
        <v>-1</v>
      </c>
      <c r="D88" s="3420">
        <v>37</v>
      </c>
      <c r="E88" s="3389">
        <v>39.799999999999997</v>
      </c>
      <c r="F88" s="3388" t="s">
        <v>3058</v>
      </c>
    </row>
    <row r="89" spans="1:6">
      <c r="A89" s="3420">
        <v>372</v>
      </c>
      <c r="B89" s="3420" t="s">
        <v>3056</v>
      </c>
      <c r="C89" s="3420">
        <v>-1</v>
      </c>
      <c r="D89" s="3420">
        <v>149</v>
      </c>
      <c r="E89" s="3389">
        <v>50.9</v>
      </c>
      <c r="F89" s="3388" t="s">
        <v>3058</v>
      </c>
    </row>
    <row r="90" spans="1:6">
      <c r="A90" s="3420">
        <v>373</v>
      </c>
      <c r="B90" s="3420" t="s">
        <v>3056</v>
      </c>
      <c r="C90" s="3420">
        <v>-1</v>
      </c>
      <c r="D90" s="3420">
        <v>150</v>
      </c>
      <c r="E90" s="3389">
        <v>69.680000000000007</v>
      </c>
      <c r="F90" s="3388" t="s">
        <v>3058</v>
      </c>
    </row>
    <row r="91" spans="1:6">
      <c r="A91" s="3420">
        <v>374</v>
      </c>
      <c r="B91" s="3420" t="s">
        <v>3056</v>
      </c>
      <c r="C91" s="3420">
        <v>-1</v>
      </c>
      <c r="D91" s="3420">
        <v>151</v>
      </c>
      <c r="E91" s="3389">
        <v>85.72</v>
      </c>
      <c r="F91" s="3388" t="s">
        <v>3058</v>
      </c>
    </row>
    <row r="92" spans="1:6">
      <c r="A92" s="3420">
        <v>375</v>
      </c>
      <c r="B92" s="3420" t="s">
        <v>3056</v>
      </c>
      <c r="C92" s="3420">
        <v>-1</v>
      </c>
      <c r="D92" s="3420">
        <v>158</v>
      </c>
      <c r="E92" s="3389">
        <v>56.32</v>
      </c>
      <c r="F92" s="3388" t="s">
        <v>3058</v>
      </c>
    </row>
    <row r="93" spans="1:6">
      <c r="A93" s="3420">
        <v>376</v>
      </c>
      <c r="B93" s="3420" t="s">
        <v>3056</v>
      </c>
      <c r="C93" s="3420">
        <v>-2</v>
      </c>
      <c r="D93" s="3420">
        <v>173</v>
      </c>
      <c r="E93" s="3389">
        <v>47.77</v>
      </c>
      <c r="F93" s="3388" t="s">
        <v>3058</v>
      </c>
    </row>
    <row r="94" spans="1:6">
      <c r="A94" s="3420">
        <v>377</v>
      </c>
      <c r="B94" s="3420" t="s">
        <v>3056</v>
      </c>
      <c r="C94" s="3420">
        <v>-2</v>
      </c>
      <c r="D94" s="3420">
        <v>175</v>
      </c>
      <c r="E94" s="3389">
        <v>101.56</v>
      </c>
      <c r="F94" s="3388" t="s">
        <v>3058</v>
      </c>
    </row>
    <row r="95" spans="1:6">
      <c r="A95" s="3420">
        <v>378</v>
      </c>
      <c r="B95" s="3420" t="s">
        <v>3056</v>
      </c>
      <c r="C95" s="3420">
        <v>-2</v>
      </c>
      <c r="D95" s="3420">
        <v>176</v>
      </c>
      <c r="E95" s="3389">
        <v>69.599999999999994</v>
      </c>
      <c r="F95" s="3388" t="s">
        <v>3058</v>
      </c>
    </row>
    <row r="96" spans="1:6">
      <c r="A96" s="3420">
        <v>379</v>
      </c>
      <c r="B96" s="3420" t="s">
        <v>3056</v>
      </c>
      <c r="C96" s="3420">
        <v>-2</v>
      </c>
      <c r="D96" s="3420">
        <v>177</v>
      </c>
      <c r="E96" s="3389">
        <v>104.6</v>
      </c>
      <c r="F96" s="3388" t="s">
        <v>3058</v>
      </c>
    </row>
    <row r="97" spans="1:6">
      <c r="A97" s="3420">
        <v>380</v>
      </c>
      <c r="B97" s="3420" t="s">
        <v>3056</v>
      </c>
      <c r="C97" s="3420">
        <v>-2</v>
      </c>
      <c r="D97" s="3420">
        <v>178</v>
      </c>
      <c r="E97" s="3389">
        <v>83.73</v>
      </c>
      <c r="F97" s="3388" t="s">
        <v>3058</v>
      </c>
    </row>
    <row r="98" spans="1:6">
      <c r="A98" s="3420">
        <v>381</v>
      </c>
      <c r="B98" s="3420" t="s">
        <v>3056</v>
      </c>
      <c r="C98" s="3420">
        <v>-2</v>
      </c>
      <c r="D98" s="3420">
        <v>185</v>
      </c>
      <c r="E98" s="3389">
        <v>76.78</v>
      </c>
      <c r="F98" s="3388" t="s">
        <v>3058</v>
      </c>
    </row>
    <row r="99" spans="1:6">
      <c r="A99" s="3420">
        <v>382</v>
      </c>
      <c r="B99" s="3420" t="s">
        <v>3056</v>
      </c>
      <c r="C99" s="3420">
        <v>-2</v>
      </c>
      <c r="D99" s="3420">
        <v>186</v>
      </c>
      <c r="E99" s="3389">
        <v>75.790000000000006</v>
      </c>
      <c r="F99" s="3388" t="s">
        <v>3058</v>
      </c>
    </row>
    <row r="100" spans="1:6">
      <c r="A100" s="3420">
        <v>383</v>
      </c>
      <c r="B100" s="3420" t="s">
        <v>3057</v>
      </c>
      <c r="C100" s="3420">
        <v>1</v>
      </c>
      <c r="D100" s="3420">
        <v>13</v>
      </c>
      <c r="E100" s="3389">
        <v>63.95</v>
      </c>
      <c r="F100" s="3388" t="s">
        <v>3058</v>
      </c>
    </row>
    <row r="101" spans="1:6">
      <c r="A101" s="3421">
        <v>384</v>
      </c>
      <c r="B101" s="3421" t="s">
        <v>3057</v>
      </c>
      <c r="C101" s="3421">
        <v>1</v>
      </c>
      <c r="D101" s="3421">
        <v>15</v>
      </c>
      <c r="E101" s="3416">
        <v>67.86</v>
      </c>
      <c r="F101" s="3415" t="s">
        <v>3058</v>
      </c>
    </row>
    <row r="102" spans="1:6">
      <c r="A102" s="3420">
        <v>385</v>
      </c>
      <c r="B102" s="3420" t="s">
        <v>3057</v>
      </c>
      <c r="C102" s="3420">
        <v>1</v>
      </c>
      <c r="D102" s="3420">
        <v>71</v>
      </c>
      <c r="E102" s="3389">
        <v>128.85</v>
      </c>
      <c r="F102" s="3388" t="s">
        <v>3058</v>
      </c>
    </row>
    <row r="103" spans="1:6">
      <c r="A103" s="3420">
        <v>386</v>
      </c>
      <c r="B103" s="3420" t="s">
        <v>3057</v>
      </c>
      <c r="C103" s="3420">
        <v>1</v>
      </c>
      <c r="D103" s="3420">
        <v>75</v>
      </c>
      <c r="E103" s="3389">
        <v>138.1</v>
      </c>
      <c r="F103" s="3388" t="s">
        <v>3058</v>
      </c>
    </row>
    <row r="104" spans="1:6">
      <c r="A104" s="3420">
        <v>387</v>
      </c>
      <c r="B104" s="3420" t="s">
        <v>3057</v>
      </c>
      <c r="C104" s="3420">
        <v>1</v>
      </c>
      <c r="D104" s="3420">
        <v>78</v>
      </c>
      <c r="E104" s="3389">
        <v>113.95</v>
      </c>
      <c r="F104" s="3388" t="s">
        <v>3058</v>
      </c>
    </row>
    <row r="105" spans="1:6">
      <c r="A105" s="3420">
        <v>388</v>
      </c>
      <c r="B105" s="3420" t="s">
        <v>3057</v>
      </c>
      <c r="C105" s="3420">
        <v>1</v>
      </c>
      <c r="D105" s="3420">
        <v>80</v>
      </c>
      <c r="E105" s="3389">
        <v>65.540000000000006</v>
      </c>
      <c r="F105" s="3388" t="s">
        <v>3058</v>
      </c>
    </row>
    <row r="106" spans="1:6">
      <c r="A106" s="3420">
        <v>389</v>
      </c>
      <c r="B106" s="3420" t="s">
        <v>3057</v>
      </c>
      <c r="C106" s="3420">
        <v>1</v>
      </c>
      <c r="D106" s="3420">
        <v>81</v>
      </c>
      <c r="E106" s="3389">
        <v>129.52000000000001</v>
      </c>
      <c r="F106" s="3388" t="s">
        <v>3058</v>
      </c>
    </row>
    <row r="107" spans="1:6">
      <c r="A107" s="3420">
        <v>390</v>
      </c>
      <c r="B107" s="3420" t="s">
        <v>3057</v>
      </c>
      <c r="C107" s="3420">
        <v>1</v>
      </c>
      <c r="D107" s="3420">
        <v>143</v>
      </c>
      <c r="E107" s="3389">
        <v>69.94</v>
      </c>
      <c r="F107" s="3388" t="s">
        <v>3058</v>
      </c>
    </row>
    <row r="108" spans="1:6">
      <c r="A108" s="3420">
        <v>391</v>
      </c>
      <c r="B108" s="3420" t="s">
        <v>3057</v>
      </c>
      <c r="C108" s="3420">
        <v>1</v>
      </c>
      <c r="D108" s="3420">
        <v>145</v>
      </c>
      <c r="E108" s="3389">
        <v>154.38</v>
      </c>
      <c r="F108" s="3388" t="s">
        <v>3058</v>
      </c>
    </row>
    <row r="109" spans="1:6">
      <c r="A109" s="3420">
        <v>392</v>
      </c>
      <c r="B109" s="3420" t="s">
        <v>3057</v>
      </c>
      <c r="C109" s="3420">
        <v>1</v>
      </c>
      <c r="D109" s="3420">
        <v>146</v>
      </c>
      <c r="E109" s="3389">
        <v>106.5</v>
      </c>
      <c r="F109" s="3388" t="s">
        <v>3058</v>
      </c>
    </row>
    <row r="110" spans="1:6">
      <c r="A110" s="3420">
        <v>393</v>
      </c>
      <c r="B110" s="3420" t="s">
        <v>3057</v>
      </c>
      <c r="C110" s="3420">
        <v>1</v>
      </c>
      <c r="D110" s="3420">
        <v>147</v>
      </c>
      <c r="E110" s="3389">
        <v>106.5</v>
      </c>
      <c r="F110" s="3388" t="s">
        <v>3058</v>
      </c>
    </row>
    <row r="111" spans="1:6">
      <c r="A111" s="3420">
        <v>394</v>
      </c>
      <c r="B111" s="3420" t="s">
        <v>3057</v>
      </c>
      <c r="C111" s="3420">
        <v>1</v>
      </c>
      <c r="D111" s="3420">
        <v>148</v>
      </c>
      <c r="E111" s="3389">
        <v>106.67</v>
      </c>
      <c r="F111" s="3388" t="s">
        <v>3058</v>
      </c>
    </row>
    <row r="112" spans="1:6">
      <c r="A112" s="3420">
        <v>395</v>
      </c>
      <c r="B112" s="3420" t="s">
        <v>3057</v>
      </c>
      <c r="C112" s="3420">
        <v>1</v>
      </c>
      <c r="D112" s="3420">
        <v>149</v>
      </c>
      <c r="E112" s="3389">
        <v>103.44</v>
      </c>
      <c r="F112" s="3388" t="s">
        <v>3058</v>
      </c>
    </row>
    <row r="113" spans="1:6">
      <c r="A113" s="3420">
        <v>396</v>
      </c>
      <c r="B113" s="3420" t="s">
        <v>3057</v>
      </c>
      <c r="C113" s="3420">
        <v>1</v>
      </c>
      <c r="D113" s="3420">
        <v>150</v>
      </c>
      <c r="E113" s="3389">
        <v>109.92</v>
      </c>
      <c r="F113" s="3388" t="s">
        <v>3058</v>
      </c>
    </row>
    <row r="114" spans="1:6">
      <c r="A114" s="3420">
        <v>397</v>
      </c>
      <c r="B114" s="3420" t="s">
        <v>3057</v>
      </c>
      <c r="C114" s="3420">
        <v>1</v>
      </c>
      <c r="D114" s="3420">
        <v>155</v>
      </c>
      <c r="E114" s="3389">
        <v>91.42</v>
      </c>
      <c r="F114" s="3388" t="s">
        <v>3058</v>
      </c>
    </row>
    <row r="115" spans="1:6">
      <c r="A115" s="3420">
        <v>398</v>
      </c>
      <c r="B115" s="3420" t="s">
        <v>3057</v>
      </c>
      <c r="C115" s="3420">
        <v>1</v>
      </c>
      <c r="D115" s="3420">
        <v>156</v>
      </c>
      <c r="E115" s="3389">
        <v>162.84</v>
      </c>
      <c r="F115" s="3388" t="s">
        <v>3058</v>
      </c>
    </row>
    <row r="116" spans="1:6">
      <c r="A116" s="3420">
        <v>399</v>
      </c>
      <c r="B116" s="3420" t="s">
        <v>3057</v>
      </c>
      <c r="C116" s="3420">
        <v>1</v>
      </c>
      <c r="D116" s="3420">
        <v>157</v>
      </c>
      <c r="E116" s="3389">
        <v>51.15</v>
      </c>
      <c r="F116" s="3388" t="s">
        <v>3058</v>
      </c>
    </row>
    <row r="117" spans="1:6">
      <c r="A117" s="3420">
        <v>400</v>
      </c>
      <c r="B117" s="3420" t="s">
        <v>3057</v>
      </c>
      <c r="C117" s="3420">
        <v>1</v>
      </c>
      <c r="D117" s="3420">
        <v>158</v>
      </c>
      <c r="E117" s="3389">
        <v>18.11</v>
      </c>
      <c r="F117" s="3388" t="s">
        <v>3058</v>
      </c>
    </row>
    <row r="118" spans="1:6">
      <c r="A118" s="3420">
        <v>401</v>
      </c>
      <c r="B118" s="3420" t="s">
        <v>3057</v>
      </c>
      <c r="C118" s="3420">
        <v>1</v>
      </c>
      <c r="D118" s="3420">
        <v>159</v>
      </c>
      <c r="E118" s="3389">
        <v>117.83</v>
      </c>
      <c r="F118" s="3388" t="s">
        <v>3058</v>
      </c>
    </row>
    <row r="119" spans="1:6">
      <c r="A119" s="3420">
        <v>402</v>
      </c>
      <c r="B119" s="3420" t="s">
        <v>3057</v>
      </c>
      <c r="C119" s="3420">
        <v>1</v>
      </c>
      <c r="D119" s="3420">
        <v>160</v>
      </c>
      <c r="E119" s="3389">
        <v>57.6</v>
      </c>
      <c r="F119" s="3388" t="s">
        <v>3058</v>
      </c>
    </row>
    <row r="120" spans="1:6">
      <c r="A120" s="3420">
        <v>403</v>
      </c>
      <c r="B120" s="3420" t="s">
        <v>3057</v>
      </c>
      <c r="C120" s="3420">
        <v>1</v>
      </c>
      <c r="D120" s="3420">
        <v>161</v>
      </c>
      <c r="E120" s="3389">
        <v>100.72</v>
      </c>
      <c r="F120" s="3388" t="s">
        <v>3058</v>
      </c>
    </row>
    <row r="121" spans="1:6">
      <c r="A121" s="3420">
        <v>404</v>
      </c>
      <c r="B121" s="3420" t="s">
        <v>3057</v>
      </c>
      <c r="C121" s="3420">
        <v>-1</v>
      </c>
      <c r="D121" s="3420">
        <v>286</v>
      </c>
      <c r="E121" s="3389">
        <v>74.37</v>
      </c>
      <c r="F121" s="3388" t="s">
        <v>3058</v>
      </c>
    </row>
    <row r="122" spans="1:6">
      <c r="A122" s="3420">
        <v>405</v>
      </c>
      <c r="B122" s="3420" t="s">
        <v>3057</v>
      </c>
      <c r="C122" s="3420">
        <v>-1</v>
      </c>
      <c r="D122" s="3420">
        <v>287</v>
      </c>
      <c r="E122" s="3389">
        <v>75.97</v>
      </c>
      <c r="F122" s="3388" t="s">
        <v>3058</v>
      </c>
    </row>
    <row r="123" spans="1:6">
      <c r="A123" s="3420">
        <v>406</v>
      </c>
      <c r="B123" s="3420" t="s">
        <v>3057</v>
      </c>
      <c r="C123" s="3420">
        <v>-1</v>
      </c>
      <c r="D123" s="3420">
        <v>288</v>
      </c>
      <c r="E123" s="3389">
        <v>76</v>
      </c>
      <c r="F123" s="3388" t="s">
        <v>3058</v>
      </c>
    </row>
    <row r="124" spans="1:6">
      <c r="A124" s="3420">
        <v>407</v>
      </c>
      <c r="B124" s="3420" t="s">
        <v>3057</v>
      </c>
      <c r="C124" s="3420">
        <v>-1</v>
      </c>
      <c r="D124" s="3420">
        <v>289</v>
      </c>
      <c r="E124" s="3389">
        <v>76.03</v>
      </c>
      <c r="F124" s="3388" t="s">
        <v>3058</v>
      </c>
    </row>
    <row r="125" spans="1:6">
      <c r="A125" s="3420">
        <v>408</v>
      </c>
      <c r="B125" s="3420" t="s">
        <v>3057</v>
      </c>
      <c r="C125" s="3420">
        <v>-1</v>
      </c>
      <c r="D125" s="3420">
        <v>290</v>
      </c>
      <c r="E125" s="3389">
        <v>76.06</v>
      </c>
      <c r="F125" s="3388" t="s">
        <v>3058</v>
      </c>
    </row>
    <row r="126" spans="1:6">
      <c r="A126" s="3420">
        <v>409</v>
      </c>
      <c r="B126" s="3420" t="s">
        <v>3057</v>
      </c>
      <c r="C126" s="3420">
        <v>-1</v>
      </c>
      <c r="D126" s="3420">
        <v>291</v>
      </c>
      <c r="E126" s="3389">
        <v>76.09</v>
      </c>
      <c r="F126" s="3388" t="s">
        <v>3058</v>
      </c>
    </row>
    <row r="127" spans="1:6">
      <c r="A127" s="3420">
        <v>410</v>
      </c>
      <c r="B127" s="3420" t="s">
        <v>3057</v>
      </c>
      <c r="C127" s="3420">
        <v>-1</v>
      </c>
      <c r="D127" s="3420">
        <v>292</v>
      </c>
      <c r="E127" s="3389">
        <v>76.12</v>
      </c>
      <c r="F127" s="3388" t="s">
        <v>3058</v>
      </c>
    </row>
    <row r="128" spans="1:6">
      <c r="A128" s="3420">
        <v>411</v>
      </c>
      <c r="B128" s="3420" t="s">
        <v>3057</v>
      </c>
      <c r="C128" s="3420">
        <v>-1</v>
      </c>
      <c r="D128" s="3420">
        <v>293</v>
      </c>
      <c r="E128" s="3389">
        <v>76.150000000000006</v>
      </c>
      <c r="F128" s="3388" t="s">
        <v>3058</v>
      </c>
    </row>
    <row r="129" spans="1:6">
      <c r="A129" s="3420">
        <v>412</v>
      </c>
      <c r="B129" s="3420" t="s">
        <v>3057</v>
      </c>
      <c r="C129" s="3420">
        <v>-1</v>
      </c>
      <c r="D129" s="3420">
        <v>295</v>
      </c>
      <c r="E129" s="3389">
        <v>76.19</v>
      </c>
      <c r="F129" s="3388" t="s">
        <v>3058</v>
      </c>
    </row>
    <row r="130" spans="1:6">
      <c r="A130" s="3420">
        <v>413</v>
      </c>
      <c r="B130" s="3420" t="s">
        <v>3057</v>
      </c>
      <c r="C130" s="3420">
        <v>-1</v>
      </c>
      <c r="D130" s="3420">
        <v>299</v>
      </c>
      <c r="E130" s="3389">
        <v>23.08</v>
      </c>
      <c r="F130" s="3388" t="s">
        <v>3058</v>
      </c>
    </row>
    <row r="131" spans="1:6">
      <c r="A131" s="3420">
        <v>414</v>
      </c>
      <c r="B131" s="3420" t="s">
        <v>3057</v>
      </c>
      <c r="C131" s="3420">
        <v>-1</v>
      </c>
      <c r="D131" s="3420">
        <v>300</v>
      </c>
      <c r="E131" s="3389">
        <v>21.46</v>
      </c>
      <c r="F131" s="3388" t="s">
        <v>3058</v>
      </c>
    </row>
    <row r="132" spans="1:6">
      <c r="A132" s="3420">
        <v>415</v>
      </c>
      <c r="B132" s="3420" t="s">
        <v>3057</v>
      </c>
      <c r="C132" s="3420">
        <v>-1</v>
      </c>
      <c r="D132" s="3420">
        <v>308</v>
      </c>
      <c r="E132" s="3389">
        <v>30.26</v>
      </c>
      <c r="F132" s="3388" t="s">
        <v>3058</v>
      </c>
    </row>
    <row r="133" spans="1:6">
      <c r="A133" s="3420">
        <v>416</v>
      </c>
      <c r="B133" s="3420" t="s">
        <v>3057</v>
      </c>
      <c r="C133" s="3420">
        <v>-1</v>
      </c>
      <c r="D133" s="3420">
        <v>309</v>
      </c>
      <c r="E133" s="3389">
        <v>30.29</v>
      </c>
      <c r="F133" s="3388" t="s">
        <v>3058</v>
      </c>
    </row>
    <row r="134" spans="1:6">
      <c r="A134" s="3420">
        <v>417</v>
      </c>
      <c r="B134" s="3420" t="s">
        <v>3057</v>
      </c>
      <c r="C134" s="3420">
        <v>-1</v>
      </c>
      <c r="D134" s="3420">
        <v>310</v>
      </c>
      <c r="E134" s="3389">
        <v>30.33</v>
      </c>
      <c r="F134" s="3388" t="s">
        <v>3058</v>
      </c>
    </row>
    <row r="135" spans="1:6">
      <c r="A135" s="3420">
        <v>418</v>
      </c>
      <c r="B135" s="3420" t="s">
        <v>3057</v>
      </c>
      <c r="C135" s="3420">
        <v>-1</v>
      </c>
      <c r="D135" s="3420">
        <v>311</v>
      </c>
      <c r="E135" s="3389">
        <v>30.35</v>
      </c>
      <c r="F135" s="3388" t="s">
        <v>3058</v>
      </c>
    </row>
    <row r="136" spans="1:6">
      <c r="A136" s="3420">
        <v>419</v>
      </c>
      <c r="B136" s="3420" t="s">
        <v>3057</v>
      </c>
      <c r="C136" s="3420">
        <v>-1</v>
      </c>
      <c r="D136" s="3420">
        <v>436</v>
      </c>
      <c r="E136" s="3389">
        <v>29.02</v>
      </c>
      <c r="F136" s="3388" t="s">
        <v>3058</v>
      </c>
    </row>
    <row r="137" spans="1:6">
      <c r="A137" s="3420">
        <v>420</v>
      </c>
      <c r="B137" s="3420" t="s">
        <v>3057</v>
      </c>
      <c r="C137" s="3420">
        <v>-1</v>
      </c>
      <c r="D137" s="3420">
        <v>437</v>
      </c>
      <c r="E137" s="3389">
        <v>57.47</v>
      </c>
      <c r="F137" s="3388" t="s">
        <v>3058</v>
      </c>
    </row>
    <row r="138" spans="1:6">
      <c r="A138" s="3420">
        <v>421</v>
      </c>
      <c r="B138" s="3420" t="s">
        <v>3057</v>
      </c>
      <c r="C138" s="3420">
        <v>-1</v>
      </c>
      <c r="D138" s="3420">
        <v>438</v>
      </c>
      <c r="E138" s="3389">
        <v>42.5</v>
      </c>
      <c r="F138" s="3388" t="s">
        <v>3058</v>
      </c>
    </row>
    <row r="139" spans="1:6">
      <c r="A139" s="3420">
        <v>422</v>
      </c>
      <c r="B139" s="3420" t="s">
        <v>3057</v>
      </c>
      <c r="C139" s="3420">
        <v>-1</v>
      </c>
      <c r="D139" s="3420">
        <v>439</v>
      </c>
      <c r="E139" s="3389">
        <v>42.5</v>
      </c>
      <c r="F139" s="3388" t="s">
        <v>3058</v>
      </c>
    </row>
    <row r="140" spans="1:6">
      <c r="A140" s="3420">
        <v>423</v>
      </c>
      <c r="B140" s="3420" t="s">
        <v>3057</v>
      </c>
      <c r="C140" s="3420">
        <v>-1</v>
      </c>
      <c r="D140" s="3420">
        <v>440</v>
      </c>
      <c r="E140" s="3389">
        <v>42.5</v>
      </c>
      <c r="F140" s="3388" t="s">
        <v>3058</v>
      </c>
    </row>
    <row r="141" spans="1:6">
      <c r="A141" s="3420">
        <v>424</v>
      </c>
      <c r="B141" s="3420" t="s">
        <v>3057</v>
      </c>
      <c r="C141" s="3420">
        <v>-1</v>
      </c>
      <c r="D141" s="3420">
        <v>441</v>
      </c>
      <c r="E141" s="3389">
        <v>42.5</v>
      </c>
      <c r="F141" s="3388" t="s">
        <v>3058</v>
      </c>
    </row>
    <row r="142" spans="1:6">
      <c r="A142" s="3420">
        <v>425</v>
      </c>
      <c r="B142" s="3420" t="s">
        <v>3057</v>
      </c>
      <c r="C142" s="3420">
        <v>-1</v>
      </c>
      <c r="D142" s="3420">
        <v>442</v>
      </c>
      <c r="E142" s="3389">
        <v>87.92</v>
      </c>
      <c r="F142" s="3388" t="s">
        <v>3058</v>
      </c>
    </row>
    <row r="143" spans="1:6">
      <c r="A143" s="3420">
        <v>426</v>
      </c>
      <c r="B143" s="3420" t="s">
        <v>3057</v>
      </c>
      <c r="C143" s="3420">
        <v>-1</v>
      </c>
      <c r="D143" s="3420">
        <v>443</v>
      </c>
      <c r="E143" s="3389">
        <v>71.14</v>
      </c>
      <c r="F143" s="3388" t="s">
        <v>3058</v>
      </c>
    </row>
    <row r="144" spans="1:6">
      <c r="A144" s="3420">
        <v>427</v>
      </c>
      <c r="B144" s="3420" t="s">
        <v>3057</v>
      </c>
      <c r="C144" s="3420">
        <v>-1</v>
      </c>
      <c r="D144" s="3420">
        <v>445</v>
      </c>
      <c r="E144" s="3389">
        <v>61.07</v>
      </c>
      <c r="F144" s="3388" t="s">
        <v>3058</v>
      </c>
    </row>
    <row r="145" spans="1:6">
      <c r="A145" s="3420">
        <v>428</v>
      </c>
      <c r="B145" s="3420" t="s">
        <v>3057</v>
      </c>
      <c r="C145" s="3420">
        <v>-1</v>
      </c>
      <c r="D145" s="3420">
        <v>446</v>
      </c>
      <c r="E145" s="3389">
        <v>61.07</v>
      </c>
      <c r="F145" s="3388" t="s">
        <v>3058</v>
      </c>
    </row>
    <row r="146" spans="1:6">
      <c r="A146" s="3420">
        <v>429</v>
      </c>
      <c r="B146" s="3420" t="s">
        <v>3057</v>
      </c>
      <c r="C146" s="3420">
        <v>-1</v>
      </c>
      <c r="D146" s="3420">
        <v>447</v>
      </c>
      <c r="E146" s="3389">
        <v>61.07</v>
      </c>
      <c r="F146" s="3388" t="s">
        <v>3058</v>
      </c>
    </row>
    <row r="147" spans="1:6">
      <c r="A147" s="3420">
        <v>430</v>
      </c>
      <c r="B147" s="3420" t="s">
        <v>3057</v>
      </c>
      <c r="C147" s="3420">
        <v>-1</v>
      </c>
      <c r="D147" s="3420">
        <v>448</v>
      </c>
      <c r="E147" s="3389">
        <v>61.07</v>
      </c>
      <c r="F147" s="3388" t="s">
        <v>3058</v>
      </c>
    </row>
    <row r="148" spans="1:6">
      <c r="A148" s="3420">
        <v>431</v>
      </c>
      <c r="B148" s="3420" t="s">
        <v>3057</v>
      </c>
      <c r="C148" s="3420">
        <v>-1</v>
      </c>
      <c r="D148" s="3420">
        <v>449</v>
      </c>
      <c r="E148" s="3389">
        <v>61.07</v>
      </c>
      <c r="F148" s="3388" t="s">
        <v>3058</v>
      </c>
    </row>
    <row r="149" spans="1:6">
      <c r="A149" s="3420">
        <v>432</v>
      </c>
      <c r="B149" s="3420" t="s">
        <v>3057</v>
      </c>
      <c r="C149" s="3420">
        <v>-1</v>
      </c>
      <c r="D149" s="3420">
        <v>457</v>
      </c>
      <c r="E149" s="3389">
        <v>61.08</v>
      </c>
      <c r="F149" s="3388" t="s">
        <v>3058</v>
      </c>
    </row>
    <row r="150" spans="1:6">
      <c r="A150" s="3455">
        <v>522</v>
      </c>
      <c r="B150" s="3455">
        <v>11</v>
      </c>
      <c r="C150" s="3455">
        <v>1</v>
      </c>
      <c r="D150" s="3455">
        <v>2</v>
      </c>
      <c r="E150" s="3456">
        <v>93.34</v>
      </c>
      <c r="F150" s="3417" t="s">
        <v>3058</v>
      </c>
    </row>
    <row r="151" spans="1:6">
      <c r="A151" s="3455">
        <v>523</v>
      </c>
      <c r="B151" s="3455">
        <v>11</v>
      </c>
      <c r="C151" s="3455">
        <v>1</v>
      </c>
      <c r="D151" s="3455">
        <v>3</v>
      </c>
      <c r="E151" s="3456">
        <v>56.08</v>
      </c>
      <c r="F151" s="3417" t="s">
        <v>3058</v>
      </c>
    </row>
    <row r="152" spans="1:6">
      <c r="A152" s="3455">
        <v>524</v>
      </c>
      <c r="B152" s="3455">
        <v>11</v>
      </c>
      <c r="C152" s="3455">
        <v>1</v>
      </c>
      <c r="D152" s="3455">
        <v>5</v>
      </c>
      <c r="E152" s="3456">
        <v>46.18</v>
      </c>
      <c r="F152" s="3417" t="s">
        <v>3058</v>
      </c>
    </row>
    <row r="153" spans="1:6">
      <c r="A153" s="3455">
        <v>525</v>
      </c>
      <c r="B153" s="3455">
        <v>11</v>
      </c>
      <c r="C153" s="3455">
        <v>1</v>
      </c>
      <c r="D153" s="3455">
        <v>6</v>
      </c>
      <c r="E153" s="3456">
        <v>44.08</v>
      </c>
      <c r="F153" s="3417" t="s">
        <v>3058</v>
      </c>
    </row>
    <row r="154" spans="1:6">
      <c r="A154" s="3455">
        <v>526</v>
      </c>
      <c r="B154" s="3455">
        <v>11</v>
      </c>
      <c r="C154" s="3455">
        <v>1</v>
      </c>
      <c r="D154" s="3455">
        <v>7</v>
      </c>
      <c r="E154" s="3456">
        <v>44.08</v>
      </c>
      <c r="F154" s="3417" t="s">
        <v>3058</v>
      </c>
    </row>
    <row r="155" spans="1:6">
      <c r="A155" s="3455">
        <v>527</v>
      </c>
      <c r="B155" s="3455">
        <v>11</v>
      </c>
      <c r="C155" s="3455">
        <v>1</v>
      </c>
      <c r="D155" s="3455">
        <v>8</v>
      </c>
      <c r="E155" s="3456">
        <v>45.76</v>
      </c>
      <c r="F155" s="3417" t="s">
        <v>3058</v>
      </c>
    </row>
    <row r="156" spans="1:6">
      <c r="A156" s="3455">
        <v>528</v>
      </c>
      <c r="B156" s="3455">
        <v>11</v>
      </c>
      <c r="C156" s="3455">
        <v>1</v>
      </c>
      <c r="D156" s="3455">
        <v>9</v>
      </c>
      <c r="E156" s="3456">
        <v>44.05</v>
      </c>
      <c r="F156" s="3417" t="s">
        <v>3058</v>
      </c>
    </row>
    <row r="157" spans="1:6">
      <c r="A157" s="3455">
        <v>529</v>
      </c>
      <c r="B157" s="3455">
        <v>11</v>
      </c>
      <c r="C157" s="3455">
        <v>1</v>
      </c>
      <c r="D157" s="3455">
        <v>10</v>
      </c>
      <c r="E157" s="3456">
        <v>29.84</v>
      </c>
      <c r="F157" s="3417" t="s">
        <v>3058</v>
      </c>
    </row>
    <row r="158" spans="1:6">
      <c r="A158" s="3455">
        <v>530</v>
      </c>
      <c r="B158" s="3455">
        <v>11</v>
      </c>
      <c r="C158" s="3455">
        <v>1</v>
      </c>
      <c r="D158" s="3455">
        <v>13</v>
      </c>
      <c r="E158" s="3456">
        <v>44.08</v>
      </c>
      <c r="F158" s="3417" t="s">
        <v>3058</v>
      </c>
    </row>
    <row r="159" spans="1:6">
      <c r="A159" s="3455">
        <v>531</v>
      </c>
      <c r="B159" s="3455">
        <v>11</v>
      </c>
      <c r="C159" s="3455">
        <v>1</v>
      </c>
      <c r="D159" s="3455">
        <v>15</v>
      </c>
      <c r="E159" s="3456">
        <v>44.08</v>
      </c>
      <c r="F159" s="3417" t="s">
        <v>3058</v>
      </c>
    </row>
    <row r="160" spans="1:6">
      <c r="A160" s="3455">
        <v>532</v>
      </c>
      <c r="B160" s="3455">
        <v>11</v>
      </c>
      <c r="C160" s="3455">
        <v>1</v>
      </c>
      <c r="D160" s="3455">
        <v>16</v>
      </c>
      <c r="E160" s="3456">
        <v>44.08</v>
      </c>
      <c r="F160" s="3417" t="s">
        <v>3058</v>
      </c>
    </row>
    <row r="161" spans="1:8">
      <c r="A161" s="3455">
        <v>533</v>
      </c>
      <c r="B161" s="3455">
        <v>11</v>
      </c>
      <c r="C161" s="3455">
        <v>1</v>
      </c>
      <c r="D161" s="3455">
        <v>17</v>
      </c>
      <c r="E161" s="3456">
        <v>46.18</v>
      </c>
      <c r="F161" s="3417" t="s">
        <v>3058</v>
      </c>
    </row>
    <row r="162" spans="1:8">
      <c r="A162" s="3455">
        <v>534</v>
      </c>
      <c r="B162" s="3455">
        <v>11</v>
      </c>
      <c r="C162" s="3455">
        <v>1</v>
      </c>
      <c r="D162" s="3455">
        <v>18</v>
      </c>
      <c r="E162" s="3456">
        <v>56.08</v>
      </c>
      <c r="F162" s="3417" t="s">
        <v>3058</v>
      </c>
    </row>
    <row r="163" spans="1:8">
      <c r="A163" s="3455">
        <v>535</v>
      </c>
      <c r="B163" s="3455">
        <v>11</v>
      </c>
      <c r="C163" s="3455">
        <v>1</v>
      </c>
      <c r="D163" s="3455">
        <v>21</v>
      </c>
      <c r="E163" s="3456">
        <v>94.52</v>
      </c>
      <c r="F163" s="3417" t="s">
        <v>3058</v>
      </c>
    </row>
    <row r="164" spans="1:8">
      <c r="A164" s="3455">
        <v>536</v>
      </c>
      <c r="B164" s="3455">
        <v>11</v>
      </c>
      <c r="C164" s="3455">
        <v>1</v>
      </c>
      <c r="D164" s="3455">
        <v>23</v>
      </c>
      <c r="E164" s="3456">
        <v>43.21</v>
      </c>
      <c r="F164" s="3417" t="s">
        <v>3058</v>
      </c>
    </row>
    <row r="165" spans="1:8">
      <c r="A165" s="3455">
        <v>537</v>
      </c>
      <c r="B165" s="3455">
        <v>11</v>
      </c>
      <c r="C165" s="3455">
        <v>1</v>
      </c>
      <c r="D165" s="3455">
        <v>25</v>
      </c>
      <c r="E165" s="3456">
        <v>43.21</v>
      </c>
      <c r="F165" s="3417" t="s">
        <v>3058</v>
      </c>
    </row>
    <row r="166" spans="1:8">
      <c r="A166" s="3455">
        <v>538</v>
      </c>
      <c r="B166" s="3455">
        <v>11</v>
      </c>
      <c r="C166" s="3455">
        <v>1</v>
      </c>
      <c r="D166" s="3455">
        <v>26</v>
      </c>
      <c r="E166" s="3456">
        <v>43.21</v>
      </c>
      <c r="F166" s="3417" t="s">
        <v>3058</v>
      </c>
    </row>
    <row r="167" spans="1:8">
      <c r="A167" s="3455">
        <v>539</v>
      </c>
      <c r="B167" s="3455">
        <v>11</v>
      </c>
      <c r="C167" s="3455">
        <v>1</v>
      </c>
      <c r="D167" s="3455">
        <v>27</v>
      </c>
      <c r="E167" s="3456">
        <v>43.21</v>
      </c>
      <c r="F167" s="3417" t="s">
        <v>3058</v>
      </c>
    </row>
    <row r="168" spans="1:8">
      <c r="A168" s="3455">
        <v>540</v>
      </c>
      <c r="B168" s="3455">
        <v>11</v>
      </c>
      <c r="C168" s="3455">
        <v>1</v>
      </c>
      <c r="D168" s="3455">
        <v>28</v>
      </c>
      <c r="E168" s="3456">
        <v>45.27</v>
      </c>
      <c r="F168" s="3417" t="s">
        <v>3058</v>
      </c>
    </row>
    <row r="169" spans="1:8">
      <c r="A169" s="3455">
        <v>541</v>
      </c>
      <c r="B169" s="3455">
        <v>11</v>
      </c>
      <c r="C169" s="3455">
        <v>1</v>
      </c>
      <c r="D169" s="3455">
        <v>29</v>
      </c>
      <c r="E169" s="3456">
        <v>35.25</v>
      </c>
      <c r="F169" s="3417" t="s">
        <v>3058</v>
      </c>
    </row>
    <row r="170" spans="1:8">
      <c r="A170" s="3455">
        <v>542</v>
      </c>
      <c r="B170" s="3455">
        <v>11</v>
      </c>
      <c r="C170" s="3455">
        <v>1</v>
      </c>
      <c r="D170" s="3455">
        <v>30</v>
      </c>
      <c r="E170" s="3456">
        <v>37.79</v>
      </c>
      <c r="F170" s="3417" t="s">
        <v>3058</v>
      </c>
    </row>
    <row r="171" spans="1:8">
      <c r="A171" s="3455">
        <v>543</v>
      </c>
      <c r="B171" s="3455">
        <v>11</v>
      </c>
      <c r="C171" s="3455">
        <v>1</v>
      </c>
      <c r="D171" s="3455">
        <v>31</v>
      </c>
      <c r="E171" s="3456">
        <v>43.21</v>
      </c>
      <c r="F171" s="3417" t="s">
        <v>3058</v>
      </c>
    </row>
    <row r="172" spans="1:8">
      <c r="A172" s="3455">
        <v>544</v>
      </c>
      <c r="B172" s="3455">
        <v>11</v>
      </c>
      <c r="C172" s="3455">
        <v>1</v>
      </c>
      <c r="D172" s="3455">
        <v>32</v>
      </c>
      <c r="E172" s="3456">
        <v>43.21</v>
      </c>
      <c r="F172" s="3417" t="s">
        <v>3058</v>
      </c>
    </row>
    <row r="173" spans="1:8">
      <c r="A173" s="3455">
        <v>545</v>
      </c>
      <c r="B173" s="3455">
        <v>11</v>
      </c>
      <c r="C173" s="3455">
        <v>1</v>
      </c>
      <c r="D173" s="3455">
        <v>33</v>
      </c>
      <c r="E173" s="3456">
        <v>45.26</v>
      </c>
      <c r="F173" s="3417" t="s">
        <v>3058</v>
      </c>
    </row>
    <row r="174" spans="1:8" s="3418" customFormat="1">
      <c r="A174" s="3455">
        <v>546</v>
      </c>
      <c r="B174" s="3455">
        <v>11</v>
      </c>
      <c r="C174" s="3455">
        <v>1</v>
      </c>
      <c r="D174" s="3455">
        <v>37</v>
      </c>
      <c r="E174" s="3456">
        <v>109.79</v>
      </c>
      <c r="F174" s="3417" t="s">
        <v>3058</v>
      </c>
      <c r="H174" s="3457"/>
    </row>
    <row r="175" spans="1:8">
      <c r="A175" s="3455">
        <v>547</v>
      </c>
      <c r="B175" s="3455">
        <v>11</v>
      </c>
      <c r="C175" s="3455">
        <v>1</v>
      </c>
      <c r="D175" s="3455">
        <v>38</v>
      </c>
      <c r="E175" s="3456">
        <v>72.599999999999994</v>
      </c>
      <c r="F175" s="3417" t="s">
        <v>3058</v>
      </c>
    </row>
    <row r="176" spans="1:8">
      <c r="A176" s="3455">
        <v>548</v>
      </c>
      <c r="B176" s="3455">
        <v>11</v>
      </c>
      <c r="C176" s="3455">
        <v>1</v>
      </c>
      <c r="D176" s="3455">
        <v>39</v>
      </c>
      <c r="E176" s="3456">
        <v>72.599999999999994</v>
      </c>
      <c r="F176" s="3417" t="s">
        <v>3058</v>
      </c>
    </row>
    <row r="177" spans="1:6">
      <c r="A177" s="3455">
        <v>549</v>
      </c>
      <c r="B177" s="3455">
        <v>11</v>
      </c>
      <c r="C177" s="3455">
        <v>1</v>
      </c>
      <c r="D177" s="3455">
        <v>42</v>
      </c>
      <c r="E177" s="3456">
        <v>8.7899999999999991</v>
      </c>
      <c r="F177" s="3417" t="s">
        <v>3058</v>
      </c>
    </row>
    <row r="178" spans="1:6">
      <c r="A178" s="3455">
        <v>550</v>
      </c>
      <c r="B178" s="3455">
        <v>11</v>
      </c>
      <c r="C178" s="3455">
        <v>1</v>
      </c>
      <c r="D178" s="3455">
        <v>48</v>
      </c>
      <c r="E178" s="3456">
        <v>81.67</v>
      </c>
      <c r="F178" s="3417" t="s">
        <v>3058</v>
      </c>
    </row>
    <row r="179" spans="1:6">
      <c r="A179" s="3455">
        <v>551</v>
      </c>
      <c r="B179" s="3455">
        <v>11</v>
      </c>
      <c r="C179" s="3455">
        <v>1</v>
      </c>
      <c r="D179" s="3455">
        <v>50</v>
      </c>
      <c r="E179" s="3456">
        <v>41.38</v>
      </c>
      <c r="F179" s="3417" t="s">
        <v>3058</v>
      </c>
    </row>
    <row r="180" spans="1:6">
      <c r="A180" s="3455">
        <v>552</v>
      </c>
      <c r="B180" s="3455">
        <v>11</v>
      </c>
      <c r="C180" s="3455">
        <v>1</v>
      </c>
      <c r="D180" s="3455">
        <v>52</v>
      </c>
      <c r="E180" s="3456">
        <v>39.5</v>
      </c>
      <c r="F180" s="3417" t="s">
        <v>3058</v>
      </c>
    </row>
    <row r="181" spans="1:6">
      <c r="A181" s="3455">
        <v>553</v>
      </c>
      <c r="B181" s="3455">
        <v>11</v>
      </c>
      <c r="C181" s="3455">
        <v>1</v>
      </c>
      <c r="D181" s="3455">
        <v>53</v>
      </c>
      <c r="E181" s="3456">
        <v>37.24</v>
      </c>
      <c r="F181" s="3417" t="s">
        <v>3058</v>
      </c>
    </row>
    <row r="182" spans="1:6">
      <c r="A182" s="3455">
        <v>554</v>
      </c>
      <c r="B182" s="3455">
        <v>11</v>
      </c>
      <c r="C182" s="3455">
        <v>1</v>
      </c>
      <c r="D182" s="3455">
        <v>55</v>
      </c>
      <c r="E182" s="3456">
        <v>90.62</v>
      </c>
      <c r="F182" s="3417" t="s">
        <v>3058</v>
      </c>
    </row>
    <row r="183" spans="1:6">
      <c r="A183" s="3455">
        <v>555</v>
      </c>
      <c r="B183" s="3455">
        <v>11</v>
      </c>
      <c r="C183" s="3455">
        <v>1</v>
      </c>
      <c r="D183" s="3455">
        <v>56</v>
      </c>
      <c r="E183" s="3456">
        <v>29.81</v>
      </c>
      <c r="F183" s="3417" t="s">
        <v>3058</v>
      </c>
    </row>
    <row r="184" spans="1:6">
      <c r="A184" s="3455">
        <v>556</v>
      </c>
      <c r="B184" s="3455">
        <v>11</v>
      </c>
      <c r="C184" s="3455">
        <v>1</v>
      </c>
      <c r="D184" s="3455">
        <v>58</v>
      </c>
      <c r="E184" s="3456">
        <v>78.540000000000006</v>
      </c>
      <c r="F184" s="3417" t="s">
        <v>3058</v>
      </c>
    </row>
    <row r="185" spans="1:6">
      <c r="A185" s="3455">
        <v>557</v>
      </c>
      <c r="B185" s="3455">
        <v>11</v>
      </c>
      <c r="C185" s="3455">
        <v>1</v>
      </c>
      <c r="D185" s="3455">
        <v>59</v>
      </c>
      <c r="E185" s="3456">
        <v>39.5</v>
      </c>
      <c r="F185" s="3417" t="s">
        <v>3058</v>
      </c>
    </row>
    <row r="186" spans="1:6">
      <c r="A186" s="3455">
        <v>558</v>
      </c>
      <c r="B186" s="3455">
        <v>11</v>
      </c>
      <c r="C186" s="3455">
        <v>1</v>
      </c>
      <c r="D186" s="3455">
        <v>60</v>
      </c>
      <c r="E186" s="3456">
        <v>39.5</v>
      </c>
      <c r="F186" s="3417" t="s">
        <v>3058</v>
      </c>
    </row>
    <row r="187" spans="1:6">
      <c r="A187" s="3455">
        <v>559</v>
      </c>
      <c r="B187" s="3455">
        <v>11</v>
      </c>
      <c r="C187" s="3455">
        <v>1</v>
      </c>
      <c r="D187" s="3455">
        <v>63</v>
      </c>
      <c r="E187" s="3456">
        <v>40.47</v>
      </c>
      <c r="F187" s="3417" t="s">
        <v>3058</v>
      </c>
    </row>
    <row r="188" spans="1:6">
      <c r="A188" s="3455">
        <v>560</v>
      </c>
      <c r="B188" s="3455">
        <v>11</v>
      </c>
      <c r="C188" s="3455">
        <v>1</v>
      </c>
      <c r="D188" s="3455">
        <v>65</v>
      </c>
      <c r="E188" s="3456">
        <v>38.630000000000003</v>
      </c>
      <c r="F188" s="3417" t="s">
        <v>3058</v>
      </c>
    </row>
    <row r="189" spans="1:6">
      <c r="A189" s="3455">
        <v>561</v>
      </c>
      <c r="B189" s="3455">
        <v>11</v>
      </c>
      <c r="C189" s="3455">
        <v>1</v>
      </c>
      <c r="D189" s="3455">
        <v>66</v>
      </c>
      <c r="E189" s="3456">
        <v>38.630000000000003</v>
      </c>
      <c r="F189" s="3417" t="s">
        <v>3058</v>
      </c>
    </row>
    <row r="190" spans="1:6">
      <c r="A190" s="3455">
        <v>562</v>
      </c>
      <c r="B190" s="3455">
        <v>11</v>
      </c>
      <c r="C190" s="3455">
        <v>1</v>
      </c>
      <c r="D190" s="3455">
        <v>67</v>
      </c>
      <c r="E190" s="3456">
        <v>38.64</v>
      </c>
      <c r="F190" s="3417" t="s">
        <v>3058</v>
      </c>
    </row>
    <row r="191" spans="1:6">
      <c r="A191" s="3455">
        <v>563</v>
      </c>
      <c r="B191" s="3455">
        <v>11</v>
      </c>
      <c r="C191" s="3455">
        <v>1</v>
      </c>
      <c r="D191" s="3455">
        <v>68</v>
      </c>
      <c r="E191" s="3456">
        <v>41.15</v>
      </c>
      <c r="F191" s="3417" t="s">
        <v>3058</v>
      </c>
    </row>
    <row r="192" spans="1:6">
      <c r="A192" s="3455">
        <v>564</v>
      </c>
      <c r="B192" s="3455">
        <v>11</v>
      </c>
      <c r="C192" s="3455">
        <v>1</v>
      </c>
      <c r="D192" s="3455">
        <v>69</v>
      </c>
      <c r="E192" s="3456">
        <v>42.56</v>
      </c>
      <c r="F192" s="3417" t="s">
        <v>3058</v>
      </c>
    </row>
    <row r="193" spans="1:6">
      <c r="A193" s="3455">
        <v>565</v>
      </c>
      <c r="B193" s="3455">
        <v>11</v>
      </c>
      <c r="C193" s="3455">
        <v>1</v>
      </c>
      <c r="D193" s="3455">
        <v>70</v>
      </c>
      <c r="E193" s="3456">
        <v>51.02</v>
      </c>
      <c r="F193" s="3417" t="s">
        <v>3058</v>
      </c>
    </row>
    <row r="194" spans="1:6">
      <c r="A194" s="3455">
        <v>566</v>
      </c>
      <c r="B194" s="3455">
        <v>11</v>
      </c>
      <c r="C194" s="3455">
        <v>1</v>
      </c>
      <c r="D194" s="3455">
        <v>71</v>
      </c>
      <c r="E194" s="3456">
        <v>38.630000000000003</v>
      </c>
      <c r="F194" s="3417" t="s">
        <v>3058</v>
      </c>
    </row>
    <row r="195" spans="1:6">
      <c r="A195" s="3455">
        <v>567</v>
      </c>
      <c r="B195" s="3455">
        <v>11</v>
      </c>
      <c r="C195" s="3455">
        <v>1</v>
      </c>
      <c r="D195" s="3455">
        <v>72</v>
      </c>
      <c r="E195" s="3456">
        <v>38.630000000000003</v>
      </c>
      <c r="F195" s="3417" t="s">
        <v>3058</v>
      </c>
    </row>
    <row r="196" spans="1:6">
      <c r="A196" s="3455">
        <v>568</v>
      </c>
      <c r="B196" s="3455">
        <v>11</v>
      </c>
      <c r="C196" s="3455">
        <v>1</v>
      </c>
      <c r="D196" s="3455">
        <v>73</v>
      </c>
      <c r="E196" s="3456">
        <v>40.47</v>
      </c>
      <c r="F196" s="3417" t="s">
        <v>3058</v>
      </c>
    </row>
    <row r="197" spans="1:6">
      <c r="A197" s="3455">
        <v>569</v>
      </c>
      <c r="B197" s="3455">
        <v>11</v>
      </c>
      <c r="C197" s="3455">
        <v>1</v>
      </c>
      <c r="D197" s="3455">
        <v>75</v>
      </c>
      <c r="E197" s="3456">
        <v>105.04</v>
      </c>
      <c r="F197" s="3417" t="s">
        <v>3058</v>
      </c>
    </row>
    <row r="198" spans="1:6">
      <c r="A198" s="3455">
        <v>570</v>
      </c>
      <c r="B198" s="3455">
        <v>11</v>
      </c>
      <c r="C198" s="3455">
        <v>1</v>
      </c>
      <c r="D198" s="3455">
        <v>76</v>
      </c>
      <c r="E198" s="3456">
        <v>44.48</v>
      </c>
      <c r="F198" s="3417" t="s">
        <v>3058</v>
      </c>
    </row>
    <row r="199" spans="1:6">
      <c r="A199" s="3455">
        <v>571</v>
      </c>
      <c r="B199" s="3455">
        <v>11</v>
      </c>
      <c r="C199" s="3455">
        <v>1</v>
      </c>
      <c r="D199" s="3455">
        <v>77</v>
      </c>
      <c r="E199" s="3456">
        <v>45.31</v>
      </c>
      <c r="F199" s="3417" t="s">
        <v>3058</v>
      </c>
    </row>
    <row r="200" spans="1:6">
      <c r="A200" s="3455">
        <v>572</v>
      </c>
      <c r="B200" s="3455">
        <v>11</v>
      </c>
      <c r="C200" s="3455">
        <v>1</v>
      </c>
      <c r="D200" s="3455">
        <v>78</v>
      </c>
      <c r="E200" s="3456">
        <v>41.98</v>
      </c>
      <c r="F200" s="3417" t="s">
        <v>3058</v>
      </c>
    </row>
    <row r="201" spans="1:6">
      <c r="A201" s="3455">
        <v>573</v>
      </c>
      <c r="B201" s="3455">
        <v>11</v>
      </c>
      <c r="C201" s="3455">
        <v>1</v>
      </c>
      <c r="D201" s="3455">
        <v>79</v>
      </c>
      <c r="E201" s="3456">
        <v>49.18</v>
      </c>
      <c r="F201" s="3417" t="s">
        <v>3058</v>
      </c>
    </row>
    <row r="202" spans="1:6">
      <c r="A202" s="3455">
        <v>574</v>
      </c>
      <c r="B202" s="3455">
        <v>11</v>
      </c>
      <c r="C202" s="3455">
        <v>1</v>
      </c>
      <c r="D202" s="3455">
        <v>80</v>
      </c>
      <c r="E202" s="3456">
        <v>53.5</v>
      </c>
      <c r="F202" s="3417" t="s">
        <v>3058</v>
      </c>
    </row>
    <row r="203" spans="1:6">
      <c r="A203" s="3455">
        <v>575</v>
      </c>
      <c r="B203" s="3455">
        <v>11</v>
      </c>
      <c r="C203" s="3455">
        <v>1</v>
      </c>
      <c r="D203" s="3455">
        <v>82</v>
      </c>
      <c r="E203" s="3456">
        <v>46.14</v>
      </c>
      <c r="F203" s="3417" t="s">
        <v>3058</v>
      </c>
    </row>
    <row r="204" spans="1:6">
      <c r="A204" s="3455">
        <v>576</v>
      </c>
      <c r="B204" s="3455">
        <v>11</v>
      </c>
      <c r="C204" s="3455">
        <v>1</v>
      </c>
      <c r="D204" s="3455">
        <v>83</v>
      </c>
      <c r="E204" s="3456">
        <v>54.01</v>
      </c>
      <c r="F204" s="3417" t="s">
        <v>3058</v>
      </c>
    </row>
    <row r="205" spans="1:6">
      <c r="A205" s="3455">
        <v>577</v>
      </c>
      <c r="B205" s="3455">
        <v>11</v>
      </c>
      <c r="C205" s="3455">
        <v>1</v>
      </c>
      <c r="D205" s="3455">
        <v>85</v>
      </c>
      <c r="E205" s="3456">
        <v>79.64</v>
      </c>
      <c r="F205" s="3417" t="s">
        <v>3058</v>
      </c>
    </row>
    <row r="206" spans="1:6">
      <c r="A206" s="3455">
        <v>578</v>
      </c>
      <c r="B206" s="3455">
        <v>11</v>
      </c>
      <c r="C206" s="3455">
        <v>1</v>
      </c>
      <c r="D206" s="3455">
        <v>86</v>
      </c>
      <c r="E206" s="3456">
        <v>64.25</v>
      </c>
      <c r="F206" s="3417" t="s">
        <v>3058</v>
      </c>
    </row>
    <row r="207" spans="1:6">
      <c r="A207" s="3455">
        <v>579</v>
      </c>
      <c r="B207" s="3455">
        <v>11</v>
      </c>
      <c r="C207" s="3455">
        <v>1</v>
      </c>
      <c r="D207" s="3455">
        <v>87</v>
      </c>
      <c r="E207" s="3456">
        <v>67.59</v>
      </c>
      <c r="F207" s="3417" t="s">
        <v>3058</v>
      </c>
    </row>
    <row r="208" spans="1:6">
      <c r="A208" s="3455">
        <v>580</v>
      </c>
      <c r="B208" s="3455">
        <v>11</v>
      </c>
      <c r="C208" s="3455">
        <v>1</v>
      </c>
      <c r="D208" s="3455">
        <v>88</v>
      </c>
      <c r="E208" s="3456">
        <v>68.930000000000007</v>
      </c>
      <c r="F208" s="3417" t="s">
        <v>3058</v>
      </c>
    </row>
    <row r="209" spans="1:6">
      <c r="A209" s="3455">
        <v>581</v>
      </c>
      <c r="B209" s="3455">
        <v>11</v>
      </c>
      <c r="C209" s="3455">
        <v>1</v>
      </c>
      <c r="D209" s="3455">
        <v>89</v>
      </c>
      <c r="E209" s="3456">
        <v>79.099999999999994</v>
      </c>
      <c r="F209" s="3417" t="s">
        <v>3058</v>
      </c>
    </row>
    <row r="210" spans="1:6">
      <c r="A210" s="3455">
        <v>582</v>
      </c>
      <c r="B210" s="3455">
        <v>11</v>
      </c>
      <c r="C210" s="3455">
        <v>1</v>
      </c>
      <c r="D210" s="3455">
        <v>91</v>
      </c>
      <c r="E210" s="3456">
        <v>40.14</v>
      </c>
      <c r="F210" s="3417" t="s">
        <v>3058</v>
      </c>
    </row>
    <row r="211" spans="1:6">
      <c r="A211" s="3455">
        <v>583</v>
      </c>
      <c r="B211" s="3455">
        <v>11</v>
      </c>
      <c r="C211" s="3455">
        <v>1</v>
      </c>
      <c r="D211" s="3455">
        <v>92</v>
      </c>
      <c r="E211" s="3456">
        <v>48.34</v>
      </c>
      <c r="F211" s="3417" t="s">
        <v>3058</v>
      </c>
    </row>
    <row r="212" spans="1:6">
      <c r="A212" s="3455">
        <v>584</v>
      </c>
      <c r="B212" s="3455">
        <v>11</v>
      </c>
      <c r="C212" s="3455">
        <v>1</v>
      </c>
      <c r="D212" s="3455">
        <v>93</v>
      </c>
      <c r="E212" s="3456">
        <v>46.5</v>
      </c>
      <c r="F212" s="3417" t="s">
        <v>3058</v>
      </c>
    </row>
    <row r="213" spans="1:6">
      <c r="A213" s="3455">
        <v>585</v>
      </c>
      <c r="B213" s="3455">
        <v>11</v>
      </c>
      <c r="C213" s="3455">
        <v>1</v>
      </c>
      <c r="D213" s="3455">
        <v>95</v>
      </c>
      <c r="E213" s="3456">
        <v>72.91</v>
      </c>
      <c r="F213" s="3417" t="s">
        <v>3058</v>
      </c>
    </row>
    <row r="214" spans="1:6">
      <c r="A214" s="3455">
        <v>586</v>
      </c>
      <c r="B214" s="3455">
        <v>11</v>
      </c>
      <c r="C214" s="3455">
        <v>1</v>
      </c>
      <c r="D214" s="3455">
        <v>96</v>
      </c>
      <c r="E214" s="3456">
        <v>77.510000000000005</v>
      </c>
      <c r="F214" s="3417" t="s">
        <v>3058</v>
      </c>
    </row>
    <row r="215" spans="1:6">
      <c r="A215" s="3455">
        <v>587</v>
      </c>
      <c r="B215" s="3455">
        <v>11</v>
      </c>
      <c r="C215" s="3455">
        <v>1</v>
      </c>
      <c r="D215" s="3455">
        <v>97</v>
      </c>
      <c r="E215" s="3456">
        <v>70.239999999999995</v>
      </c>
      <c r="F215" s="3417" t="s">
        <v>3058</v>
      </c>
    </row>
    <row r="216" spans="1:6">
      <c r="A216" s="3455">
        <v>588</v>
      </c>
      <c r="B216" s="3455">
        <v>11</v>
      </c>
      <c r="C216" s="3455">
        <v>1</v>
      </c>
      <c r="D216" s="3455">
        <v>98</v>
      </c>
      <c r="E216" s="3456">
        <v>53.53</v>
      </c>
      <c r="F216" s="3417" t="s">
        <v>3058</v>
      </c>
    </row>
    <row r="217" spans="1:6">
      <c r="A217" s="3455">
        <v>589</v>
      </c>
      <c r="B217" s="3455">
        <v>11</v>
      </c>
      <c r="C217" s="3455">
        <v>1</v>
      </c>
      <c r="D217" s="3455">
        <v>99</v>
      </c>
      <c r="E217" s="3456">
        <v>73.17</v>
      </c>
      <c r="F217" s="3417" t="s">
        <v>3058</v>
      </c>
    </row>
    <row r="218" spans="1:6">
      <c r="A218" s="3455">
        <v>590</v>
      </c>
      <c r="B218" s="3455">
        <v>11</v>
      </c>
      <c r="C218" s="3455">
        <v>1</v>
      </c>
      <c r="D218" s="3455">
        <v>103</v>
      </c>
      <c r="E218" s="3456">
        <v>32.51</v>
      </c>
      <c r="F218" s="3417" t="s">
        <v>3058</v>
      </c>
    </row>
    <row r="219" spans="1:6">
      <c r="A219" s="3455">
        <v>591</v>
      </c>
      <c r="B219" s="3455">
        <v>11</v>
      </c>
      <c r="C219" s="3455">
        <v>1</v>
      </c>
      <c r="D219" s="3455">
        <v>106</v>
      </c>
      <c r="E219" s="3456">
        <v>72.92</v>
      </c>
      <c r="F219" s="3417" t="s">
        <v>3058</v>
      </c>
    </row>
    <row r="220" spans="1:6">
      <c r="A220" s="3455">
        <v>592</v>
      </c>
      <c r="B220" s="3455">
        <v>11</v>
      </c>
      <c r="C220" s="3455">
        <v>1</v>
      </c>
      <c r="D220" s="3455">
        <v>107</v>
      </c>
      <c r="E220" s="3456">
        <v>47.86</v>
      </c>
      <c r="F220" s="3417" t="s">
        <v>3058</v>
      </c>
    </row>
    <row r="221" spans="1:6">
      <c r="A221" s="3455">
        <v>593</v>
      </c>
      <c r="B221" s="3455">
        <v>11</v>
      </c>
      <c r="C221" s="3455">
        <v>1</v>
      </c>
      <c r="D221" s="3455">
        <v>108</v>
      </c>
      <c r="E221" s="3456">
        <v>38.369999999999997</v>
      </c>
      <c r="F221" s="3417" t="s">
        <v>3058</v>
      </c>
    </row>
    <row r="222" spans="1:6">
      <c r="A222" s="3455">
        <v>594</v>
      </c>
      <c r="B222" s="3455">
        <v>11</v>
      </c>
      <c r="C222" s="3455">
        <v>1</v>
      </c>
      <c r="D222" s="3455">
        <v>109</v>
      </c>
      <c r="E222" s="3456">
        <v>34.79</v>
      </c>
      <c r="F222" s="3417" t="s">
        <v>3058</v>
      </c>
    </row>
    <row r="223" spans="1:6">
      <c r="A223" s="3455">
        <v>595</v>
      </c>
      <c r="B223" s="3455">
        <v>11</v>
      </c>
      <c r="C223" s="3455">
        <v>1</v>
      </c>
      <c r="D223" s="3455">
        <v>110</v>
      </c>
      <c r="E223" s="3456">
        <v>79.099999999999994</v>
      </c>
      <c r="F223" s="3417" t="s">
        <v>3058</v>
      </c>
    </row>
    <row r="224" spans="1:6">
      <c r="A224" s="3455">
        <v>596</v>
      </c>
      <c r="B224" s="3455">
        <v>11</v>
      </c>
      <c r="C224" s="3455">
        <v>1</v>
      </c>
      <c r="D224" s="3455">
        <v>117</v>
      </c>
      <c r="E224" s="3456">
        <v>28.62</v>
      </c>
      <c r="F224" s="3417" t="s">
        <v>3058</v>
      </c>
    </row>
    <row r="225" spans="1:6">
      <c r="A225" s="3455">
        <v>597</v>
      </c>
      <c r="B225" s="3455">
        <v>11</v>
      </c>
      <c r="C225" s="3455">
        <v>1</v>
      </c>
      <c r="D225" s="3455">
        <v>118</v>
      </c>
      <c r="E225" s="3456">
        <v>40.53</v>
      </c>
      <c r="F225" s="3417" t="s">
        <v>3058</v>
      </c>
    </row>
    <row r="226" spans="1:6">
      <c r="A226" s="3455">
        <v>598</v>
      </c>
      <c r="B226" s="3455">
        <v>11</v>
      </c>
      <c r="C226" s="3455">
        <v>1</v>
      </c>
      <c r="D226" s="3455">
        <v>121</v>
      </c>
      <c r="E226" s="3456">
        <v>33.770000000000003</v>
      </c>
      <c r="F226" s="3417" t="s">
        <v>3058</v>
      </c>
    </row>
    <row r="227" spans="1:6">
      <c r="A227" s="3455">
        <v>599</v>
      </c>
      <c r="B227" s="3455">
        <v>11</v>
      </c>
      <c r="C227" s="3455">
        <v>1</v>
      </c>
      <c r="D227" s="3455">
        <v>122</v>
      </c>
      <c r="E227" s="3456">
        <v>53.63</v>
      </c>
      <c r="F227" s="3417" t="s">
        <v>3058</v>
      </c>
    </row>
    <row r="228" spans="1:6">
      <c r="A228" s="3455">
        <v>600</v>
      </c>
      <c r="B228" s="3455">
        <v>11</v>
      </c>
      <c r="C228" s="3455">
        <v>1</v>
      </c>
      <c r="D228" s="3455">
        <v>123</v>
      </c>
      <c r="E228" s="3456">
        <v>8.98</v>
      </c>
      <c r="F228" s="3417" t="s">
        <v>3058</v>
      </c>
    </row>
    <row r="229" spans="1:6">
      <c r="A229" s="3455">
        <v>601</v>
      </c>
      <c r="B229" s="3455">
        <v>11</v>
      </c>
      <c r="C229" s="3455">
        <v>1</v>
      </c>
      <c r="D229" s="3455">
        <v>125</v>
      </c>
      <c r="E229" s="3456">
        <v>40.69</v>
      </c>
      <c r="F229" s="3417" t="s">
        <v>3058</v>
      </c>
    </row>
    <row r="230" spans="1:6">
      <c r="A230" s="3455">
        <v>602</v>
      </c>
      <c r="B230" s="3455">
        <v>11</v>
      </c>
      <c r="C230" s="3455">
        <v>1</v>
      </c>
      <c r="D230" s="3455">
        <v>126</v>
      </c>
      <c r="E230" s="3456">
        <v>41.61</v>
      </c>
      <c r="F230" s="3417" t="s">
        <v>3058</v>
      </c>
    </row>
    <row r="231" spans="1:6">
      <c r="A231" s="3455">
        <v>603</v>
      </c>
      <c r="B231" s="3455">
        <v>11</v>
      </c>
      <c r="C231" s="3455">
        <v>1</v>
      </c>
      <c r="D231" s="3455">
        <v>127</v>
      </c>
      <c r="E231" s="3456">
        <v>73.5</v>
      </c>
      <c r="F231" s="3417" t="s">
        <v>3058</v>
      </c>
    </row>
    <row r="232" spans="1:6">
      <c r="A232" s="3455">
        <v>604</v>
      </c>
      <c r="B232" s="3455">
        <v>11</v>
      </c>
      <c r="C232" s="3455">
        <v>1</v>
      </c>
      <c r="D232" s="3455">
        <v>128</v>
      </c>
      <c r="E232" s="3456">
        <v>80.91</v>
      </c>
      <c r="F232" s="3417" t="s">
        <v>3058</v>
      </c>
    </row>
    <row r="233" spans="1:6">
      <c r="A233" s="3455">
        <v>605</v>
      </c>
      <c r="B233" s="3455">
        <v>11</v>
      </c>
      <c r="C233" s="3455">
        <v>1</v>
      </c>
      <c r="D233" s="3455">
        <v>129</v>
      </c>
      <c r="E233" s="3456">
        <v>79.739999999999995</v>
      </c>
      <c r="F233" s="3417" t="s">
        <v>3058</v>
      </c>
    </row>
    <row r="234" spans="1:6">
      <c r="A234" s="3455">
        <v>606</v>
      </c>
      <c r="B234" s="3455">
        <v>11</v>
      </c>
      <c r="C234" s="3455">
        <v>1</v>
      </c>
      <c r="D234" s="3455">
        <v>130</v>
      </c>
      <c r="E234" s="3456">
        <v>65.84</v>
      </c>
      <c r="F234" s="3417" t="s">
        <v>3058</v>
      </c>
    </row>
    <row r="235" spans="1:6">
      <c r="A235" s="3455">
        <v>607</v>
      </c>
      <c r="B235" s="3455">
        <v>11</v>
      </c>
      <c r="C235" s="3455">
        <v>1</v>
      </c>
      <c r="D235" s="3455">
        <v>131</v>
      </c>
      <c r="E235" s="3456">
        <v>64.010000000000005</v>
      </c>
      <c r="F235" s="3417" t="s">
        <v>3058</v>
      </c>
    </row>
    <row r="236" spans="1:6">
      <c r="A236" s="3455">
        <v>608</v>
      </c>
      <c r="B236" s="3455">
        <v>11</v>
      </c>
      <c r="C236" s="3455">
        <v>1</v>
      </c>
      <c r="D236" s="3455">
        <v>132</v>
      </c>
      <c r="E236" s="3456">
        <v>30.92</v>
      </c>
      <c r="F236" s="3417" t="s">
        <v>3058</v>
      </c>
    </row>
    <row r="237" spans="1:6">
      <c r="A237" s="3455">
        <v>609</v>
      </c>
      <c r="B237" s="3455">
        <v>11</v>
      </c>
      <c r="C237" s="3455">
        <v>1</v>
      </c>
      <c r="D237" s="3455">
        <v>133</v>
      </c>
      <c r="E237" s="3456">
        <v>31.28</v>
      </c>
      <c r="F237" s="3417" t="s">
        <v>3058</v>
      </c>
    </row>
    <row r="238" spans="1:6">
      <c r="A238" s="3455">
        <v>610</v>
      </c>
      <c r="B238" s="3455">
        <v>11</v>
      </c>
      <c r="C238" s="3455">
        <v>1</v>
      </c>
      <c r="D238" s="3455">
        <v>135</v>
      </c>
      <c r="E238" s="3456">
        <v>30.86</v>
      </c>
      <c r="F238" s="3417" t="s">
        <v>3058</v>
      </c>
    </row>
    <row r="239" spans="1:6">
      <c r="A239" s="3455">
        <v>611</v>
      </c>
      <c r="B239" s="3455">
        <v>11</v>
      </c>
      <c r="C239" s="3455">
        <v>1</v>
      </c>
      <c r="D239" s="3455">
        <v>136</v>
      </c>
      <c r="E239" s="3456">
        <v>43.21</v>
      </c>
      <c r="F239" s="3417" t="s">
        <v>3058</v>
      </c>
    </row>
    <row r="240" spans="1:6">
      <c r="A240" s="3455">
        <v>612</v>
      </c>
      <c r="B240" s="3455">
        <v>11</v>
      </c>
      <c r="C240" s="3455">
        <v>1</v>
      </c>
      <c r="D240" s="3455">
        <v>139</v>
      </c>
      <c r="E240" s="3456">
        <v>38.909999999999997</v>
      </c>
      <c r="F240" s="3417" t="s">
        <v>3058</v>
      </c>
    </row>
    <row r="241" spans="1:6">
      <c r="A241" s="3455">
        <v>613</v>
      </c>
      <c r="B241" s="3455">
        <v>11</v>
      </c>
      <c r="C241" s="3455">
        <v>1</v>
      </c>
      <c r="D241" s="3455">
        <v>140</v>
      </c>
      <c r="E241" s="3456">
        <v>33.049999999999997</v>
      </c>
      <c r="F241" s="3417" t="s">
        <v>3058</v>
      </c>
    </row>
    <row r="242" spans="1:6">
      <c r="A242" s="3455">
        <v>614</v>
      </c>
      <c r="B242" s="3455">
        <v>11</v>
      </c>
      <c r="C242" s="3455">
        <v>1</v>
      </c>
      <c r="D242" s="3455">
        <v>150</v>
      </c>
      <c r="E242" s="3456">
        <v>75.5</v>
      </c>
      <c r="F242" s="3417" t="s">
        <v>3058</v>
      </c>
    </row>
    <row r="243" spans="1:6">
      <c r="A243" s="3455">
        <v>615</v>
      </c>
      <c r="B243" s="3455">
        <v>11</v>
      </c>
      <c r="C243" s="3455">
        <v>1</v>
      </c>
      <c r="D243" s="3455">
        <v>151</v>
      </c>
      <c r="E243" s="3456">
        <v>94.2</v>
      </c>
      <c r="F243" s="3417" t="s">
        <v>3058</v>
      </c>
    </row>
    <row r="244" spans="1:6">
      <c r="A244" s="3455">
        <v>616</v>
      </c>
      <c r="B244" s="3455">
        <v>11</v>
      </c>
      <c r="C244" s="3455">
        <v>1</v>
      </c>
      <c r="D244" s="3455">
        <v>152</v>
      </c>
      <c r="E244" s="3456">
        <v>79.099999999999994</v>
      </c>
      <c r="F244" s="3417" t="s">
        <v>3058</v>
      </c>
    </row>
    <row r="245" spans="1:6">
      <c r="A245" s="3455">
        <v>617</v>
      </c>
      <c r="B245" s="3455">
        <v>11</v>
      </c>
      <c r="C245" s="3455">
        <v>1</v>
      </c>
      <c r="D245" s="3455">
        <v>153</v>
      </c>
      <c r="E245" s="3456">
        <v>75.510000000000005</v>
      </c>
      <c r="F245" s="3417" t="s">
        <v>3058</v>
      </c>
    </row>
    <row r="246" spans="1:6">
      <c r="A246" s="3455">
        <v>618</v>
      </c>
      <c r="B246" s="3455">
        <v>11</v>
      </c>
      <c r="C246" s="3455">
        <v>1</v>
      </c>
      <c r="D246" s="3455">
        <v>155</v>
      </c>
      <c r="E246" s="3456">
        <v>75.510000000000005</v>
      </c>
      <c r="F246" s="3417" t="s">
        <v>3058</v>
      </c>
    </row>
    <row r="247" spans="1:6">
      <c r="A247" s="3455">
        <v>619</v>
      </c>
      <c r="B247" s="3455">
        <v>11</v>
      </c>
      <c r="C247" s="3455">
        <v>1</v>
      </c>
      <c r="D247" s="3455">
        <v>156</v>
      </c>
      <c r="E247" s="3456">
        <v>75.5</v>
      </c>
      <c r="F247" s="3417" t="s">
        <v>3058</v>
      </c>
    </row>
    <row r="248" spans="1:6">
      <c r="A248" s="3455">
        <v>620</v>
      </c>
      <c r="B248" s="3455">
        <v>11</v>
      </c>
      <c r="C248" s="3455">
        <v>1</v>
      </c>
      <c r="D248" s="3455">
        <v>157</v>
      </c>
      <c r="E248" s="3456">
        <v>71.03</v>
      </c>
      <c r="F248" s="3417" t="s">
        <v>3058</v>
      </c>
    </row>
    <row r="249" spans="1:6">
      <c r="A249" s="3455">
        <v>621</v>
      </c>
      <c r="B249" s="3455">
        <v>11</v>
      </c>
      <c r="C249" s="3455">
        <v>1</v>
      </c>
      <c r="D249" s="3455">
        <v>158</v>
      </c>
      <c r="E249" s="3456">
        <v>76.03</v>
      </c>
      <c r="F249" s="3417" t="s">
        <v>3058</v>
      </c>
    </row>
    <row r="250" spans="1:6">
      <c r="A250" s="3455">
        <v>622</v>
      </c>
      <c r="B250" s="3455">
        <v>11</v>
      </c>
      <c r="C250" s="3455">
        <v>1</v>
      </c>
      <c r="D250" s="3455">
        <v>159</v>
      </c>
      <c r="E250" s="3456">
        <v>79.099999999999994</v>
      </c>
      <c r="F250" s="3417" t="s">
        <v>3058</v>
      </c>
    </row>
    <row r="251" spans="1:6">
      <c r="A251" s="3455">
        <v>623</v>
      </c>
      <c r="B251" s="3455">
        <v>11</v>
      </c>
      <c r="C251" s="3455">
        <v>1</v>
      </c>
      <c r="D251" s="3455">
        <v>160</v>
      </c>
      <c r="E251" s="3456">
        <v>75.510000000000005</v>
      </c>
      <c r="F251" s="3417" t="s">
        <v>3058</v>
      </c>
    </row>
    <row r="252" spans="1:6">
      <c r="A252" s="3455">
        <v>624</v>
      </c>
      <c r="B252" s="3455">
        <v>11</v>
      </c>
      <c r="C252" s="3455">
        <v>1</v>
      </c>
      <c r="D252" s="3455">
        <v>161</v>
      </c>
      <c r="E252" s="3456">
        <v>75.510000000000005</v>
      </c>
      <c r="F252" s="3417" t="s">
        <v>3058</v>
      </c>
    </row>
    <row r="253" spans="1:6">
      <c r="A253" s="3455">
        <v>625</v>
      </c>
      <c r="B253" s="3455">
        <v>11</v>
      </c>
      <c r="C253" s="3455">
        <v>1</v>
      </c>
      <c r="D253" s="3455">
        <v>162</v>
      </c>
      <c r="E253" s="3456">
        <v>75.510000000000005</v>
      </c>
      <c r="F253" s="3417" t="s">
        <v>3058</v>
      </c>
    </row>
    <row r="254" spans="1:6">
      <c r="A254" s="3455">
        <v>626</v>
      </c>
      <c r="B254" s="3455">
        <v>11</v>
      </c>
      <c r="C254" s="3455">
        <v>1</v>
      </c>
      <c r="D254" s="3455">
        <v>163</v>
      </c>
      <c r="E254" s="3456">
        <v>75.510000000000005</v>
      </c>
      <c r="F254" s="3417" t="s">
        <v>3058</v>
      </c>
    </row>
    <row r="255" spans="1:6">
      <c r="A255" s="3455">
        <v>627</v>
      </c>
      <c r="B255" s="3455">
        <v>11</v>
      </c>
      <c r="C255" s="3455">
        <v>1</v>
      </c>
      <c r="D255" s="3455">
        <v>165</v>
      </c>
      <c r="E255" s="3456">
        <v>79.099999999999994</v>
      </c>
      <c r="F255" s="3417" t="s">
        <v>3058</v>
      </c>
    </row>
    <row r="256" spans="1:6">
      <c r="A256" s="3455">
        <v>628</v>
      </c>
      <c r="B256" s="3455">
        <v>11</v>
      </c>
      <c r="C256" s="3455">
        <v>1</v>
      </c>
      <c r="D256" s="3455">
        <v>166</v>
      </c>
      <c r="E256" s="3456">
        <v>94.2</v>
      </c>
      <c r="F256" s="3417" t="s">
        <v>3058</v>
      </c>
    </row>
    <row r="257" spans="1:6">
      <c r="A257" s="3455">
        <v>629</v>
      </c>
      <c r="B257" s="3455">
        <v>11</v>
      </c>
      <c r="C257" s="3455">
        <v>1</v>
      </c>
      <c r="D257" s="3455">
        <v>167</v>
      </c>
      <c r="E257" s="3456">
        <v>75.319999999999993</v>
      </c>
      <c r="F257" s="3417" t="s">
        <v>3058</v>
      </c>
    </row>
    <row r="258" spans="1:6">
      <c r="A258" s="3455">
        <v>630</v>
      </c>
      <c r="B258" s="3455">
        <v>11</v>
      </c>
      <c r="C258" s="3455">
        <v>1</v>
      </c>
      <c r="D258" s="3455">
        <v>168</v>
      </c>
      <c r="E258" s="3456">
        <v>37.950000000000003</v>
      </c>
      <c r="F258" s="3417" t="s">
        <v>3058</v>
      </c>
    </row>
    <row r="259" spans="1:6">
      <c r="A259" s="3420">
        <v>631</v>
      </c>
      <c r="B259" s="3420">
        <v>11</v>
      </c>
      <c r="C259" s="3420">
        <v>1</v>
      </c>
      <c r="D259" s="3420">
        <v>169</v>
      </c>
      <c r="E259" s="3389">
        <v>40.69</v>
      </c>
      <c r="F259" s="3388" t="s">
        <v>3058</v>
      </c>
    </row>
    <row r="260" spans="1:6">
      <c r="A260" s="3420">
        <v>632</v>
      </c>
      <c r="B260" s="3420">
        <v>12</v>
      </c>
      <c r="C260" s="3420">
        <v>1</v>
      </c>
      <c r="D260" s="3420">
        <v>9</v>
      </c>
      <c r="E260" s="3389">
        <v>56.41</v>
      </c>
      <c r="F260" s="3388" t="s">
        <v>3058</v>
      </c>
    </row>
    <row r="261" spans="1:6">
      <c r="A261" s="3420">
        <v>633</v>
      </c>
      <c r="B261" s="3420">
        <v>12</v>
      </c>
      <c r="C261" s="3420">
        <v>1</v>
      </c>
      <c r="D261" s="3420">
        <v>10</v>
      </c>
      <c r="E261" s="3389">
        <v>169.64</v>
      </c>
      <c r="F261" s="3388" t="s">
        <v>3058</v>
      </c>
    </row>
    <row r="262" spans="1:6">
      <c r="A262" s="3420">
        <v>634</v>
      </c>
      <c r="B262" s="3420">
        <v>12</v>
      </c>
      <c r="C262" s="3420">
        <v>1</v>
      </c>
      <c r="D262" s="3420">
        <v>12</v>
      </c>
      <c r="E262" s="3389">
        <v>174.44</v>
      </c>
      <c r="F262" s="3388" t="s">
        <v>3058</v>
      </c>
    </row>
    <row r="263" spans="1:6">
      <c r="A263" s="3420">
        <v>635</v>
      </c>
      <c r="B263" s="3420">
        <v>12</v>
      </c>
      <c r="C263" s="3420">
        <v>1</v>
      </c>
      <c r="D263" s="3420">
        <v>15</v>
      </c>
      <c r="E263" s="3389">
        <v>81.98</v>
      </c>
      <c r="F263" s="3388" t="s">
        <v>3058</v>
      </c>
    </row>
    <row r="264" spans="1:6">
      <c r="A264" s="3420">
        <v>636</v>
      </c>
      <c r="B264" s="3420">
        <v>12</v>
      </c>
      <c r="C264" s="3420">
        <v>1</v>
      </c>
      <c r="D264" s="3420">
        <v>17</v>
      </c>
      <c r="E264" s="3389">
        <v>85.98</v>
      </c>
      <c r="F264" s="3388" t="s">
        <v>3058</v>
      </c>
    </row>
    <row r="265" spans="1:6">
      <c r="A265" s="3420">
        <v>637</v>
      </c>
      <c r="B265" s="3420">
        <v>12</v>
      </c>
      <c r="C265" s="3420">
        <v>1</v>
      </c>
      <c r="D265" s="3420">
        <v>18</v>
      </c>
      <c r="E265" s="3389">
        <v>160.47</v>
      </c>
      <c r="F265" s="3388" t="s">
        <v>3058</v>
      </c>
    </row>
    <row r="266" spans="1:6">
      <c r="A266" s="3420">
        <v>638</v>
      </c>
      <c r="B266" s="3420">
        <v>12</v>
      </c>
      <c r="C266" s="3420">
        <v>1</v>
      </c>
      <c r="D266" s="3420">
        <v>19</v>
      </c>
      <c r="E266" s="3389">
        <v>150.81</v>
      </c>
      <c r="F266" s="3388" t="s">
        <v>3058</v>
      </c>
    </row>
    <row r="267" spans="1:6">
      <c r="A267" s="3420">
        <v>639</v>
      </c>
      <c r="B267" s="3420">
        <v>12</v>
      </c>
      <c r="C267" s="3420">
        <v>1</v>
      </c>
      <c r="D267" s="3420">
        <v>20</v>
      </c>
      <c r="E267" s="3389">
        <v>63.63</v>
      </c>
      <c r="F267" s="3388" t="s">
        <v>3058</v>
      </c>
    </row>
    <row r="268" spans="1:6">
      <c r="A268" s="3420">
        <v>640</v>
      </c>
      <c r="B268" s="3420">
        <v>12</v>
      </c>
      <c r="C268" s="3420">
        <v>1</v>
      </c>
      <c r="D268" s="3420">
        <v>21</v>
      </c>
      <c r="E268" s="3389">
        <v>61.13</v>
      </c>
      <c r="F268" s="3388" t="s">
        <v>3058</v>
      </c>
    </row>
    <row r="269" spans="1:6">
      <c r="A269" s="3420">
        <v>641</v>
      </c>
      <c r="B269" s="3420">
        <v>12</v>
      </c>
      <c r="C269" s="3420">
        <v>1</v>
      </c>
      <c r="D269" s="3420">
        <v>22</v>
      </c>
      <c r="E269" s="3389">
        <v>5.91</v>
      </c>
      <c r="F269" s="3388" t="s">
        <v>3058</v>
      </c>
    </row>
    <row r="270" spans="1:6">
      <c r="A270" s="3420">
        <v>642</v>
      </c>
      <c r="B270" s="3420">
        <v>12</v>
      </c>
      <c r="C270" s="3420">
        <v>1</v>
      </c>
      <c r="D270" s="3420">
        <v>26</v>
      </c>
      <c r="E270" s="3389">
        <v>54.49</v>
      </c>
      <c r="F270" s="3388" t="s">
        <v>3058</v>
      </c>
    </row>
    <row r="271" spans="1:6">
      <c r="A271" s="3420">
        <v>643</v>
      </c>
      <c r="B271" s="3420">
        <v>12</v>
      </c>
      <c r="C271" s="3420">
        <v>1</v>
      </c>
      <c r="D271" s="3420">
        <v>32</v>
      </c>
      <c r="E271" s="3389">
        <v>55.43</v>
      </c>
      <c r="F271" s="3388" t="s">
        <v>3058</v>
      </c>
    </row>
    <row r="272" spans="1:6">
      <c r="A272" s="3420">
        <v>644</v>
      </c>
      <c r="B272" s="3420">
        <v>12</v>
      </c>
      <c r="C272" s="3420">
        <v>1</v>
      </c>
      <c r="D272" s="3420">
        <v>33</v>
      </c>
      <c r="E272" s="3389">
        <v>49.27</v>
      </c>
      <c r="F272" s="3388" t="s">
        <v>3058</v>
      </c>
    </row>
    <row r="273" spans="1:6">
      <c r="A273" s="3420">
        <v>645</v>
      </c>
      <c r="B273" s="3420">
        <v>12</v>
      </c>
      <c r="C273" s="3420">
        <v>1</v>
      </c>
      <c r="D273" s="3420">
        <v>36</v>
      </c>
      <c r="E273" s="3389">
        <v>57.46</v>
      </c>
      <c r="F273" s="3388" t="s">
        <v>3058</v>
      </c>
    </row>
    <row r="274" spans="1:6">
      <c r="A274" s="3420">
        <v>646</v>
      </c>
      <c r="B274" s="3420">
        <v>12</v>
      </c>
      <c r="C274" s="3420">
        <v>1</v>
      </c>
      <c r="D274" s="3420">
        <v>38</v>
      </c>
      <c r="E274" s="3389">
        <v>51.86</v>
      </c>
      <c r="F274" s="3388" t="s">
        <v>3058</v>
      </c>
    </row>
    <row r="275" spans="1:6">
      <c r="A275" s="3420">
        <v>647</v>
      </c>
      <c r="B275" s="3420">
        <v>12</v>
      </c>
      <c r="C275" s="3420">
        <v>1</v>
      </c>
      <c r="D275" s="3420">
        <v>43</v>
      </c>
      <c r="E275" s="3389">
        <v>59.05</v>
      </c>
      <c r="F275" s="3388" t="s">
        <v>3058</v>
      </c>
    </row>
    <row r="276" spans="1:6">
      <c r="A276" s="3420">
        <v>648</v>
      </c>
      <c r="B276" s="3420">
        <v>12</v>
      </c>
      <c r="C276" s="3420">
        <v>1</v>
      </c>
      <c r="D276" s="3420">
        <v>45</v>
      </c>
      <c r="E276" s="3389">
        <v>70.59</v>
      </c>
      <c r="F276" s="3388" t="s">
        <v>3058</v>
      </c>
    </row>
    <row r="277" spans="1:6">
      <c r="A277" s="3420">
        <v>649</v>
      </c>
      <c r="B277" s="3420">
        <v>12</v>
      </c>
      <c r="C277" s="3420">
        <v>1</v>
      </c>
      <c r="D277" s="3420">
        <v>48</v>
      </c>
      <c r="E277" s="3389">
        <v>112</v>
      </c>
      <c r="F277" s="3388" t="s">
        <v>3058</v>
      </c>
    </row>
    <row r="278" spans="1:6">
      <c r="A278" s="3420">
        <v>650</v>
      </c>
      <c r="B278" s="3420">
        <v>12</v>
      </c>
      <c r="C278" s="3420">
        <v>1</v>
      </c>
      <c r="D278" s="3420">
        <v>49</v>
      </c>
      <c r="E278" s="3389">
        <v>73.91</v>
      </c>
      <c r="F278" s="3388" t="s">
        <v>3058</v>
      </c>
    </row>
    <row r="279" spans="1:6">
      <c r="A279" s="3420">
        <v>651</v>
      </c>
      <c r="B279" s="3420">
        <v>12</v>
      </c>
      <c r="C279" s="3420">
        <v>1</v>
      </c>
      <c r="D279" s="3420">
        <v>52</v>
      </c>
      <c r="E279" s="3389">
        <v>51.62</v>
      </c>
      <c r="F279" s="3388" t="s">
        <v>3058</v>
      </c>
    </row>
    <row r="280" spans="1:6">
      <c r="A280" s="3420">
        <v>652</v>
      </c>
      <c r="B280" s="3420">
        <v>12</v>
      </c>
      <c r="C280" s="3420">
        <v>1</v>
      </c>
      <c r="D280" s="3420">
        <v>56</v>
      </c>
      <c r="E280" s="3389">
        <v>76.59</v>
      </c>
      <c r="F280" s="3388" t="s">
        <v>3058</v>
      </c>
    </row>
    <row r="281" spans="1:6">
      <c r="A281" s="3420">
        <v>653</v>
      </c>
      <c r="B281" s="3420">
        <v>12</v>
      </c>
      <c r="C281" s="3420">
        <v>1</v>
      </c>
      <c r="D281" s="3420">
        <v>57</v>
      </c>
      <c r="E281" s="3389">
        <v>74.459999999999994</v>
      </c>
      <c r="F281" s="3388" t="s">
        <v>3058</v>
      </c>
    </row>
    <row r="282" spans="1:6">
      <c r="A282" s="3420">
        <v>654</v>
      </c>
      <c r="B282" s="3420">
        <v>12</v>
      </c>
      <c r="C282" s="3420">
        <v>1</v>
      </c>
      <c r="D282" s="3420">
        <v>58</v>
      </c>
      <c r="E282" s="3389">
        <v>71.58</v>
      </c>
      <c r="F282" s="3388" t="s">
        <v>3058</v>
      </c>
    </row>
    <row r="283" spans="1:6">
      <c r="A283" s="3420">
        <v>655</v>
      </c>
      <c r="B283" s="3420">
        <v>12</v>
      </c>
      <c r="C283" s="3420">
        <v>1</v>
      </c>
      <c r="D283" s="3420">
        <v>62</v>
      </c>
      <c r="E283" s="3389">
        <v>34.31</v>
      </c>
      <c r="F283" s="3388" t="s">
        <v>3058</v>
      </c>
    </row>
    <row r="284" spans="1:6">
      <c r="A284" s="3420">
        <v>656</v>
      </c>
      <c r="B284" s="3420">
        <v>12</v>
      </c>
      <c r="C284" s="3420">
        <v>1</v>
      </c>
      <c r="D284" s="3420">
        <v>65</v>
      </c>
      <c r="E284" s="3389">
        <v>28.14</v>
      </c>
      <c r="F284" s="3388" t="s">
        <v>3058</v>
      </c>
    </row>
    <row r="285" spans="1:6">
      <c r="A285" s="3420">
        <v>657</v>
      </c>
      <c r="B285" s="3420">
        <v>12</v>
      </c>
      <c r="C285" s="3420">
        <v>1</v>
      </c>
      <c r="D285" s="3420">
        <v>66</v>
      </c>
      <c r="E285" s="3389">
        <v>74.44</v>
      </c>
      <c r="F285" s="3388" t="s">
        <v>3058</v>
      </c>
    </row>
    <row r="286" spans="1:6">
      <c r="A286" s="3420">
        <v>658</v>
      </c>
      <c r="B286" s="3420">
        <v>12</v>
      </c>
      <c r="C286" s="3420">
        <v>1</v>
      </c>
      <c r="D286" s="3420">
        <v>67</v>
      </c>
      <c r="E286" s="3389">
        <v>75.88</v>
      </c>
      <c r="F286" s="3388" t="s">
        <v>3058</v>
      </c>
    </row>
    <row r="287" spans="1:6">
      <c r="A287" s="3420">
        <v>659</v>
      </c>
      <c r="B287" s="3420">
        <v>12</v>
      </c>
      <c r="C287" s="3420">
        <v>1</v>
      </c>
      <c r="D287" s="3420">
        <v>68</v>
      </c>
      <c r="E287" s="3389">
        <v>74.45</v>
      </c>
      <c r="F287" s="3388" t="s">
        <v>3058</v>
      </c>
    </row>
    <row r="288" spans="1:6">
      <c r="A288" s="3420">
        <v>660</v>
      </c>
      <c r="B288" s="3420">
        <v>12</v>
      </c>
      <c r="C288" s="3420">
        <v>1</v>
      </c>
      <c r="D288" s="3420">
        <v>69</v>
      </c>
      <c r="E288" s="3389">
        <v>79.47</v>
      </c>
      <c r="F288" s="3388" t="s">
        <v>3058</v>
      </c>
    </row>
    <row r="289" spans="1:6">
      <c r="A289" s="3420">
        <v>661</v>
      </c>
      <c r="B289" s="3420">
        <v>12</v>
      </c>
      <c r="C289" s="3420">
        <v>1</v>
      </c>
      <c r="D289" s="3420">
        <v>70</v>
      </c>
      <c r="E289" s="3389">
        <v>83.87</v>
      </c>
      <c r="F289" s="3388" t="s">
        <v>3058</v>
      </c>
    </row>
    <row r="290" spans="1:6">
      <c r="A290" s="3420">
        <v>662</v>
      </c>
      <c r="B290" s="3420">
        <v>12</v>
      </c>
      <c r="C290" s="3420">
        <v>1</v>
      </c>
      <c r="D290" s="3420">
        <v>86</v>
      </c>
      <c r="E290" s="3389">
        <v>37.49</v>
      </c>
      <c r="F290" s="3388" t="s">
        <v>3058</v>
      </c>
    </row>
    <row r="291" spans="1:6">
      <c r="A291" s="3420">
        <v>663</v>
      </c>
      <c r="B291" s="3420">
        <v>12</v>
      </c>
      <c r="C291" s="3420">
        <v>1</v>
      </c>
      <c r="D291" s="3420">
        <v>90</v>
      </c>
      <c r="E291" s="3389">
        <v>190.95</v>
      </c>
      <c r="F291" s="3388" t="s">
        <v>3058</v>
      </c>
    </row>
    <row r="292" spans="1:6">
      <c r="A292" s="3420">
        <v>664</v>
      </c>
      <c r="B292" s="3420">
        <v>12</v>
      </c>
      <c r="C292" s="3420">
        <v>1</v>
      </c>
      <c r="D292" s="3420">
        <v>98</v>
      </c>
      <c r="E292" s="3389">
        <v>72.67</v>
      </c>
      <c r="F292" s="3388" t="s">
        <v>3058</v>
      </c>
    </row>
    <row r="293" spans="1:6">
      <c r="A293" s="3420">
        <v>665</v>
      </c>
      <c r="B293" s="3420">
        <v>12</v>
      </c>
      <c r="C293" s="3420">
        <v>1</v>
      </c>
      <c r="D293" s="3420">
        <v>99</v>
      </c>
      <c r="E293" s="3389">
        <v>71.959999999999994</v>
      </c>
      <c r="F293" s="3388" t="s">
        <v>3058</v>
      </c>
    </row>
    <row r="294" spans="1:6">
      <c r="A294" s="3420">
        <v>666</v>
      </c>
      <c r="B294" s="3420">
        <v>12</v>
      </c>
      <c r="C294" s="3420">
        <v>1</v>
      </c>
      <c r="D294" s="3420">
        <v>100</v>
      </c>
      <c r="E294" s="3389">
        <v>73.349999999999994</v>
      </c>
      <c r="F294" s="3388" t="s">
        <v>3058</v>
      </c>
    </row>
    <row r="295" spans="1:6">
      <c r="A295" s="3420">
        <v>667</v>
      </c>
      <c r="B295" s="3420">
        <v>12</v>
      </c>
      <c r="C295" s="3420">
        <v>1</v>
      </c>
      <c r="D295" s="3420">
        <v>101</v>
      </c>
      <c r="E295" s="3389">
        <v>67.86</v>
      </c>
      <c r="F295" s="3388" t="s">
        <v>3058</v>
      </c>
    </row>
    <row r="296" spans="1:6">
      <c r="A296" s="3420">
        <v>668</v>
      </c>
      <c r="B296" s="3420">
        <v>12</v>
      </c>
      <c r="C296" s="3420">
        <v>1</v>
      </c>
      <c r="D296" s="3420">
        <v>102</v>
      </c>
      <c r="E296" s="3389">
        <v>76.92</v>
      </c>
      <c r="F296" s="3388" t="s">
        <v>3058</v>
      </c>
    </row>
    <row r="297" spans="1:6">
      <c r="A297" s="3420">
        <v>669</v>
      </c>
      <c r="B297" s="3420">
        <v>12</v>
      </c>
      <c r="C297" s="3420">
        <v>1</v>
      </c>
      <c r="D297" s="3420">
        <v>103</v>
      </c>
      <c r="E297" s="3389">
        <v>59.82</v>
      </c>
      <c r="F297" s="3388" t="s">
        <v>3058</v>
      </c>
    </row>
    <row r="298" spans="1:6">
      <c r="A298" s="3420">
        <v>670</v>
      </c>
      <c r="B298" s="3420">
        <v>12</v>
      </c>
      <c r="C298" s="3420">
        <v>1</v>
      </c>
      <c r="D298" s="3420">
        <v>105</v>
      </c>
      <c r="E298" s="3389">
        <v>70.13</v>
      </c>
      <c r="F298" s="3388" t="s">
        <v>3058</v>
      </c>
    </row>
    <row r="299" spans="1:6">
      <c r="A299" s="3420">
        <v>671</v>
      </c>
      <c r="B299" s="3420">
        <v>12</v>
      </c>
      <c r="C299" s="3420">
        <v>1</v>
      </c>
      <c r="D299" s="3420">
        <v>106</v>
      </c>
      <c r="E299" s="3389">
        <v>72.650000000000006</v>
      </c>
      <c r="F299" s="3388" t="s">
        <v>3058</v>
      </c>
    </row>
    <row r="300" spans="1:6">
      <c r="A300" s="3420">
        <v>672</v>
      </c>
      <c r="B300" s="3420">
        <v>12</v>
      </c>
      <c r="C300" s="3420">
        <v>1</v>
      </c>
      <c r="D300" s="3420">
        <v>107</v>
      </c>
      <c r="E300" s="3389">
        <v>72.64</v>
      </c>
      <c r="F300" s="3388" t="s">
        <v>3058</v>
      </c>
    </row>
    <row r="301" spans="1:6">
      <c r="A301" s="3420">
        <v>673</v>
      </c>
      <c r="B301" s="3420">
        <v>12</v>
      </c>
      <c r="C301" s="3420">
        <v>1</v>
      </c>
      <c r="D301" s="3420">
        <v>108</v>
      </c>
      <c r="E301" s="3389">
        <v>72.650000000000006</v>
      </c>
      <c r="F301" s="3388" t="s">
        <v>3058</v>
      </c>
    </row>
    <row r="302" spans="1:6">
      <c r="A302" s="3420">
        <v>674</v>
      </c>
      <c r="B302" s="3420">
        <v>12</v>
      </c>
      <c r="C302" s="3420">
        <v>1</v>
      </c>
      <c r="D302" s="3420">
        <v>109</v>
      </c>
      <c r="E302" s="3389">
        <v>76.099999999999994</v>
      </c>
      <c r="F302" s="3388" t="s">
        <v>3058</v>
      </c>
    </row>
    <row r="303" spans="1:6">
      <c r="A303" s="3420">
        <v>675</v>
      </c>
      <c r="B303" s="3420">
        <v>12</v>
      </c>
      <c r="C303" s="3420">
        <v>1</v>
      </c>
      <c r="D303" s="3420">
        <v>110</v>
      </c>
      <c r="E303" s="3389">
        <v>90.63</v>
      </c>
      <c r="F303" s="3388" t="s">
        <v>3058</v>
      </c>
    </row>
    <row r="304" spans="1:6">
      <c r="A304" s="3420">
        <v>676</v>
      </c>
      <c r="B304" s="3420">
        <v>12</v>
      </c>
      <c r="C304" s="3420">
        <v>1</v>
      </c>
      <c r="D304" s="3420">
        <v>111</v>
      </c>
      <c r="E304" s="3389">
        <v>148.08000000000001</v>
      </c>
      <c r="F304" s="3388" t="s">
        <v>3058</v>
      </c>
    </row>
    <row r="305" spans="1:6">
      <c r="A305" s="3420">
        <v>697</v>
      </c>
      <c r="B305" s="3420" t="s">
        <v>3054</v>
      </c>
      <c r="C305" s="3420">
        <v>1</v>
      </c>
      <c r="D305" s="3420">
        <v>7</v>
      </c>
      <c r="E305" s="3389">
        <v>88.99</v>
      </c>
      <c r="F305" s="3388"/>
    </row>
    <row r="306" spans="1:6">
      <c r="A306" s="3420">
        <v>698</v>
      </c>
      <c r="B306" s="3420" t="s">
        <v>3054</v>
      </c>
      <c r="C306" s="3420">
        <v>4</v>
      </c>
      <c r="D306" s="3420">
        <v>1</v>
      </c>
      <c r="E306" s="3389">
        <v>97.37</v>
      </c>
      <c r="F306" s="3388"/>
    </row>
    <row r="307" spans="1:6">
      <c r="A307" s="3420">
        <v>699</v>
      </c>
      <c r="B307" s="3420" t="s">
        <v>3054</v>
      </c>
      <c r="C307" s="3420">
        <v>4</v>
      </c>
      <c r="D307" s="3420">
        <v>2</v>
      </c>
      <c r="E307" s="3389">
        <v>65.58</v>
      </c>
      <c r="F307" s="3388"/>
    </row>
    <row r="308" spans="1:6">
      <c r="A308" s="3420">
        <v>700</v>
      </c>
      <c r="B308" s="3420" t="s">
        <v>3054</v>
      </c>
      <c r="C308" s="3420">
        <v>4</v>
      </c>
      <c r="D308" s="3420">
        <v>3</v>
      </c>
      <c r="E308" s="3389">
        <v>65.62</v>
      </c>
      <c r="F308" s="3388"/>
    </row>
    <row r="309" spans="1:6">
      <c r="A309" s="3420">
        <v>701</v>
      </c>
      <c r="B309" s="3420" t="s">
        <v>3054</v>
      </c>
      <c r="C309" s="3420">
        <v>4</v>
      </c>
      <c r="D309" s="3420">
        <v>5</v>
      </c>
      <c r="E309" s="3389">
        <v>117.18</v>
      </c>
      <c r="F309" s="3388"/>
    </row>
    <row r="310" spans="1:6">
      <c r="A310" s="3420">
        <v>702</v>
      </c>
      <c r="B310" s="3420" t="s">
        <v>3054</v>
      </c>
      <c r="C310" s="3420">
        <v>4</v>
      </c>
      <c r="D310" s="3420">
        <v>7</v>
      </c>
      <c r="E310" s="3389">
        <v>123.51</v>
      </c>
      <c r="F310" s="3388"/>
    </row>
    <row r="311" spans="1:6">
      <c r="A311" s="3420">
        <v>703</v>
      </c>
      <c r="B311" s="3420" t="s">
        <v>3054</v>
      </c>
      <c r="C311" s="3420">
        <v>4</v>
      </c>
      <c r="D311" s="3420">
        <v>8</v>
      </c>
      <c r="E311" s="3389">
        <v>65.61</v>
      </c>
      <c r="F311" s="3388"/>
    </row>
    <row r="312" spans="1:6">
      <c r="A312" s="3420">
        <v>704</v>
      </c>
      <c r="B312" s="3420" t="s">
        <v>3054</v>
      </c>
      <c r="C312" s="3420">
        <v>4</v>
      </c>
      <c r="D312" s="3420">
        <v>9</v>
      </c>
      <c r="E312" s="3389">
        <v>65.59</v>
      </c>
      <c r="F312" s="3388"/>
    </row>
    <row r="313" spans="1:6">
      <c r="A313" s="3420">
        <v>705</v>
      </c>
      <c r="B313" s="3420" t="s">
        <v>3054</v>
      </c>
      <c r="C313" s="3420">
        <v>4</v>
      </c>
      <c r="D313" s="3420">
        <v>20</v>
      </c>
      <c r="E313" s="3389">
        <v>65.239999999999995</v>
      </c>
      <c r="F313" s="3388"/>
    </row>
    <row r="314" spans="1:6">
      <c r="A314" s="3420">
        <v>706</v>
      </c>
      <c r="B314" s="3420" t="s">
        <v>3054</v>
      </c>
      <c r="C314" s="3420">
        <v>4</v>
      </c>
      <c r="D314" s="3420">
        <v>21</v>
      </c>
      <c r="E314" s="3389">
        <v>78.19</v>
      </c>
      <c r="F314" s="3388"/>
    </row>
    <row r="315" spans="1:6">
      <c r="A315" s="3420">
        <v>707</v>
      </c>
      <c r="B315" s="3420" t="s">
        <v>3054</v>
      </c>
      <c r="C315" s="3420">
        <v>4</v>
      </c>
      <c r="D315" s="3420">
        <v>22</v>
      </c>
      <c r="E315" s="3389">
        <v>74.260000000000005</v>
      </c>
      <c r="F315" s="3388"/>
    </row>
    <row r="316" spans="1:6">
      <c r="A316" s="3420">
        <v>708</v>
      </c>
      <c r="B316" s="3420" t="s">
        <v>3054</v>
      </c>
      <c r="C316" s="3420">
        <v>4</v>
      </c>
      <c r="D316" s="3420">
        <v>23</v>
      </c>
      <c r="E316" s="3389">
        <v>80.44</v>
      </c>
      <c r="F316" s="3388"/>
    </row>
    <row r="317" spans="1:6">
      <c r="A317" s="3420">
        <v>709</v>
      </c>
      <c r="B317" s="3420" t="s">
        <v>3054</v>
      </c>
      <c r="C317" s="3420">
        <v>4</v>
      </c>
      <c r="D317" s="3420">
        <v>25</v>
      </c>
      <c r="E317" s="3389">
        <v>67.17</v>
      </c>
      <c r="F317" s="3388"/>
    </row>
    <row r="318" spans="1:6">
      <c r="A318" s="3420">
        <v>710</v>
      </c>
      <c r="B318" s="3420" t="s">
        <v>3054</v>
      </c>
      <c r="C318" s="3420">
        <v>4</v>
      </c>
      <c r="D318" s="3420">
        <v>37</v>
      </c>
      <c r="E318" s="3389">
        <v>55.5</v>
      </c>
      <c r="F318" s="3388"/>
    </row>
    <row r="319" spans="1:6">
      <c r="A319" s="3420">
        <v>711</v>
      </c>
      <c r="B319" s="3420" t="s">
        <v>3054</v>
      </c>
      <c r="C319" s="3420">
        <v>4</v>
      </c>
      <c r="D319" s="3420">
        <v>38</v>
      </c>
      <c r="E319" s="3389">
        <v>49.95</v>
      </c>
      <c r="F319" s="3388"/>
    </row>
    <row r="320" spans="1:6">
      <c r="A320" s="3420">
        <v>712</v>
      </c>
      <c r="B320" s="3420" t="s">
        <v>3054</v>
      </c>
      <c r="C320" s="3420">
        <v>4</v>
      </c>
      <c r="D320" s="3420">
        <v>39</v>
      </c>
      <c r="E320" s="3389">
        <v>43.21</v>
      </c>
      <c r="F320" s="3388"/>
    </row>
    <row r="321" spans="1:6">
      <c r="A321" s="3420">
        <v>713</v>
      </c>
      <c r="B321" s="3420" t="s">
        <v>3054</v>
      </c>
      <c r="C321" s="3420">
        <v>4</v>
      </c>
      <c r="D321" s="3420">
        <v>40</v>
      </c>
      <c r="E321" s="3389">
        <v>73.55</v>
      </c>
      <c r="F321" s="3388"/>
    </row>
    <row r="322" spans="1:6">
      <c r="A322" s="3420">
        <v>714</v>
      </c>
      <c r="B322" s="3420" t="s">
        <v>3054</v>
      </c>
      <c r="C322" s="3420">
        <v>4</v>
      </c>
      <c r="D322" s="3420">
        <v>41</v>
      </c>
      <c r="E322" s="3389">
        <v>79.77</v>
      </c>
      <c r="F322" s="3388"/>
    </row>
    <row r="323" spans="1:6">
      <c r="A323" s="3420">
        <v>715</v>
      </c>
      <c r="B323" s="3420" t="s">
        <v>3054</v>
      </c>
      <c r="C323" s="3420">
        <v>4</v>
      </c>
      <c r="D323" s="3420">
        <v>42</v>
      </c>
      <c r="E323" s="3389">
        <v>67.489999999999995</v>
      </c>
      <c r="F323" s="3388"/>
    </row>
    <row r="324" spans="1:6">
      <c r="A324" s="3420">
        <v>716</v>
      </c>
      <c r="B324" s="3420" t="s">
        <v>3054</v>
      </c>
      <c r="C324" s="3420">
        <v>4</v>
      </c>
      <c r="D324" s="3420">
        <v>43</v>
      </c>
      <c r="E324" s="3389">
        <v>75.489999999999995</v>
      </c>
      <c r="F324" s="3388"/>
    </row>
    <row r="325" spans="1:6">
      <c r="A325" s="3420">
        <v>717</v>
      </c>
      <c r="B325" s="3420" t="s">
        <v>3054</v>
      </c>
      <c r="C325" s="3420">
        <v>4</v>
      </c>
      <c r="D325" s="3420">
        <v>45</v>
      </c>
      <c r="E325" s="3389">
        <v>74.62</v>
      </c>
      <c r="F325" s="3388"/>
    </row>
    <row r="326" spans="1:6">
      <c r="A326" s="3420">
        <v>718</v>
      </c>
      <c r="B326" s="3420" t="s">
        <v>3054</v>
      </c>
      <c r="C326" s="3420">
        <v>4</v>
      </c>
      <c r="D326" s="3420">
        <v>46</v>
      </c>
      <c r="E326" s="3389">
        <v>71.92</v>
      </c>
      <c r="F326" s="3388"/>
    </row>
    <row r="327" spans="1:6">
      <c r="A327" s="3420">
        <v>719</v>
      </c>
      <c r="B327" s="3420" t="s">
        <v>3054</v>
      </c>
      <c r="C327" s="3420">
        <v>4</v>
      </c>
      <c r="D327" s="3420">
        <v>47</v>
      </c>
      <c r="E327" s="3389">
        <v>43.13</v>
      </c>
      <c r="F327" s="3388"/>
    </row>
    <row r="328" spans="1:6">
      <c r="A328" s="3420">
        <v>720</v>
      </c>
      <c r="B328" s="3420" t="s">
        <v>3054</v>
      </c>
      <c r="C328" s="3420">
        <v>4</v>
      </c>
      <c r="D328" s="3420">
        <v>48</v>
      </c>
      <c r="E328" s="3389">
        <v>67.3</v>
      </c>
      <c r="F328" s="3388"/>
    </row>
    <row r="329" spans="1:6">
      <c r="A329" s="3420">
        <v>721</v>
      </c>
      <c r="B329" s="3420" t="s">
        <v>3054</v>
      </c>
      <c r="C329" s="3420">
        <v>4</v>
      </c>
      <c r="D329" s="3420">
        <v>49</v>
      </c>
      <c r="E329" s="3389">
        <v>72.59</v>
      </c>
      <c r="F329" s="3388"/>
    </row>
    <row r="330" spans="1:6">
      <c r="A330" s="3420">
        <v>722</v>
      </c>
      <c r="B330" s="3420" t="s">
        <v>3054</v>
      </c>
      <c r="C330" s="3420">
        <v>4</v>
      </c>
      <c r="D330" s="3420">
        <v>50</v>
      </c>
      <c r="E330" s="3389">
        <v>72.540000000000006</v>
      </c>
      <c r="F330" s="3388"/>
    </row>
    <row r="331" spans="1:6">
      <c r="A331" s="3420">
        <v>723</v>
      </c>
      <c r="B331" s="3420" t="s">
        <v>3054</v>
      </c>
      <c r="C331" s="3420">
        <v>4</v>
      </c>
      <c r="D331" s="3420">
        <v>51</v>
      </c>
      <c r="E331" s="3389">
        <v>66.900000000000006</v>
      </c>
      <c r="F331" s="3388"/>
    </row>
    <row r="332" spans="1:6">
      <c r="A332" s="3420">
        <v>724</v>
      </c>
      <c r="B332" s="3420" t="s">
        <v>3054</v>
      </c>
      <c r="C332" s="3420">
        <v>4</v>
      </c>
      <c r="D332" s="3420">
        <v>53</v>
      </c>
      <c r="E332" s="3389">
        <v>54.81</v>
      </c>
      <c r="F332" s="3388"/>
    </row>
    <row r="333" spans="1:6">
      <c r="A333" s="3420">
        <v>725</v>
      </c>
      <c r="B333" s="3420" t="s">
        <v>3054</v>
      </c>
      <c r="C333" s="3420">
        <v>4</v>
      </c>
      <c r="D333" s="3420">
        <v>55</v>
      </c>
      <c r="E333" s="3389">
        <v>41.72</v>
      </c>
      <c r="F333" s="3388"/>
    </row>
    <row r="334" spans="1:6">
      <c r="A334" s="3420">
        <v>726</v>
      </c>
      <c r="B334" s="3420" t="s">
        <v>3054</v>
      </c>
      <c r="C334" s="3420">
        <v>4</v>
      </c>
      <c r="D334" s="3420">
        <v>56</v>
      </c>
      <c r="E334" s="3389">
        <v>91.99</v>
      </c>
      <c r="F334" s="3388"/>
    </row>
    <row r="335" spans="1:6">
      <c r="A335" s="3420">
        <v>727</v>
      </c>
      <c r="B335" s="3420" t="s">
        <v>3054</v>
      </c>
      <c r="C335" s="3420">
        <v>4</v>
      </c>
      <c r="D335" s="3420">
        <v>57</v>
      </c>
      <c r="E335" s="3389">
        <v>91.99</v>
      </c>
      <c r="F335" s="3388"/>
    </row>
    <row r="336" spans="1:6">
      <c r="A336" s="3420">
        <v>728</v>
      </c>
      <c r="B336" s="3420" t="s">
        <v>3054</v>
      </c>
      <c r="C336" s="3420">
        <v>4</v>
      </c>
      <c r="D336" s="3420">
        <v>58</v>
      </c>
      <c r="E336" s="3389">
        <v>63.08</v>
      </c>
      <c r="F336" s="3388"/>
    </row>
    <row r="337" spans="1:6">
      <c r="A337" s="3420">
        <v>729</v>
      </c>
      <c r="B337" s="3420" t="s">
        <v>3054</v>
      </c>
      <c r="C337" s="3420">
        <v>4</v>
      </c>
      <c r="D337" s="3420">
        <v>62</v>
      </c>
      <c r="E337" s="3389">
        <v>44.34</v>
      </c>
      <c r="F337" s="3388"/>
    </row>
    <row r="338" spans="1:6">
      <c r="A338" s="3420">
        <v>730</v>
      </c>
      <c r="B338" s="3420" t="s">
        <v>3054</v>
      </c>
      <c r="C338" s="3420">
        <v>4</v>
      </c>
      <c r="D338" s="3420">
        <v>76</v>
      </c>
      <c r="E338" s="3389">
        <v>67.28</v>
      </c>
      <c r="F338" s="3388"/>
    </row>
    <row r="339" spans="1:6">
      <c r="A339" s="3420">
        <v>731</v>
      </c>
      <c r="B339" s="3420" t="s">
        <v>3054</v>
      </c>
      <c r="C339" s="3420">
        <v>4</v>
      </c>
      <c r="D339" s="3420">
        <v>77</v>
      </c>
      <c r="E339" s="3389">
        <v>53.86</v>
      </c>
      <c r="F339" s="3388"/>
    </row>
    <row r="340" spans="1:6">
      <c r="A340" s="3420">
        <v>732</v>
      </c>
      <c r="B340" s="3420" t="s">
        <v>3054</v>
      </c>
      <c r="C340" s="3420">
        <v>4</v>
      </c>
      <c r="D340" s="3420">
        <v>78</v>
      </c>
      <c r="E340" s="3389">
        <v>63.5</v>
      </c>
      <c r="F340" s="3388"/>
    </row>
    <row r="341" spans="1:6">
      <c r="A341" s="3420">
        <v>733</v>
      </c>
      <c r="B341" s="3420" t="s">
        <v>3054</v>
      </c>
      <c r="C341" s="3420">
        <v>4</v>
      </c>
      <c r="D341" s="3420">
        <v>79</v>
      </c>
      <c r="E341" s="3389">
        <v>59.16</v>
      </c>
      <c r="F341" s="3388"/>
    </row>
    <row r="342" spans="1:6">
      <c r="A342" s="3420">
        <v>734</v>
      </c>
      <c r="B342" s="3420" t="s">
        <v>3054</v>
      </c>
      <c r="C342" s="3420">
        <v>4</v>
      </c>
      <c r="D342" s="3420">
        <v>80</v>
      </c>
      <c r="E342" s="3389">
        <v>58.82</v>
      </c>
      <c r="F342" s="3388"/>
    </row>
    <row r="343" spans="1:6">
      <c r="A343" s="3420">
        <v>735</v>
      </c>
      <c r="B343" s="3420" t="s">
        <v>3054</v>
      </c>
      <c r="C343" s="3420">
        <v>4</v>
      </c>
      <c r="D343" s="3420">
        <v>82</v>
      </c>
      <c r="E343" s="3389">
        <v>80.790000000000006</v>
      </c>
      <c r="F343" s="3388"/>
    </row>
    <row r="344" spans="1:6">
      <c r="A344" s="3420">
        <v>736</v>
      </c>
      <c r="B344" s="3420" t="s">
        <v>3054</v>
      </c>
      <c r="C344" s="3420">
        <v>4</v>
      </c>
      <c r="D344" s="3420">
        <v>83</v>
      </c>
      <c r="E344" s="3389">
        <v>107.3</v>
      </c>
      <c r="F344" s="3388"/>
    </row>
    <row r="345" spans="1:6">
      <c r="A345" s="3420">
        <v>737</v>
      </c>
      <c r="B345" s="3420" t="s">
        <v>3054</v>
      </c>
      <c r="C345" s="3420">
        <v>4</v>
      </c>
      <c r="D345" s="3420">
        <v>85</v>
      </c>
      <c r="E345" s="3389">
        <v>88.89</v>
      </c>
      <c r="F345" s="3388"/>
    </row>
    <row r="346" spans="1:6">
      <c r="A346" s="3420">
        <v>738</v>
      </c>
      <c r="B346" s="3420" t="s">
        <v>3054</v>
      </c>
      <c r="C346" s="3420">
        <v>4</v>
      </c>
      <c r="D346" s="3420">
        <v>92</v>
      </c>
      <c r="E346" s="3389">
        <v>54.99</v>
      </c>
      <c r="F346" s="3388"/>
    </row>
    <row r="347" spans="1:6">
      <c r="A347" s="3420">
        <v>739</v>
      </c>
      <c r="B347" s="3420" t="s">
        <v>3054</v>
      </c>
      <c r="C347" s="3420">
        <v>-1</v>
      </c>
      <c r="D347" s="3420">
        <v>56</v>
      </c>
      <c r="E347" s="3389">
        <v>42.93</v>
      </c>
      <c r="F347" s="3388"/>
    </row>
    <row r="348" spans="1:6">
      <c r="A348" s="3420">
        <v>740</v>
      </c>
      <c r="B348" s="3420" t="s">
        <v>3054</v>
      </c>
      <c r="C348" s="3420">
        <v>-1</v>
      </c>
      <c r="D348" s="3420">
        <v>57</v>
      </c>
      <c r="E348" s="3389">
        <v>58.53</v>
      </c>
      <c r="F348" s="3388"/>
    </row>
    <row r="349" spans="1:6">
      <c r="A349" s="3420">
        <v>741</v>
      </c>
      <c r="B349" s="3420" t="s">
        <v>3054</v>
      </c>
      <c r="C349" s="3420">
        <v>-1</v>
      </c>
      <c r="D349" s="3420">
        <v>58</v>
      </c>
      <c r="E349" s="3389">
        <v>67.930000000000007</v>
      </c>
      <c r="F349" s="3388"/>
    </row>
    <row r="350" spans="1:6">
      <c r="A350" s="3420">
        <v>742</v>
      </c>
      <c r="B350" s="3420" t="s">
        <v>3054</v>
      </c>
      <c r="C350" s="3420">
        <v>-1</v>
      </c>
      <c r="D350" s="3420">
        <v>113</v>
      </c>
      <c r="E350" s="3389">
        <v>60.57</v>
      </c>
      <c r="F350" s="3388"/>
    </row>
    <row r="351" spans="1:6">
      <c r="A351" s="3420">
        <v>743</v>
      </c>
      <c r="B351" s="3420" t="s">
        <v>3054</v>
      </c>
      <c r="C351" s="3420">
        <v>-1</v>
      </c>
      <c r="D351" s="3420">
        <v>300</v>
      </c>
      <c r="E351" s="3389">
        <v>49.07</v>
      </c>
      <c r="F351" s="3388"/>
    </row>
    <row r="352" spans="1:6">
      <c r="A352" s="3420">
        <v>744</v>
      </c>
      <c r="B352" s="3420" t="s">
        <v>3054</v>
      </c>
      <c r="C352" s="3420">
        <v>-1</v>
      </c>
      <c r="D352" s="3420">
        <v>301</v>
      </c>
      <c r="E352" s="3389">
        <v>68.34</v>
      </c>
      <c r="F352" s="3388"/>
    </row>
    <row r="353" spans="1:6">
      <c r="A353" s="3420">
        <v>745</v>
      </c>
      <c r="B353" s="3420" t="s">
        <v>3054</v>
      </c>
      <c r="C353" s="3420">
        <v>-1</v>
      </c>
      <c r="D353" s="3420">
        <v>302</v>
      </c>
      <c r="E353" s="3389">
        <v>43.49</v>
      </c>
      <c r="F353" s="3388"/>
    </row>
    <row r="354" spans="1:6">
      <c r="A354" s="3420">
        <v>746</v>
      </c>
      <c r="B354" s="3420" t="s">
        <v>3054</v>
      </c>
      <c r="C354" s="3420">
        <v>-1</v>
      </c>
      <c r="D354" s="3420">
        <v>303</v>
      </c>
      <c r="E354" s="3389">
        <v>42.61</v>
      </c>
      <c r="F354" s="3388"/>
    </row>
    <row r="355" spans="1:6">
      <c r="A355" s="3420">
        <v>747</v>
      </c>
      <c r="B355" s="3420" t="s">
        <v>3054</v>
      </c>
      <c r="C355" s="3420">
        <v>-1</v>
      </c>
      <c r="D355" s="3420">
        <v>305</v>
      </c>
      <c r="E355" s="3389">
        <v>61.51</v>
      </c>
      <c r="F355" s="3388"/>
    </row>
    <row r="356" spans="1:6">
      <c r="A356" s="3420">
        <v>748</v>
      </c>
      <c r="B356" s="3420" t="s">
        <v>3054</v>
      </c>
      <c r="C356" s="3420">
        <v>-1</v>
      </c>
      <c r="D356" s="3420">
        <v>306</v>
      </c>
      <c r="E356" s="3389">
        <v>60.41</v>
      </c>
      <c r="F356" s="3388"/>
    </row>
    <row r="357" spans="1:6">
      <c r="A357" s="3420">
        <v>749</v>
      </c>
      <c r="B357" s="3420" t="s">
        <v>3054</v>
      </c>
      <c r="C357" s="3420">
        <v>-1</v>
      </c>
      <c r="D357" s="3420">
        <v>307</v>
      </c>
      <c r="E357" s="3389">
        <v>58.18</v>
      </c>
      <c r="F357" s="3388"/>
    </row>
    <row r="358" spans="1:6">
      <c r="A358" s="3420">
        <v>750</v>
      </c>
      <c r="B358" s="3420" t="s">
        <v>3055</v>
      </c>
      <c r="C358" s="3420">
        <v>1</v>
      </c>
      <c r="D358" s="3420">
        <v>145</v>
      </c>
      <c r="E358" s="3389">
        <v>45.36</v>
      </c>
      <c r="F358" s="3388"/>
    </row>
    <row r="359" spans="1:6">
      <c r="A359" s="3420">
        <v>751</v>
      </c>
      <c r="B359" s="3420" t="s">
        <v>3055</v>
      </c>
      <c r="C359" s="3420">
        <v>1</v>
      </c>
      <c r="D359" s="3420">
        <v>165</v>
      </c>
      <c r="E359" s="3389">
        <v>73.38</v>
      </c>
      <c r="F359" s="3388"/>
    </row>
    <row r="360" spans="1:6">
      <c r="A360" s="3420">
        <v>757</v>
      </c>
      <c r="B360" s="3420" t="s">
        <v>3055</v>
      </c>
      <c r="C360" s="3420">
        <v>2</v>
      </c>
      <c r="D360" s="3420">
        <v>245</v>
      </c>
      <c r="E360" s="3389">
        <v>59.14</v>
      </c>
      <c r="F360" s="3388"/>
    </row>
    <row r="361" spans="1:6">
      <c r="A361" s="3420">
        <v>37</v>
      </c>
      <c r="B361" s="3420" t="s">
        <v>3055</v>
      </c>
      <c r="C361" s="3420">
        <v>2</v>
      </c>
      <c r="D361" s="3420">
        <v>239</v>
      </c>
      <c r="E361" s="3389">
        <v>39.49</v>
      </c>
      <c r="F361" s="3388"/>
    </row>
    <row r="362" spans="1:6">
      <c r="A362" s="3420">
        <v>12</v>
      </c>
      <c r="B362" s="3420" t="s">
        <v>3054</v>
      </c>
      <c r="C362" s="3420">
        <v>2</v>
      </c>
      <c r="D362" s="3420">
        <v>235</v>
      </c>
      <c r="E362" s="3389">
        <v>42.78</v>
      </c>
      <c r="F362" s="3388"/>
    </row>
    <row r="363" spans="1:6">
      <c r="A363" s="3420">
        <v>11</v>
      </c>
      <c r="B363" s="3420" t="s">
        <v>3054</v>
      </c>
      <c r="C363" s="3420">
        <v>2</v>
      </c>
      <c r="D363" s="3420">
        <v>233</v>
      </c>
      <c r="E363" s="3389">
        <v>42.78</v>
      </c>
      <c r="F363" s="3388"/>
    </row>
    <row r="364" spans="1:6">
      <c r="A364" s="3420">
        <v>36</v>
      </c>
      <c r="B364" s="3420" t="s">
        <v>3055</v>
      </c>
      <c r="C364" s="3420">
        <v>2</v>
      </c>
      <c r="D364" s="3420">
        <v>226</v>
      </c>
      <c r="E364" s="3389">
        <v>39.51</v>
      </c>
      <c r="F364" s="3388"/>
    </row>
    <row r="365" spans="1:6">
      <c r="A365" s="3420">
        <v>61</v>
      </c>
      <c r="B365" s="3420" t="s">
        <v>3056</v>
      </c>
      <c r="C365" s="3420">
        <v>2</v>
      </c>
      <c r="D365" s="3420">
        <v>223</v>
      </c>
      <c r="E365" s="3389">
        <v>47.97</v>
      </c>
      <c r="F365" s="3388"/>
    </row>
    <row r="366" spans="1:6">
      <c r="A366" s="3420">
        <v>758</v>
      </c>
      <c r="B366" s="3420" t="s">
        <v>3055</v>
      </c>
      <c r="C366" s="3420">
        <v>3</v>
      </c>
      <c r="D366" s="3420">
        <v>166</v>
      </c>
      <c r="E366" s="3389">
        <v>90.46</v>
      </c>
      <c r="F366" s="3388"/>
    </row>
    <row r="367" spans="1:6">
      <c r="A367" s="3420">
        <v>759</v>
      </c>
      <c r="B367" s="3420" t="s">
        <v>3056</v>
      </c>
      <c r="C367" s="3420">
        <v>1</v>
      </c>
      <c r="D367" s="3420">
        <v>27</v>
      </c>
      <c r="E367" s="3389">
        <v>97.36</v>
      </c>
      <c r="F367" s="3388"/>
    </row>
    <row r="368" spans="1:6">
      <c r="A368" s="3420">
        <v>760</v>
      </c>
      <c r="B368" s="3420" t="s">
        <v>3056</v>
      </c>
      <c r="C368" s="3420">
        <v>-1</v>
      </c>
      <c r="D368" s="3420">
        <v>247</v>
      </c>
      <c r="E368" s="3389">
        <v>80</v>
      </c>
      <c r="F368" s="3388"/>
    </row>
    <row r="369" spans="1:6">
      <c r="A369" s="3420">
        <v>761</v>
      </c>
      <c r="B369" s="3420" t="s">
        <v>3056</v>
      </c>
      <c r="C369" s="3420">
        <v>-1</v>
      </c>
      <c r="D369" s="3420">
        <v>308</v>
      </c>
      <c r="E369" s="3389">
        <v>38.67</v>
      </c>
      <c r="F369" s="3388"/>
    </row>
    <row r="370" spans="1:6">
      <c r="A370" s="3420">
        <v>762</v>
      </c>
      <c r="B370" s="3420" t="s">
        <v>3056</v>
      </c>
      <c r="C370" s="3420">
        <v>-1</v>
      </c>
      <c r="D370" s="3420">
        <v>313</v>
      </c>
      <c r="E370" s="3389">
        <v>64.33</v>
      </c>
      <c r="F370" s="3388"/>
    </row>
    <row r="371" spans="1:6">
      <c r="A371" s="3420">
        <v>763</v>
      </c>
      <c r="B371" s="3420" t="s">
        <v>3056</v>
      </c>
      <c r="C371" s="3420">
        <v>-1</v>
      </c>
      <c r="D371" s="3420">
        <v>315</v>
      </c>
      <c r="E371" s="3389">
        <v>64.33</v>
      </c>
      <c r="F371" s="3388"/>
    </row>
    <row r="372" spans="1:6">
      <c r="A372" s="3420">
        <v>764</v>
      </c>
      <c r="B372" s="3420" t="s">
        <v>3056</v>
      </c>
      <c r="C372" s="3420">
        <v>-1</v>
      </c>
      <c r="D372" s="3420">
        <v>316</v>
      </c>
      <c r="E372" s="3389">
        <v>64.33</v>
      </c>
      <c r="F372" s="3388"/>
    </row>
    <row r="373" spans="1:6">
      <c r="A373" s="3420">
        <v>765</v>
      </c>
      <c r="B373" s="3420" t="s">
        <v>3056</v>
      </c>
      <c r="C373" s="3420">
        <v>-1</v>
      </c>
      <c r="D373" s="3420">
        <v>336</v>
      </c>
      <c r="E373" s="3389">
        <v>64.33</v>
      </c>
      <c r="F373" s="3388"/>
    </row>
    <row r="374" spans="1:6">
      <c r="A374" s="3420">
        <v>766</v>
      </c>
      <c r="B374" s="3420" t="s">
        <v>3056</v>
      </c>
      <c r="C374" s="3420">
        <v>-1</v>
      </c>
      <c r="D374" s="3420">
        <v>337</v>
      </c>
      <c r="E374" s="3389">
        <v>62.5</v>
      </c>
      <c r="F374" s="3388"/>
    </row>
    <row r="375" spans="1:6">
      <c r="A375" s="3420">
        <v>767</v>
      </c>
      <c r="B375" s="3420" t="s">
        <v>3057</v>
      </c>
      <c r="C375" s="3420">
        <v>1</v>
      </c>
      <c r="D375" s="3420">
        <v>22</v>
      </c>
      <c r="E375" s="3389">
        <v>70.260000000000005</v>
      </c>
      <c r="F375" s="3388"/>
    </row>
    <row r="376" spans="1:6">
      <c r="A376" s="3420">
        <v>768</v>
      </c>
      <c r="B376" s="3420" t="s">
        <v>3057</v>
      </c>
      <c r="C376" s="3420">
        <v>1</v>
      </c>
      <c r="D376" s="3420">
        <v>151</v>
      </c>
      <c r="E376" s="3389">
        <v>81.45</v>
      </c>
      <c r="F376" s="3388"/>
    </row>
    <row r="377" spans="1:6">
      <c r="A377" s="3420">
        <v>769</v>
      </c>
      <c r="B377" s="3420" t="s">
        <v>3057</v>
      </c>
      <c r="C377" s="3420">
        <v>1</v>
      </c>
      <c r="D377" s="3420">
        <v>152</v>
      </c>
      <c r="E377" s="3389">
        <v>38.130000000000003</v>
      </c>
      <c r="F377" s="3388"/>
    </row>
    <row r="378" spans="1:6">
      <c r="A378" s="3420">
        <v>1</v>
      </c>
      <c r="B378" s="3420" t="s">
        <v>3054</v>
      </c>
      <c r="C378" s="3420">
        <v>1</v>
      </c>
      <c r="D378" s="3420">
        <v>22</v>
      </c>
      <c r="E378" s="3389">
        <v>71.430000000000007</v>
      </c>
      <c r="F378" s="3388"/>
    </row>
    <row r="379" spans="1:6">
      <c r="A379" s="3420">
        <v>2</v>
      </c>
      <c r="B379" s="3420" t="s">
        <v>3054</v>
      </c>
      <c r="C379" s="3420">
        <v>1</v>
      </c>
      <c r="D379" s="3420">
        <v>23</v>
      </c>
      <c r="E379" s="3389">
        <v>69.5</v>
      </c>
      <c r="F379" s="3388"/>
    </row>
    <row r="380" spans="1:6">
      <c r="A380" s="3420">
        <v>3</v>
      </c>
      <c r="B380" s="3420" t="s">
        <v>3054</v>
      </c>
      <c r="C380" s="3420">
        <v>1</v>
      </c>
      <c r="D380" s="3420">
        <v>26</v>
      </c>
      <c r="E380" s="3389">
        <v>95.51</v>
      </c>
      <c r="F380" s="3388"/>
    </row>
    <row r="381" spans="1:6">
      <c r="A381" s="3420">
        <v>4</v>
      </c>
      <c r="B381" s="3420" t="s">
        <v>3054</v>
      </c>
      <c r="C381" s="3420">
        <v>1</v>
      </c>
      <c r="D381" s="3420">
        <v>171</v>
      </c>
      <c r="E381" s="3389">
        <v>43.46</v>
      </c>
      <c r="F381" s="3388"/>
    </row>
    <row r="382" spans="1:6">
      <c r="A382" s="3420">
        <v>5</v>
      </c>
      <c r="B382" s="3420" t="s">
        <v>3054</v>
      </c>
      <c r="C382" s="3420">
        <v>1</v>
      </c>
      <c r="D382" s="3420">
        <v>186</v>
      </c>
      <c r="E382" s="3389">
        <v>89.77</v>
      </c>
      <c r="F382" s="3388"/>
    </row>
    <row r="383" spans="1:6">
      <c r="A383" s="3420">
        <v>35</v>
      </c>
      <c r="B383" s="3420" t="s">
        <v>3055</v>
      </c>
      <c r="C383" s="3420">
        <v>2</v>
      </c>
      <c r="D383" s="3420">
        <v>196</v>
      </c>
      <c r="E383" s="3389">
        <v>42.84</v>
      </c>
      <c r="F383" s="3388"/>
    </row>
    <row r="384" spans="1:6">
      <c r="A384" s="3420">
        <v>34</v>
      </c>
      <c r="B384" s="3420" t="s">
        <v>3055</v>
      </c>
      <c r="C384" s="3420">
        <v>2</v>
      </c>
      <c r="D384" s="3420">
        <v>195</v>
      </c>
      <c r="E384" s="3389">
        <v>42.84</v>
      </c>
      <c r="F384" s="3388"/>
    </row>
    <row r="385" spans="1:6">
      <c r="A385" s="3420">
        <v>33</v>
      </c>
      <c r="B385" s="3420" t="s">
        <v>3055</v>
      </c>
      <c r="C385" s="3420">
        <v>2</v>
      </c>
      <c r="D385" s="3420">
        <v>190</v>
      </c>
      <c r="E385" s="3389">
        <v>44.85</v>
      </c>
      <c r="F385" s="3388"/>
    </row>
    <row r="386" spans="1:6">
      <c r="A386" s="3420">
        <v>32</v>
      </c>
      <c r="B386" s="3420" t="s">
        <v>3055</v>
      </c>
      <c r="C386" s="3420">
        <v>2</v>
      </c>
      <c r="D386" s="3420">
        <v>189</v>
      </c>
      <c r="E386" s="3389">
        <v>25.73</v>
      </c>
      <c r="F386" s="3388"/>
    </row>
    <row r="387" spans="1:6">
      <c r="A387" s="3420">
        <v>756</v>
      </c>
      <c r="B387" s="3420" t="s">
        <v>3055</v>
      </c>
      <c r="C387" s="3420">
        <v>2</v>
      </c>
      <c r="D387" s="3420">
        <v>168</v>
      </c>
      <c r="E387" s="3389">
        <v>69.709999999999994</v>
      </c>
      <c r="F387" s="3388"/>
    </row>
    <row r="388" spans="1:6">
      <c r="A388" s="3420">
        <v>755</v>
      </c>
      <c r="B388" s="3420" t="s">
        <v>3055</v>
      </c>
      <c r="C388" s="3420">
        <v>2</v>
      </c>
      <c r="D388" s="3420">
        <v>146</v>
      </c>
      <c r="E388" s="3389">
        <v>68.010000000000005</v>
      </c>
      <c r="F388" s="3388"/>
    </row>
    <row r="389" spans="1:6">
      <c r="A389" s="3420">
        <v>31</v>
      </c>
      <c r="B389" s="3420" t="s">
        <v>3055</v>
      </c>
      <c r="C389" s="3420">
        <v>2</v>
      </c>
      <c r="D389" s="3420">
        <v>133</v>
      </c>
      <c r="E389" s="3389">
        <v>45.29</v>
      </c>
      <c r="F389" s="3388"/>
    </row>
    <row r="390" spans="1:6">
      <c r="A390" s="3420">
        <v>13</v>
      </c>
      <c r="B390" s="3420" t="s">
        <v>3054</v>
      </c>
      <c r="C390" s="3420">
        <v>3</v>
      </c>
      <c r="D390" s="3420">
        <v>65</v>
      </c>
      <c r="E390" s="3389">
        <v>60.66</v>
      </c>
      <c r="F390" s="3388"/>
    </row>
    <row r="391" spans="1:6">
      <c r="A391" s="3420">
        <v>14</v>
      </c>
      <c r="B391" s="3420" t="s">
        <v>3054</v>
      </c>
      <c r="C391" s="3420">
        <v>3</v>
      </c>
      <c r="D391" s="3420">
        <v>75</v>
      </c>
      <c r="E391" s="3389">
        <v>55.2</v>
      </c>
      <c r="F391" s="3388"/>
    </row>
    <row r="392" spans="1:6">
      <c r="A392" s="3420">
        <v>15</v>
      </c>
      <c r="B392" s="3420" t="s">
        <v>3054</v>
      </c>
      <c r="C392" s="3420">
        <v>-1</v>
      </c>
      <c r="D392" s="3420">
        <v>31</v>
      </c>
      <c r="E392" s="3389">
        <v>45.97</v>
      </c>
      <c r="F392" s="3388"/>
    </row>
    <row r="393" spans="1:6">
      <c r="A393" s="3420">
        <v>16</v>
      </c>
      <c r="B393" s="3420" t="s">
        <v>3054</v>
      </c>
      <c r="C393" s="3420">
        <v>-1</v>
      </c>
      <c r="D393" s="3420">
        <v>42</v>
      </c>
      <c r="E393" s="3389">
        <v>23.9</v>
      </c>
      <c r="F393" s="3388"/>
    </row>
    <row r="394" spans="1:6">
      <c r="A394" s="3420">
        <v>17</v>
      </c>
      <c r="B394" s="3420" t="s">
        <v>3054</v>
      </c>
      <c r="C394" s="3420">
        <v>-1</v>
      </c>
      <c r="D394" s="3420">
        <v>96</v>
      </c>
      <c r="E394" s="3389">
        <v>76.540000000000006</v>
      </c>
      <c r="F394" s="3388"/>
    </row>
    <row r="395" spans="1:6">
      <c r="A395" s="3420">
        <v>18</v>
      </c>
      <c r="B395" s="3420" t="s">
        <v>3054</v>
      </c>
      <c r="C395" s="3420">
        <v>-1</v>
      </c>
      <c r="D395" s="3420">
        <v>153</v>
      </c>
      <c r="E395" s="3389">
        <v>85.33</v>
      </c>
      <c r="F395" s="3388"/>
    </row>
    <row r="396" spans="1:6">
      <c r="A396" s="3420">
        <v>19</v>
      </c>
      <c r="B396" s="3420" t="s">
        <v>3054</v>
      </c>
      <c r="C396" s="3420">
        <v>-1</v>
      </c>
      <c r="D396" s="3420">
        <v>157</v>
      </c>
      <c r="E396" s="3389">
        <v>51.08</v>
      </c>
      <c r="F396" s="3388"/>
    </row>
    <row r="397" spans="1:6">
      <c r="A397" s="3420">
        <v>20</v>
      </c>
      <c r="B397" s="3420" t="s">
        <v>3054</v>
      </c>
      <c r="C397" s="3420">
        <v>-1</v>
      </c>
      <c r="D397" s="3420">
        <v>160</v>
      </c>
      <c r="E397" s="3389">
        <v>48.86</v>
      </c>
      <c r="F397" s="3388"/>
    </row>
    <row r="398" spans="1:6">
      <c r="A398" s="3420">
        <v>21</v>
      </c>
      <c r="B398" s="3420" t="s">
        <v>3054</v>
      </c>
      <c r="C398" s="3420">
        <v>-1</v>
      </c>
      <c r="D398" s="3420">
        <v>279</v>
      </c>
      <c r="E398" s="3389">
        <v>84.5</v>
      </c>
      <c r="F398" s="3388"/>
    </row>
    <row r="399" spans="1:6">
      <c r="A399" s="3420">
        <v>22</v>
      </c>
      <c r="B399" s="3420" t="s">
        <v>3055</v>
      </c>
      <c r="C399" s="3420">
        <v>1</v>
      </c>
      <c r="D399" s="3420">
        <v>71</v>
      </c>
      <c r="E399" s="3389">
        <v>138.15</v>
      </c>
      <c r="F399" s="3388"/>
    </row>
    <row r="400" spans="1:6">
      <c r="A400" s="3420">
        <v>23</v>
      </c>
      <c r="B400" s="3420" t="s">
        <v>3055</v>
      </c>
      <c r="C400" s="3420">
        <v>1</v>
      </c>
      <c r="D400" s="3420">
        <v>130</v>
      </c>
      <c r="E400" s="3389">
        <v>44.39</v>
      </c>
      <c r="F400" s="3388"/>
    </row>
    <row r="401" spans="1:6">
      <c r="A401" s="3420">
        <v>30</v>
      </c>
      <c r="B401" s="3420" t="s">
        <v>3055</v>
      </c>
      <c r="C401" s="3420">
        <v>2</v>
      </c>
      <c r="D401" s="3420">
        <v>132</v>
      </c>
      <c r="E401" s="3389">
        <v>44.03</v>
      </c>
      <c r="F401" s="3388"/>
    </row>
    <row r="402" spans="1:6">
      <c r="A402" s="3420">
        <v>29</v>
      </c>
      <c r="B402" s="3420" t="s">
        <v>3055</v>
      </c>
      <c r="C402" s="3420">
        <v>2</v>
      </c>
      <c r="D402" s="3420">
        <v>131</v>
      </c>
      <c r="E402" s="3389">
        <v>79.17</v>
      </c>
      <c r="F402" s="3388"/>
    </row>
    <row r="403" spans="1:6">
      <c r="A403" s="3420">
        <v>10</v>
      </c>
      <c r="B403" s="3420" t="s">
        <v>3054</v>
      </c>
      <c r="C403" s="3420">
        <v>2</v>
      </c>
      <c r="D403" s="3420">
        <v>128</v>
      </c>
      <c r="E403" s="3389">
        <v>115.72</v>
      </c>
      <c r="F403" s="3388"/>
    </row>
    <row r="404" spans="1:6">
      <c r="A404" s="3420">
        <v>28</v>
      </c>
      <c r="B404" s="3420" t="s">
        <v>3055</v>
      </c>
      <c r="C404" s="3420">
        <v>2</v>
      </c>
      <c r="D404" s="3420">
        <v>116</v>
      </c>
      <c r="E404" s="3389">
        <v>118.85</v>
      </c>
      <c r="F404" s="3388"/>
    </row>
    <row r="405" spans="1:6">
      <c r="A405" s="3420">
        <v>27</v>
      </c>
      <c r="B405" s="3420" t="s">
        <v>3055</v>
      </c>
      <c r="C405" s="3420">
        <v>2</v>
      </c>
      <c r="D405" s="3420">
        <v>108</v>
      </c>
      <c r="E405" s="3389">
        <v>79.03</v>
      </c>
      <c r="F405" s="3388"/>
    </row>
    <row r="406" spans="1:6">
      <c r="A406" s="3420">
        <v>754</v>
      </c>
      <c r="B406" s="3420" t="s">
        <v>3055</v>
      </c>
      <c r="C406" s="3420">
        <v>2</v>
      </c>
      <c r="D406" s="3420">
        <v>103</v>
      </c>
      <c r="E406" s="3389">
        <v>120.99</v>
      </c>
      <c r="F406" s="3388"/>
    </row>
    <row r="407" spans="1:6">
      <c r="A407" s="3420">
        <v>26</v>
      </c>
      <c r="B407" s="3420" t="s">
        <v>3055</v>
      </c>
      <c r="C407" s="3420">
        <v>2</v>
      </c>
      <c r="D407" s="3420">
        <v>83</v>
      </c>
      <c r="E407" s="3389">
        <v>27.96</v>
      </c>
      <c r="F407" s="3388"/>
    </row>
    <row r="408" spans="1:6">
      <c r="A408" s="3420">
        <v>25</v>
      </c>
      <c r="B408" s="3420" t="s">
        <v>3055</v>
      </c>
      <c r="C408" s="3420">
        <v>2</v>
      </c>
      <c r="D408" s="3420">
        <v>82</v>
      </c>
      <c r="E408" s="3389">
        <v>39.94</v>
      </c>
      <c r="F408" s="3388"/>
    </row>
    <row r="409" spans="1:6">
      <c r="A409" s="3420">
        <v>753</v>
      </c>
      <c r="B409" s="3420" t="s">
        <v>3055</v>
      </c>
      <c r="C409" s="3420">
        <v>2</v>
      </c>
      <c r="D409" s="3420">
        <v>65</v>
      </c>
      <c r="E409" s="3389">
        <v>118.41</v>
      </c>
      <c r="F409" s="3388"/>
    </row>
    <row r="410" spans="1:6">
      <c r="A410" s="3420">
        <v>9</v>
      </c>
      <c r="B410" s="3420" t="s">
        <v>3054</v>
      </c>
      <c r="C410" s="3420">
        <v>2</v>
      </c>
      <c r="D410" s="3420">
        <v>57</v>
      </c>
      <c r="E410" s="3389">
        <v>25.38</v>
      </c>
      <c r="F410" s="3388"/>
    </row>
    <row r="411" spans="1:6">
      <c r="A411" s="3420">
        <v>8</v>
      </c>
      <c r="B411" s="3420" t="s">
        <v>3054</v>
      </c>
      <c r="C411" s="3420">
        <v>2</v>
      </c>
      <c r="D411" s="3420">
        <v>43</v>
      </c>
      <c r="E411" s="3389">
        <v>33.92</v>
      </c>
      <c r="F411" s="3388"/>
    </row>
    <row r="412" spans="1:6">
      <c r="A412" s="3420">
        <v>7</v>
      </c>
      <c r="B412" s="3420" t="s">
        <v>3054</v>
      </c>
      <c r="C412" s="3420">
        <v>2</v>
      </c>
      <c r="D412" s="3420">
        <v>42</v>
      </c>
      <c r="E412" s="3389">
        <v>62.79</v>
      </c>
      <c r="F412" s="3388"/>
    </row>
    <row r="413" spans="1:6">
      <c r="A413" s="3420">
        <v>6</v>
      </c>
      <c r="B413" s="3420" t="s">
        <v>3054</v>
      </c>
      <c r="C413" s="3420">
        <v>2</v>
      </c>
      <c r="D413" s="3420">
        <v>41</v>
      </c>
      <c r="E413" s="3389">
        <v>48.27</v>
      </c>
      <c r="F413" s="3388"/>
    </row>
    <row r="414" spans="1:6">
      <c r="A414" s="3420">
        <v>752</v>
      </c>
      <c r="B414" s="3420" t="s">
        <v>3055</v>
      </c>
      <c r="C414" s="3420">
        <v>2</v>
      </c>
      <c r="D414" s="3420">
        <v>26</v>
      </c>
      <c r="E414" s="3389">
        <v>38.96</v>
      </c>
      <c r="F414" s="3388"/>
    </row>
    <row r="415" spans="1:6">
      <c r="A415" s="3420">
        <v>38</v>
      </c>
      <c r="B415" s="3420" t="s">
        <v>3055</v>
      </c>
      <c r="C415" s="3420">
        <v>3</v>
      </c>
      <c r="D415" s="3420">
        <v>77</v>
      </c>
      <c r="E415" s="3389">
        <v>39.79</v>
      </c>
      <c r="F415" s="3388"/>
    </row>
    <row r="416" spans="1:6">
      <c r="A416" s="3420">
        <v>39</v>
      </c>
      <c r="B416" s="3420" t="s">
        <v>3055</v>
      </c>
      <c r="C416" s="3420">
        <v>3</v>
      </c>
      <c r="D416" s="3420">
        <v>78</v>
      </c>
      <c r="E416" s="3389">
        <v>27.85</v>
      </c>
      <c r="F416" s="3388"/>
    </row>
    <row r="417" spans="1:6">
      <c r="A417" s="3420">
        <v>40</v>
      </c>
      <c r="B417" s="3420" t="s">
        <v>3055</v>
      </c>
      <c r="C417" s="3420">
        <v>3</v>
      </c>
      <c r="D417" s="3420">
        <v>146</v>
      </c>
      <c r="E417" s="3389">
        <v>131</v>
      </c>
      <c r="F417" s="3388"/>
    </row>
    <row r="418" spans="1:6">
      <c r="A418" s="3420">
        <v>41</v>
      </c>
      <c r="B418" s="3420" t="s">
        <v>3055</v>
      </c>
      <c r="C418" s="3420">
        <v>3</v>
      </c>
      <c r="D418" s="3420">
        <v>175</v>
      </c>
      <c r="E418" s="3389">
        <v>105.82</v>
      </c>
      <c r="F418" s="3388"/>
    </row>
    <row r="419" spans="1:6">
      <c r="A419" s="3420">
        <v>42</v>
      </c>
      <c r="B419" s="3420" t="s">
        <v>3055</v>
      </c>
      <c r="C419" s="3420">
        <v>4</v>
      </c>
      <c r="D419" s="3420">
        <v>40</v>
      </c>
      <c r="E419" s="3389">
        <v>64.8</v>
      </c>
      <c r="F419" s="3388"/>
    </row>
    <row r="420" spans="1:6">
      <c r="A420" s="3420">
        <v>43</v>
      </c>
      <c r="B420" s="3420" t="s">
        <v>3055</v>
      </c>
      <c r="C420" s="3420">
        <v>4</v>
      </c>
      <c r="D420" s="3420">
        <v>55</v>
      </c>
      <c r="E420" s="3389">
        <v>63.09</v>
      </c>
      <c r="F420" s="3388"/>
    </row>
    <row r="421" spans="1:6">
      <c r="A421" s="3420">
        <v>44</v>
      </c>
      <c r="B421" s="3420" t="s">
        <v>3055</v>
      </c>
      <c r="C421" s="3420">
        <v>4</v>
      </c>
      <c r="D421" s="3420">
        <v>56</v>
      </c>
      <c r="E421" s="3389">
        <v>65.05</v>
      </c>
      <c r="F421" s="3388"/>
    </row>
    <row r="422" spans="1:6">
      <c r="A422" s="3420">
        <v>45</v>
      </c>
      <c r="B422" s="3420" t="s">
        <v>3055</v>
      </c>
      <c r="C422" s="3420">
        <v>4</v>
      </c>
      <c r="D422" s="3420">
        <v>57</v>
      </c>
      <c r="E422" s="3389">
        <v>122.68</v>
      </c>
      <c r="F422" s="3388"/>
    </row>
    <row r="423" spans="1:6">
      <c r="A423" s="3420">
        <v>46</v>
      </c>
      <c r="B423" s="3420" t="s">
        <v>3055</v>
      </c>
      <c r="C423" s="3420">
        <v>4</v>
      </c>
      <c r="D423" s="3420">
        <v>58</v>
      </c>
      <c r="E423" s="3389">
        <v>136.9</v>
      </c>
      <c r="F423" s="3388"/>
    </row>
    <row r="424" spans="1:6">
      <c r="A424" s="3420">
        <v>47</v>
      </c>
      <c r="B424" s="3420" t="s">
        <v>3055</v>
      </c>
      <c r="C424" s="3420">
        <v>5</v>
      </c>
      <c r="D424" s="3420">
        <v>47</v>
      </c>
      <c r="E424" s="3389">
        <v>39.909999999999997</v>
      </c>
      <c r="F424" s="3388"/>
    </row>
    <row r="425" spans="1:6">
      <c r="A425" s="3420">
        <v>48</v>
      </c>
      <c r="B425" s="3420" t="s">
        <v>3055</v>
      </c>
      <c r="C425" s="3420">
        <v>-1</v>
      </c>
      <c r="D425" s="3420">
        <v>85</v>
      </c>
      <c r="E425" s="3389">
        <v>51.7</v>
      </c>
      <c r="F425" s="3388"/>
    </row>
    <row r="426" spans="1:6">
      <c r="A426" s="3420">
        <v>49</v>
      </c>
      <c r="B426" s="3420" t="s">
        <v>3055</v>
      </c>
      <c r="C426" s="3420">
        <v>-1</v>
      </c>
      <c r="D426" s="3420">
        <v>96</v>
      </c>
      <c r="E426" s="3389">
        <v>75.13</v>
      </c>
      <c r="F426" s="3388"/>
    </row>
    <row r="427" spans="1:6">
      <c r="A427" s="3420">
        <v>50</v>
      </c>
      <c r="B427" s="3420" t="s">
        <v>3055</v>
      </c>
      <c r="C427" s="3420">
        <v>-1</v>
      </c>
      <c r="D427" s="3420">
        <v>105</v>
      </c>
      <c r="E427" s="3389">
        <v>27.26</v>
      </c>
      <c r="F427" s="3388"/>
    </row>
    <row r="428" spans="1:6">
      <c r="A428" s="3420">
        <v>51</v>
      </c>
      <c r="B428" s="3420" t="s">
        <v>3055</v>
      </c>
      <c r="C428" s="3420">
        <v>-1</v>
      </c>
      <c r="D428" s="3420">
        <v>183</v>
      </c>
      <c r="E428" s="3389">
        <v>101.16</v>
      </c>
      <c r="F428" s="3388"/>
    </row>
    <row r="429" spans="1:6">
      <c r="A429" s="3420">
        <v>52</v>
      </c>
      <c r="B429" s="3420" t="s">
        <v>3055</v>
      </c>
      <c r="C429" s="3420">
        <v>-1</v>
      </c>
      <c r="D429" s="3420">
        <v>230</v>
      </c>
      <c r="E429" s="3389">
        <v>56.53</v>
      </c>
      <c r="F429" s="3388"/>
    </row>
    <row r="430" spans="1:6">
      <c r="A430" s="3420">
        <v>53</v>
      </c>
      <c r="B430" s="3420" t="s">
        <v>3055</v>
      </c>
      <c r="C430" s="3420">
        <v>-2</v>
      </c>
      <c r="D430" s="3420">
        <v>105</v>
      </c>
      <c r="E430" s="3389">
        <v>74.87</v>
      </c>
      <c r="F430" s="3388"/>
    </row>
    <row r="431" spans="1:6">
      <c r="A431" s="3420">
        <v>54</v>
      </c>
      <c r="B431" s="3420" t="s">
        <v>3055</v>
      </c>
      <c r="C431" s="3420">
        <v>-2</v>
      </c>
      <c r="D431" s="3420">
        <v>106</v>
      </c>
      <c r="E431" s="3389">
        <v>125.62</v>
      </c>
      <c r="F431" s="3388"/>
    </row>
    <row r="432" spans="1:6">
      <c r="A432" s="3420">
        <v>55</v>
      </c>
      <c r="B432" s="3420" t="s">
        <v>3056</v>
      </c>
      <c r="C432" s="3420">
        <v>1</v>
      </c>
      <c r="D432" s="3420">
        <v>69</v>
      </c>
      <c r="E432" s="3389">
        <v>52.16</v>
      </c>
      <c r="F432" s="3388"/>
    </row>
    <row r="433" spans="1:6">
      <c r="A433" s="3420">
        <v>56</v>
      </c>
      <c r="B433" s="3420" t="s">
        <v>3056</v>
      </c>
      <c r="C433" s="3420">
        <v>1</v>
      </c>
      <c r="D433" s="3420">
        <v>70</v>
      </c>
      <c r="E433" s="3389">
        <v>53.61</v>
      </c>
      <c r="F433" s="3388"/>
    </row>
    <row r="434" spans="1:6">
      <c r="A434" s="3420">
        <v>57</v>
      </c>
      <c r="B434" s="3420" t="s">
        <v>3056</v>
      </c>
      <c r="C434" s="3420">
        <v>1</v>
      </c>
      <c r="D434" s="3420">
        <v>71</v>
      </c>
      <c r="E434" s="3389">
        <v>54.96</v>
      </c>
      <c r="F434" s="3388"/>
    </row>
    <row r="435" spans="1:6">
      <c r="A435" s="3420">
        <v>58</v>
      </c>
      <c r="B435" s="3420" t="s">
        <v>3056</v>
      </c>
      <c r="C435" s="3420">
        <v>1</v>
      </c>
      <c r="D435" s="3420">
        <v>72</v>
      </c>
      <c r="E435" s="3389">
        <v>54.4</v>
      </c>
      <c r="F435" s="3388"/>
    </row>
    <row r="436" spans="1:6">
      <c r="A436" s="3420">
        <v>59</v>
      </c>
      <c r="B436" s="3420" t="s">
        <v>3056</v>
      </c>
      <c r="C436" s="3420">
        <v>1</v>
      </c>
      <c r="D436" s="3420">
        <v>73</v>
      </c>
      <c r="E436" s="3389">
        <v>66.37</v>
      </c>
      <c r="F436" s="3388"/>
    </row>
    <row r="437" spans="1:6">
      <c r="A437" s="3420">
        <v>60</v>
      </c>
      <c r="B437" s="3420" t="s">
        <v>3056</v>
      </c>
      <c r="C437" s="3420">
        <v>1</v>
      </c>
      <c r="D437" s="3420">
        <v>142</v>
      </c>
      <c r="E437" s="3389">
        <v>37.75</v>
      </c>
      <c r="F437" s="3388"/>
    </row>
    <row r="438" spans="1:6">
      <c r="A438" s="3420">
        <v>24</v>
      </c>
      <c r="B438" s="3420" t="s">
        <v>3055</v>
      </c>
      <c r="C438" s="3420">
        <v>2</v>
      </c>
      <c r="D438" s="3420">
        <v>3</v>
      </c>
      <c r="E438" s="3389">
        <v>38.96</v>
      </c>
      <c r="F438" s="3388"/>
    </row>
    <row r="439" spans="1:6">
      <c r="A439" s="3420">
        <v>62</v>
      </c>
      <c r="B439" s="3420" t="s">
        <v>3056</v>
      </c>
      <c r="C439" s="3420">
        <v>3</v>
      </c>
      <c r="D439" s="3420">
        <v>26</v>
      </c>
      <c r="E439" s="3389">
        <v>60.06</v>
      </c>
      <c r="F439" s="3388"/>
    </row>
    <row r="440" spans="1:6">
      <c r="A440" s="3420">
        <v>63</v>
      </c>
      <c r="B440" s="3420" t="s">
        <v>3056</v>
      </c>
      <c r="C440" s="3420">
        <v>3</v>
      </c>
      <c r="D440" s="3420">
        <v>37</v>
      </c>
      <c r="E440" s="3389">
        <v>80.92</v>
      </c>
      <c r="F440" s="3388"/>
    </row>
    <row r="441" spans="1:6">
      <c r="A441" s="3420">
        <v>64</v>
      </c>
      <c r="B441" s="3420" t="s">
        <v>3056</v>
      </c>
      <c r="C441" s="3420">
        <v>-1</v>
      </c>
      <c r="D441" s="3420">
        <v>16</v>
      </c>
      <c r="E441" s="3389">
        <v>40.42</v>
      </c>
      <c r="F441" s="3388"/>
    </row>
    <row r="442" spans="1:6">
      <c r="A442" s="3420">
        <v>65</v>
      </c>
      <c r="B442" s="3420" t="s">
        <v>3056</v>
      </c>
      <c r="C442" s="3420">
        <v>-1</v>
      </c>
      <c r="D442" s="3420">
        <v>17</v>
      </c>
      <c r="E442" s="3389">
        <v>45.64</v>
      </c>
      <c r="F442" s="3388"/>
    </row>
    <row r="443" spans="1:6">
      <c r="A443" s="3420">
        <v>66</v>
      </c>
      <c r="B443" s="3420" t="s">
        <v>3056</v>
      </c>
      <c r="C443" s="3420">
        <v>-1</v>
      </c>
      <c r="D443" s="3420">
        <v>18</v>
      </c>
      <c r="E443" s="3389">
        <v>45.64</v>
      </c>
      <c r="F443" s="3388"/>
    </row>
    <row r="444" spans="1:6">
      <c r="A444" s="3420">
        <v>67</v>
      </c>
      <c r="B444" s="3420" t="s">
        <v>3056</v>
      </c>
      <c r="C444" s="3420">
        <v>-1</v>
      </c>
      <c r="D444" s="3420">
        <v>19</v>
      </c>
      <c r="E444" s="3389">
        <v>45.56</v>
      </c>
      <c r="F444" s="3388"/>
    </row>
    <row r="445" spans="1:6">
      <c r="A445" s="3420">
        <v>68</v>
      </c>
      <c r="B445" s="3420" t="s">
        <v>3056</v>
      </c>
      <c r="C445" s="3420">
        <v>-1</v>
      </c>
      <c r="D445" s="3420">
        <v>20</v>
      </c>
      <c r="E445" s="3389">
        <v>45.38</v>
      </c>
      <c r="F445" s="3388"/>
    </row>
    <row r="446" spans="1:6">
      <c r="A446" s="3420">
        <v>69</v>
      </c>
      <c r="B446" s="3420" t="s">
        <v>3056</v>
      </c>
      <c r="C446" s="3420">
        <v>-1</v>
      </c>
      <c r="D446" s="3420">
        <v>21</v>
      </c>
      <c r="E446" s="3389">
        <v>45.2</v>
      </c>
      <c r="F446" s="3388"/>
    </row>
    <row r="447" spans="1:6">
      <c r="A447" s="3420">
        <v>70</v>
      </c>
      <c r="B447" s="3420" t="s">
        <v>3056</v>
      </c>
      <c r="C447" s="3420">
        <v>-1</v>
      </c>
      <c r="D447" s="3420">
        <v>35</v>
      </c>
      <c r="E447" s="3389">
        <v>63.81</v>
      </c>
      <c r="F447" s="3388"/>
    </row>
    <row r="448" spans="1:6">
      <c r="A448" s="3420">
        <v>71</v>
      </c>
      <c r="B448" s="3420" t="s">
        <v>3056</v>
      </c>
      <c r="C448" s="3420">
        <v>-1</v>
      </c>
      <c r="D448" s="3420">
        <v>42</v>
      </c>
      <c r="E448" s="3389">
        <v>75.260000000000005</v>
      </c>
      <c r="F448" s="3388"/>
    </row>
    <row r="449" spans="1:6">
      <c r="A449" s="3420">
        <v>72</v>
      </c>
      <c r="B449" s="3420" t="s">
        <v>3056</v>
      </c>
      <c r="C449" s="3420">
        <v>-1</v>
      </c>
      <c r="D449" s="3420">
        <v>43</v>
      </c>
      <c r="E449" s="3389">
        <v>43.48</v>
      </c>
      <c r="F449" s="3388"/>
    </row>
    <row r="450" spans="1:6">
      <c r="A450" s="3420">
        <v>73</v>
      </c>
      <c r="B450" s="3420" t="s">
        <v>3056</v>
      </c>
      <c r="C450" s="3420">
        <v>-1</v>
      </c>
      <c r="D450" s="3420">
        <v>45</v>
      </c>
      <c r="E450" s="3389">
        <v>33.69</v>
      </c>
      <c r="F450" s="3388"/>
    </row>
    <row r="451" spans="1:6">
      <c r="A451" s="3420">
        <v>74</v>
      </c>
      <c r="B451" s="3420" t="s">
        <v>3056</v>
      </c>
      <c r="C451" s="3420">
        <v>-1</v>
      </c>
      <c r="D451" s="3420">
        <v>46</v>
      </c>
      <c r="E451" s="3389">
        <v>19.23</v>
      </c>
      <c r="F451" s="3388"/>
    </row>
    <row r="452" spans="1:6">
      <c r="A452" s="3420">
        <v>75</v>
      </c>
      <c r="B452" s="3420" t="s">
        <v>3056</v>
      </c>
      <c r="C452" s="3420">
        <v>-1</v>
      </c>
      <c r="D452" s="3420">
        <v>59</v>
      </c>
      <c r="E452" s="3389">
        <v>42.59</v>
      </c>
      <c r="F452" s="3388"/>
    </row>
    <row r="453" spans="1:6">
      <c r="A453" s="3420">
        <v>76</v>
      </c>
      <c r="B453" s="3420" t="s">
        <v>3056</v>
      </c>
      <c r="C453" s="3420">
        <v>-1</v>
      </c>
      <c r="D453" s="3420">
        <v>98</v>
      </c>
      <c r="E453" s="3389">
        <v>34.43</v>
      </c>
      <c r="F453" s="3388"/>
    </row>
    <row r="454" spans="1:6">
      <c r="A454" s="3420">
        <v>77</v>
      </c>
      <c r="B454" s="3420" t="s">
        <v>3056</v>
      </c>
      <c r="C454" s="3420">
        <v>-1</v>
      </c>
      <c r="D454" s="3420">
        <v>99</v>
      </c>
      <c r="E454" s="3389">
        <v>34.43</v>
      </c>
      <c r="F454" s="3388"/>
    </row>
    <row r="455" spans="1:6">
      <c r="A455" s="3420">
        <v>78</v>
      </c>
      <c r="B455" s="3420" t="s">
        <v>3056</v>
      </c>
      <c r="C455" s="3420">
        <v>-1</v>
      </c>
      <c r="D455" s="3420">
        <v>101</v>
      </c>
      <c r="E455" s="3389">
        <v>52.46</v>
      </c>
      <c r="F455" s="3388"/>
    </row>
    <row r="456" spans="1:6">
      <c r="A456" s="3420">
        <v>79</v>
      </c>
      <c r="B456" s="3420" t="s">
        <v>3056</v>
      </c>
      <c r="C456" s="3420">
        <v>-1</v>
      </c>
      <c r="D456" s="3420">
        <v>110</v>
      </c>
      <c r="E456" s="3389">
        <v>62.79</v>
      </c>
      <c r="F456" s="3388"/>
    </row>
    <row r="457" spans="1:6">
      <c r="A457" s="3420">
        <v>80</v>
      </c>
      <c r="B457" s="3420" t="s">
        <v>3056</v>
      </c>
      <c r="C457" s="3420">
        <v>-1</v>
      </c>
      <c r="D457" s="3420">
        <v>113</v>
      </c>
      <c r="E457" s="3389">
        <v>79.95</v>
      </c>
      <c r="F457" s="3388"/>
    </row>
    <row r="458" spans="1:6">
      <c r="A458" s="3420">
        <v>81</v>
      </c>
      <c r="B458" s="3420" t="s">
        <v>3056</v>
      </c>
      <c r="C458" s="3420">
        <v>-1</v>
      </c>
      <c r="D458" s="3420">
        <v>115</v>
      </c>
      <c r="E458" s="3389">
        <v>85.55</v>
      </c>
      <c r="F458" s="3388"/>
    </row>
    <row r="459" spans="1:6">
      <c r="A459" s="3420">
        <v>82</v>
      </c>
      <c r="B459" s="3420" t="s">
        <v>3056</v>
      </c>
      <c r="C459" s="3420">
        <v>-1</v>
      </c>
      <c r="D459" s="3420">
        <v>116</v>
      </c>
      <c r="E459" s="3389">
        <v>63.14</v>
      </c>
      <c r="F459" s="3388"/>
    </row>
    <row r="460" spans="1:6">
      <c r="A460" s="3420">
        <v>83</v>
      </c>
      <c r="B460" s="3420" t="s">
        <v>3056</v>
      </c>
      <c r="C460" s="3420">
        <v>-1</v>
      </c>
      <c r="D460" s="3420">
        <v>117</v>
      </c>
      <c r="E460" s="3389">
        <v>64.78</v>
      </c>
      <c r="F460" s="3388"/>
    </row>
    <row r="461" spans="1:6">
      <c r="A461" s="3420">
        <v>84</v>
      </c>
      <c r="B461" s="3420" t="s">
        <v>3056</v>
      </c>
      <c r="C461" s="3420">
        <v>-1</v>
      </c>
      <c r="D461" s="3420">
        <v>130</v>
      </c>
      <c r="E461" s="3389">
        <v>91.33</v>
      </c>
      <c r="F461" s="3388"/>
    </row>
    <row r="462" spans="1:6">
      <c r="A462" s="3420">
        <v>85</v>
      </c>
      <c r="B462" s="3420" t="s">
        <v>3056</v>
      </c>
      <c r="C462" s="3420">
        <v>-1</v>
      </c>
      <c r="D462" s="3420">
        <v>131</v>
      </c>
      <c r="E462" s="3389">
        <v>113.26</v>
      </c>
      <c r="F462" s="3388"/>
    </row>
    <row r="463" spans="1:6">
      <c r="A463" s="3420">
        <v>86</v>
      </c>
      <c r="B463" s="3420" t="s">
        <v>3056</v>
      </c>
      <c r="C463" s="3420">
        <v>-1</v>
      </c>
      <c r="D463" s="3420">
        <v>146</v>
      </c>
      <c r="E463" s="3389">
        <v>67.39</v>
      </c>
      <c r="F463" s="3388"/>
    </row>
    <row r="464" spans="1:6">
      <c r="A464" s="3420">
        <v>87</v>
      </c>
      <c r="B464" s="3420" t="s">
        <v>3056</v>
      </c>
      <c r="C464" s="3420">
        <v>-1</v>
      </c>
      <c r="D464" s="3420">
        <v>148</v>
      </c>
      <c r="E464" s="3389">
        <v>53.31</v>
      </c>
      <c r="F464" s="3388"/>
    </row>
    <row r="465" spans="1:6">
      <c r="A465" s="3420">
        <v>88</v>
      </c>
      <c r="B465" s="3420" t="s">
        <v>3056</v>
      </c>
      <c r="C465" s="3420">
        <v>-1</v>
      </c>
      <c r="D465" s="3420">
        <v>153</v>
      </c>
      <c r="E465" s="3389">
        <v>61.26</v>
      </c>
      <c r="F465" s="3388"/>
    </row>
    <row r="466" spans="1:6">
      <c r="A466" s="3420">
        <v>89</v>
      </c>
      <c r="B466" s="3420" t="s">
        <v>3056</v>
      </c>
      <c r="C466" s="3420">
        <v>-1</v>
      </c>
      <c r="D466" s="3420">
        <v>155</v>
      </c>
      <c r="E466" s="3389">
        <v>61.78</v>
      </c>
      <c r="F466" s="3388"/>
    </row>
    <row r="467" spans="1:6">
      <c r="A467" s="3420">
        <v>90</v>
      </c>
      <c r="B467" s="3420" t="s">
        <v>3056</v>
      </c>
      <c r="C467" s="3420">
        <v>-1</v>
      </c>
      <c r="D467" s="3420">
        <v>156</v>
      </c>
      <c r="E467" s="3389">
        <v>63.18</v>
      </c>
      <c r="F467" s="3388"/>
    </row>
    <row r="468" spans="1:6">
      <c r="A468" s="3420">
        <v>91</v>
      </c>
      <c r="B468" s="3420" t="s">
        <v>3056</v>
      </c>
      <c r="C468" s="3420">
        <v>-1</v>
      </c>
      <c r="D468" s="3420">
        <v>159</v>
      </c>
      <c r="E468" s="3389">
        <v>194.41</v>
      </c>
      <c r="F468" s="3388"/>
    </row>
    <row r="469" spans="1:6">
      <c r="A469" s="3420">
        <v>92</v>
      </c>
      <c r="B469" s="3420" t="s">
        <v>3056</v>
      </c>
      <c r="C469" s="3420">
        <v>-1</v>
      </c>
      <c r="D469" s="3420">
        <v>190</v>
      </c>
      <c r="E469" s="3389">
        <v>70.83</v>
      </c>
      <c r="F469" s="3388"/>
    </row>
    <row r="470" spans="1:6">
      <c r="A470" s="3420">
        <v>93</v>
      </c>
      <c r="B470" s="3420" t="s">
        <v>3056</v>
      </c>
      <c r="C470" s="3420">
        <v>-1</v>
      </c>
      <c r="D470" s="3420">
        <v>195</v>
      </c>
      <c r="E470" s="3389">
        <v>62.67</v>
      </c>
      <c r="F470" s="3388"/>
    </row>
    <row r="471" spans="1:6">
      <c r="A471" s="3420">
        <v>94</v>
      </c>
      <c r="B471" s="3420" t="s">
        <v>3056</v>
      </c>
      <c r="C471" s="3420">
        <v>-1</v>
      </c>
      <c r="D471" s="3420">
        <v>202</v>
      </c>
      <c r="E471" s="3389">
        <v>78.87</v>
      </c>
      <c r="F471" s="3388"/>
    </row>
    <row r="472" spans="1:6">
      <c r="A472" s="3420">
        <v>95</v>
      </c>
      <c r="B472" s="3420" t="s">
        <v>3056</v>
      </c>
      <c r="C472" s="3420">
        <v>-1</v>
      </c>
      <c r="D472" s="3420">
        <v>208</v>
      </c>
      <c r="E472" s="3389">
        <v>73.37</v>
      </c>
      <c r="F472" s="3388"/>
    </row>
    <row r="473" spans="1:6">
      <c r="A473" s="3420">
        <v>96</v>
      </c>
      <c r="B473" s="3420" t="s">
        <v>3056</v>
      </c>
      <c r="C473" s="3420">
        <v>-1</v>
      </c>
      <c r="D473" s="3420">
        <v>211</v>
      </c>
      <c r="E473" s="3389">
        <v>43.83</v>
      </c>
      <c r="F473" s="3388"/>
    </row>
    <row r="474" spans="1:6">
      <c r="A474" s="3420">
        <v>97</v>
      </c>
      <c r="B474" s="3420" t="s">
        <v>3056</v>
      </c>
      <c r="C474" s="3420">
        <v>-1</v>
      </c>
      <c r="D474" s="3420">
        <v>213</v>
      </c>
      <c r="E474" s="3389">
        <v>45.59</v>
      </c>
      <c r="F474" s="3388"/>
    </row>
    <row r="475" spans="1:6">
      <c r="A475" s="3420">
        <v>98</v>
      </c>
      <c r="B475" s="3420" t="s">
        <v>3056</v>
      </c>
      <c r="C475" s="3420">
        <v>-1</v>
      </c>
      <c r="D475" s="3420">
        <v>215</v>
      </c>
      <c r="E475" s="3389">
        <v>65.5</v>
      </c>
      <c r="F475" s="3388"/>
    </row>
    <row r="476" spans="1:6">
      <c r="A476" s="3420">
        <v>99</v>
      </c>
      <c r="B476" s="3420" t="s">
        <v>3056</v>
      </c>
      <c r="C476" s="3420">
        <v>-1</v>
      </c>
      <c r="D476" s="3420">
        <v>221</v>
      </c>
      <c r="E476" s="3389">
        <v>83.41</v>
      </c>
      <c r="F476" s="3388"/>
    </row>
    <row r="477" spans="1:6">
      <c r="A477" s="3420">
        <v>100</v>
      </c>
      <c r="B477" s="3420" t="s">
        <v>3056</v>
      </c>
      <c r="C477" s="3420">
        <v>-1</v>
      </c>
      <c r="D477" s="3420">
        <v>226</v>
      </c>
      <c r="E477" s="3389">
        <v>66.86</v>
      </c>
      <c r="F477" s="3388"/>
    </row>
    <row r="478" spans="1:6">
      <c r="A478" s="3420">
        <v>101</v>
      </c>
      <c r="B478" s="3420" t="s">
        <v>3056</v>
      </c>
      <c r="C478" s="3420">
        <v>-1</v>
      </c>
      <c r="D478" s="3420">
        <v>228</v>
      </c>
      <c r="E478" s="3389">
        <v>67.709999999999994</v>
      </c>
      <c r="F478" s="3388"/>
    </row>
    <row r="479" spans="1:6">
      <c r="A479" s="3420">
        <v>102</v>
      </c>
      <c r="B479" s="3420" t="s">
        <v>3056</v>
      </c>
      <c r="C479" s="3420">
        <v>-1</v>
      </c>
      <c r="D479" s="3420">
        <v>229</v>
      </c>
      <c r="E479" s="3389">
        <v>70.98</v>
      </c>
      <c r="F479" s="3388"/>
    </row>
    <row r="480" spans="1:6">
      <c r="A480" s="3420">
        <v>103</v>
      </c>
      <c r="B480" s="3420" t="s">
        <v>3056</v>
      </c>
      <c r="C480" s="3420">
        <v>-1</v>
      </c>
      <c r="D480" s="3420">
        <v>232</v>
      </c>
      <c r="E480" s="3389">
        <v>59.79</v>
      </c>
      <c r="F480" s="3388"/>
    </row>
    <row r="481" spans="1:6">
      <c r="A481" s="3420">
        <v>104</v>
      </c>
      <c r="B481" s="3420" t="s">
        <v>3056</v>
      </c>
      <c r="C481" s="3420">
        <v>-1</v>
      </c>
      <c r="D481" s="3420">
        <v>233</v>
      </c>
      <c r="E481" s="3389">
        <v>70.52</v>
      </c>
      <c r="F481" s="3388"/>
    </row>
    <row r="482" spans="1:6">
      <c r="A482" s="3420">
        <v>105</v>
      </c>
      <c r="B482" s="3420" t="s">
        <v>3056</v>
      </c>
      <c r="C482" s="3420">
        <v>-1</v>
      </c>
      <c r="D482" s="3420">
        <v>235</v>
      </c>
      <c r="E482" s="3389">
        <v>73.31</v>
      </c>
      <c r="F482" s="3388"/>
    </row>
    <row r="483" spans="1:6">
      <c r="A483" s="3420">
        <v>106</v>
      </c>
      <c r="B483" s="3420" t="s">
        <v>3056</v>
      </c>
      <c r="C483" s="3420">
        <v>-1</v>
      </c>
      <c r="D483" s="3420">
        <v>236</v>
      </c>
      <c r="E483" s="3389">
        <v>59.42</v>
      </c>
      <c r="F483" s="3388"/>
    </row>
    <row r="484" spans="1:6">
      <c r="A484" s="3420">
        <v>107</v>
      </c>
      <c r="B484" s="3420" t="s">
        <v>3056</v>
      </c>
      <c r="C484" s="3420">
        <v>-1</v>
      </c>
      <c r="D484" s="3420">
        <v>237</v>
      </c>
      <c r="E484" s="3389">
        <v>54.99</v>
      </c>
      <c r="F484" s="3388"/>
    </row>
    <row r="485" spans="1:6">
      <c r="A485" s="3420">
        <v>108</v>
      </c>
      <c r="B485" s="3420" t="s">
        <v>3056</v>
      </c>
      <c r="C485" s="3420">
        <v>-1</v>
      </c>
      <c r="D485" s="3420">
        <v>238</v>
      </c>
      <c r="E485" s="3389">
        <v>53.03</v>
      </c>
      <c r="F485" s="3388"/>
    </row>
    <row r="486" spans="1:6">
      <c r="A486" s="3420">
        <v>109</v>
      </c>
      <c r="B486" s="3420" t="s">
        <v>3056</v>
      </c>
      <c r="C486" s="3420">
        <v>-1</v>
      </c>
      <c r="D486" s="3420">
        <v>239</v>
      </c>
      <c r="E486" s="3389">
        <v>53.03</v>
      </c>
      <c r="F486" s="3388"/>
    </row>
    <row r="487" spans="1:6">
      <c r="A487" s="3420">
        <v>110</v>
      </c>
      <c r="B487" s="3420" t="s">
        <v>3056</v>
      </c>
      <c r="C487" s="3420">
        <v>-1</v>
      </c>
      <c r="D487" s="3420">
        <v>243</v>
      </c>
      <c r="E487" s="3389">
        <v>78.56</v>
      </c>
      <c r="F487" s="3388"/>
    </row>
    <row r="488" spans="1:6">
      <c r="A488" s="3420">
        <v>111</v>
      </c>
      <c r="B488" s="3420" t="s">
        <v>3056</v>
      </c>
      <c r="C488" s="3420">
        <v>-1</v>
      </c>
      <c r="D488" s="3420">
        <v>245</v>
      </c>
      <c r="E488" s="3389">
        <v>72.61</v>
      </c>
      <c r="F488" s="3388"/>
    </row>
    <row r="489" spans="1:6">
      <c r="A489" s="3420">
        <v>112</v>
      </c>
      <c r="B489" s="3420" t="s">
        <v>3056</v>
      </c>
      <c r="C489" s="3420">
        <v>-1</v>
      </c>
      <c r="D489" s="3420">
        <v>246</v>
      </c>
      <c r="E489" s="3389">
        <v>75.650000000000006</v>
      </c>
      <c r="F489" s="3388"/>
    </row>
    <row r="490" spans="1:6">
      <c r="A490" s="3420">
        <v>113</v>
      </c>
      <c r="B490" s="3420" t="s">
        <v>3056</v>
      </c>
      <c r="C490" s="3420">
        <v>-1</v>
      </c>
      <c r="D490" s="3420">
        <v>248</v>
      </c>
      <c r="E490" s="3389">
        <v>83.54</v>
      </c>
      <c r="F490" s="3388"/>
    </row>
    <row r="491" spans="1:6">
      <c r="A491" s="3420">
        <v>114</v>
      </c>
      <c r="B491" s="3420" t="s">
        <v>3056</v>
      </c>
      <c r="C491" s="3420">
        <v>-1</v>
      </c>
      <c r="D491" s="3420">
        <v>251</v>
      </c>
      <c r="E491" s="3389">
        <v>105.02</v>
      </c>
      <c r="F491" s="3388"/>
    </row>
    <row r="492" spans="1:6">
      <c r="A492" s="3420">
        <v>115</v>
      </c>
      <c r="B492" s="3420" t="s">
        <v>3056</v>
      </c>
      <c r="C492" s="3420">
        <v>-1</v>
      </c>
      <c r="D492" s="3420">
        <v>257</v>
      </c>
      <c r="E492" s="3389">
        <v>87.45</v>
      </c>
      <c r="F492" s="3388"/>
    </row>
    <row r="493" spans="1:6">
      <c r="A493" s="3420">
        <v>116</v>
      </c>
      <c r="B493" s="3420" t="s">
        <v>3056</v>
      </c>
      <c r="C493" s="3420">
        <v>-1</v>
      </c>
      <c r="D493" s="3420">
        <v>258</v>
      </c>
      <c r="E493" s="3389">
        <v>79.98</v>
      </c>
      <c r="F493" s="3388"/>
    </row>
    <row r="494" spans="1:6">
      <c r="A494" s="3420">
        <v>117</v>
      </c>
      <c r="B494" s="3420" t="s">
        <v>3056</v>
      </c>
      <c r="C494" s="3420">
        <v>-1</v>
      </c>
      <c r="D494" s="3420">
        <v>259</v>
      </c>
      <c r="E494" s="3389">
        <v>75.63</v>
      </c>
      <c r="F494" s="3388"/>
    </row>
    <row r="495" spans="1:6">
      <c r="A495" s="3420">
        <v>118</v>
      </c>
      <c r="B495" s="3420" t="s">
        <v>3056</v>
      </c>
      <c r="C495" s="3420">
        <v>-1</v>
      </c>
      <c r="D495" s="3420">
        <v>260</v>
      </c>
      <c r="E495" s="3389">
        <v>72.61</v>
      </c>
      <c r="F495" s="3388"/>
    </row>
    <row r="496" spans="1:6">
      <c r="A496" s="3420">
        <v>119</v>
      </c>
      <c r="B496" s="3420" t="s">
        <v>3056</v>
      </c>
      <c r="C496" s="3420">
        <v>-1</v>
      </c>
      <c r="D496" s="3420">
        <v>262</v>
      </c>
      <c r="E496" s="3389">
        <v>36.39</v>
      </c>
      <c r="F496" s="3388"/>
    </row>
    <row r="497" spans="1:6">
      <c r="A497" s="3420">
        <v>120</v>
      </c>
      <c r="B497" s="3420" t="s">
        <v>3056</v>
      </c>
      <c r="C497" s="3420">
        <v>-1</v>
      </c>
      <c r="D497" s="3420">
        <v>263</v>
      </c>
      <c r="E497" s="3389">
        <v>72.95</v>
      </c>
      <c r="F497" s="3388"/>
    </row>
    <row r="498" spans="1:6">
      <c r="A498" s="3420">
        <v>121</v>
      </c>
      <c r="B498" s="3420" t="s">
        <v>3056</v>
      </c>
      <c r="C498" s="3420">
        <v>-1</v>
      </c>
      <c r="D498" s="3420">
        <v>289</v>
      </c>
      <c r="E498" s="3389">
        <v>39.119999999999997</v>
      </c>
      <c r="F498" s="3388"/>
    </row>
    <row r="499" spans="1:6">
      <c r="A499" s="3420">
        <v>122</v>
      </c>
      <c r="B499" s="3420" t="s">
        <v>3056</v>
      </c>
      <c r="C499" s="3420">
        <v>-1</v>
      </c>
      <c r="D499" s="3420">
        <v>290</v>
      </c>
      <c r="E499" s="3389">
        <v>39.119999999999997</v>
      </c>
      <c r="F499" s="3388"/>
    </row>
    <row r="500" spans="1:6">
      <c r="A500" s="3420">
        <v>123</v>
      </c>
      <c r="B500" s="3420" t="s">
        <v>3056</v>
      </c>
      <c r="C500" s="3420">
        <v>-1</v>
      </c>
      <c r="D500" s="3420">
        <v>291</v>
      </c>
      <c r="E500" s="3389">
        <v>39.119999999999997</v>
      </c>
      <c r="F500" s="3388"/>
    </row>
    <row r="501" spans="1:6">
      <c r="A501" s="3420">
        <v>124</v>
      </c>
      <c r="B501" s="3420" t="s">
        <v>3056</v>
      </c>
      <c r="C501" s="3420">
        <v>-1</v>
      </c>
      <c r="D501" s="3420">
        <v>292</v>
      </c>
      <c r="E501" s="3389">
        <v>39.119999999999997</v>
      </c>
      <c r="F501" s="3388"/>
    </row>
    <row r="502" spans="1:6">
      <c r="A502" s="3420">
        <v>125</v>
      </c>
      <c r="B502" s="3420" t="s">
        <v>3056</v>
      </c>
      <c r="C502" s="3420">
        <v>-1</v>
      </c>
      <c r="D502" s="3420">
        <v>293</v>
      </c>
      <c r="E502" s="3389">
        <v>39.119999999999997</v>
      </c>
      <c r="F502" s="3388"/>
    </row>
    <row r="503" spans="1:6">
      <c r="A503" s="3420">
        <v>126</v>
      </c>
      <c r="B503" s="3420" t="s">
        <v>3056</v>
      </c>
      <c r="C503" s="3420">
        <v>-1</v>
      </c>
      <c r="D503" s="3420">
        <v>295</v>
      </c>
      <c r="E503" s="3389">
        <v>39.119999999999997</v>
      </c>
      <c r="F503" s="3388"/>
    </row>
    <row r="504" spans="1:6">
      <c r="A504" s="3420">
        <v>127</v>
      </c>
      <c r="B504" s="3420" t="s">
        <v>3056</v>
      </c>
      <c r="C504" s="3420">
        <v>-1</v>
      </c>
      <c r="D504" s="3420">
        <v>296</v>
      </c>
      <c r="E504" s="3389">
        <v>39.119999999999997</v>
      </c>
      <c r="F504" s="3388"/>
    </row>
    <row r="505" spans="1:6">
      <c r="A505" s="3420">
        <v>128</v>
      </c>
      <c r="B505" s="3420" t="s">
        <v>3056</v>
      </c>
      <c r="C505" s="3420">
        <v>-1</v>
      </c>
      <c r="D505" s="3420">
        <v>300</v>
      </c>
      <c r="E505" s="3389">
        <v>39.119999999999997</v>
      </c>
      <c r="F505" s="3388"/>
    </row>
    <row r="506" spans="1:6">
      <c r="A506" s="3420">
        <v>129</v>
      </c>
      <c r="B506" s="3420" t="s">
        <v>3056</v>
      </c>
      <c r="C506" s="3420">
        <v>-1</v>
      </c>
      <c r="D506" s="3420">
        <v>301</v>
      </c>
      <c r="E506" s="3389">
        <v>39.119999999999997</v>
      </c>
      <c r="F506" s="3388"/>
    </row>
    <row r="507" spans="1:6">
      <c r="A507" s="3420">
        <v>130</v>
      </c>
      <c r="B507" s="3420" t="s">
        <v>3056</v>
      </c>
      <c r="C507" s="3420">
        <v>-1</v>
      </c>
      <c r="D507" s="3420">
        <v>302</v>
      </c>
      <c r="E507" s="3389">
        <v>39.119999999999997</v>
      </c>
      <c r="F507" s="3388"/>
    </row>
    <row r="508" spans="1:6">
      <c r="A508" s="3420">
        <v>131</v>
      </c>
      <c r="B508" s="3420" t="s">
        <v>3056</v>
      </c>
      <c r="C508" s="3420">
        <v>-1</v>
      </c>
      <c r="D508" s="3420">
        <v>303</v>
      </c>
      <c r="E508" s="3389">
        <v>39.119999999999997</v>
      </c>
      <c r="F508" s="3388"/>
    </row>
    <row r="509" spans="1:6">
      <c r="A509" s="3420">
        <v>132</v>
      </c>
      <c r="B509" s="3420" t="s">
        <v>3056</v>
      </c>
      <c r="C509" s="3420">
        <v>-1</v>
      </c>
      <c r="D509" s="3420">
        <v>305</v>
      </c>
      <c r="E509" s="3389">
        <v>39.119999999999997</v>
      </c>
      <c r="F509" s="3388"/>
    </row>
    <row r="510" spans="1:6">
      <c r="A510" s="3420">
        <v>133</v>
      </c>
      <c r="B510" s="3420" t="s">
        <v>3056</v>
      </c>
      <c r="C510" s="3420">
        <v>-1</v>
      </c>
      <c r="D510" s="3420">
        <v>310</v>
      </c>
      <c r="E510" s="3389">
        <v>101.65</v>
      </c>
      <c r="F510" s="3388"/>
    </row>
    <row r="511" spans="1:6">
      <c r="A511" s="3420">
        <v>134</v>
      </c>
      <c r="B511" s="3420" t="s">
        <v>3056</v>
      </c>
      <c r="C511" s="3420">
        <v>-1</v>
      </c>
      <c r="D511" s="3420">
        <v>317</v>
      </c>
      <c r="E511" s="3389">
        <v>64.33</v>
      </c>
      <c r="F511" s="3388"/>
    </row>
    <row r="512" spans="1:6">
      <c r="A512" s="3420">
        <v>135</v>
      </c>
      <c r="B512" s="3420" t="s">
        <v>3056</v>
      </c>
      <c r="C512" s="3420">
        <v>-1</v>
      </c>
      <c r="D512" s="3420">
        <v>318</v>
      </c>
      <c r="E512" s="3389">
        <v>64.33</v>
      </c>
      <c r="F512" s="3388"/>
    </row>
    <row r="513" spans="1:6">
      <c r="A513" s="3420">
        <v>136</v>
      </c>
      <c r="B513" s="3420" t="s">
        <v>3056</v>
      </c>
      <c r="C513" s="3420">
        <v>-1</v>
      </c>
      <c r="D513" s="3420">
        <v>319</v>
      </c>
      <c r="E513" s="3389">
        <v>64.33</v>
      </c>
      <c r="F513" s="3388"/>
    </row>
    <row r="514" spans="1:6">
      <c r="A514" s="3420">
        <v>137</v>
      </c>
      <c r="B514" s="3420" t="s">
        <v>3056</v>
      </c>
      <c r="C514" s="3420">
        <v>-1</v>
      </c>
      <c r="D514" s="3420">
        <v>320</v>
      </c>
      <c r="E514" s="3389">
        <v>64.33</v>
      </c>
      <c r="F514" s="3388"/>
    </row>
    <row r="515" spans="1:6">
      <c r="A515" s="3420">
        <v>138</v>
      </c>
      <c r="B515" s="3420" t="s">
        <v>3056</v>
      </c>
      <c r="C515" s="3420">
        <v>-1</v>
      </c>
      <c r="D515" s="3420">
        <v>321</v>
      </c>
      <c r="E515" s="3389">
        <v>64.33</v>
      </c>
      <c r="F515" s="3388"/>
    </row>
    <row r="516" spans="1:6">
      <c r="A516" s="3420">
        <v>139</v>
      </c>
      <c r="B516" s="3420" t="s">
        <v>3056</v>
      </c>
      <c r="C516" s="3420">
        <v>-1</v>
      </c>
      <c r="D516" s="3420">
        <v>322</v>
      </c>
      <c r="E516" s="3389">
        <v>65.44</v>
      </c>
      <c r="F516" s="3388"/>
    </row>
    <row r="517" spans="1:6">
      <c r="A517" s="3420">
        <v>140</v>
      </c>
      <c r="B517" s="3420" t="s">
        <v>3056</v>
      </c>
      <c r="C517" s="3420">
        <v>-1</v>
      </c>
      <c r="D517" s="3420">
        <v>323</v>
      </c>
      <c r="E517" s="3389">
        <v>68.010000000000005</v>
      </c>
      <c r="F517" s="3388"/>
    </row>
    <row r="518" spans="1:6">
      <c r="A518" s="3420">
        <v>141</v>
      </c>
      <c r="B518" s="3420" t="s">
        <v>3056</v>
      </c>
      <c r="C518" s="3420">
        <v>-1</v>
      </c>
      <c r="D518" s="3420">
        <v>325</v>
      </c>
      <c r="E518" s="3389">
        <v>64.33</v>
      </c>
      <c r="F518" s="3388"/>
    </row>
    <row r="519" spans="1:6">
      <c r="A519" s="3420">
        <v>142</v>
      </c>
      <c r="B519" s="3420" t="s">
        <v>3056</v>
      </c>
      <c r="C519" s="3420">
        <v>-1</v>
      </c>
      <c r="D519" s="3420">
        <v>326</v>
      </c>
      <c r="E519" s="3389">
        <v>64.33</v>
      </c>
      <c r="F519" s="3388"/>
    </row>
    <row r="520" spans="1:6">
      <c r="A520" s="3420">
        <v>143</v>
      </c>
      <c r="B520" s="3420" t="s">
        <v>3056</v>
      </c>
      <c r="C520" s="3420">
        <v>-1</v>
      </c>
      <c r="D520" s="3420">
        <v>327</v>
      </c>
      <c r="E520" s="3389">
        <v>64.33</v>
      </c>
      <c r="F520" s="3388"/>
    </row>
    <row r="521" spans="1:6">
      <c r="A521" s="3420">
        <v>144</v>
      </c>
      <c r="B521" s="3420" t="s">
        <v>3056</v>
      </c>
      <c r="C521" s="3420">
        <v>-1</v>
      </c>
      <c r="D521" s="3420">
        <v>328</v>
      </c>
      <c r="E521" s="3389">
        <v>64.33</v>
      </c>
      <c r="F521" s="3388"/>
    </row>
    <row r="522" spans="1:6">
      <c r="A522" s="3420">
        <v>288</v>
      </c>
      <c r="B522" s="3420" t="s">
        <v>3054</v>
      </c>
      <c r="C522" s="3420">
        <v>1</v>
      </c>
      <c r="D522" s="3420">
        <v>27</v>
      </c>
      <c r="E522" s="3389">
        <v>95.27</v>
      </c>
      <c r="F522" s="3388"/>
    </row>
    <row r="523" spans="1:6">
      <c r="A523" s="3420">
        <v>289</v>
      </c>
      <c r="B523" s="3420" t="s">
        <v>3054</v>
      </c>
      <c r="C523" s="3420">
        <v>1</v>
      </c>
      <c r="D523" s="3420">
        <v>183</v>
      </c>
      <c r="E523" s="3389">
        <v>71.5</v>
      </c>
      <c r="F523" s="3388"/>
    </row>
    <row r="524" spans="1:6">
      <c r="A524" s="3420">
        <v>290</v>
      </c>
      <c r="B524" s="3420" t="s">
        <v>3054</v>
      </c>
      <c r="C524" s="3420">
        <v>1</v>
      </c>
      <c r="D524" s="3420">
        <v>185</v>
      </c>
      <c r="E524" s="3389">
        <v>66.72</v>
      </c>
      <c r="F524" s="3388"/>
    </row>
    <row r="525" spans="1:6">
      <c r="A525" s="3420">
        <v>291</v>
      </c>
      <c r="B525" s="3420" t="s">
        <v>3054</v>
      </c>
      <c r="C525" s="3420">
        <v>3</v>
      </c>
      <c r="D525" s="3420">
        <v>38</v>
      </c>
      <c r="E525" s="3389">
        <v>86.31</v>
      </c>
      <c r="F525" s="3388"/>
    </row>
    <row r="526" spans="1:6">
      <c r="A526" s="3420">
        <v>292</v>
      </c>
      <c r="B526" s="3420" t="s">
        <v>3054</v>
      </c>
      <c r="C526" s="3420">
        <v>3</v>
      </c>
      <c r="D526" s="3420">
        <v>97</v>
      </c>
      <c r="E526" s="3389">
        <v>45.54</v>
      </c>
      <c r="F526" s="3388"/>
    </row>
    <row r="527" spans="1:6">
      <c r="A527" s="3420">
        <v>293</v>
      </c>
      <c r="B527" s="3420" t="s">
        <v>3055</v>
      </c>
      <c r="C527" s="3420">
        <v>1</v>
      </c>
      <c r="D527" s="3420">
        <v>155</v>
      </c>
      <c r="E527" s="3389">
        <v>127.21</v>
      </c>
      <c r="F527" s="3388"/>
    </row>
    <row r="528" spans="1:6">
      <c r="A528" s="3420">
        <v>294</v>
      </c>
      <c r="B528" s="3420" t="s">
        <v>3055</v>
      </c>
      <c r="C528" s="3420">
        <v>3</v>
      </c>
      <c r="D528" s="3420">
        <v>62</v>
      </c>
      <c r="E528" s="3389">
        <v>67.33</v>
      </c>
      <c r="F528" s="3388"/>
    </row>
    <row r="529" spans="1:6">
      <c r="A529" s="3420">
        <v>295</v>
      </c>
      <c r="B529" s="3420" t="s">
        <v>3055</v>
      </c>
      <c r="C529" s="3420">
        <v>3</v>
      </c>
      <c r="D529" s="3420">
        <v>75</v>
      </c>
      <c r="E529" s="3389">
        <v>84.13</v>
      </c>
      <c r="F529" s="3388"/>
    </row>
    <row r="530" spans="1:6">
      <c r="A530" s="3420">
        <v>318</v>
      </c>
      <c r="B530" s="3420">
        <v>11</v>
      </c>
      <c r="C530" s="3420">
        <v>1</v>
      </c>
      <c r="D530" s="3420">
        <v>36</v>
      </c>
      <c r="E530" s="3389">
        <v>68.489999999999995</v>
      </c>
      <c r="F530" s="3388"/>
    </row>
    <row r="531" spans="1:6">
      <c r="A531" s="3420">
        <v>319</v>
      </c>
      <c r="B531" s="3420">
        <v>11</v>
      </c>
      <c r="C531" s="3420">
        <v>1</v>
      </c>
      <c r="D531" s="3420">
        <v>61</v>
      </c>
      <c r="E531" s="3389">
        <v>39.5</v>
      </c>
      <c r="F531" s="3388"/>
    </row>
    <row r="532" spans="1:6">
      <c r="A532" s="3420">
        <v>320</v>
      </c>
      <c r="B532" s="3420">
        <v>11</v>
      </c>
      <c r="C532" s="3420">
        <v>1</v>
      </c>
      <c r="D532" s="3420">
        <v>81</v>
      </c>
      <c r="E532" s="3389">
        <v>45.72</v>
      </c>
      <c r="F532" s="3388"/>
    </row>
    <row r="533" spans="1:6">
      <c r="A533" s="3420">
        <v>321</v>
      </c>
      <c r="B533" s="3420">
        <v>11</v>
      </c>
      <c r="C533" s="3420">
        <v>1</v>
      </c>
      <c r="D533" s="3420">
        <v>146</v>
      </c>
      <c r="E533" s="3389">
        <v>53.91</v>
      </c>
      <c r="F533" s="3388"/>
    </row>
    <row r="534" spans="1:6">
      <c r="A534" s="3420">
        <v>322</v>
      </c>
      <c r="B534" s="3420">
        <v>11</v>
      </c>
      <c r="C534" s="3420">
        <v>1</v>
      </c>
      <c r="D534" s="3420">
        <v>147</v>
      </c>
      <c r="E534" s="3389">
        <v>87.65</v>
      </c>
      <c r="F534" s="3388"/>
    </row>
    <row r="535" spans="1:6">
      <c r="A535" s="3420">
        <v>323</v>
      </c>
      <c r="B535" s="3420">
        <v>11</v>
      </c>
      <c r="C535" s="3420">
        <v>-1</v>
      </c>
      <c r="D535" s="3420">
        <v>5</v>
      </c>
      <c r="E535" s="3389">
        <v>108.34</v>
      </c>
      <c r="F535" s="3388"/>
    </row>
    <row r="536" spans="1:6">
      <c r="A536" s="3420">
        <v>324</v>
      </c>
      <c r="B536" s="3420">
        <v>11</v>
      </c>
      <c r="C536" s="3420">
        <v>-1</v>
      </c>
      <c r="D536" s="3420">
        <v>11</v>
      </c>
      <c r="E536" s="3389">
        <v>56.57</v>
      </c>
      <c r="F536" s="3388"/>
    </row>
    <row r="537" spans="1:6">
      <c r="A537" s="3420">
        <v>325</v>
      </c>
      <c r="B537" s="3420">
        <v>11</v>
      </c>
      <c r="C537" s="3420">
        <v>-1</v>
      </c>
      <c r="D537" s="3420">
        <v>13</v>
      </c>
      <c r="E537" s="3389">
        <v>53.58</v>
      </c>
      <c r="F537" s="3388"/>
    </row>
    <row r="538" spans="1:6">
      <c r="A538" s="3420">
        <v>326</v>
      </c>
      <c r="B538" s="3420">
        <v>11</v>
      </c>
      <c r="C538" s="3420">
        <v>-1</v>
      </c>
      <c r="D538" s="3420">
        <v>21</v>
      </c>
      <c r="E538" s="3389">
        <v>106.14</v>
      </c>
      <c r="F538" s="3388"/>
    </row>
    <row r="539" spans="1:6">
      <c r="A539" s="3420">
        <v>327</v>
      </c>
      <c r="B539" s="3420">
        <v>11</v>
      </c>
      <c r="C539" s="3420">
        <v>-1</v>
      </c>
      <c r="D539" s="3420">
        <v>39</v>
      </c>
      <c r="E539" s="3389">
        <v>95</v>
      </c>
      <c r="F539" s="3388"/>
    </row>
    <row r="540" spans="1:6">
      <c r="A540" s="3420">
        <v>328</v>
      </c>
      <c r="B540" s="3420">
        <v>11</v>
      </c>
      <c r="C540" s="3420">
        <v>-1</v>
      </c>
      <c r="D540" s="3420">
        <v>41</v>
      </c>
      <c r="E540" s="3389">
        <v>90.68</v>
      </c>
      <c r="F540" s="3388"/>
    </row>
    <row r="541" spans="1:6">
      <c r="A541" s="3420">
        <v>329</v>
      </c>
      <c r="B541" s="3420">
        <v>11</v>
      </c>
      <c r="C541" s="3420">
        <v>-1</v>
      </c>
      <c r="D541" s="3420">
        <v>63</v>
      </c>
      <c r="E541" s="3389">
        <v>130.07</v>
      </c>
      <c r="F541" s="3388"/>
    </row>
    <row r="542" spans="1:6">
      <c r="A542" s="3420">
        <v>330</v>
      </c>
      <c r="B542" s="3420">
        <v>11</v>
      </c>
      <c r="C542" s="3420">
        <v>-1</v>
      </c>
      <c r="D542" s="3420">
        <v>71</v>
      </c>
      <c r="E542" s="3389">
        <v>62.31</v>
      </c>
      <c r="F542" s="3388"/>
    </row>
    <row r="543" spans="1:6">
      <c r="A543" s="3420">
        <v>331</v>
      </c>
      <c r="B543" s="3420">
        <v>11</v>
      </c>
      <c r="C543" s="3420">
        <v>-1</v>
      </c>
      <c r="D543" s="3420">
        <v>78</v>
      </c>
      <c r="E543" s="3389">
        <v>98.1</v>
      </c>
      <c r="F543" s="3388"/>
    </row>
    <row r="544" spans="1:6">
      <c r="A544" s="3420">
        <v>332</v>
      </c>
      <c r="B544" s="3420">
        <v>11</v>
      </c>
      <c r="C544" s="3420">
        <v>-1</v>
      </c>
      <c r="D544" s="3420">
        <v>113</v>
      </c>
      <c r="E544" s="3389">
        <v>179.45</v>
      </c>
      <c r="F544" s="3388"/>
    </row>
    <row r="545" spans="1:6">
      <c r="A545" s="3420">
        <v>333</v>
      </c>
      <c r="B545" s="3420">
        <v>11</v>
      </c>
      <c r="C545" s="3420">
        <v>-1</v>
      </c>
      <c r="D545" s="3420">
        <v>127</v>
      </c>
      <c r="E545" s="3389">
        <v>35.82</v>
      </c>
      <c r="F545" s="3388"/>
    </row>
    <row r="546" spans="1:6">
      <c r="A546" s="3420">
        <v>334</v>
      </c>
      <c r="B546" s="3420">
        <v>11</v>
      </c>
      <c r="C546" s="3420">
        <v>-1</v>
      </c>
      <c r="D546" s="3420">
        <v>136</v>
      </c>
      <c r="E546" s="3389">
        <v>62.57</v>
      </c>
      <c r="F546" s="3388"/>
    </row>
    <row r="547" spans="1:6">
      <c r="A547" s="3420">
        <v>335</v>
      </c>
      <c r="B547" s="3420">
        <v>11</v>
      </c>
      <c r="C547" s="3420">
        <v>-1</v>
      </c>
      <c r="D547" s="3420">
        <v>140</v>
      </c>
      <c r="E547" s="3389">
        <v>44.9</v>
      </c>
      <c r="F547" s="3388"/>
    </row>
    <row r="548" spans="1:6">
      <c r="A548" s="3420">
        <v>336</v>
      </c>
      <c r="B548" s="3420">
        <v>11</v>
      </c>
      <c r="C548" s="3420">
        <v>-1</v>
      </c>
      <c r="D548" s="3420">
        <v>146</v>
      </c>
      <c r="E548" s="3389">
        <v>87.64</v>
      </c>
      <c r="F548" s="3388"/>
    </row>
    <row r="549" spans="1:6">
      <c r="A549" s="3420">
        <v>337</v>
      </c>
      <c r="B549" s="3420">
        <v>11</v>
      </c>
      <c r="C549" s="3420">
        <v>-1</v>
      </c>
      <c r="D549" s="3420">
        <v>157</v>
      </c>
      <c r="E549" s="3389">
        <v>91.81</v>
      </c>
      <c r="F549" s="3388"/>
    </row>
    <row r="550" spans="1:6">
      <c r="A550" s="3420">
        <v>338</v>
      </c>
      <c r="B550" s="3420">
        <v>11</v>
      </c>
      <c r="C550" s="3420">
        <v>-2</v>
      </c>
      <c r="D550" s="3420">
        <v>25</v>
      </c>
      <c r="E550" s="3389">
        <v>47.58</v>
      </c>
      <c r="F550" s="3388"/>
    </row>
    <row r="551" spans="1:6">
      <c r="A551" s="3420">
        <v>339</v>
      </c>
      <c r="B551" s="3420">
        <v>11</v>
      </c>
      <c r="C551" s="3420">
        <v>-2</v>
      </c>
      <c r="D551" s="3420">
        <v>37</v>
      </c>
      <c r="E551" s="3389">
        <v>46.64</v>
      </c>
      <c r="F551" s="3388"/>
    </row>
    <row r="552" spans="1:6">
      <c r="A552" s="3420">
        <v>340</v>
      </c>
      <c r="B552" s="3420">
        <v>11</v>
      </c>
      <c r="C552" s="3420">
        <v>-2</v>
      </c>
      <c r="D552" s="3420">
        <v>78</v>
      </c>
      <c r="E552" s="3389">
        <v>74.27</v>
      </c>
      <c r="F552" s="3388"/>
    </row>
    <row r="553" spans="1:6">
      <c r="A553" s="3420">
        <v>341</v>
      </c>
      <c r="B553" s="3420">
        <v>11</v>
      </c>
      <c r="C553" s="3420">
        <v>-2</v>
      </c>
      <c r="D553" s="3420">
        <v>80</v>
      </c>
      <c r="E553" s="3389">
        <v>98.48</v>
      </c>
      <c r="F553" s="3388"/>
    </row>
    <row r="554" spans="1:6">
      <c r="A554" s="3420">
        <v>342</v>
      </c>
      <c r="B554" s="3420">
        <v>11</v>
      </c>
      <c r="C554" s="3420">
        <v>-2</v>
      </c>
      <c r="D554" s="3420">
        <v>126</v>
      </c>
      <c r="E554" s="3389">
        <v>43.92</v>
      </c>
      <c r="F554" s="3388"/>
    </row>
    <row r="555" spans="1:6">
      <c r="A555" s="3420">
        <v>343</v>
      </c>
      <c r="B555" s="3420">
        <v>11</v>
      </c>
      <c r="C555" s="3420">
        <v>-2</v>
      </c>
      <c r="D555" s="3420">
        <v>128</v>
      </c>
      <c r="E555" s="3389">
        <v>43.92</v>
      </c>
      <c r="F555" s="3388"/>
    </row>
    <row r="556" spans="1:6">
      <c r="A556" s="3420">
        <v>344</v>
      </c>
      <c r="B556" s="3420">
        <v>11</v>
      </c>
      <c r="C556" s="3420">
        <v>-2</v>
      </c>
      <c r="D556" s="3420">
        <v>147</v>
      </c>
      <c r="E556" s="3389">
        <v>83.09</v>
      </c>
      <c r="F556" s="3388"/>
    </row>
    <row r="557" spans="1:6">
      <c r="A557" s="3420">
        <v>345</v>
      </c>
      <c r="B557" s="3420">
        <v>11</v>
      </c>
      <c r="C557" s="3420">
        <v>-2</v>
      </c>
      <c r="D557" s="3420">
        <v>163</v>
      </c>
      <c r="E557" s="3389">
        <v>18.84</v>
      </c>
      <c r="F557" s="3388"/>
    </row>
    <row r="558" spans="1:6">
      <c r="A558" s="3420">
        <v>346</v>
      </c>
      <c r="B558" s="3420">
        <v>12</v>
      </c>
      <c r="C558" s="3420">
        <v>1</v>
      </c>
      <c r="D558" s="3420">
        <v>6</v>
      </c>
      <c r="E558" s="3389">
        <v>158.02000000000001</v>
      </c>
      <c r="F558" s="3388"/>
    </row>
    <row r="559" spans="1:6">
      <c r="A559" s="3420">
        <v>347</v>
      </c>
      <c r="B559" s="3420">
        <v>12</v>
      </c>
      <c r="C559" s="3420">
        <v>1</v>
      </c>
      <c r="D559" s="3420">
        <v>7</v>
      </c>
      <c r="E559" s="3389">
        <v>150.76</v>
      </c>
      <c r="F559" s="3388"/>
    </row>
    <row r="560" spans="1:6">
      <c r="A560" s="3420">
        <v>348</v>
      </c>
      <c r="B560" s="3420">
        <v>12</v>
      </c>
      <c r="C560" s="3420">
        <v>1</v>
      </c>
      <c r="D560" s="3420">
        <v>30</v>
      </c>
      <c r="E560" s="3389">
        <v>58.23</v>
      </c>
      <c r="F560" s="3388"/>
    </row>
    <row r="561" spans="1:6">
      <c r="A561" s="3420">
        <v>349</v>
      </c>
      <c r="B561" s="3420">
        <v>12</v>
      </c>
      <c r="C561" s="3420">
        <v>-1</v>
      </c>
      <c r="D561" s="3420">
        <v>7</v>
      </c>
      <c r="E561" s="3389">
        <v>61.92</v>
      </c>
      <c r="F561" s="3388"/>
    </row>
    <row r="562" spans="1:6">
      <c r="A562" s="3420">
        <v>350</v>
      </c>
      <c r="B562" s="3420">
        <v>12</v>
      </c>
      <c r="C562" s="3420">
        <v>-1</v>
      </c>
      <c r="D562" s="3420">
        <v>9</v>
      </c>
      <c r="E562" s="3389">
        <v>60.01</v>
      </c>
      <c r="F562" s="3388"/>
    </row>
    <row r="563" spans="1:6">
      <c r="A563" s="3420">
        <v>351</v>
      </c>
      <c r="B563" s="3420">
        <v>12</v>
      </c>
      <c r="C563" s="3420">
        <v>-1</v>
      </c>
      <c r="D563" s="3420">
        <v>21</v>
      </c>
      <c r="E563" s="3389">
        <v>61.17</v>
      </c>
      <c r="F563" s="3388"/>
    </row>
    <row r="564" spans="1:6">
      <c r="A564" s="3420">
        <v>352</v>
      </c>
      <c r="B564" s="3420">
        <v>12</v>
      </c>
      <c r="C564" s="3420">
        <v>-1</v>
      </c>
      <c r="D564" s="3420">
        <v>22</v>
      </c>
      <c r="E564" s="3389">
        <v>69.63</v>
      </c>
      <c r="F564" s="3388"/>
    </row>
    <row r="565" spans="1:6">
      <c r="A565" s="3420">
        <v>353</v>
      </c>
      <c r="B565" s="3420">
        <v>12</v>
      </c>
      <c r="C565" s="3420">
        <v>-1</v>
      </c>
      <c r="D565" s="3420">
        <v>25</v>
      </c>
      <c r="E565" s="3389">
        <v>70.209999999999994</v>
      </c>
      <c r="F565" s="3388"/>
    </row>
    <row r="566" spans="1:6">
      <c r="A566" s="3420">
        <v>354</v>
      </c>
      <c r="B566" s="3420">
        <v>12</v>
      </c>
      <c r="C566" s="3420">
        <v>-1</v>
      </c>
      <c r="D566" s="3420">
        <v>30</v>
      </c>
      <c r="E566" s="3389">
        <v>60.68</v>
      </c>
      <c r="F566" s="3388"/>
    </row>
    <row r="567" spans="1:6">
      <c r="A567" s="3420">
        <v>355</v>
      </c>
      <c r="B567" s="3420">
        <v>12</v>
      </c>
      <c r="C567" s="3420">
        <v>-1</v>
      </c>
      <c r="D567" s="3420">
        <v>53</v>
      </c>
      <c r="E567" s="3389">
        <v>69.42</v>
      </c>
      <c r="F567" s="3388"/>
    </row>
    <row r="568" spans="1:6">
      <c r="A568" s="3420">
        <v>356</v>
      </c>
      <c r="B568" s="3420">
        <v>12</v>
      </c>
      <c r="C568" s="3420">
        <v>-1</v>
      </c>
      <c r="D568" s="3420">
        <v>56</v>
      </c>
      <c r="E568" s="3389">
        <v>68.11</v>
      </c>
      <c r="F568" s="3388"/>
    </row>
    <row r="569" spans="1:6">
      <c r="A569" s="3420">
        <v>357</v>
      </c>
      <c r="B569" s="3420">
        <v>12</v>
      </c>
      <c r="C569" s="3420">
        <v>-1</v>
      </c>
      <c r="D569" s="3420">
        <v>80</v>
      </c>
      <c r="E569" s="3389">
        <v>58.94</v>
      </c>
      <c r="F569" s="3388"/>
    </row>
    <row r="570" spans="1:6">
      <c r="A570" s="3420">
        <v>358</v>
      </c>
      <c r="B570" s="3420">
        <v>12</v>
      </c>
      <c r="C570" s="3420">
        <v>-1</v>
      </c>
      <c r="D570" s="3420">
        <v>120</v>
      </c>
      <c r="E570" s="3389">
        <v>113.97</v>
      </c>
      <c r="F570" s="3388"/>
    </row>
    <row r="571" spans="1:6">
      <c r="A571" s="3420">
        <v>359</v>
      </c>
      <c r="B571" s="3420">
        <v>12</v>
      </c>
      <c r="C571" s="3420">
        <v>-1</v>
      </c>
      <c r="D571" s="3420">
        <v>133</v>
      </c>
      <c r="E571" s="3389">
        <v>71.03</v>
      </c>
      <c r="F571" s="3388"/>
    </row>
    <row r="572" spans="1:6">
      <c r="A572" s="3420">
        <v>360</v>
      </c>
      <c r="B572" s="3420">
        <v>12</v>
      </c>
      <c r="C572" s="3420">
        <v>-1</v>
      </c>
      <c r="D572" s="3420">
        <v>176</v>
      </c>
      <c r="E572" s="3389">
        <v>71.150000000000006</v>
      </c>
      <c r="F572" s="3388"/>
    </row>
    <row r="573" spans="1:6">
      <c r="A573" s="3420">
        <v>361</v>
      </c>
      <c r="B573" s="3420">
        <v>12</v>
      </c>
      <c r="C573" s="3420">
        <v>-1</v>
      </c>
      <c r="D573" s="3420">
        <v>203</v>
      </c>
      <c r="E573" s="3389">
        <v>84.43</v>
      </c>
      <c r="F573" s="3388"/>
    </row>
    <row r="574" spans="1:6">
      <c r="A574" s="3420">
        <v>362</v>
      </c>
      <c r="B574" s="3420">
        <v>12</v>
      </c>
      <c r="C574" s="3420">
        <v>-1</v>
      </c>
      <c r="D574" s="3420">
        <v>205</v>
      </c>
      <c r="E574" s="3389">
        <v>86.07</v>
      </c>
      <c r="F574" s="3388"/>
    </row>
    <row r="575" spans="1:6">
      <c r="A575" s="3420">
        <v>363</v>
      </c>
      <c r="B575" s="3420">
        <v>12</v>
      </c>
      <c r="C575" s="3420">
        <v>-1</v>
      </c>
      <c r="D575" s="3420">
        <v>206</v>
      </c>
      <c r="E575" s="3389">
        <v>90.17</v>
      </c>
      <c r="F575" s="3388"/>
    </row>
    <row r="576" spans="1:6">
      <c r="A576" s="3420">
        <v>364</v>
      </c>
      <c r="B576" s="3420">
        <v>12</v>
      </c>
      <c r="C576" s="3420">
        <v>-1</v>
      </c>
      <c r="D576" s="3420">
        <v>208</v>
      </c>
      <c r="E576" s="3389">
        <v>102.94</v>
      </c>
      <c r="F576" s="3388"/>
    </row>
    <row r="577" spans="1:6">
      <c r="A577" s="3420">
        <v>365</v>
      </c>
      <c r="B577" s="3420">
        <v>12</v>
      </c>
      <c r="C577" s="3420">
        <v>-1</v>
      </c>
      <c r="D577" s="3420">
        <v>216</v>
      </c>
      <c r="E577" s="3389">
        <v>47.61</v>
      </c>
      <c r="F577" s="3388"/>
    </row>
    <row r="578" spans="1:6">
      <c r="A578" s="3420">
        <v>366</v>
      </c>
      <c r="B578" s="3420">
        <v>12</v>
      </c>
      <c r="C578" s="3420">
        <v>-1</v>
      </c>
      <c r="D578" s="3420">
        <v>229</v>
      </c>
      <c r="E578" s="3389">
        <v>42.72</v>
      </c>
      <c r="F578" s="3388"/>
    </row>
    <row r="579" spans="1:6">
      <c r="A579" s="3420">
        <v>367</v>
      </c>
      <c r="B579" s="3420">
        <v>12</v>
      </c>
      <c r="C579" s="3420">
        <v>-1</v>
      </c>
      <c r="D579" s="3420">
        <v>246</v>
      </c>
      <c r="E579" s="3389">
        <v>90.97</v>
      </c>
      <c r="F579" s="3388"/>
    </row>
    <row r="580" spans="1:6">
      <c r="A580" s="3420">
        <v>368</v>
      </c>
      <c r="B580" s="3420">
        <v>12</v>
      </c>
      <c r="C580" s="3420">
        <v>-2</v>
      </c>
      <c r="D580" s="3420">
        <v>22</v>
      </c>
      <c r="E580" s="3389">
        <v>90.66</v>
      </c>
      <c r="F580" s="3388"/>
    </row>
    <row r="581" spans="1:6">
      <c r="A581" s="3420">
        <v>369</v>
      </c>
      <c r="B581" s="3420">
        <v>12</v>
      </c>
      <c r="C581" s="3420">
        <v>-2</v>
      </c>
      <c r="D581" s="3420">
        <v>96</v>
      </c>
      <c r="E581" s="3389">
        <v>97.22</v>
      </c>
      <c r="F581" s="3388"/>
    </row>
    <row r="582" spans="1:6">
      <c r="A582" s="3420">
        <v>370</v>
      </c>
      <c r="B582" s="3420">
        <v>12</v>
      </c>
      <c r="C582" s="3420">
        <v>-2</v>
      </c>
      <c r="D582" s="3420">
        <v>197</v>
      </c>
      <c r="E582" s="3389">
        <v>41.52</v>
      </c>
      <c r="F582" s="3388"/>
    </row>
    <row r="583" spans="1:6">
      <c r="A583" s="3420">
        <v>371</v>
      </c>
      <c r="B583" s="3420">
        <v>12</v>
      </c>
      <c r="C583" s="3420">
        <v>-2</v>
      </c>
      <c r="D583" s="3420">
        <v>215</v>
      </c>
      <c r="E583" s="3389">
        <v>78.040000000000006</v>
      </c>
      <c r="F583" s="3388"/>
    </row>
    <row r="584" spans="1:6">
      <c r="A584" s="3420">
        <v>372</v>
      </c>
      <c r="B584" s="3420">
        <v>12</v>
      </c>
      <c r="C584" s="3420">
        <v>-2</v>
      </c>
      <c r="D584" s="3420">
        <v>270</v>
      </c>
      <c r="E584" s="3389">
        <v>72.52</v>
      </c>
      <c r="F584" s="3388"/>
    </row>
    <row r="585" spans="1:6">
      <c r="A585" s="3420">
        <v>375</v>
      </c>
      <c r="B585" s="3420">
        <v>11</v>
      </c>
      <c r="C585" s="3420">
        <v>1</v>
      </c>
      <c r="D585" s="3420">
        <v>1</v>
      </c>
      <c r="E585" s="3389">
        <v>45.34</v>
      </c>
      <c r="F585" s="3388"/>
    </row>
    <row r="586" spans="1:6">
      <c r="A586" s="3420">
        <v>376</v>
      </c>
      <c r="B586" s="3420">
        <v>11</v>
      </c>
      <c r="C586" s="3420">
        <v>1</v>
      </c>
      <c r="D586" s="3420">
        <v>35</v>
      </c>
      <c r="E586" s="3389">
        <v>44.44</v>
      </c>
      <c r="F586" s="3388"/>
    </row>
    <row r="587" spans="1:6">
      <c r="A587" s="3420">
        <v>377</v>
      </c>
      <c r="B587" s="3420">
        <v>11</v>
      </c>
      <c r="C587" s="3420">
        <v>1</v>
      </c>
      <c r="D587" s="3420">
        <v>41</v>
      </c>
      <c r="E587" s="3389">
        <v>41.15</v>
      </c>
      <c r="F587" s="3388"/>
    </row>
    <row r="588" spans="1:6">
      <c r="A588" s="3420">
        <v>378</v>
      </c>
      <c r="B588" s="3420">
        <v>11</v>
      </c>
      <c r="C588" s="3420">
        <v>1</v>
      </c>
      <c r="D588" s="3420">
        <v>148</v>
      </c>
      <c r="E588" s="3389">
        <v>38.61</v>
      </c>
      <c r="F588" s="3388"/>
    </row>
    <row r="589" spans="1:6">
      <c r="A589" s="3420">
        <v>379</v>
      </c>
      <c r="B589" s="3420">
        <v>11</v>
      </c>
      <c r="C589" s="3420">
        <v>1</v>
      </c>
      <c r="D589" s="3420">
        <v>149</v>
      </c>
      <c r="E589" s="3389">
        <v>39.06</v>
      </c>
      <c r="F589" s="3388"/>
    </row>
    <row r="590" spans="1:6">
      <c r="A590" s="3420">
        <v>380</v>
      </c>
      <c r="B590" s="3420">
        <v>12</v>
      </c>
      <c r="C590" s="3420">
        <v>1</v>
      </c>
      <c r="D590" s="3420">
        <v>13</v>
      </c>
      <c r="E590" s="3389">
        <v>123.8</v>
      </c>
      <c r="F590" s="3388"/>
    </row>
    <row r="591" spans="1:6">
      <c r="A591" s="3420">
        <v>381</v>
      </c>
      <c r="B591" s="3420">
        <v>12</v>
      </c>
      <c r="C591" s="3420">
        <v>1</v>
      </c>
      <c r="D591" s="3420">
        <v>16</v>
      </c>
      <c r="E591" s="3389">
        <v>129.83000000000001</v>
      </c>
      <c r="F591" s="3388"/>
    </row>
    <row r="592" spans="1:6">
      <c r="A592" s="3420">
        <v>382</v>
      </c>
      <c r="B592" s="3420">
        <v>12</v>
      </c>
      <c r="C592" s="3420">
        <v>1</v>
      </c>
      <c r="D592" s="3420">
        <v>27</v>
      </c>
      <c r="E592" s="3389">
        <v>18.18</v>
      </c>
      <c r="F592" s="3388"/>
    </row>
    <row r="593" spans="1:6">
      <c r="A593" s="3420">
        <v>383</v>
      </c>
      <c r="B593" s="3420">
        <v>12</v>
      </c>
      <c r="C593" s="3420">
        <v>1</v>
      </c>
      <c r="D593" s="3420">
        <v>61</v>
      </c>
      <c r="E593" s="3389">
        <v>40.22</v>
      </c>
      <c r="F593" s="3388"/>
    </row>
    <row r="594" spans="1:6">
      <c r="A594" s="3420">
        <v>384</v>
      </c>
      <c r="B594" s="3420">
        <v>12</v>
      </c>
      <c r="C594" s="3420">
        <v>1</v>
      </c>
      <c r="D594" s="3420">
        <v>78</v>
      </c>
      <c r="E594" s="3389">
        <v>33.909999999999997</v>
      </c>
      <c r="F594" s="3388"/>
    </row>
    <row r="595" spans="1:6">
      <c r="A595" s="3420">
        <v>385</v>
      </c>
      <c r="B595" s="3420">
        <v>12</v>
      </c>
      <c r="C595" s="3420">
        <v>-1</v>
      </c>
      <c r="D595" s="3420">
        <v>1</v>
      </c>
      <c r="E595" s="3389">
        <v>76.14</v>
      </c>
      <c r="F595" s="3388"/>
    </row>
    <row r="596" spans="1:6">
      <c r="A596" s="3420">
        <v>386</v>
      </c>
      <c r="B596" s="3420">
        <v>12</v>
      </c>
      <c r="C596" s="3420">
        <v>-1</v>
      </c>
      <c r="D596" s="3420">
        <v>60</v>
      </c>
      <c r="E596" s="3389">
        <v>63.96</v>
      </c>
      <c r="F596" s="3388"/>
    </row>
    <row r="597" spans="1:6">
      <c r="A597" s="3420">
        <v>387</v>
      </c>
      <c r="B597" s="3420">
        <v>12</v>
      </c>
      <c r="C597" s="3420">
        <v>-1</v>
      </c>
      <c r="D597" s="3420">
        <v>61</v>
      </c>
      <c r="E597" s="3389">
        <v>65.180000000000007</v>
      </c>
      <c r="F597" s="3388"/>
    </row>
    <row r="598" spans="1:6">
      <c r="A598" s="3420">
        <v>388</v>
      </c>
      <c r="B598" s="3420">
        <v>12</v>
      </c>
      <c r="C598" s="3420">
        <v>-1</v>
      </c>
      <c r="D598" s="3420">
        <v>121</v>
      </c>
      <c r="E598" s="3389">
        <v>113.97</v>
      </c>
      <c r="F598" s="3388"/>
    </row>
    <row r="599" spans="1:6">
      <c r="A599" s="3420">
        <v>389</v>
      </c>
      <c r="B599" s="3420">
        <v>12</v>
      </c>
      <c r="C599" s="3420">
        <v>-1</v>
      </c>
      <c r="D599" s="3420">
        <v>130</v>
      </c>
      <c r="E599" s="3389">
        <v>23.67</v>
      </c>
      <c r="F599" s="3388"/>
    </row>
    <row r="600" spans="1:6">
      <c r="A600" s="3420">
        <v>390</v>
      </c>
      <c r="B600" s="3420">
        <v>12</v>
      </c>
      <c r="C600" s="3420">
        <v>-1</v>
      </c>
      <c r="D600" s="3420">
        <v>158</v>
      </c>
      <c r="E600" s="3389">
        <v>74.58</v>
      </c>
      <c r="F600" s="3388"/>
    </row>
    <row r="601" spans="1:6">
      <c r="A601" s="3420">
        <v>391</v>
      </c>
      <c r="B601" s="3420">
        <v>12</v>
      </c>
      <c r="C601" s="3420">
        <v>-1</v>
      </c>
      <c r="D601" s="3420">
        <v>169</v>
      </c>
      <c r="E601" s="3389">
        <v>46.32</v>
      </c>
      <c r="F601" s="3388"/>
    </row>
    <row r="602" spans="1:6">
      <c r="A602" s="3420">
        <v>392</v>
      </c>
      <c r="B602" s="3420">
        <v>12</v>
      </c>
      <c r="C602" s="3420">
        <v>-2</v>
      </c>
      <c r="D602" s="3420">
        <v>112</v>
      </c>
      <c r="E602" s="3389">
        <v>75.790000000000006</v>
      </c>
      <c r="F602" s="3388"/>
    </row>
    <row r="603" spans="1:6">
      <c r="A603" s="3420">
        <v>393</v>
      </c>
      <c r="B603" s="3420">
        <v>12</v>
      </c>
      <c r="C603" s="3420">
        <v>-2</v>
      </c>
      <c r="D603" s="3420">
        <v>169</v>
      </c>
      <c r="E603" s="3389">
        <v>67.61</v>
      </c>
      <c r="F603" s="3388"/>
    </row>
    <row r="604" spans="1:6">
      <c r="A604" s="3420">
        <v>394</v>
      </c>
      <c r="B604" s="3420">
        <v>12</v>
      </c>
      <c r="C604" s="3420">
        <v>-2</v>
      </c>
      <c r="D604" s="3420">
        <v>216</v>
      </c>
      <c r="E604" s="3389">
        <v>81.75</v>
      </c>
      <c r="F604" s="3388"/>
    </row>
    <row r="605" spans="1:6">
      <c r="A605" s="3420">
        <v>395</v>
      </c>
      <c r="B605" s="3420">
        <v>12</v>
      </c>
      <c r="C605" s="3420">
        <v>-2</v>
      </c>
      <c r="D605" s="3420">
        <v>230</v>
      </c>
      <c r="E605" s="3389">
        <v>43.16</v>
      </c>
      <c r="F605" s="3388"/>
    </row>
    <row r="606" spans="1:6">
      <c r="A606" s="3420">
        <v>396</v>
      </c>
      <c r="B606" s="3420">
        <v>12</v>
      </c>
      <c r="C606" s="3420">
        <v>-2</v>
      </c>
      <c r="D606" s="3420">
        <v>231</v>
      </c>
      <c r="E606" s="3389">
        <v>43.16</v>
      </c>
      <c r="F606" s="3388"/>
    </row>
    <row r="607" spans="1:6">
      <c r="A607" s="3420">
        <v>397</v>
      </c>
      <c r="B607" s="3420">
        <v>12</v>
      </c>
      <c r="C607" s="3420">
        <v>-2</v>
      </c>
      <c r="D607" s="3420">
        <v>233</v>
      </c>
      <c r="E607" s="3389">
        <v>43.16</v>
      </c>
      <c r="F607" s="3388"/>
    </row>
    <row r="608" spans="1:6">
      <c r="A608" s="3420">
        <v>398</v>
      </c>
      <c r="B608" s="3420">
        <v>12</v>
      </c>
      <c r="C608" s="3420">
        <v>-2</v>
      </c>
      <c r="D608" s="3420">
        <v>238</v>
      </c>
      <c r="E608" s="3389">
        <v>43.16</v>
      </c>
      <c r="F608" s="3388"/>
    </row>
    <row r="609" spans="1:6">
      <c r="A609" s="3420">
        <v>399</v>
      </c>
      <c r="B609" s="3420">
        <v>12</v>
      </c>
      <c r="C609" s="3420">
        <v>-2</v>
      </c>
      <c r="D609" s="3420">
        <v>263</v>
      </c>
      <c r="E609" s="3389">
        <v>75.42</v>
      </c>
      <c r="F609" s="3388"/>
    </row>
    <row r="610" spans="1:6">
      <c r="A610" s="3420">
        <v>400</v>
      </c>
      <c r="B610" s="3420">
        <v>12</v>
      </c>
      <c r="C610" s="3420">
        <v>-2</v>
      </c>
      <c r="D610" s="3420">
        <v>265</v>
      </c>
      <c r="E610" s="3389">
        <v>75.42</v>
      </c>
      <c r="F610" s="3388"/>
    </row>
    <row r="611" spans="1:6">
      <c r="A611" s="3420">
        <v>504</v>
      </c>
      <c r="B611" s="3420">
        <v>9</v>
      </c>
      <c r="C611" s="3420">
        <v>-1</v>
      </c>
      <c r="D611" s="3420">
        <v>69</v>
      </c>
      <c r="E611" s="3389">
        <v>79.8</v>
      </c>
      <c r="F611" s="3388"/>
    </row>
    <row r="612" spans="1:6">
      <c r="A612" s="3420">
        <v>505</v>
      </c>
      <c r="B612" s="3420">
        <v>9</v>
      </c>
      <c r="C612" s="3420">
        <v>-1</v>
      </c>
      <c r="D612" s="3420">
        <v>77</v>
      </c>
      <c r="E612" s="3389">
        <v>41.44</v>
      </c>
      <c r="F612" s="3388"/>
    </row>
    <row r="613" spans="1:6">
      <c r="A613" s="3420">
        <v>506</v>
      </c>
      <c r="B613" s="3420">
        <v>9</v>
      </c>
      <c r="C613" s="3420">
        <v>-1</v>
      </c>
      <c r="D613" s="3420">
        <v>78</v>
      </c>
      <c r="E613" s="3389">
        <v>83.21</v>
      </c>
      <c r="F613" s="3388"/>
    </row>
    <row r="614" spans="1:6">
      <c r="A614" s="3420">
        <v>507</v>
      </c>
      <c r="B614" s="3420">
        <v>9</v>
      </c>
      <c r="C614" s="3420">
        <v>-1</v>
      </c>
      <c r="D614" s="3420">
        <v>97</v>
      </c>
      <c r="E614" s="3389">
        <v>62.34</v>
      </c>
      <c r="F614" s="3388"/>
    </row>
    <row r="615" spans="1:6">
      <c r="A615" s="3420">
        <v>508</v>
      </c>
      <c r="B615" s="3420">
        <v>9</v>
      </c>
      <c r="C615" s="3420">
        <v>-1</v>
      </c>
      <c r="D615" s="3420">
        <v>98</v>
      </c>
      <c r="E615" s="3389">
        <v>59.51</v>
      </c>
      <c r="F615" s="3388"/>
    </row>
    <row r="616" spans="1:6">
      <c r="A616" s="3420">
        <v>509</v>
      </c>
      <c r="B616" s="3420">
        <v>9</v>
      </c>
      <c r="C616" s="3420">
        <v>-1</v>
      </c>
      <c r="D616" s="3420">
        <v>102</v>
      </c>
      <c r="E616" s="3389">
        <v>62.33</v>
      </c>
      <c r="F616" s="3388"/>
    </row>
    <row r="617" spans="1:6">
      <c r="A617" s="3420">
        <v>510</v>
      </c>
      <c r="B617" s="3420">
        <v>9</v>
      </c>
      <c r="C617" s="3420">
        <v>-1</v>
      </c>
      <c r="D617" s="3420">
        <v>108</v>
      </c>
      <c r="E617" s="3389">
        <v>59.51</v>
      </c>
      <c r="F617" s="3388"/>
    </row>
    <row r="618" spans="1:6">
      <c r="A618" s="3420">
        <v>511</v>
      </c>
      <c r="B618" s="3420">
        <v>9</v>
      </c>
      <c r="C618" s="3420">
        <v>-1</v>
      </c>
      <c r="D618" s="3420">
        <v>133</v>
      </c>
      <c r="E618" s="3389">
        <v>71.39</v>
      </c>
      <c r="F618" s="3388"/>
    </row>
    <row r="619" spans="1:6">
      <c r="A619" s="3420">
        <v>512</v>
      </c>
      <c r="B619" s="3420">
        <v>9</v>
      </c>
      <c r="C619" s="3420">
        <v>-2</v>
      </c>
      <c r="D619" s="3420">
        <v>23</v>
      </c>
      <c r="E619" s="3389">
        <v>75.02</v>
      </c>
      <c r="F619" s="3388"/>
    </row>
    <row r="620" spans="1:6">
      <c r="A620" s="3420">
        <v>513</v>
      </c>
      <c r="B620" s="3420">
        <v>9</v>
      </c>
      <c r="C620" s="3420">
        <v>-2</v>
      </c>
      <c r="D620" s="3420">
        <v>25</v>
      </c>
      <c r="E620" s="3389">
        <v>75.02</v>
      </c>
      <c r="F620" s="3388"/>
    </row>
    <row r="621" spans="1:6">
      <c r="A621" s="3420">
        <v>514</v>
      </c>
      <c r="B621" s="3420">
        <v>9</v>
      </c>
      <c r="C621" s="3420">
        <v>-2</v>
      </c>
      <c r="D621" s="3420">
        <v>95</v>
      </c>
      <c r="E621" s="3389">
        <v>95.25</v>
      </c>
      <c r="F621" s="3388"/>
    </row>
    <row r="622" spans="1:6">
      <c r="A622" s="3420">
        <v>515</v>
      </c>
      <c r="B622" s="3420">
        <v>11</v>
      </c>
      <c r="C622" s="3420">
        <v>1</v>
      </c>
      <c r="D622" s="3420">
        <v>46</v>
      </c>
      <c r="E622" s="3389">
        <v>44.65</v>
      </c>
      <c r="F622" s="3388"/>
    </row>
    <row r="623" spans="1:6">
      <c r="A623" s="3420">
        <v>516</v>
      </c>
      <c r="B623" s="3420">
        <v>11</v>
      </c>
      <c r="C623" s="3420">
        <v>1</v>
      </c>
      <c r="D623" s="3420">
        <v>47</v>
      </c>
      <c r="E623" s="3389">
        <v>44.65</v>
      </c>
      <c r="F623" s="3388"/>
    </row>
    <row r="624" spans="1:6">
      <c r="A624" s="3420">
        <v>517</v>
      </c>
      <c r="B624" s="3420">
        <v>11</v>
      </c>
      <c r="C624" s="3420">
        <v>1</v>
      </c>
      <c r="D624" s="3420">
        <v>100</v>
      </c>
      <c r="E624" s="3389">
        <v>72.5</v>
      </c>
      <c r="F624" s="3388"/>
    </row>
    <row r="625" spans="1:6">
      <c r="A625" s="3420">
        <v>518</v>
      </c>
      <c r="B625" s="3420">
        <v>11</v>
      </c>
      <c r="C625" s="3420">
        <v>1</v>
      </c>
      <c r="D625" s="3420">
        <v>120</v>
      </c>
      <c r="E625" s="3389">
        <v>41.05</v>
      </c>
      <c r="F625" s="3388"/>
    </row>
    <row r="626" spans="1:6">
      <c r="A626" s="3420">
        <v>519</v>
      </c>
      <c r="B626" s="3420">
        <v>11</v>
      </c>
      <c r="C626" s="3420">
        <v>1</v>
      </c>
      <c r="D626" s="3420">
        <v>142</v>
      </c>
      <c r="E626" s="3389">
        <v>44.03</v>
      </c>
      <c r="F626" s="3388"/>
    </row>
    <row r="627" spans="1:6">
      <c r="A627" s="3420">
        <v>520</v>
      </c>
      <c r="B627" s="3420">
        <v>11</v>
      </c>
      <c r="C627" s="3420">
        <v>-1</v>
      </c>
      <c r="D627" s="3420">
        <v>7</v>
      </c>
      <c r="E627" s="3389">
        <v>106.14</v>
      </c>
      <c r="F627" s="3388"/>
    </row>
    <row r="628" spans="1:6">
      <c r="A628" s="3420">
        <v>521</v>
      </c>
      <c r="B628" s="3420">
        <v>11</v>
      </c>
      <c r="C628" s="3420">
        <v>-1</v>
      </c>
      <c r="D628" s="3420">
        <v>8</v>
      </c>
      <c r="E628" s="3389">
        <v>101.31</v>
      </c>
      <c r="F628" s="3388"/>
    </row>
    <row r="629" spans="1:6">
      <c r="A629" s="3420">
        <v>522</v>
      </c>
      <c r="B629" s="3420">
        <v>11</v>
      </c>
      <c r="C629" s="3420">
        <v>-1</v>
      </c>
      <c r="D629" s="3420">
        <v>15</v>
      </c>
      <c r="E629" s="3389">
        <v>49.22</v>
      </c>
      <c r="F629" s="3388"/>
    </row>
    <row r="630" spans="1:6">
      <c r="A630" s="3420">
        <v>523</v>
      </c>
      <c r="B630" s="3420">
        <v>11</v>
      </c>
      <c r="C630" s="3420">
        <v>-1</v>
      </c>
      <c r="D630" s="3420">
        <v>18</v>
      </c>
      <c r="E630" s="3389">
        <v>101.31</v>
      </c>
      <c r="F630" s="3388"/>
    </row>
    <row r="631" spans="1:6">
      <c r="A631" s="3420">
        <v>524</v>
      </c>
      <c r="B631" s="3420">
        <v>11</v>
      </c>
      <c r="C631" s="3420">
        <v>-2</v>
      </c>
      <c r="D631" s="3420">
        <v>40</v>
      </c>
      <c r="E631" s="3389">
        <v>46.64</v>
      </c>
      <c r="F631" s="3388"/>
    </row>
    <row r="632" spans="1:6">
      <c r="A632" s="3420">
        <v>525</v>
      </c>
      <c r="B632" s="3420">
        <v>11</v>
      </c>
      <c r="C632" s="3420">
        <v>-2</v>
      </c>
      <c r="D632" s="3420">
        <v>138</v>
      </c>
      <c r="E632" s="3389">
        <v>40.33</v>
      </c>
      <c r="F632" s="3388"/>
    </row>
    <row r="633" spans="1:6">
      <c r="A633" s="3420">
        <v>526</v>
      </c>
      <c r="B633" s="3420">
        <v>12</v>
      </c>
      <c r="C633" s="3420">
        <v>1</v>
      </c>
      <c r="D633" s="3420">
        <v>1</v>
      </c>
      <c r="E633" s="3389">
        <v>84.98</v>
      </c>
      <c r="F633" s="3388"/>
    </row>
    <row r="634" spans="1:6">
      <c r="A634" s="3420">
        <v>527</v>
      </c>
      <c r="B634" s="3420">
        <v>12</v>
      </c>
      <c r="C634" s="3420">
        <v>1</v>
      </c>
      <c r="D634" s="3420">
        <v>2</v>
      </c>
      <c r="E634" s="3389">
        <v>84.48</v>
      </c>
      <c r="F634" s="3388"/>
    </row>
    <row r="635" spans="1:6">
      <c r="A635" s="3420">
        <v>528</v>
      </c>
      <c r="B635" s="3420">
        <v>12</v>
      </c>
      <c r="C635" s="3420">
        <v>1</v>
      </c>
      <c r="D635" s="3420">
        <v>3</v>
      </c>
      <c r="E635" s="3389">
        <v>72.88</v>
      </c>
      <c r="F635" s="3388"/>
    </row>
    <row r="636" spans="1:6">
      <c r="A636" s="3420">
        <v>529</v>
      </c>
      <c r="B636" s="3420">
        <v>12</v>
      </c>
      <c r="C636" s="3420">
        <v>1</v>
      </c>
      <c r="D636" s="3420">
        <v>5</v>
      </c>
      <c r="E636" s="3389">
        <v>73.2</v>
      </c>
      <c r="F636" s="3388"/>
    </row>
    <row r="637" spans="1:6">
      <c r="A637" s="3420">
        <v>530</v>
      </c>
      <c r="B637" s="3420">
        <v>12</v>
      </c>
      <c r="C637" s="3420">
        <v>1</v>
      </c>
      <c r="D637" s="3420">
        <v>42</v>
      </c>
      <c r="E637" s="3389">
        <v>50.77</v>
      </c>
      <c r="F637" s="3388"/>
    </row>
    <row r="638" spans="1:6">
      <c r="A638" s="3420">
        <v>531</v>
      </c>
      <c r="B638" s="3420">
        <v>12</v>
      </c>
      <c r="C638" s="3420">
        <v>1</v>
      </c>
      <c r="D638" s="3420">
        <v>47</v>
      </c>
      <c r="E638" s="3389">
        <v>39.42</v>
      </c>
      <c r="F638" s="3388"/>
    </row>
    <row r="639" spans="1:6">
      <c r="A639" s="3420">
        <v>532</v>
      </c>
      <c r="B639" s="3420">
        <v>12</v>
      </c>
      <c r="C639" s="3420">
        <v>1</v>
      </c>
      <c r="D639" s="3420">
        <v>63</v>
      </c>
      <c r="E639" s="3389">
        <v>43.99</v>
      </c>
      <c r="F639" s="3388"/>
    </row>
    <row r="640" spans="1:6">
      <c r="A640" s="3420">
        <v>533</v>
      </c>
      <c r="B640" s="3420">
        <v>12</v>
      </c>
      <c r="C640" s="3420">
        <v>1</v>
      </c>
      <c r="D640" s="3420">
        <v>75</v>
      </c>
      <c r="E640" s="3389">
        <v>41.58</v>
      </c>
      <c r="F640" s="3388"/>
    </row>
    <row r="641" spans="1:6">
      <c r="A641" s="3420">
        <v>534</v>
      </c>
      <c r="B641" s="3420">
        <v>12</v>
      </c>
      <c r="C641" s="3420">
        <v>1</v>
      </c>
      <c r="D641" s="3420">
        <v>76</v>
      </c>
      <c r="E641" s="3389">
        <v>41.57</v>
      </c>
      <c r="F641" s="3388"/>
    </row>
    <row r="642" spans="1:6">
      <c r="A642" s="3420">
        <v>535</v>
      </c>
      <c r="B642" s="3420">
        <v>12</v>
      </c>
      <c r="C642" s="3420">
        <v>1</v>
      </c>
      <c r="D642" s="3420">
        <v>77</v>
      </c>
      <c r="E642" s="3389">
        <v>43.55</v>
      </c>
      <c r="F642" s="3388"/>
    </row>
    <row r="643" spans="1:6">
      <c r="A643" s="3420">
        <v>536</v>
      </c>
      <c r="B643" s="3420">
        <v>12</v>
      </c>
      <c r="C643" s="3420">
        <v>1</v>
      </c>
      <c r="D643" s="3420">
        <v>95</v>
      </c>
      <c r="E643" s="3389">
        <v>134.43</v>
      </c>
      <c r="F643" s="3388"/>
    </row>
    <row r="644" spans="1:6">
      <c r="A644" s="3420">
        <v>537</v>
      </c>
      <c r="B644" s="3420">
        <v>12</v>
      </c>
      <c r="C644" s="3420">
        <v>1</v>
      </c>
      <c r="D644" s="3420">
        <v>96</v>
      </c>
      <c r="E644" s="3389">
        <v>90.04</v>
      </c>
      <c r="F644" s="3388"/>
    </row>
    <row r="645" spans="1:6">
      <c r="A645" s="3420">
        <v>538</v>
      </c>
      <c r="B645" s="3420">
        <v>12</v>
      </c>
      <c r="C645" s="3420">
        <v>1</v>
      </c>
      <c r="D645" s="3420">
        <v>97</v>
      </c>
      <c r="E645" s="3389">
        <v>76.12</v>
      </c>
      <c r="F645" s="3388"/>
    </row>
    <row r="646" spans="1:6">
      <c r="A646" s="3420">
        <v>539</v>
      </c>
      <c r="B646" s="3420">
        <v>12</v>
      </c>
      <c r="C646" s="3420">
        <v>-1</v>
      </c>
      <c r="D646" s="3420">
        <v>55</v>
      </c>
      <c r="E646" s="3389">
        <v>87.28</v>
      </c>
      <c r="F646" s="3388"/>
    </row>
    <row r="647" spans="1:6">
      <c r="A647" s="3420">
        <v>540</v>
      </c>
      <c r="B647" s="3420">
        <v>12</v>
      </c>
      <c r="C647" s="3420">
        <v>-1</v>
      </c>
      <c r="D647" s="3420">
        <v>126</v>
      </c>
      <c r="E647" s="3389">
        <v>70.53</v>
      </c>
      <c r="F647" s="3388"/>
    </row>
    <row r="648" spans="1:6">
      <c r="A648" s="3420">
        <v>541</v>
      </c>
      <c r="B648" s="3420">
        <v>12</v>
      </c>
      <c r="C648" s="3420">
        <v>-1</v>
      </c>
      <c r="D648" s="3420">
        <v>162</v>
      </c>
      <c r="E648" s="3389">
        <v>52.38</v>
      </c>
      <c r="F648" s="3388"/>
    </row>
    <row r="649" spans="1:6">
      <c r="A649" s="3420">
        <v>542</v>
      </c>
      <c r="B649" s="3420">
        <v>12</v>
      </c>
      <c r="C649" s="3420">
        <v>-1</v>
      </c>
      <c r="D649" s="3420">
        <v>178</v>
      </c>
      <c r="E649" s="3389">
        <v>28.03</v>
      </c>
      <c r="F649" s="3388"/>
    </row>
    <row r="650" spans="1:6">
      <c r="A650" s="3420">
        <v>543</v>
      </c>
      <c r="B650" s="3420">
        <v>12</v>
      </c>
      <c r="C650" s="3420">
        <v>-1</v>
      </c>
      <c r="D650" s="3420">
        <v>217</v>
      </c>
      <c r="E650" s="3389">
        <v>47.61</v>
      </c>
      <c r="F650" s="3388"/>
    </row>
    <row r="651" spans="1:6">
      <c r="A651" s="3420">
        <v>544</v>
      </c>
      <c r="B651" s="3420">
        <v>12</v>
      </c>
      <c r="C651" s="3420">
        <v>-1</v>
      </c>
      <c r="D651" s="3420">
        <v>233</v>
      </c>
      <c r="E651" s="3389">
        <v>83.19</v>
      </c>
      <c r="F651" s="3388"/>
    </row>
    <row r="652" spans="1:6">
      <c r="A652" s="3420">
        <v>545</v>
      </c>
      <c r="B652" s="3420">
        <v>12</v>
      </c>
      <c r="C652" s="3420">
        <v>-1</v>
      </c>
      <c r="D652" s="3420">
        <v>241</v>
      </c>
      <c r="E652" s="3389">
        <v>83.19</v>
      </c>
      <c r="F652" s="3388"/>
    </row>
    <row r="653" spans="1:6">
      <c r="A653" s="3420">
        <v>546</v>
      </c>
      <c r="B653" s="3420">
        <v>12</v>
      </c>
      <c r="C653" s="3420">
        <v>-1</v>
      </c>
      <c r="D653" s="3420">
        <v>252</v>
      </c>
      <c r="E653" s="3389">
        <v>103.11</v>
      </c>
      <c r="F653" s="3388"/>
    </row>
    <row r="654" spans="1:6">
      <c r="A654" s="3420">
        <v>547</v>
      </c>
      <c r="B654" s="3420">
        <v>12</v>
      </c>
      <c r="C654" s="3420">
        <v>-1</v>
      </c>
      <c r="D654" s="3420">
        <v>257</v>
      </c>
      <c r="E654" s="3389">
        <v>50.56</v>
      </c>
      <c r="F654" s="3388"/>
    </row>
    <row r="655" spans="1:6">
      <c r="A655" s="3420">
        <v>548</v>
      </c>
      <c r="B655" s="3420">
        <v>12</v>
      </c>
      <c r="C655" s="3420">
        <v>-2</v>
      </c>
      <c r="D655" s="3420">
        <v>118</v>
      </c>
      <c r="E655" s="3389">
        <v>100.91</v>
      </c>
      <c r="F655" s="3388"/>
    </row>
    <row r="656" spans="1:6">
      <c r="A656" s="3420">
        <v>549</v>
      </c>
      <c r="B656" s="3420">
        <v>12</v>
      </c>
      <c r="C656" s="3420">
        <v>-2</v>
      </c>
      <c r="D656" s="3420">
        <v>127</v>
      </c>
      <c r="E656" s="3389">
        <v>85.74</v>
      </c>
      <c r="F656" s="3388"/>
    </row>
    <row r="657" spans="1:6">
      <c r="A657" s="3420">
        <v>550</v>
      </c>
      <c r="B657" s="3420">
        <v>12</v>
      </c>
      <c r="C657" s="3420">
        <v>-2</v>
      </c>
      <c r="D657" s="3420">
        <v>156</v>
      </c>
      <c r="E657" s="3389">
        <v>61.01</v>
      </c>
      <c r="F657" s="3388"/>
    </row>
    <row r="658" spans="1:6">
      <c r="A658" s="3420">
        <v>551</v>
      </c>
      <c r="B658" s="3420">
        <v>12</v>
      </c>
      <c r="C658" s="3420">
        <v>-2</v>
      </c>
      <c r="D658" s="3420">
        <v>157</v>
      </c>
      <c r="E658" s="3389">
        <v>50.2</v>
      </c>
      <c r="F658" s="3388"/>
    </row>
    <row r="659" spans="1:6">
      <c r="A659" s="3420">
        <v>552</v>
      </c>
      <c r="B659" s="3420">
        <v>12</v>
      </c>
      <c r="C659" s="3420">
        <v>-2</v>
      </c>
      <c r="D659" s="3420">
        <v>170</v>
      </c>
      <c r="E659" s="3389">
        <v>77.78</v>
      </c>
      <c r="F659" s="3388"/>
    </row>
    <row r="660" spans="1:6">
      <c r="A660" s="3420">
        <v>553</v>
      </c>
      <c r="B660" s="3420">
        <v>12</v>
      </c>
      <c r="C660" s="3420">
        <v>-2</v>
      </c>
      <c r="D660" s="3420">
        <v>247</v>
      </c>
      <c r="E660" s="3389">
        <v>75.42</v>
      </c>
      <c r="F660" s="3388"/>
    </row>
    <row r="661" spans="1:6">
      <c r="A661" s="3420">
        <v>554</v>
      </c>
      <c r="B661" s="3420">
        <v>12</v>
      </c>
      <c r="C661" s="3420">
        <v>-2</v>
      </c>
      <c r="D661" s="3420">
        <v>255</v>
      </c>
      <c r="E661" s="3389">
        <v>75.42</v>
      </c>
      <c r="F661" s="3388"/>
    </row>
    <row r="662" spans="1:6">
      <c r="A662" s="3420">
        <v>555</v>
      </c>
      <c r="B662" s="3420">
        <v>12</v>
      </c>
      <c r="C662" s="3420">
        <v>-2</v>
      </c>
      <c r="D662" s="3420">
        <v>256</v>
      </c>
      <c r="E662" s="3389">
        <v>75.42</v>
      </c>
      <c r="F662" s="3388"/>
    </row>
    <row r="663" spans="1:6">
      <c r="A663" s="3420">
        <v>556</v>
      </c>
      <c r="B663" s="3420">
        <v>12</v>
      </c>
      <c r="C663" s="3420">
        <v>-2</v>
      </c>
      <c r="D663" s="3420">
        <v>257</v>
      </c>
      <c r="E663" s="3389">
        <v>75.42</v>
      </c>
      <c r="F663" s="3388"/>
    </row>
    <row r="664" spans="1:6">
      <c r="A664" s="3420">
        <v>557</v>
      </c>
      <c r="B664" s="3420">
        <v>12</v>
      </c>
      <c r="C664" s="3420">
        <v>-2</v>
      </c>
      <c r="D664" s="3420">
        <v>258</v>
      </c>
      <c r="E664" s="3389">
        <v>72.81</v>
      </c>
      <c r="F664" s="3388"/>
    </row>
    <row r="665" spans="1:6">
      <c r="A665" s="3420">
        <v>558</v>
      </c>
      <c r="B665" s="3420">
        <v>12</v>
      </c>
      <c r="C665" s="3420">
        <v>-2</v>
      </c>
      <c r="D665" s="3420">
        <v>267</v>
      </c>
      <c r="E665" s="3389">
        <v>93.47</v>
      </c>
      <c r="F665" s="3388"/>
    </row>
    <row r="666" spans="1:6">
      <c r="A666" s="3420">
        <v>559</v>
      </c>
      <c r="B666" s="3420">
        <v>12</v>
      </c>
      <c r="C666" s="3420">
        <v>-2</v>
      </c>
      <c r="D666" s="3420">
        <v>269</v>
      </c>
      <c r="E666" s="3389">
        <v>75.23</v>
      </c>
      <c r="F666" s="3388"/>
    </row>
    <row r="667" spans="1:6">
      <c r="A667" s="3522">
        <f>COUNT(A2:A666)</f>
        <v>665</v>
      </c>
      <c r="E667" s="3454">
        <f>SUM(E2:E666)</f>
        <v>44525.130000000063</v>
      </c>
    </row>
  </sheetData>
  <autoFilter ref="A1:F667"/>
  <phoneticPr fontId="143" type="noConversion"/>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67"/>
  <sheetViews>
    <sheetView topLeftCell="F1" workbookViewId="0">
      <selection activeCell="C16" sqref="C16"/>
    </sheetView>
  </sheetViews>
  <sheetFormatPr defaultRowHeight="13.5"/>
  <cols>
    <col min="1" max="1" width="9.125" style="2288" bestFit="1" customWidth="1"/>
    <col min="2" max="2" width="13.875" style="2288" bestFit="1" customWidth="1"/>
    <col min="3" max="3" width="15" style="2293" customWidth="1"/>
    <col min="4" max="4" width="12" style="2288" bestFit="1" customWidth="1"/>
    <col min="5" max="5" width="10.5" style="2293" bestFit="1" customWidth="1"/>
    <col min="6" max="6" width="11.625" style="2288" customWidth="1"/>
    <col min="7" max="7" width="13" style="2288" customWidth="1"/>
    <col min="8" max="8" width="12" style="2288" bestFit="1" customWidth="1"/>
    <col min="9" max="9" width="11.625" style="2288" customWidth="1"/>
    <col min="10" max="10" width="12" style="2288" bestFit="1" customWidth="1"/>
    <col min="11" max="11" width="10.625" style="2288" customWidth="1"/>
    <col min="12" max="12" width="12.875" style="2288" bestFit="1" customWidth="1"/>
    <col min="13" max="13" width="10.5" style="2288" bestFit="1" customWidth="1"/>
    <col min="14" max="15" width="12.875" style="2288" bestFit="1" customWidth="1"/>
    <col min="16" max="16" width="15.375" style="2290" customWidth="1"/>
    <col min="17" max="17" width="13.875" style="2288" bestFit="1" customWidth="1"/>
    <col min="18" max="19" width="10.5" style="2288" bestFit="1" customWidth="1"/>
    <col min="20" max="16384" width="9" style="2288"/>
  </cols>
  <sheetData>
    <row r="1" spans="1:19" s="2283" customFormat="1" ht="27">
      <c r="A1" s="2280" t="s">
        <v>3066</v>
      </c>
      <c r="B1" s="2280" t="s">
        <v>7090</v>
      </c>
      <c r="C1" s="2281" t="s">
        <v>7083</v>
      </c>
      <c r="D1" s="2280" t="s">
        <v>7091</v>
      </c>
      <c r="E1" s="2281" t="s">
        <v>7083</v>
      </c>
      <c r="F1" s="2280" t="s">
        <v>7092</v>
      </c>
      <c r="G1" s="2281" t="s">
        <v>7083</v>
      </c>
      <c r="H1" s="2280" t="s">
        <v>7093</v>
      </c>
      <c r="I1" s="2281" t="s">
        <v>7083</v>
      </c>
      <c r="J1" s="2280" t="s">
        <v>7094</v>
      </c>
      <c r="K1" s="2281" t="s">
        <v>7083</v>
      </c>
      <c r="L1" s="2280" t="s">
        <v>7095</v>
      </c>
      <c r="M1" s="2281" t="s">
        <v>7083</v>
      </c>
      <c r="N1" s="2280" t="s">
        <v>7096</v>
      </c>
      <c r="O1" s="2281" t="s">
        <v>7083</v>
      </c>
      <c r="P1" s="2282" t="s">
        <v>3074</v>
      </c>
    </row>
    <row r="2" spans="1:19">
      <c r="A2" s="3625" t="s">
        <v>3067</v>
      </c>
      <c r="B2" s="2285">
        <v>870.3</v>
      </c>
      <c r="C2" s="2286">
        <v>30000</v>
      </c>
      <c r="D2" s="2285">
        <v>371.64</v>
      </c>
      <c r="E2" s="2286">
        <v>21000</v>
      </c>
      <c r="F2" s="2285">
        <v>354.02</v>
      </c>
      <c r="G2" s="2285">
        <v>15600</v>
      </c>
      <c r="H2" s="2285">
        <v>3056.21</v>
      </c>
      <c r="I2" s="2285"/>
      <c r="J2" s="2285">
        <v>0</v>
      </c>
      <c r="K2" s="2285"/>
      <c r="L2" s="2285">
        <v>1606</v>
      </c>
      <c r="M2" s="2285">
        <v>16500</v>
      </c>
      <c r="N2" s="2285">
        <v>0</v>
      </c>
      <c r="O2" s="2285"/>
      <c r="P2" s="2287">
        <f>B2+D2+F2+H2+L2+J2+N2</f>
        <v>6258.17</v>
      </c>
      <c r="Q2" s="2288">
        <f>(B2*C2+D2*E2+F2*G2+H2*I2+J2*K2+L2*M2+N2*O2)/10000</f>
        <v>6593.5151999999998</v>
      </c>
      <c r="R2" s="4019">
        <f>SUM(Q2:Q6)</f>
        <v>42701.161899999992</v>
      </c>
    </row>
    <row r="3" spans="1:19">
      <c r="A3" s="3625" t="s">
        <v>3068</v>
      </c>
      <c r="B3" s="2285">
        <v>428.49</v>
      </c>
      <c r="C3" s="2286">
        <v>30000</v>
      </c>
      <c r="D3" s="2285">
        <v>1183.71</v>
      </c>
      <c r="E3" s="2286">
        <v>21000</v>
      </c>
      <c r="F3" s="2285">
        <v>546.38</v>
      </c>
      <c r="G3" s="2285">
        <v>15600</v>
      </c>
      <c r="H3" s="2285">
        <v>1041.73</v>
      </c>
      <c r="I3" s="2285"/>
      <c r="J3" s="2285">
        <f>Sheet2!E50</f>
        <v>39.909999999999997</v>
      </c>
      <c r="K3" s="2285"/>
      <c r="L3" s="2285">
        <v>1279.8800000000001</v>
      </c>
      <c r="M3" s="2285">
        <v>17000</v>
      </c>
      <c r="N3" s="2285">
        <v>3617.32</v>
      </c>
      <c r="O3" s="2285">
        <v>15500</v>
      </c>
      <c r="P3" s="2287">
        <f t="shared" ref="P3:P8" si="0">B3+D3+F3+H3+L3+J3+N3</f>
        <v>8137.42</v>
      </c>
      <c r="Q3" s="2288">
        <f t="shared" ref="Q3:Q8" si="1">(B3*C3+D3*E3+F3*G3+H3*I3+J3*K3+L3*M3+N3*O3)/10000</f>
        <v>12406.255800000001</v>
      </c>
      <c r="R3" s="4019"/>
    </row>
    <row r="4" spans="1:19">
      <c r="A4" s="3625" t="s">
        <v>3069</v>
      </c>
      <c r="B4" s="2285">
        <v>416.61</v>
      </c>
      <c r="C4" s="2286">
        <v>30000</v>
      </c>
      <c r="D4" s="2285">
        <f>Sheet2!E64</f>
        <v>47.97</v>
      </c>
      <c r="E4" s="2286">
        <v>21000</v>
      </c>
      <c r="F4" s="2285">
        <v>140.97999999999999</v>
      </c>
      <c r="G4" s="2285">
        <v>15600</v>
      </c>
      <c r="H4" s="2285">
        <v>0</v>
      </c>
      <c r="I4" s="2285"/>
      <c r="J4" s="2285">
        <v>0</v>
      </c>
      <c r="K4" s="2285"/>
      <c r="L4" s="2285">
        <f>5853.64-Sheet4!F291</f>
        <v>5789.31</v>
      </c>
      <c r="M4" s="2285">
        <v>18000</v>
      </c>
      <c r="N4" s="2285">
        <v>559.83000000000004</v>
      </c>
      <c r="O4" s="2285">
        <v>15500</v>
      </c>
      <c r="P4" s="2287">
        <f t="shared" si="0"/>
        <v>6954.7000000000007</v>
      </c>
      <c r="Q4" s="2288">
        <f t="shared" si="1"/>
        <v>12858.990299999999</v>
      </c>
      <c r="R4" s="4019"/>
    </row>
    <row r="5" spans="1:19">
      <c r="A5" s="3625" t="s">
        <v>3070</v>
      </c>
      <c r="B5" s="2285">
        <v>2254.63</v>
      </c>
      <c r="C5" s="2286">
        <v>30000</v>
      </c>
      <c r="D5" s="2285">
        <v>0</v>
      </c>
      <c r="E5" s="2286"/>
      <c r="F5" s="2285">
        <v>0</v>
      </c>
      <c r="G5" s="2285"/>
      <c r="H5" s="2285">
        <v>0</v>
      </c>
      <c r="I5" s="2285"/>
      <c r="J5" s="2285">
        <v>0</v>
      </c>
      <c r="K5" s="2285"/>
      <c r="L5" s="2285">
        <v>1630.73</v>
      </c>
      <c r="M5" s="2285">
        <v>17500</v>
      </c>
      <c r="N5" s="2285">
        <v>0</v>
      </c>
      <c r="O5" s="2285"/>
      <c r="P5" s="2287">
        <f t="shared" si="0"/>
        <v>3885.36</v>
      </c>
      <c r="Q5" s="2288">
        <f t="shared" si="1"/>
        <v>9617.6674999999996</v>
      </c>
      <c r="R5" s="4019"/>
    </row>
    <row r="6" spans="1:19">
      <c r="A6" s="3626">
        <v>9</v>
      </c>
      <c r="B6" s="2285">
        <f>单套价值!F375</f>
        <v>55.42</v>
      </c>
      <c r="C6" s="2286"/>
      <c r="D6" s="2285">
        <v>0</v>
      </c>
      <c r="E6" s="2286"/>
      <c r="F6" s="2285">
        <v>0</v>
      </c>
      <c r="G6" s="2285"/>
      <c r="H6" s="2285">
        <v>0</v>
      </c>
      <c r="I6" s="2285"/>
      <c r="J6" s="2285">
        <v>0</v>
      </c>
      <c r="K6" s="2285"/>
      <c r="L6" s="2285">
        <v>519.53</v>
      </c>
      <c r="M6" s="2285">
        <v>17200</v>
      </c>
      <c r="N6" s="2285">
        <v>245.29</v>
      </c>
      <c r="O6" s="2285">
        <v>13500</v>
      </c>
      <c r="P6" s="2287">
        <f t="shared" si="0"/>
        <v>820.2399999999999</v>
      </c>
      <c r="Q6" s="2288">
        <f t="shared" si="1"/>
        <v>1224.7330999999999</v>
      </c>
      <c r="R6" s="4019"/>
    </row>
    <row r="7" spans="1:19">
      <c r="A7" s="3626">
        <v>11</v>
      </c>
      <c r="B7" s="2285">
        <v>6794.26</v>
      </c>
      <c r="C7" s="2286">
        <v>38000</v>
      </c>
      <c r="D7" s="2285">
        <v>0</v>
      </c>
      <c r="E7" s="2286"/>
      <c r="F7" s="2285">
        <v>0</v>
      </c>
      <c r="G7" s="2285"/>
      <c r="H7" s="2285">
        <v>0</v>
      </c>
      <c r="I7" s="2285"/>
      <c r="J7" s="2285">
        <v>0</v>
      </c>
      <c r="K7" s="2285"/>
      <c r="L7" s="2285">
        <v>1660.96</v>
      </c>
      <c r="M7" s="2285">
        <v>17000</v>
      </c>
      <c r="N7" s="2285">
        <f>456.74+Sheet2!E257+Sheet2!E258</f>
        <v>543.71</v>
      </c>
      <c r="O7" s="2285">
        <v>13500</v>
      </c>
      <c r="P7" s="2287">
        <f t="shared" si="0"/>
        <v>8998.93</v>
      </c>
      <c r="Q7" s="2288">
        <f t="shared" si="1"/>
        <v>29375.8285</v>
      </c>
      <c r="R7" s="4019">
        <f ca="1">'典型户型修正(先权重后修正)'!S22-面积表!R2</f>
        <v>62105.838100000008</v>
      </c>
      <c r="S7" s="4019">
        <f ca="1">R7*10000/(P7+P8)</f>
        <v>33642.864510006053</v>
      </c>
    </row>
    <row r="8" spans="1:19">
      <c r="A8" s="3626">
        <v>12</v>
      </c>
      <c r="B8" s="2285">
        <v>5163.13</v>
      </c>
      <c r="C8" s="2286">
        <v>37000</v>
      </c>
      <c r="D8" s="2285">
        <v>0</v>
      </c>
      <c r="E8" s="2286"/>
      <c r="F8" s="2285">
        <v>0</v>
      </c>
      <c r="G8" s="2285"/>
      <c r="H8" s="2285">
        <v>0</v>
      </c>
      <c r="I8" s="2285"/>
      <c r="J8" s="2285">
        <v>0</v>
      </c>
      <c r="K8" s="2285"/>
      <c r="L8" s="2285">
        <v>2450.85</v>
      </c>
      <c r="M8" s="2285">
        <v>19100</v>
      </c>
      <c r="N8" s="2285">
        <v>1847.42</v>
      </c>
      <c r="O8" s="2285">
        <v>13500</v>
      </c>
      <c r="P8" s="2287">
        <f t="shared" si="0"/>
        <v>9461.4</v>
      </c>
      <c r="Q8" s="2288">
        <f t="shared" si="1"/>
        <v>26278.7215</v>
      </c>
      <c r="R8" s="4019"/>
      <c r="S8" s="4019"/>
    </row>
    <row r="9" spans="1:19" s="2290" customFormat="1">
      <c r="A9" s="2287" t="s">
        <v>3073</v>
      </c>
      <c r="B9" s="2287">
        <f>SUM(B2:B8)</f>
        <v>15982.84</v>
      </c>
      <c r="C9" s="2289"/>
      <c r="D9" s="2287">
        <f t="shared" ref="D9:N9" si="2">SUM(D2:D8)</f>
        <v>1603.32</v>
      </c>
      <c r="E9" s="2289"/>
      <c r="F9" s="2287">
        <f t="shared" si="2"/>
        <v>1041.3799999999999</v>
      </c>
      <c r="G9" s="2287"/>
      <c r="H9" s="2287">
        <f t="shared" si="2"/>
        <v>4097.9400000000005</v>
      </c>
      <c r="I9" s="2287"/>
      <c r="J9" s="2287">
        <f t="shared" si="2"/>
        <v>39.909999999999997</v>
      </c>
      <c r="K9" s="2287"/>
      <c r="L9" s="2287">
        <f t="shared" si="2"/>
        <v>14937.26</v>
      </c>
      <c r="M9" s="2287"/>
      <c r="N9" s="2287">
        <f t="shared" si="2"/>
        <v>6813.5700000000006</v>
      </c>
      <c r="O9" s="2287"/>
      <c r="P9" s="2287">
        <f>SUM(B9:N9)</f>
        <v>44516.22</v>
      </c>
      <c r="Q9" s="2288">
        <f>Q10*10000/P9</f>
        <v>22094.353900668117</v>
      </c>
    </row>
    <row r="10" spans="1:19" s="2292" customFormat="1">
      <c r="A10" s="2282" t="s">
        <v>7081</v>
      </c>
      <c r="B10" s="2282">
        <v>36000</v>
      </c>
      <c r="C10" s="2291"/>
      <c r="D10" s="2282">
        <v>21000</v>
      </c>
      <c r="E10" s="2291"/>
      <c r="F10" s="2282">
        <v>15600</v>
      </c>
      <c r="G10" s="2282"/>
      <c r="H10" s="2282">
        <v>16300</v>
      </c>
      <c r="I10" s="2282"/>
      <c r="J10" s="2282">
        <v>13600</v>
      </c>
      <c r="K10" s="2282"/>
      <c r="L10" s="2282">
        <v>17750</v>
      </c>
      <c r="M10" s="2282"/>
      <c r="N10" s="2282">
        <v>14750</v>
      </c>
      <c r="O10" s="2282"/>
      <c r="P10" s="2282"/>
      <c r="Q10" s="2292">
        <f>SUM(Q2:Q8)</f>
        <v>98355.711899999995</v>
      </c>
    </row>
    <row r="11" spans="1:19">
      <c r="A11" s="2284" t="s">
        <v>7089</v>
      </c>
      <c r="B11" s="2285">
        <f>B10*B9/10000</f>
        <v>57538.224000000002</v>
      </c>
      <c r="C11" s="2285">
        <f t="shared" ref="C11:O11" si="3">C10*C9/10000</f>
        <v>0</v>
      </c>
      <c r="D11" s="2285">
        <f t="shared" si="3"/>
        <v>3366.9720000000002</v>
      </c>
      <c r="E11" s="2285">
        <f t="shared" si="3"/>
        <v>0</v>
      </c>
      <c r="F11" s="2285">
        <f t="shared" si="3"/>
        <v>1624.5527999999997</v>
      </c>
      <c r="G11" s="2285">
        <f t="shared" si="3"/>
        <v>0</v>
      </c>
      <c r="H11" s="2285">
        <f t="shared" si="3"/>
        <v>6679.6422000000011</v>
      </c>
      <c r="I11" s="2285">
        <f t="shared" si="3"/>
        <v>0</v>
      </c>
      <c r="J11" s="2285">
        <f>J10*J9/10000</f>
        <v>54.2776</v>
      </c>
      <c r="K11" s="2285">
        <f t="shared" si="3"/>
        <v>0</v>
      </c>
      <c r="L11" s="2285">
        <f t="shared" si="3"/>
        <v>26513.636500000001</v>
      </c>
      <c r="M11" s="2285">
        <f t="shared" si="3"/>
        <v>0</v>
      </c>
      <c r="N11" s="2285">
        <f t="shared" si="3"/>
        <v>10050.015750000002</v>
      </c>
      <c r="O11" s="2285">
        <f t="shared" si="3"/>
        <v>0</v>
      </c>
      <c r="P11" s="2287"/>
    </row>
    <row r="14" spans="1:19" ht="14.25" thickBot="1"/>
    <row r="15" spans="1:19">
      <c r="B15" s="3528" t="s">
        <v>7130</v>
      </c>
      <c r="C15" s="3529" t="s">
        <v>7143</v>
      </c>
      <c r="D15" s="3529" t="s">
        <v>7149</v>
      </c>
      <c r="E15" s="3530" t="s">
        <v>7151</v>
      </c>
    </row>
    <row r="16" spans="1:19">
      <c r="B16" s="3523" t="s">
        <v>7132</v>
      </c>
      <c r="C16" s="3388">
        <f>抵押物清单!I2</f>
        <v>15927.419999999993</v>
      </c>
      <c r="D16" s="3531">
        <f>抵押物清单!J2</f>
        <v>237</v>
      </c>
      <c r="E16" s="3524">
        <f>ROUND(C16/D16,2)</f>
        <v>67.2</v>
      </c>
    </row>
    <row r="17" spans="2:5">
      <c r="B17" s="3523" t="s">
        <v>7134</v>
      </c>
      <c r="C17" s="3388">
        <f>抵押物清单!I3</f>
        <v>1603.3200000000004</v>
      </c>
      <c r="D17" s="3531">
        <f>抵押物清单!J3</f>
        <v>28</v>
      </c>
      <c r="E17" s="3524">
        <f t="shared" ref="E17:E21" si="4">ROUND(C17/D17,2)</f>
        <v>57.26</v>
      </c>
    </row>
    <row r="18" spans="2:5">
      <c r="B18" s="3523" t="s">
        <v>7136</v>
      </c>
      <c r="C18" s="3388">
        <f>抵押物清单!I4</f>
        <v>1041.3799999999999</v>
      </c>
      <c r="D18" s="3531">
        <f>抵押物清单!J4</f>
        <v>14</v>
      </c>
      <c r="E18" s="3524">
        <f t="shared" si="4"/>
        <v>74.38</v>
      </c>
    </row>
    <row r="19" spans="2:5">
      <c r="B19" s="3523" t="s">
        <v>7153</v>
      </c>
      <c r="C19" s="3388">
        <f>抵押物清单!I5+抵押物清单!I6</f>
        <v>4137.8499999999995</v>
      </c>
      <c r="D19" s="3531">
        <f>抵押物清单!J5</f>
        <v>58</v>
      </c>
      <c r="E19" s="3524">
        <f t="shared" si="4"/>
        <v>71.34</v>
      </c>
    </row>
    <row r="20" spans="2:5">
      <c r="B20" s="3523" t="s">
        <v>7144</v>
      </c>
      <c r="C20" s="3388">
        <f>抵押物清单!I7</f>
        <v>15001.590000000007</v>
      </c>
      <c r="D20" s="3531">
        <f>抵押物清单!J7+抵押物清单!J6</f>
        <v>230</v>
      </c>
      <c r="E20" s="3524">
        <f t="shared" si="4"/>
        <v>65.22</v>
      </c>
    </row>
    <row r="21" spans="2:5">
      <c r="B21" s="3523" t="s">
        <v>7145</v>
      </c>
      <c r="C21" s="3388">
        <f>抵押物清单!I8</f>
        <v>6813.5700000000006</v>
      </c>
      <c r="D21" s="3531">
        <f>抵押物清单!J8</f>
        <v>98</v>
      </c>
      <c r="E21" s="3524">
        <f t="shared" si="4"/>
        <v>69.53</v>
      </c>
    </row>
    <row r="22" spans="2:5" ht="14.25" thickBot="1">
      <c r="B22" s="3525" t="s">
        <v>37</v>
      </c>
      <c r="C22" s="3526">
        <f>SUM(C16:C21)</f>
        <v>44525.13</v>
      </c>
      <c r="D22" s="3532">
        <f>SUM(D16:D21)</f>
        <v>665</v>
      </c>
      <c r="E22" s="3527">
        <f>ROUND(C22/D22,2)</f>
        <v>66.959999999999994</v>
      </c>
    </row>
    <row r="23" spans="2:5">
      <c r="D23" s="3533"/>
    </row>
    <row r="24" spans="2:5" ht="14.25" thickBot="1"/>
    <row r="25" spans="2:5" ht="15" thickBot="1">
      <c r="B25" s="3469" t="s">
        <v>7111</v>
      </c>
      <c r="C25" s="2516" t="s">
        <v>7113</v>
      </c>
    </row>
    <row r="26" spans="2:5" ht="14.25">
      <c r="B26" s="3470">
        <v>113321</v>
      </c>
      <c r="C26" s="3464">
        <v>83716</v>
      </c>
    </row>
    <row r="27" spans="2:5" ht="14.25">
      <c r="B27" s="3471">
        <v>25451</v>
      </c>
      <c r="C27" s="3466">
        <v>18802</v>
      </c>
    </row>
    <row r="28" spans="2:5" ht="15" thickBot="1">
      <c r="B28" s="3472">
        <v>28330</v>
      </c>
      <c r="C28" s="3468">
        <v>20929</v>
      </c>
    </row>
    <row r="29" spans="2:5" ht="14.25" thickBot="1"/>
    <row r="30" spans="2:5" ht="14.25">
      <c r="B30" s="3470" t="s">
        <v>7146</v>
      </c>
      <c r="C30" s="3464">
        <v>104440</v>
      </c>
    </row>
    <row r="31" spans="2:5" ht="14.25">
      <c r="B31" s="3471" t="s">
        <v>7147</v>
      </c>
      <c r="C31" s="3466">
        <v>23456</v>
      </c>
    </row>
    <row r="32" spans="2:5" ht="15" thickBot="1">
      <c r="B32" s="3472" t="s">
        <v>7148</v>
      </c>
      <c r="C32" s="3468">
        <v>26110</v>
      </c>
    </row>
    <row r="36" spans="1:17">
      <c r="A36" s="2284" t="s">
        <v>3067</v>
      </c>
      <c r="B36" s="2288">
        <v>30000</v>
      </c>
    </row>
    <row r="37" spans="1:17">
      <c r="A37" s="2284" t="s">
        <v>3068</v>
      </c>
      <c r="B37" s="2288">
        <v>30000</v>
      </c>
    </row>
    <row r="38" spans="1:17">
      <c r="A38" s="2284" t="s">
        <v>3069</v>
      </c>
      <c r="B38" s="2288">
        <v>30000</v>
      </c>
    </row>
    <row r="39" spans="1:17">
      <c r="A39" s="2284" t="s">
        <v>3070</v>
      </c>
      <c r="B39" s="2288">
        <v>30000</v>
      </c>
    </row>
    <row r="40" spans="1:17">
      <c r="A40" s="2285">
        <v>9</v>
      </c>
      <c r="B40" s="2288">
        <v>38000</v>
      </c>
    </row>
    <row r="41" spans="1:17">
      <c r="A41" s="2285">
        <v>11</v>
      </c>
      <c r="B41" s="2288">
        <v>38000</v>
      </c>
    </row>
    <row r="42" spans="1:17">
      <c r="A42" s="2285">
        <v>12</v>
      </c>
      <c r="B42" s="2288">
        <v>38000</v>
      </c>
    </row>
    <row r="46" spans="1:17" ht="27">
      <c r="A46" s="2280" t="s">
        <v>3066</v>
      </c>
      <c r="B46" s="2280" t="s">
        <v>7090</v>
      </c>
      <c r="C46" s="2281" t="s">
        <v>7083</v>
      </c>
      <c r="D46" s="2280" t="s">
        <v>7091</v>
      </c>
      <c r="E46" s="2281" t="s">
        <v>7083</v>
      </c>
      <c r="F46" s="2280" t="s">
        <v>7092</v>
      </c>
      <c r="G46" s="2281" t="s">
        <v>7083</v>
      </c>
      <c r="H46" s="2280" t="s">
        <v>7093</v>
      </c>
      <c r="I46" s="2281" t="s">
        <v>7083</v>
      </c>
      <c r="J46" s="2280" t="s">
        <v>7094</v>
      </c>
      <c r="K46" s="2281" t="s">
        <v>7083</v>
      </c>
      <c r="L46" s="2280" t="s">
        <v>7095</v>
      </c>
      <c r="M46" s="2281" t="s">
        <v>7083</v>
      </c>
      <c r="N46" s="2280" t="s">
        <v>7096</v>
      </c>
      <c r="O46" s="2281" t="s">
        <v>7083</v>
      </c>
      <c r="P46" s="2282" t="s">
        <v>3073</v>
      </c>
      <c r="Q46" s="2283"/>
    </row>
    <row r="47" spans="1:17">
      <c r="A47" s="2284" t="s">
        <v>3067</v>
      </c>
      <c r="B47" s="2285">
        <v>870.3</v>
      </c>
      <c r="C47" s="2286">
        <v>26000</v>
      </c>
      <c r="D47" s="2285">
        <v>371.64</v>
      </c>
      <c r="E47" s="2286">
        <v>17000</v>
      </c>
      <c r="F47" s="2285">
        <v>354.02</v>
      </c>
      <c r="G47" s="2285">
        <v>14000</v>
      </c>
      <c r="H47" s="2285">
        <v>3056.21</v>
      </c>
      <c r="I47" s="2285">
        <v>15000</v>
      </c>
      <c r="J47" s="2285">
        <v>0</v>
      </c>
      <c r="K47" s="2285"/>
      <c r="L47" s="2285">
        <v>1606</v>
      </c>
      <c r="M47" s="2285">
        <v>15000</v>
      </c>
      <c r="N47" s="2285">
        <v>0</v>
      </c>
      <c r="O47" s="2285"/>
      <c r="P47" s="2287">
        <f>B47+D47+F47+H47+L47+J47+N47</f>
        <v>6258.17</v>
      </c>
      <c r="Q47" s="3541">
        <f>(B47*C47+D47*E47+F47*G47+H47*I47+J47*K47+L47*M47+N47*O47)/10000</f>
        <v>10383.511</v>
      </c>
    </row>
    <row r="48" spans="1:17">
      <c r="A48" s="2284" t="s">
        <v>3068</v>
      </c>
      <c r="B48" s="2285">
        <v>428.49</v>
      </c>
      <c r="C48" s="2286">
        <v>26000</v>
      </c>
      <c r="D48" s="2285">
        <v>1183.71</v>
      </c>
      <c r="E48" s="2286">
        <v>18000</v>
      </c>
      <c r="F48" s="2285">
        <v>546.38</v>
      </c>
      <c r="G48" s="2285">
        <v>14000</v>
      </c>
      <c r="H48" s="2285">
        <v>1041.73</v>
      </c>
      <c r="I48" s="2285">
        <v>14500</v>
      </c>
      <c r="J48" s="2285">
        <f>Sheet2!E95</f>
        <v>70.83</v>
      </c>
      <c r="K48" s="2285">
        <v>14000</v>
      </c>
      <c r="L48" s="2285">
        <v>1279.8800000000001</v>
      </c>
      <c r="M48" s="2285">
        <v>15500</v>
      </c>
      <c r="N48" s="2285">
        <v>3617.32</v>
      </c>
      <c r="O48" s="2285">
        <v>10000</v>
      </c>
      <c r="P48" s="2287">
        <f t="shared" ref="P48:P53" si="5">B48+D48+F48+H48+L48+J48+N48</f>
        <v>8168.34</v>
      </c>
      <c r="Q48" s="3541">
        <f t="shared" ref="Q48:Q53" si="6">(B48*C48+D48*E48+F48*G48+H48*I48+J48*K48+L48*M48+N48*O48)/10000</f>
        <v>11220.488499999999</v>
      </c>
    </row>
    <row r="49" spans="1:17">
      <c r="A49" s="2284" t="s">
        <v>3069</v>
      </c>
      <c r="B49" s="2285">
        <v>416.61</v>
      </c>
      <c r="C49" s="2286">
        <v>26000</v>
      </c>
      <c r="D49" s="2285">
        <f>Sheet2!E109</f>
        <v>59.42</v>
      </c>
      <c r="E49" s="2286">
        <v>18000</v>
      </c>
      <c r="F49" s="2285">
        <v>140.97999999999999</v>
      </c>
      <c r="G49" s="2285">
        <v>14000</v>
      </c>
      <c r="H49" s="2285">
        <v>0</v>
      </c>
      <c r="I49" s="2285"/>
      <c r="J49" s="2285">
        <v>0</v>
      </c>
      <c r="K49" s="2285"/>
      <c r="L49" s="2285">
        <v>5853.64</v>
      </c>
      <c r="M49" s="2285">
        <v>16000</v>
      </c>
      <c r="N49" s="2285">
        <v>559.83000000000004</v>
      </c>
      <c r="O49" s="2285">
        <v>12500</v>
      </c>
      <c r="P49" s="2287">
        <f t="shared" si="5"/>
        <v>7030.4800000000005</v>
      </c>
      <c r="Q49" s="3541">
        <f t="shared" si="6"/>
        <v>11453.1255</v>
      </c>
    </row>
    <row r="50" spans="1:17">
      <c r="A50" s="2284" t="s">
        <v>3070</v>
      </c>
      <c r="B50" s="2285">
        <v>2254.63</v>
      </c>
      <c r="C50" s="2286">
        <v>22630</v>
      </c>
      <c r="D50" s="2285">
        <v>0</v>
      </c>
      <c r="E50" s="2286"/>
      <c r="F50" s="2285">
        <v>0</v>
      </c>
      <c r="G50" s="2285"/>
      <c r="H50" s="2285">
        <v>0</v>
      </c>
      <c r="I50" s="2285"/>
      <c r="J50" s="2285">
        <v>0</v>
      </c>
      <c r="K50" s="2285"/>
      <c r="L50" s="2285">
        <v>1630.73</v>
      </c>
      <c r="M50" s="2285">
        <v>16000</v>
      </c>
      <c r="N50" s="2285">
        <v>0</v>
      </c>
      <c r="O50" s="2285"/>
      <c r="P50" s="2287">
        <f t="shared" si="5"/>
        <v>3885.36</v>
      </c>
      <c r="Q50" s="3541">
        <f t="shared" si="6"/>
        <v>7711.3956900000003</v>
      </c>
    </row>
    <row r="51" spans="1:17">
      <c r="A51" s="2285">
        <v>9</v>
      </c>
      <c r="B51" s="2285">
        <v>0</v>
      </c>
      <c r="C51" s="2286"/>
      <c r="D51" s="2285">
        <v>0</v>
      </c>
      <c r="E51" s="2286"/>
      <c r="F51" s="2285">
        <v>0</v>
      </c>
      <c r="G51" s="2285"/>
      <c r="H51" s="2285">
        <v>0</v>
      </c>
      <c r="I51" s="2285"/>
      <c r="J51" s="2285">
        <v>0</v>
      </c>
      <c r="K51" s="2285"/>
      <c r="L51" s="2285">
        <v>519.53</v>
      </c>
      <c r="M51" s="2285">
        <v>14500</v>
      </c>
      <c r="N51" s="2285">
        <v>245.29</v>
      </c>
      <c r="O51" s="2285">
        <v>12500</v>
      </c>
      <c r="P51" s="2287">
        <f t="shared" si="5"/>
        <v>764.81999999999994</v>
      </c>
      <c r="Q51" s="3541">
        <f t="shared" si="6"/>
        <v>1059.931</v>
      </c>
    </row>
    <row r="52" spans="1:17">
      <c r="A52" s="2285">
        <v>11</v>
      </c>
      <c r="B52" s="2285">
        <v>6794.26</v>
      </c>
      <c r="C52" s="2286">
        <v>31000</v>
      </c>
      <c r="D52" s="2285">
        <v>0</v>
      </c>
      <c r="E52" s="2286"/>
      <c r="F52" s="2285">
        <v>0</v>
      </c>
      <c r="G52" s="2285"/>
      <c r="H52" s="2285">
        <v>0</v>
      </c>
      <c r="I52" s="2285"/>
      <c r="J52" s="2285">
        <v>0</v>
      </c>
      <c r="K52" s="2285"/>
      <c r="L52" s="2285">
        <v>1660.96</v>
      </c>
      <c r="M52" s="2285">
        <v>14500</v>
      </c>
      <c r="N52" s="2285">
        <f>456.74+Sheet2!E302+Sheet2!E303</f>
        <v>456.74</v>
      </c>
      <c r="O52" s="2285">
        <v>126100</v>
      </c>
      <c r="P52" s="2287">
        <f t="shared" si="5"/>
        <v>8911.9600000000009</v>
      </c>
      <c r="Q52" s="3541">
        <f t="shared" si="6"/>
        <v>29230.089400000001</v>
      </c>
    </row>
    <row r="53" spans="1:17">
      <c r="A53" s="2285">
        <v>12</v>
      </c>
      <c r="B53" s="2285">
        <v>5163.13</v>
      </c>
      <c r="C53" s="2286">
        <v>32200</v>
      </c>
      <c r="D53" s="2285">
        <v>0</v>
      </c>
      <c r="E53" s="2286"/>
      <c r="F53" s="2285">
        <v>0</v>
      </c>
      <c r="G53" s="2285"/>
      <c r="H53" s="2285">
        <v>0</v>
      </c>
      <c r="I53" s="2285"/>
      <c r="J53" s="2285">
        <v>0</v>
      </c>
      <c r="K53" s="2285"/>
      <c r="L53" s="2285">
        <v>2450.85</v>
      </c>
      <c r="M53" s="2285">
        <v>14500</v>
      </c>
      <c r="N53" s="2285">
        <v>1847.42</v>
      </c>
      <c r="O53" s="2285">
        <v>12600</v>
      </c>
      <c r="P53" s="2287">
        <f t="shared" si="5"/>
        <v>9461.4</v>
      </c>
      <c r="Q53" s="3541">
        <f t="shared" si="6"/>
        <v>22506.760300000002</v>
      </c>
    </row>
    <row r="54" spans="1:17">
      <c r="A54" s="2287" t="s">
        <v>3073</v>
      </c>
      <c r="B54" s="2287">
        <f>SUM(B47:B53)</f>
        <v>15927.420000000002</v>
      </c>
      <c r="C54" s="2289"/>
      <c r="D54" s="2287">
        <f t="shared" ref="D54" si="7">SUM(D47:D53)</f>
        <v>1614.77</v>
      </c>
      <c r="E54" s="2289"/>
      <c r="F54" s="2287">
        <f t="shared" ref="F54" si="8">SUM(F47:F53)</f>
        <v>1041.3799999999999</v>
      </c>
      <c r="G54" s="2287"/>
      <c r="H54" s="2287">
        <f t="shared" ref="H54" si="9">SUM(H47:H53)</f>
        <v>4097.9400000000005</v>
      </c>
      <c r="I54" s="2287"/>
      <c r="J54" s="2287">
        <f t="shared" ref="J54" si="10">SUM(J47:J53)</f>
        <v>70.83</v>
      </c>
      <c r="K54" s="2287"/>
      <c r="L54" s="2287">
        <f t="shared" ref="L54" si="11">SUM(L47:L53)</f>
        <v>15001.590000000002</v>
      </c>
      <c r="M54" s="2287"/>
      <c r="N54" s="2287">
        <f t="shared" ref="N54" si="12">SUM(N47:N53)</f>
        <v>6726.6</v>
      </c>
      <c r="O54" s="2287"/>
      <c r="P54" s="2287">
        <f>SUM(B54:N54)</f>
        <v>44480.530000000006</v>
      </c>
      <c r="Q54" s="3541">
        <f>Q55*10000/P54</f>
        <v>21035.113877914675</v>
      </c>
    </row>
    <row r="55" spans="1:17">
      <c r="A55" s="2282" t="s">
        <v>7081</v>
      </c>
      <c r="B55" s="2282">
        <f>SUM(B58:B64)/B54*10000</f>
        <v>29665.666058909726</v>
      </c>
      <c r="C55" s="2282"/>
      <c r="D55" s="2282">
        <f t="shared" ref="D55" si="13">SUM(D58:D64)/D54*10000</f>
        <v>17769.849576100623</v>
      </c>
      <c r="E55" s="2282"/>
      <c r="F55" s="2282">
        <f t="shared" ref="F55" si="14">SUM(F58:F64)/F54*10000</f>
        <v>14000.000000000002</v>
      </c>
      <c r="G55" s="2282"/>
      <c r="H55" s="2282">
        <f t="shared" ref="H55" si="15">SUM(H58:H64)/H54*10000</f>
        <v>14872.895894034562</v>
      </c>
      <c r="I55" s="2282"/>
      <c r="J55" s="2282">
        <f t="shared" ref="J55" si="16">SUM(J58:J64)/J54*10000</f>
        <v>14000.000000000002</v>
      </c>
      <c r="K55" s="2282"/>
      <c r="L55" s="2282">
        <f t="shared" ref="L55" si="17">SUM(L58:L64)/L54*10000</f>
        <v>15387.201623294597</v>
      </c>
      <c r="M55" s="2282"/>
      <c r="N55" s="2282">
        <v>14750</v>
      </c>
      <c r="O55" s="2282"/>
      <c r="P55" s="2282"/>
      <c r="Q55" s="2292">
        <f>SUM(Q47:Q53)</f>
        <v>93565.301390000008</v>
      </c>
    </row>
    <row r="56" spans="1:17">
      <c r="A56" s="2284" t="s">
        <v>3073</v>
      </c>
      <c r="B56" s="2285">
        <f>B55*B54/10000</f>
        <v>47249.752290000004</v>
      </c>
      <c r="C56" s="2285"/>
      <c r="D56" s="2285">
        <f t="shared" ref="D56:H56" si="18">D55*D54/10000</f>
        <v>2869.4220000000005</v>
      </c>
      <c r="E56" s="2285"/>
      <c r="F56" s="2285">
        <f t="shared" si="18"/>
        <v>1457.932</v>
      </c>
      <c r="G56" s="2285"/>
      <c r="H56" s="2285">
        <f t="shared" si="18"/>
        <v>6094.8235000000004</v>
      </c>
      <c r="I56" s="2285"/>
      <c r="J56" s="2285">
        <f>J55*J54/10000</f>
        <v>99.162000000000006</v>
      </c>
      <c r="K56" s="2285"/>
      <c r="L56" s="2285">
        <f t="shared" ref="L56:N56" si="19">L55*L54/10000</f>
        <v>23083.249000000003</v>
      </c>
      <c r="M56" s="2285"/>
      <c r="N56" s="2285">
        <f t="shared" si="19"/>
        <v>9921.7350000000006</v>
      </c>
      <c r="O56" s="2285"/>
      <c r="P56" s="2287">
        <f>SUM(B56:O56)</f>
        <v>90776.075790000003</v>
      </c>
      <c r="Q56" s="3541"/>
    </row>
    <row r="58" spans="1:17">
      <c r="B58" s="2288">
        <f>B47*C47/10000</f>
        <v>2262.7800000000002</v>
      </c>
      <c r="D58" s="2288">
        <f>D47*E47/10000</f>
        <v>631.78800000000001</v>
      </c>
      <c r="E58" s="3541"/>
      <c r="F58" s="3541">
        <f>F47*G47/10000</f>
        <v>495.62799999999999</v>
      </c>
      <c r="G58" s="3541"/>
      <c r="H58" s="3541">
        <f t="shared" ref="H58:N58" si="20">H47*I47/10000</f>
        <v>4584.3149999999996</v>
      </c>
      <c r="I58" s="3541"/>
      <c r="J58" s="3541">
        <f>J47*K47/10000</f>
        <v>0</v>
      </c>
      <c r="K58" s="3541"/>
      <c r="L58" s="3541">
        <f t="shared" si="20"/>
        <v>2409</v>
      </c>
      <c r="M58" s="3541"/>
      <c r="N58" s="3541">
        <f t="shared" si="20"/>
        <v>0</v>
      </c>
      <c r="O58" s="3541"/>
      <c r="P58" s="3541"/>
      <c r="Q58" s="3541"/>
    </row>
    <row r="59" spans="1:17">
      <c r="B59" s="3541">
        <f t="shared" ref="B59:B63" si="21">B48*C48/10000</f>
        <v>1114.0740000000001</v>
      </c>
      <c r="D59" s="3541">
        <f t="shared" ref="D59:D64" si="22">D48*E48/10000</f>
        <v>2130.6779999999999</v>
      </c>
      <c r="F59" s="3541">
        <f t="shared" ref="F59:F64" si="23">F48*G48/10000</f>
        <v>764.93200000000002</v>
      </c>
      <c r="H59" s="3541">
        <f t="shared" ref="H59" si="24">H48*I48/10000</f>
        <v>1510.5084999999999</v>
      </c>
      <c r="J59" s="3541">
        <f t="shared" ref="J59:J64" si="25">J48*K48/10000</f>
        <v>99.162000000000006</v>
      </c>
      <c r="L59" s="3541">
        <f t="shared" ref="L59" si="26">L48*M48/10000</f>
        <v>1983.8140000000001</v>
      </c>
      <c r="N59" s="3541">
        <f t="shared" ref="N59" si="27">N48*O48/10000</f>
        <v>3617.32</v>
      </c>
    </row>
    <row r="60" spans="1:17">
      <c r="B60" s="3541">
        <f t="shared" si="21"/>
        <v>1083.1859999999999</v>
      </c>
      <c r="D60" s="3541">
        <f t="shared" si="22"/>
        <v>106.956</v>
      </c>
      <c r="F60" s="3541">
        <f t="shared" si="23"/>
        <v>197.37199999999999</v>
      </c>
      <c r="H60" s="3541">
        <f t="shared" ref="H60" si="28">H49*I49/10000</f>
        <v>0</v>
      </c>
      <c r="J60" s="3541">
        <f t="shared" si="25"/>
        <v>0</v>
      </c>
      <c r="L60" s="3541">
        <f t="shared" ref="L60" si="29">L49*M49/10000</f>
        <v>9365.8240000000005</v>
      </c>
      <c r="N60" s="3541">
        <f t="shared" ref="N60" si="30">N49*O49/10000</f>
        <v>699.78750000000014</v>
      </c>
    </row>
    <row r="61" spans="1:17">
      <c r="B61" s="3541">
        <f t="shared" si="21"/>
        <v>5102.2276900000006</v>
      </c>
      <c r="D61" s="3541">
        <f t="shared" si="22"/>
        <v>0</v>
      </c>
      <c r="F61" s="3541">
        <f t="shared" si="23"/>
        <v>0</v>
      </c>
      <c r="H61" s="3541">
        <f t="shared" ref="H61" si="31">H50*I50/10000</f>
        <v>0</v>
      </c>
      <c r="J61" s="3541">
        <f t="shared" si="25"/>
        <v>0</v>
      </c>
      <c r="L61" s="3541">
        <f t="shared" ref="L61" si="32">L50*M50/10000</f>
        <v>2609.1680000000001</v>
      </c>
      <c r="N61" s="3541">
        <f t="shared" ref="N61" si="33">N50*O50/10000</f>
        <v>0</v>
      </c>
    </row>
    <row r="62" spans="1:17">
      <c r="B62" s="3541"/>
      <c r="D62" s="3541">
        <f t="shared" si="22"/>
        <v>0</v>
      </c>
      <c r="F62" s="3541">
        <f t="shared" si="23"/>
        <v>0</v>
      </c>
      <c r="H62" s="3541">
        <f t="shared" ref="H62" si="34">H51*I51/10000</f>
        <v>0</v>
      </c>
      <c r="J62" s="3541">
        <f t="shared" si="25"/>
        <v>0</v>
      </c>
      <c r="L62" s="3541">
        <f t="shared" ref="L62" si="35">L51*M51/10000</f>
        <v>753.31849999999997</v>
      </c>
      <c r="N62" s="3541">
        <f t="shared" ref="N62" si="36">N51*O51/10000</f>
        <v>306.61250000000001</v>
      </c>
    </row>
    <row r="63" spans="1:17">
      <c r="B63" s="3541">
        <f t="shared" si="21"/>
        <v>21062.205999999998</v>
      </c>
      <c r="D63" s="3541">
        <f t="shared" si="22"/>
        <v>0</v>
      </c>
      <c r="F63" s="3541">
        <f t="shared" si="23"/>
        <v>0</v>
      </c>
      <c r="H63" s="3541">
        <f t="shared" ref="H63" si="37">H52*I52/10000</f>
        <v>0</v>
      </c>
      <c r="J63" s="3541">
        <f t="shared" si="25"/>
        <v>0</v>
      </c>
      <c r="L63" s="3541">
        <f t="shared" ref="L63" si="38">L52*M52/10000</f>
        <v>2408.3919999999998</v>
      </c>
      <c r="N63" s="3541">
        <f t="shared" ref="N63" si="39">N52*O52/10000</f>
        <v>5759.4913999999999</v>
      </c>
    </row>
    <row r="64" spans="1:17">
      <c r="B64" s="3541">
        <f>B53*C53/10000</f>
        <v>16625.278600000001</v>
      </c>
      <c r="D64" s="3541">
        <f t="shared" si="22"/>
        <v>0</v>
      </c>
      <c r="F64" s="3541">
        <f t="shared" si="23"/>
        <v>0</v>
      </c>
      <c r="H64" s="3541">
        <f t="shared" ref="H64" si="40">H53*I53/10000</f>
        <v>0</v>
      </c>
      <c r="J64" s="3541">
        <f t="shared" si="25"/>
        <v>0</v>
      </c>
      <c r="L64" s="3541">
        <f t="shared" ref="L64" si="41">L53*M53/10000</f>
        <v>3553.7325000000001</v>
      </c>
      <c r="N64" s="3541">
        <f>N53*O53/10000</f>
        <v>2327.7492000000002</v>
      </c>
    </row>
    <row r="65" spans="2:10">
      <c r="B65" s="3541"/>
      <c r="D65" s="3541"/>
      <c r="F65" s="3541"/>
      <c r="H65" s="3541"/>
      <c r="J65" s="3541"/>
    </row>
    <row r="66" spans="2:10">
      <c r="B66" s="3541"/>
      <c r="F66" s="3541"/>
    </row>
    <row r="67" spans="2:10">
      <c r="B67" s="3541"/>
      <c r="F67" s="3541"/>
    </row>
  </sheetData>
  <mergeCells count="3">
    <mergeCell ref="R2:R6"/>
    <mergeCell ref="R7:R8"/>
    <mergeCell ref="S7:S8"/>
  </mergeCells>
  <phoneticPr fontId="143" type="noConversion"/>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I3910"/>
  <sheetViews>
    <sheetView workbookViewId="0">
      <selection activeCell="K1187" sqref="K1187"/>
    </sheetView>
  </sheetViews>
  <sheetFormatPr defaultRowHeight="12"/>
  <cols>
    <col min="1" max="1" width="16.5" style="3394" bestFit="1" customWidth="1"/>
    <col min="2" max="2" width="7.125" style="3561" bestFit="1" customWidth="1"/>
    <col min="3" max="3" width="9" style="3398"/>
    <col min="4" max="4" width="16.375" style="3398" customWidth="1"/>
    <col min="5" max="5" width="11" style="3399" bestFit="1" customWidth="1"/>
    <col min="6" max="6" width="12.75" style="3399" bestFit="1" customWidth="1"/>
    <col min="7" max="7" width="17.25" style="3399" bestFit="1" customWidth="1"/>
    <col min="8" max="8" width="17.125" style="3558" customWidth="1"/>
    <col min="9" max="9" width="14.125" style="3399" bestFit="1" customWidth="1"/>
    <col min="10" max="16384" width="9" style="3394"/>
  </cols>
  <sheetData>
    <row r="1" spans="1:9">
      <c r="A1" s="3390" t="s">
        <v>3132</v>
      </c>
      <c r="B1" s="3559" t="s">
        <v>3133</v>
      </c>
      <c r="C1" s="3390" t="s">
        <v>3134</v>
      </c>
      <c r="D1" s="3391" t="s">
        <v>3135</v>
      </c>
      <c r="E1" s="3392" t="s">
        <v>3136</v>
      </c>
      <c r="F1" s="3393" t="s">
        <v>3137</v>
      </c>
      <c r="G1" s="3392" t="s">
        <v>3138</v>
      </c>
      <c r="H1" s="3556" t="s">
        <v>3139</v>
      </c>
      <c r="I1" s="3392" t="s">
        <v>3140</v>
      </c>
    </row>
    <row r="2" spans="1:9" s="2139" customFormat="1" hidden="1">
      <c r="A2" s="2140" t="s">
        <v>3141</v>
      </c>
      <c r="B2" s="2141">
        <v>1</v>
      </c>
      <c r="C2" s="2141" t="s">
        <v>3142</v>
      </c>
      <c r="D2" s="2141">
        <v>131</v>
      </c>
      <c r="E2" s="2142">
        <v>87.6</v>
      </c>
      <c r="F2" s="2142">
        <v>20271</v>
      </c>
      <c r="G2" s="2142">
        <v>1775739.5999999999</v>
      </c>
      <c r="H2" s="2143"/>
      <c r="I2" s="2142">
        <v>50000</v>
      </c>
    </row>
    <row r="3" spans="1:9" s="2139" customFormat="1" hidden="1">
      <c r="A3" s="2140" t="s">
        <v>3143</v>
      </c>
      <c r="B3" s="2141">
        <v>1</v>
      </c>
      <c r="C3" s="2141" t="s">
        <v>3142</v>
      </c>
      <c r="D3" s="2141">
        <v>132</v>
      </c>
      <c r="E3" s="2142">
        <v>85.32</v>
      </c>
      <c r="F3" s="2142">
        <v>20271</v>
      </c>
      <c r="G3" s="2142">
        <v>1729521.72</v>
      </c>
      <c r="H3" s="2143"/>
      <c r="I3" s="2142">
        <v>50000</v>
      </c>
    </row>
    <row r="4" spans="1:9" s="2139" customFormat="1" hidden="1">
      <c r="A4" s="2140" t="s">
        <v>3144</v>
      </c>
      <c r="B4" s="2141">
        <v>1</v>
      </c>
      <c r="C4" s="2141" t="s">
        <v>3142</v>
      </c>
      <c r="D4" s="2141">
        <v>133</v>
      </c>
      <c r="E4" s="2142">
        <v>81.040000000000006</v>
      </c>
      <c r="F4" s="2142">
        <v>20271</v>
      </c>
      <c r="G4" s="2142">
        <v>1642761.84</v>
      </c>
      <c r="H4" s="2143"/>
      <c r="I4" s="2142">
        <v>50000</v>
      </c>
    </row>
    <row r="5" spans="1:9" s="2139" customFormat="1" hidden="1">
      <c r="A5" s="2140" t="s">
        <v>3145</v>
      </c>
      <c r="B5" s="2141">
        <v>1</v>
      </c>
      <c r="C5" s="2141" t="s">
        <v>3142</v>
      </c>
      <c r="D5" s="2141">
        <v>138</v>
      </c>
      <c r="E5" s="2142">
        <v>83.02</v>
      </c>
      <c r="F5" s="2142">
        <v>15503</v>
      </c>
      <c r="G5" s="2142">
        <v>1287059.0599999998</v>
      </c>
      <c r="H5" s="2143"/>
      <c r="I5" s="2142">
        <v>50000</v>
      </c>
    </row>
    <row r="6" spans="1:9" s="2139" customFormat="1" hidden="1">
      <c r="A6" s="2140" t="s">
        <v>3146</v>
      </c>
      <c r="B6" s="2141">
        <v>1</v>
      </c>
      <c r="C6" s="2141" t="s">
        <v>3142</v>
      </c>
      <c r="D6" s="2141">
        <v>139</v>
      </c>
      <c r="E6" s="2142">
        <v>82.51</v>
      </c>
      <c r="F6" s="2142">
        <v>15503</v>
      </c>
      <c r="G6" s="2142">
        <v>1279152.53</v>
      </c>
      <c r="H6" s="2143"/>
      <c r="I6" s="2142">
        <v>50000</v>
      </c>
    </row>
    <row r="7" spans="1:9" s="2139" customFormat="1" hidden="1">
      <c r="A7" s="2140" t="s">
        <v>3147</v>
      </c>
      <c r="B7" s="2141">
        <v>1</v>
      </c>
      <c r="C7" s="2141" t="s">
        <v>3142</v>
      </c>
      <c r="D7" s="2141">
        <v>140</v>
      </c>
      <c r="E7" s="2142">
        <v>43.17</v>
      </c>
      <c r="F7" s="2142">
        <v>15503</v>
      </c>
      <c r="G7" s="2142">
        <v>669264.51</v>
      </c>
      <c r="H7" s="2143"/>
      <c r="I7" s="2142">
        <v>50000</v>
      </c>
    </row>
    <row r="8" spans="1:9" s="2139" customFormat="1" hidden="1">
      <c r="A8" s="2140" t="s">
        <v>3148</v>
      </c>
      <c r="B8" s="2141">
        <v>1</v>
      </c>
      <c r="C8" s="2141" t="s">
        <v>3142</v>
      </c>
      <c r="D8" s="2141">
        <v>141</v>
      </c>
      <c r="E8" s="2142">
        <v>45.71</v>
      </c>
      <c r="F8" s="2142">
        <v>15503</v>
      </c>
      <c r="G8" s="2142">
        <v>708642.13</v>
      </c>
      <c r="H8" s="2143"/>
      <c r="I8" s="2142">
        <v>50000</v>
      </c>
    </row>
    <row r="9" spans="1:9" s="2139" customFormat="1" hidden="1">
      <c r="A9" s="2140" t="s">
        <v>3149</v>
      </c>
      <c r="B9" s="2141">
        <v>1</v>
      </c>
      <c r="C9" s="2141" t="s">
        <v>3142</v>
      </c>
      <c r="D9" s="2141">
        <v>142</v>
      </c>
      <c r="E9" s="2142">
        <v>85.88</v>
      </c>
      <c r="F9" s="2142">
        <v>18078</v>
      </c>
      <c r="G9" s="2142">
        <v>1552538.64</v>
      </c>
      <c r="H9" s="2143"/>
      <c r="I9" s="2142">
        <v>50000</v>
      </c>
    </row>
    <row r="10" spans="1:9" s="2139" customFormat="1" hidden="1">
      <c r="A10" s="2140" t="s">
        <v>3150</v>
      </c>
      <c r="B10" s="3560">
        <v>1</v>
      </c>
      <c r="C10" s="2141" t="s">
        <v>3151</v>
      </c>
      <c r="D10" s="3396">
        <v>19</v>
      </c>
      <c r="E10" s="2142">
        <v>53.14</v>
      </c>
      <c r="F10" s="2142">
        <v>18818.0090327</v>
      </c>
      <c r="G10" s="2142">
        <v>999988.99999767798</v>
      </c>
      <c r="H10" s="3557">
        <v>42941</v>
      </c>
      <c r="I10" s="2142">
        <v>509989</v>
      </c>
    </row>
    <row r="11" spans="1:9" s="2139" customFormat="1" hidden="1">
      <c r="A11" s="2140" t="s">
        <v>3152</v>
      </c>
      <c r="B11" s="3560">
        <v>1</v>
      </c>
      <c r="C11" s="2141" t="s">
        <v>3151</v>
      </c>
      <c r="D11" s="3396">
        <v>20</v>
      </c>
      <c r="E11" s="2142">
        <v>53.14</v>
      </c>
      <c r="F11" s="2142">
        <v>19009.992470000001</v>
      </c>
      <c r="G11" s="2142">
        <v>1010190.9998558001</v>
      </c>
      <c r="H11" s="3557">
        <v>42929</v>
      </c>
      <c r="I11" s="2142">
        <v>510191</v>
      </c>
    </row>
    <row r="12" spans="1:9" s="2139" customFormat="1" hidden="1">
      <c r="A12" s="2140" t="s">
        <v>3153</v>
      </c>
      <c r="B12" s="2141">
        <v>1</v>
      </c>
      <c r="C12" s="2141" t="s">
        <v>3151</v>
      </c>
      <c r="D12" s="2141">
        <v>21</v>
      </c>
      <c r="E12" s="2142">
        <v>45.09</v>
      </c>
      <c r="F12" s="2142">
        <v>19010</v>
      </c>
      <c r="G12" s="2142">
        <v>857160.9</v>
      </c>
      <c r="H12" s="2143">
        <v>42328</v>
      </c>
      <c r="I12" s="2142">
        <v>90000</v>
      </c>
    </row>
    <row r="13" spans="1:9" s="2139" customFormat="1" hidden="1">
      <c r="A13" s="2140" t="s">
        <v>3154</v>
      </c>
      <c r="B13" s="2141">
        <v>1</v>
      </c>
      <c r="C13" s="2141" t="s">
        <v>3151</v>
      </c>
      <c r="D13" s="2141">
        <v>22</v>
      </c>
      <c r="E13" s="2142">
        <v>45.09</v>
      </c>
      <c r="F13" s="2142">
        <v>14800</v>
      </c>
      <c r="G13" s="2142">
        <v>667332</v>
      </c>
      <c r="H13" s="2143"/>
      <c r="I13" s="2142">
        <v>30000</v>
      </c>
    </row>
    <row r="14" spans="1:9" s="2139" customFormat="1" hidden="1">
      <c r="A14" s="2140" t="s">
        <v>3155</v>
      </c>
      <c r="B14" s="2141">
        <v>1</v>
      </c>
      <c r="C14" s="2141" t="s">
        <v>3151</v>
      </c>
      <c r="D14" s="2141">
        <v>23</v>
      </c>
      <c r="E14" s="2142">
        <v>45.09</v>
      </c>
      <c r="F14" s="2142">
        <v>19009.492099999999</v>
      </c>
      <c r="G14" s="2142">
        <v>857137.99878900009</v>
      </c>
      <c r="H14" s="2143">
        <v>42381</v>
      </c>
      <c r="I14" s="2142">
        <v>171432</v>
      </c>
    </row>
    <row r="15" spans="1:9" s="2139" customFormat="1" hidden="1">
      <c r="A15" s="2140" t="s">
        <v>3156</v>
      </c>
      <c r="B15" s="2141">
        <v>1</v>
      </c>
      <c r="C15" s="2141" t="s">
        <v>3151</v>
      </c>
      <c r="D15" s="2141">
        <v>25</v>
      </c>
      <c r="E15" s="2142">
        <v>45.09</v>
      </c>
      <c r="F15" s="2142">
        <v>19009.492099999999</v>
      </c>
      <c r="G15" s="2142">
        <v>857137.99878900009</v>
      </c>
      <c r="H15" s="2143">
        <v>42381</v>
      </c>
      <c r="I15" s="2142">
        <v>85716</v>
      </c>
    </row>
    <row r="16" spans="1:9" s="2139" customFormat="1" hidden="1">
      <c r="A16" s="2140" t="s">
        <v>3157</v>
      </c>
      <c r="B16" s="2141">
        <v>1</v>
      </c>
      <c r="C16" s="2141" t="s">
        <v>3151</v>
      </c>
      <c r="D16" s="2141">
        <v>26</v>
      </c>
      <c r="E16" s="2142">
        <v>45.09</v>
      </c>
      <c r="F16" s="2142">
        <v>19009.492099999999</v>
      </c>
      <c r="G16" s="2142">
        <v>857137.99878900009</v>
      </c>
      <c r="H16" s="2143"/>
      <c r="I16" s="2142">
        <v>50000</v>
      </c>
    </row>
    <row r="17" spans="1:9" s="2139" customFormat="1" hidden="1">
      <c r="A17" s="2140" t="s">
        <v>3158</v>
      </c>
      <c r="B17" s="3560">
        <v>1</v>
      </c>
      <c r="C17" s="2141" t="s">
        <v>3151</v>
      </c>
      <c r="D17" s="3396">
        <v>27</v>
      </c>
      <c r="E17" s="2142">
        <v>45.09</v>
      </c>
      <c r="F17" s="2142">
        <v>19010.002219999998</v>
      </c>
      <c r="G17" s="2142">
        <v>857161.00009979995</v>
      </c>
      <c r="H17" s="3557">
        <v>42926</v>
      </c>
      <c r="I17" s="2142">
        <v>457161</v>
      </c>
    </row>
    <row r="18" spans="1:9" s="2139" customFormat="1" hidden="1">
      <c r="A18" s="2140" t="s">
        <v>3159</v>
      </c>
      <c r="B18" s="3560">
        <v>1</v>
      </c>
      <c r="C18" s="2141" t="s">
        <v>3151</v>
      </c>
      <c r="D18" s="3396">
        <v>56</v>
      </c>
      <c r="E18" s="2142">
        <v>72.58</v>
      </c>
      <c r="F18" s="2142">
        <v>19010.002759999999</v>
      </c>
      <c r="G18" s="2142">
        <v>1379746.0003207999</v>
      </c>
      <c r="H18" s="3557">
        <v>42926</v>
      </c>
      <c r="I18" s="2142">
        <v>729746</v>
      </c>
    </row>
    <row r="19" spans="1:9" s="2139" customFormat="1" hidden="1">
      <c r="A19" s="2140" t="s">
        <v>3160</v>
      </c>
      <c r="B19" s="2141">
        <v>2</v>
      </c>
      <c r="C19" s="2141" t="s">
        <v>3161</v>
      </c>
      <c r="D19" s="2141">
        <v>5</v>
      </c>
      <c r="E19" s="2142">
        <v>45.9</v>
      </c>
      <c r="F19" s="2142">
        <v>19646</v>
      </c>
      <c r="G19" s="2142">
        <v>901751.4</v>
      </c>
      <c r="H19" s="2143">
        <v>42025</v>
      </c>
      <c r="I19" s="2142">
        <v>181751</v>
      </c>
    </row>
    <row r="20" spans="1:9" s="2139" customFormat="1" hidden="1">
      <c r="A20" s="2140" t="s">
        <v>3162</v>
      </c>
      <c r="B20" s="2141">
        <v>2</v>
      </c>
      <c r="C20" s="2141" t="s">
        <v>3161</v>
      </c>
      <c r="D20" s="2141">
        <v>7</v>
      </c>
      <c r="E20" s="2142">
        <v>45.9</v>
      </c>
      <c r="F20" s="2142">
        <v>18700</v>
      </c>
      <c r="G20" s="2142">
        <v>858330</v>
      </c>
      <c r="H20" s="2143">
        <v>42016</v>
      </c>
      <c r="I20" s="2142">
        <v>90000</v>
      </c>
    </row>
    <row r="21" spans="1:9" s="2139" customFormat="1" hidden="1">
      <c r="A21" s="2140" t="s">
        <v>3163</v>
      </c>
      <c r="B21" s="2141">
        <v>2</v>
      </c>
      <c r="C21" s="2141" t="s">
        <v>3161</v>
      </c>
      <c r="D21" s="2141">
        <v>8</v>
      </c>
      <c r="E21" s="2142">
        <v>45.9</v>
      </c>
      <c r="F21" s="2142">
        <v>18700</v>
      </c>
      <c r="G21" s="2142">
        <v>858330</v>
      </c>
      <c r="H21" s="2143">
        <v>42016</v>
      </c>
      <c r="I21" s="2142">
        <v>90000</v>
      </c>
    </row>
    <row r="22" spans="1:9" s="2139" customFormat="1" hidden="1">
      <c r="A22" s="2140" t="s">
        <v>3164</v>
      </c>
      <c r="B22" s="2141">
        <v>2</v>
      </c>
      <c r="C22" s="2141" t="s">
        <v>3161</v>
      </c>
      <c r="D22" s="2141">
        <v>9</v>
      </c>
      <c r="E22" s="2142">
        <v>45.9</v>
      </c>
      <c r="F22" s="2142">
        <v>19300</v>
      </c>
      <c r="G22" s="2142">
        <v>885870</v>
      </c>
      <c r="H22" s="2143">
        <v>42016</v>
      </c>
      <c r="I22" s="2142">
        <v>90000</v>
      </c>
    </row>
    <row r="23" spans="1:9" s="2139" customFormat="1" hidden="1">
      <c r="A23" s="2140" t="s">
        <v>3165</v>
      </c>
      <c r="B23" s="2141">
        <v>2</v>
      </c>
      <c r="C23" s="2141" t="s">
        <v>3161</v>
      </c>
      <c r="D23" s="2141">
        <v>102</v>
      </c>
      <c r="E23" s="2142">
        <v>62.02</v>
      </c>
      <c r="F23" s="2142">
        <v>22950</v>
      </c>
      <c r="G23" s="2142">
        <v>1423359</v>
      </c>
      <c r="H23" s="2143">
        <v>41991</v>
      </c>
      <c r="I23" s="2142">
        <v>713359</v>
      </c>
    </row>
    <row r="24" spans="1:9" s="2139" customFormat="1" hidden="1">
      <c r="A24" s="2140" t="s">
        <v>3166</v>
      </c>
      <c r="B24" s="2141">
        <v>2</v>
      </c>
      <c r="C24" s="2141" t="s">
        <v>3161</v>
      </c>
      <c r="D24" s="2141">
        <v>106</v>
      </c>
      <c r="E24" s="2142">
        <v>81.010000000000005</v>
      </c>
      <c r="F24" s="2142">
        <v>26927</v>
      </c>
      <c r="G24" s="2142">
        <v>2181356.27</v>
      </c>
      <c r="H24" s="2143"/>
      <c r="I24" s="2142">
        <v>50000</v>
      </c>
    </row>
    <row r="25" spans="1:9" s="2139" customFormat="1" hidden="1">
      <c r="A25" s="2140" t="s">
        <v>3167</v>
      </c>
      <c r="B25" s="2141">
        <v>2</v>
      </c>
      <c r="C25" s="2141" t="s">
        <v>3168</v>
      </c>
      <c r="D25" s="2141">
        <v>6</v>
      </c>
      <c r="E25" s="2142">
        <v>45.78</v>
      </c>
      <c r="F25" s="2142">
        <v>15300</v>
      </c>
      <c r="G25" s="2142">
        <v>700434</v>
      </c>
      <c r="H25" s="2143"/>
      <c r="I25" s="2142">
        <v>50000</v>
      </c>
    </row>
    <row r="26" spans="1:9" s="2139" customFormat="1" hidden="1">
      <c r="A26" s="2140" t="s">
        <v>3169</v>
      </c>
      <c r="B26" s="2141">
        <v>2</v>
      </c>
      <c r="C26" s="2141" t="s">
        <v>3168</v>
      </c>
      <c r="D26" s="2141">
        <v>11</v>
      </c>
      <c r="E26" s="2142">
        <v>46.44</v>
      </c>
      <c r="F26" s="2142">
        <v>15300</v>
      </c>
      <c r="G26" s="2142">
        <v>710532</v>
      </c>
      <c r="H26" s="2143"/>
      <c r="I26" s="2142">
        <v>50000</v>
      </c>
    </row>
    <row r="27" spans="1:9" s="2139" customFormat="1" hidden="1">
      <c r="A27" s="2140" t="s">
        <v>3170</v>
      </c>
      <c r="B27" s="2141">
        <v>2</v>
      </c>
      <c r="C27" s="2141" t="s">
        <v>3168</v>
      </c>
      <c r="D27" s="2141">
        <v>33</v>
      </c>
      <c r="E27" s="2142">
        <v>33.18</v>
      </c>
      <c r="F27" s="2142">
        <v>14362</v>
      </c>
      <c r="G27" s="2142">
        <v>476531.16</v>
      </c>
      <c r="H27" s="2143">
        <v>42038</v>
      </c>
      <c r="I27" s="2142">
        <v>106531</v>
      </c>
    </row>
    <row r="28" spans="1:9" s="2139" customFormat="1" hidden="1">
      <c r="A28" s="2140" t="s">
        <v>3171</v>
      </c>
      <c r="B28" s="2141">
        <v>2</v>
      </c>
      <c r="C28" s="2141" t="s">
        <v>3168</v>
      </c>
      <c r="D28" s="2141">
        <v>36</v>
      </c>
      <c r="E28" s="2142">
        <v>51.8</v>
      </c>
      <c r="F28" s="2142">
        <v>20400</v>
      </c>
      <c r="G28" s="2142">
        <v>1056720</v>
      </c>
      <c r="H28" s="2143"/>
      <c r="I28" s="2142">
        <v>50000</v>
      </c>
    </row>
    <row r="29" spans="1:9" s="2139" customFormat="1" hidden="1">
      <c r="A29" s="2140" t="s">
        <v>3172</v>
      </c>
      <c r="B29" s="2141">
        <v>2</v>
      </c>
      <c r="C29" s="2141" t="s">
        <v>3168</v>
      </c>
      <c r="D29" s="2141">
        <v>37</v>
      </c>
      <c r="E29" s="2142">
        <v>52.93</v>
      </c>
      <c r="F29" s="2142">
        <v>21094</v>
      </c>
      <c r="G29" s="2142">
        <v>1116505.42</v>
      </c>
      <c r="H29" s="2143"/>
      <c r="I29" s="2142">
        <v>50000</v>
      </c>
    </row>
    <row r="30" spans="1:9" s="2139" customFormat="1" hidden="1">
      <c r="A30" s="2140" t="s">
        <v>3173</v>
      </c>
      <c r="B30" s="2141">
        <v>2</v>
      </c>
      <c r="C30" s="2141" t="s">
        <v>3168</v>
      </c>
      <c r="D30" s="2141">
        <v>38</v>
      </c>
      <c r="E30" s="2142">
        <v>63.08</v>
      </c>
      <c r="F30" s="2142">
        <v>21094</v>
      </c>
      <c r="G30" s="2142">
        <v>1330609.52</v>
      </c>
      <c r="H30" s="2143"/>
      <c r="I30" s="2142">
        <v>50000</v>
      </c>
    </row>
    <row r="31" spans="1:9" s="2139" customFormat="1" hidden="1">
      <c r="A31" s="2140" t="s">
        <v>3174</v>
      </c>
      <c r="B31" s="2141">
        <v>2</v>
      </c>
      <c r="C31" s="2141" t="s">
        <v>3168</v>
      </c>
      <c r="D31" s="2141">
        <v>89</v>
      </c>
      <c r="E31" s="2142">
        <v>53.7</v>
      </c>
      <c r="F31" s="2142">
        <v>14362</v>
      </c>
      <c r="G31" s="2142">
        <v>771239.4</v>
      </c>
      <c r="H31" s="2143"/>
      <c r="I31" s="2142">
        <v>50000</v>
      </c>
    </row>
    <row r="32" spans="1:9" s="2139" customFormat="1" hidden="1">
      <c r="A32" s="2140" t="s">
        <v>3175</v>
      </c>
      <c r="B32" s="2141">
        <v>2</v>
      </c>
      <c r="C32" s="2141" t="s">
        <v>3168</v>
      </c>
      <c r="D32" s="2141">
        <v>91</v>
      </c>
      <c r="E32" s="2142">
        <v>53.71</v>
      </c>
      <c r="F32" s="2142">
        <v>20400</v>
      </c>
      <c r="G32" s="2142">
        <v>1095684</v>
      </c>
      <c r="H32" s="2143">
        <v>42025</v>
      </c>
      <c r="I32" s="2142">
        <v>235684</v>
      </c>
    </row>
    <row r="33" spans="1:9" s="2139" customFormat="1" hidden="1">
      <c r="A33" s="2140" t="s">
        <v>3176</v>
      </c>
      <c r="B33" s="2141">
        <v>2</v>
      </c>
      <c r="C33" s="2141" t="s">
        <v>3168</v>
      </c>
      <c r="D33" s="2141">
        <v>92</v>
      </c>
      <c r="E33" s="2142">
        <v>47.05</v>
      </c>
      <c r="F33" s="2142">
        <v>20400</v>
      </c>
      <c r="G33" s="2142">
        <v>959820</v>
      </c>
      <c r="H33" s="2143"/>
      <c r="I33" s="2142">
        <v>50000</v>
      </c>
    </row>
    <row r="34" spans="1:9" s="2139" customFormat="1" hidden="1">
      <c r="A34" s="2140" t="s">
        <v>3177</v>
      </c>
      <c r="B34" s="2141">
        <v>2</v>
      </c>
      <c r="C34" s="2141" t="s">
        <v>3168</v>
      </c>
      <c r="D34" s="2141">
        <v>93</v>
      </c>
      <c r="E34" s="2142">
        <v>62.83</v>
      </c>
      <c r="F34" s="2142">
        <v>21094</v>
      </c>
      <c r="G34" s="2142">
        <v>1325336.02</v>
      </c>
      <c r="H34" s="2143"/>
      <c r="I34" s="2142">
        <v>50000</v>
      </c>
    </row>
    <row r="35" spans="1:9" s="2139" customFormat="1" hidden="1">
      <c r="A35" s="2140" t="s">
        <v>3178</v>
      </c>
      <c r="B35" s="2141">
        <v>2</v>
      </c>
      <c r="C35" s="2141" t="s">
        <v>3168</v>
      </c>
      <c r="D35" s="2141">
        <v>102</v>
      </c>
      <c r="E35" s="2142">
        <v>69.72</v>
      </c>
      <c r="F35" s="2142">
        <v>17646</v>
      </c>
      <c r="G35" s="2142">
        <v>1230279.1199999999</v>
      </c>
      <c r="H35" s="2143">
        <v>41991</v>
      </c>
      <c r="I35" s="2142">
        <v>620279</v>
      </c>
    </row>
    <row r="36" spans="1:9" s="2139" customFormat="1" hidden="1">
      <c r="A36" s="2140" t="s">
        <v>3179</v>
      </c>
      <c r="B36" s="2141">
        <v>2</v>
      </c>
      <c r="C36" s="2141" t="s">
        <v>3180</v>
      </c>
      <c r="D36" s="2141">
        <v>12</v>
      </c>
      <c r="E36" s="2142">
        <v>45.76</v>
      </c>
      <c r="F36" s="2142">
        <v>10557</v>
      </c>
      <c r="G36" s="2142">
        <v>483088.32</v>
      </c>
      <c r="H36" s="2143"/>
      <c r="I36" s="2142">
        <v>52078</v>
      </c>
    </row>
    <row r="37" spans="1:9" s="2139" customFormat="1" hidden="1">
      <c r="A37" s="2140" t="s">
        <v>3181</v>
      </c>
      <c r="B37" s="2141">
        <v>2</v>
      </c>
      <c r="C37" s="2141" t="s">
        <v>3180</v>
      </c>
      <c r="D37" s="2141">
        <v>13</v>
      </c>
      <c r="E37" s="2142">
        <v>45.1</v>
      </c>
      <c r="F37" s="2142">
        <v>10557</v>
      </c>
      <c r="G37" s="2142">
        <v>476120.7</v>
      </c>
      <c r="H37" s="2143"/>
      <c r="I37" s="2142">
        <v>52078</v>
      </c>
    </row>
    <row r="38" spans="1:9" s="2139" customFormat="1" hidden="1">
      <c r="A38" s="2140" t="s">
        <v>3182</v>
      </c>
      <c r="B38" s="2141">
        <v>2</v>
      </c>
      <c r="C38" s="2141" t="s">
        <v>3180</v>
      </c>
      <c r="D38" s="2141">
        <v>15</v>
      </c>
      <c r="E38" s="2142">
        <v>46.41</v>
      </c>
      <c r="F38" s="2142">
        <v>10557</v>
      </c>
      <c r="G38" s="2142">
        <v>489950.36999999994</v>
      </c>
      <c r="H38" s="2143"/>
      <c r="I38" s="2142">
        <v>52078</v>
      </c>
    </row>
    <row r="39" spans="1:9" s="2139" customFormat="1" hidden="1">
      <c r="A39" s="2140" t="s">
        <v>3183</v>
      </c>
      <c r="B39" s="2141">
        <v>2</v>
      </c>
      <c r="C39" s="2141" t="s">
        <v>3180</v>
      </c>
      <c r="D39" s="2141">
        <v>118</v>
      </c>
      <c r="E39" s="2142">
        <v>52.93</v>
      </c>
      <c r="F39" s="2142">
        <v>16677</v>
      </c>
      <c r="G39" s="2142">
        <v>882713.61</v>
      </c>
      <c r="H39" s="2143"/>
      <c r="I39" s="2142">
        <v>50000</v>
      </c>
    </row>
    <row r="40" spans="1:9" s="2139" customFormat="1" hidden="1">
      <c r="A40" s="2140" t="s">
        <v>3184</v>
      </c>
      <c r="B40" s="2141">
        <v>2</v>
      </c>
      <c r="C40" s="2141" t="s">
        <v>3180</v>
      </c>
      <c r="D40" s="2141">
        <v>122</v>
      </c>
      <c r="E40" s="2142">
        <v>77.930000000000007</v>
      </c>
      <c r="F40" s="2142">
        <v>17187</v>
      </c>
      <c r="G40" s="2142">
        <v>1339382.9100000001</v>
      </c>
      <c r="H40" s="2143"/>
      <c r="I40" s="2142">
        <v>144371</v>
      </c>
    </row>
    <row r="41" spans="1:9" s="2139" customFormat="1" hidden="1">
      <c r="A41" s="2140" t="s">
        <v>3185</v>
      </c>
      <c r="B41" s="2141">
        <v>2</v>
      </c>
      <c r="C41" s="2141" t="s">
        <v>3180</v>
      </c>
      <c r="D41" s="2141">
        <v>123</v>
      </c>
      <c r="E41" s="2142">
        <v>77.930000000000007</v>
      </c>
      <c r="F41" s="2142">
        <v>17187</v>
      </c>
      <c r="G41" s="2142">
        <v>1339382.9100000001</v>
      </c>
      <c r="H41" s="2143"/>
      <c r="I41" s="2142">
        <v>144371</v>
      </c>
    </row>
    <row r="42" spans="1:9" s="2139" customFormat="1" hidden="1">
      <c r="A42" s="2140" t="s">
        <v>3186</v>
      </c>
      <c r="B42" s="2141">
        <v>2</v>
      </c>
      <c r="C42" s="2141" t="s">
        <v>3180</v>
      </c>
      <c r="D42" s="2141">
        <v>126</v>
      </c>
      <c r="E42" s="2142">
        <v>63.09</v>
      </c>
      <c r="F42" s="2142">
        <v>17187</v>
      </c>
      <c r="G42" s="2142">
        <v>1084327.83</v>
      </c>
      <c r="H42" s="2143"/>
      <c r="I42" s="2142">
        <v>118590</v>
      </c>
    </row>
    <row r="43" spans="1:9" s="2139" customFormat="1" hidden="1">
      <c r="A43" s="2140" t="s">
        <v>3187</v>
      </c>
      <c r="B43" s="2141">
        <v>2</v>
      </c>
      <c r="C43" s="2141" t="s">
        <v>3180</v>
      </c>
      <c r="D43" s="2141">
        <v>127</v>
      </c>
      <c r="E43" s="2142">
        <v>56.6</v>
      </c>
      <c r="F43" s="2142">
        <v>17187</v>
      </c>
      <c r="G43" s="2142">
        <v>972784.20000000007</v>
      </c>
      <c r="H43" s="2143"/>
      <c r="I43" s="2142">
        <v>104841</v>
      </c>
    </row>
    <row r="44" spans="1:9" s="2139" customFormat="1" hidden="1">
      <c r="A44" s="2140" t="s">
        <v>3188</v>
      </c>
      <c r="B44" s="2141">
        <v>2</v>
      </c>
      <c r="C44" s="2141" t="s">
        <v>3180</v>
      </c>
      <c r="D44" s="2141">
        <v>131</v>
      </c>
      <c r="E44" s="2142">
        <v>72.510000000000005</v>
      </c>
      <c r="F44" s="2142">
        <v>16167</v>
      </c>
      <c r="G44" s="2142">
        <v>1172269.1700000002</v>
      </c>
      <c r="H44" s="2143"/>
      <c r="I44" s="2142">
        <v>126345</v>
      </c>
    </row>
    <row r="45" spans="1:9" s="2139" customFormat="1" hidden="1">
      <c r="A45" s="2140" t="s">
        <v>3189</v>
      </c>
      <c r="B45" s="2141">
        <v>2</v>
      </c>
      <c r="C45" s="2141" t="s">
        <v>3180</v>
      </c>
      <c r="D45" s="2141">
        <v>137</v>
      </c>
      <c r="E45" s="2142">
        <v>38.67</v>
      </c>
      <c r="F45" s="2142">
        <v>10557</v>
      </c>
      <c r="G45" s="2142">
        <v>408239.19</v>
      </c>
      <c r="H45" s="2143">
        <v>42040</v>
      </c>
      <c r="I45" s="2142">
        <v>88239</v>
      </c>
    </row>
    <row r="46" spans="1:9" s="2139" customFormat="1" hidden="1">
      <c r="A46" s="2140" t="s">
        <v>3190</v>
      </c>
      <c r="B46" s="2141">
        <v>2</v>
      </c>
      <c r="C46" s="2141" t="s">
        <v>3191</v>
      </c>
      <c r="D46" s="2141">
        <v>6</v>
      </c>
      <c r="E46" s="2142">
        <v>45.56</v>
      </c>
      <c r="F46" s="2142">
        <v>10302</v>
      </c>
      <c r="G46" s="2142">
        <v>469359.12</v>
      </c>
      <c r="H46" s="2143">
        <v>41996</v>
      </c>
      <c r="I46" s="2142">
        <v>99359</v>
      </c>
    </row>
    <row r="47" spans="1:9" s="2139" customFormat="1" hidden="1">
      <c r="A47" s="2140" t="s">
        <v>3192</v>
      </c>
      <c r="B47" s="2141">
        <v>2</v>
      </c>
      <c r="C47" s="2141" t="s">
        <v>3191</v>
      </c>
      <c r="D47" s="2141">
        <v>9</v>
      </c>
      <c r="E47" s="2142">
        <v>45.56</v>
      </c>
      <c r="F47" s="2142">
        <v>10302</v>
      </c>
      <c r="G47" s="2142">
        <v>469359.12</v>
      </c>
      <c r="H47" s="2143">
        <v>41993</v>
      </c>
      <c r="I47" s="2142">
        <v>99359</v>
      </c>
    </row>
    <row r="48" spans="1:9" s="2139" customFormat="1" hidden="1">
      <c r="A48" s="2140" t="s">
        <v>3193</v>
      </c>
      <c r="B48" s="2141">
        <v>2</v>
      </c>
      <c r="C48" s="2141" t="s">
        <v>3191</v>
      </c>
      <c r="D48" s="2141">
        <v>10</v>
      </c>
      <c r="E48" s="2142">
        <v>44.91</v>
      </c>
      <c r="F48" s="2142">
        <v>10302</v>
      </c>
      <c r="G48" s="2142">
        <v>462662.81999999995</v>
      </c>
      <c r="H48" s="2143">
        <v>41993</v>
      </c>
      <c r="I48" s="2142">
        <v>102663</v>
      </c>
    </row>
    <row r="49" spans="1:9" s="2139" customFormat="1" hidden="1">
      <c r="A49" s="2140" t="s">
        <v>3194</v>
      </c>
      <c r="B49" s="2141">
        <v>2</v>
      </c>
      <c r="C49" s="2141" t="s">
        <v>3191</v>
      </c>
      <c r="D49" s="2141">
        <v>11</v>
      </c>
      <c r="E49" s="2142">
        <v>46.2</v>
      </c>
      <c r="F49" s="2142">
        <v>10302</v>
      </c>
      <c r="G49" s="2142">
        <v>475952.4</v>
      </c>
      <c r="H49" s="2143"/>
      <c r="I49" s="2142">
        <v>50820</v>
      </c>
    </row>
    <row r="50" spans="1:9" s="2139" customFormat="1" hidden="1">
      <c r="A50" s="2140" t="s">
        <v>3195</v>
      </c>
      <c r="B50" s="2141">
        <v>2</v>
      </c>
      <c r="C50" s="2141" t="s">
        <v>3191</v>
      </c>
      <c r="D50" s="2141">
        <v>12</v>
      </c>
      <c r="E50" s="2142">
        <v>45.56</v>
      </c>
      <c r="F50" s="2142">
        <v>10302</v>
      </c>
      <c r="G50" s="2142">
        <v>469359.12</v>
      </c>
      <c r="H50" s="2143">
        <v>41993</v>
      </c>
      <c r="I50" s="2142">
        <v>99359</v>
      </c>
    </row>
    <row r="51" spans="1:9" s="2139" customFormat="1" hidden="1">
      <c r="A51" s="2140" t="s">
        <v>3196</v>
      </c>
      <c r="B51" s="2141">
        <v>2</v>
      </c>
      <c r="C51" s="2141" t="s">
        <v>3191</v>
      </c>
      <c r="D51" s="2141">
        <v>13</v>
      </c>
      <c r="E51" s="2142">
        <v>44.9</v>
      </c>
      <c r="F51" s="2142">
        <v>10302</v>
      </c>
      <c r="G51" s="2142">
        <v>462559.8</v>
      </c>
      <c r="H51" s="2143">
        <v>41991</v>
      </c>
      <c r="I51" s="2142">
        <v>101640</v>
      </c>
    </row>
    <row r="52" spans="1:9" s="2139" customFormat="1" hidden="1">
      <c r="A52" s="2140" t="s">
        <v>3197</v>
      </c>
      <c r="B52" s="2141">
        <v>2</v>
      </c>
      <c r="C52" s="2141" t="s">
        <v>3191</v>
      </c>
      <c r="D52" s="2141">
        <v>15</v>
      </c>
      <c r="E52" s="2142">
        <v>46.21</v>
      </c>
      <c r="F52" s="2142">
        <v>10302</v>
      </c>
      <c r="G52" s="2142">
        <v>476055.42</v>
      </c>
      <c r="H52" s="2143">
        <v>42000</v>
      </c>
      <c r="I52" s="2142">
        <v>106055</v>
      </c>
    </row>
    <row r="53" spans="1:9" s="2139" customFormat="1" hidden="1">
      <c r="A53" s="2140" t="s">
        <v>3198</v>
      </c>
      <c r="B53" s="2141">
        <v>2</v>
      </c>
      <c r="C53" s="2141" t="s">
        <v>3191</v>
      </c>
      <c r="D53" s="2141">
        <v>16</v>
      </c>
      <c r="E53" s="2142">
        <v>45.56</v>
      </c>
      <c r="F53" s="2142">
        <v>10302</v>
      </c>
      <c r="G53" s="2142">
        <v>469359.12</v>
      </c>
      <c r="H53" s="2143">
        <v>42046</v>
      </c>
      <c r="I53" s="2142">
        <v>99359</v>
      </c>
    </row>
    <row r="54" spans="1:9" s="2139" customFormat="1" hidden="1">
      <c r="A54" s="2140" t="s">
        <v>3199</v>
      </c>
      <c r="B54" s="2141">
        <v>2</v>
      </c>
      <c r="C54" s="2141" t="s">
        <v>3191</v>
      </c>
      <c r="D54" s="2141">
        <v>17</v>
      </c>
      <c r="E54" s="2142">
        <v>45.56</v>
      </c>
      <c r="F54" s="2142">
        <v>10302</v>
      </c>
      <c r="G54" s="2142">
        <v>469359.12</v>
      </c>
      <c r="H54" s="2143"/>
      <c r="I54" s="2142">
        <v>50820</v>
      </c>
    </row>
    <row r="55" spans="1:9" s="2139" customFormat="1" hidden="1">
      <c r="A55" s="2140" t="s">
        <v>3200</v>
      </c>
      <c r="B55" s="2141">
        <v>2</v>
      </c>
      <c r="C55" s="2141" t="s">
        <v>3191</v>
      </c>
      <c r="D55" s="2141">
        <v>18</v>
      </c>
      <c r="E55" s="2142">
        <v>45.55</v>
      </c>
      <c r="F55" s="2142">
        <v>14512</v>
      </c>
      <c r="G55" s="2142">
        <v>661021.6</v>
      </c>
      <c r="H55" s="2143"/>
      <c r="I55" s="2142">
        <v>50000</v>
      </c>
    </row>
    <row r="56" spans="1:9" s="2139" customFormat="1" hidden="1">
      <c r="A56" s="2140" t="s">
        <v>3201</v>
      </c>
      <c r="B56" s="2141">
        <v>2</v>
      </c>
      <c r="C56" s="2141" t="s">
        <v>3191</v>
      </c>
      <c r="D56" s="2141">
        <v>19</v>
      </c>
      <c r="E56" s="2142">
        <v>44.61</v>
      </c>
      <c r="F56" s="2142">
        <v>16119</v>
      </c>
      <c r="G56" s="2142">
        <v>719068.59</v>
      </c>
      <c r="H56" s="2143"/>
      <c r="I56" s="2142">
        <v>50000</v>
      </c>
    </row>
    <row r="57" spans="1:9" s="2139" customFormat="1" hidden="1">
      <c r="A57" s="2140" t="s">
        <v>3202</v>
      </c>
      <c r="B57" s="2141">
        <v>2</v>
      </c>
      <c r="C57" s="2141" t="s">
        <v>3191</v>
      </c>
      <c r="D57" s="2141">
        <v>21</v>
      </c>
      <c r="E57" s="2142">
        <v>82.59</v>
      </c>
      <c r="F57" s="2142">
        <v>16654</v>
      </c>
      <c r="G57" s="2142">
        <v>1375453.86</v>
      </c>
      <c r="H57" s="2143"/>
      <c r="I57" s="2142">
        <v>50000</v>
      </c>
    </row>
    <row r="58" spans="1:9" s="2139" customFormat="1" hidden="1">
      <c r="A58" s="2140" t="s">
        <v>3203</v>
      </c>
      <c r="B58" s="2141">
        <v>2</v>
      </c>
      <c r="C58" s="2141" t="s">
        <v>3191</v>
      </c>
      <c r="D58" s="2141">
        <v>22</v>
      </c>
      <c r="E58" s="2142">
        <v>77.08</v>
      </c>
      <c r="F58" s="2142">
        <v>17725</v>
      </c>
      <c r="G58" s="2142">
        <v>1366243</v>
      </c>
      <c r="H58" s="2143"/>
      <c r="I58" s="2142">
        <v>50000</v>
      </c>
    </row>
    <row r="59" spans="1:9" s="2139" customFormat="1" hidden="1">
      <c r="A59" s="2140" t="s">
        <v>3204</v>
      </c>
      <c r="B59" s="2141">
        <v>2</v>
      </c>
      <c r="C59" s="2141" t="s">
        <v>3191</v>
      </c>
      <c r="D59" s="2141">
        <v>23</v>
      </c>
      <c r="E59" s="2142">
        <v>77.09</v>
      </c>
      <c r="F59" s="2142">
        <v>17725</v>
      </c>
      <c r="G59" s="2142">
        <v>1366420.25</v>
      </c>
      <c r="H59" s="2143"/>
      <c r="I59" s="2142">
        <v>50000</v>
      </c>
    </row>
    <row r="60" spans="1:9" s="2139" customFormat="1" hidden="1">
      <c r="A60" s="2140" t="s">
        <v>3205</v>
      </c>
      <c r="B60" s="2141">
        <v>2</v>
      </c>
      <c r="C60" s="2141" t="s">
        <v>3191</v>
      </c>
      <c r="D60" s="2141">
        <v>25</v>
      </c>
      <c r="E60" s="2142">
        <v>77.08</v>
      </c>
      <c r="F60" s="2142">
        <v>17725</v>
      </c>
      <c r="G60" s="2142">
        <v>1366243</v>
      </c>
      <c r="H60" s="2143"/>
      <c r="I60" s="2142">
        <v>50000</v>
      </c>
    </row>
    <row r="61" spans="1:9" s="2139" customFormat="1" hidden="1">
      <c r="A61" s="2140" t="s">
        <v>3206</v>
      </c>
      <c r="B61" s="2141">
        <v>2</v>
      </c>
      <c r="C61" s="2141" t="s">
        <v>3191</v>
      </c>
      <c r="D61" s="2141">
        <v>26</v>
      </c>
      <c r="E61" s="2142">
        <v>77.09</v>
      </c>
      <c r="F61" s="2142">
        <v>17725</v>
      </c>
      <c r="G61" s="2142">
        <v>1366420.25</v>
      </c>
      <c r="H61" s="2143"/>
      <c r="I61" s="2142">
        <v>50000</v>
      </c>
    </row>
    <row r="62" spans="1:9" s="2139" customFormat="1" hidden="1">
      <c r="A62" s="2140" t="s">
        <v>3207</v>
      </c>
      <c r="B62" s="2141">
        <v>2</v>
      </c>
      <c r="C62" s="2141" t="s">
        <v>3191</v>
      </c>
      <c r="D62" s="2141">
        <v>30</v>
      </c>
      <c r="E62" s="2142">
        <v>77.09</v>
      </c>
      <c r="F62" s="2142">
        <v>17725</v>
      </c>
      <c r="G62" s="2142">
        <v>1366420.25</v>
      </c>
      <c r="H62" s="2143"/>
      <c r="I62" s="2142">
        <v>50000</v>
      </c>
    </row>
    <row r="63" spans="1:9" s="2139" customFormat="1" hidden="1">
      <c r="A63" s="2140" t="s">
        <v>3208</v>
      </c>
      <c r="B63" s="2141">
        <v>2</v>
      </c>
      <c r="C63" s="2141" t="s">
        <v>3191</v>
      </c>
      <c r="D63" s="2141">
        <v>31</v>
      </c>
      <c r="E63" s="2142">
        <v>75.36</v>
      </c>
      <c r="F63" s="2142">
        <v>17725</v>
      </c>
      <c r="G63" s="2142">
        <v>1335756</v>
      </c>
      <c r="H63" s="2143"/>
      <c r="I63" s="2142">
        <v>50000</v>
      </c>
    </row>
    <row r="64" spans="1:9" s="2139" customFormat="1" hidden="1">
      <c r="A64" s="2140" t="s">
        <v>3209</v>
      </c>
      <c r="B64" s="2141">
        <v>2</v>
      </c>
      <c r="C64" s="2141" t="s">
        <v>3191</v>
      </c>
      <c r="D64" s="2141">
        <v>35</v>
      </c>
      <c r="E64" s="2142">
        <v>46.98</v>
      </c>
      <c r="F64" s="2142">
        <v>11715</v>
      </c>
      <c r="G64" s="2142">
        <v>550370.69999999995</v>
      </c>
      <c r="H64" s="2143">
        <v>42000</v>
      </c>
      <c r="I64" s="2142">
        <v>120371</v>
      </c>
    </row>
    <row r="65" spans="1:9" s="2139" customFormat="1" hidden="1">
      <c r="A65" s="2140" t="s">
        <v>3210</v>
      </c>
      <c r="B65" s="2141">
        <v>2</v>
      </c>
      <c r="C65" s="2141" t="s">
        <v>3191</v>
      </c>
      <c r="D65" s="2141">
        <v>43</v>
      </c>
      <c r="E65" s="2142">
        <v>45.08</v>
      </c>
      <c r="F65" s="2142">
        <v>11363.55</v>
      </c>
      <c r="G65" s="2142">
        <v>512268.83399999997</v>
      </c>
      <c r="H65" s="2143">
        <v>42008</v>
      </c>
      <c r="I65" s="2142">
        <v>512269</v>
      </c>
    </row>
    <row r="66" spans="1:9" s="2139" customFormat="1" hidden="1">
      <c r="A66" s="2140" t="s">
        <v>3211</v>
      </c>
      <c r="B66" s="2141">
        <v>2</v>
      </c>
      <c r="C66" s="2141" t="s">
        <v>3191</v>
      </c>
      <c r="D66" s="2141">
        <v>45</v>
      </c>
      <c r="E66" s="2142">
        <v>52.94</v>
      </c>
      <c r="F66" s="2142">
        <v>13441</v>
      </c>
      <c r="G66" s="2142">
        <v>711566.53999999992</v>
      </c>
      <c r="H66" s="2143">
        <v>41991</v>
      </c>
      <c r="I66" s="2142">
        <v>161567</v>
      </c>
    </row>
    <row r="67" spans="1:9" s="2139" customFormat="1" hidden="1">
      <c r="A67" s="2140" t="s">
        <v>3212</v>
      </c>
      <c r="B67" s="2141">
        <v>2</v>
      </c>
      <c r="C67" s="2141" t="s">
        <v>3191</v>
      </c>
      <c r="D67" s="2141">
        <v>46</v>
      </c>
      <c r="E67" s="2142">
        <v>53.29</v>
      </c>
      <c r="F67" s="2142">
        <v>11715</v>
      </c>
      <c r="G67" s="2142">
        <v>624292.35</v>
      </c>
      <c r="H67" s="2143">
        <v>41991</v>
      </c>
      <c r="I67" s="2142">
        <v>144292</v>
      </c>
    </row>
    <row r="68" spans="1:9" s="2139" customFormat="1" hidden="1">
      <c r="A68" s="2140" t="s">
        <v>3213</v>
      </c>
      <c r="B68" s="2141">
        <v>2</v>
      </c>
      <c r="C68" s="2141" t="s">
        <v>3191</v>
      </c>
      <c r="D68" s="2141">
        <v>47</v>
      </c>
      <c r="E68" s="2142">
        <v>53.69</v>
      </c>
      <c r="F68" s="2142">
        <v>13441</v>
      </c>
      <c r="G68" s="2142">
        <v>721647.28999999992</v>
      </c>
      <c r="H68" s="2143">
        <v>41993</v>
      </c>
      <c r="I68" s="2142">
        <v>161647</v>
      </c>
    </row>
    <row r="69" spans="1:9" s="2139" customFormat="1" hidden="1">
      <c r="A69" s="2140" t="s">
        <v>3214</v>
      </c>
      <c r="B69" s="2141">
        <v>2</v>
      </c>
      <c r="C69" s="2141" t="s">
        <v>3191</v>
      </c>
      <c r="D69" s="2141">
        <v>48</v>
      </c>
      <c r="E69" s="2142">
        <v>49.51</v>
      </c>
      <c r="F69" s="2142">
        <v>13441</v>
      </c>
      <c r="G69" s="2142">
        <v>665463.90999999992</v>
      </c>
      <c r="H69" s="2143">
        <v>41991</v>
      </c>
      <c r="I69" s="2142">
        <v>155464</v>
      </c>
    </row>
    <row r="70" spans="1:9" s="2139" customFormat="1" hidden="1">
      <c r="A70" s="2140" t="s">
        <v>3215</v>
      </c>
      <c r="B70" s="2141">
        <v>2</v>
      </c>
      <c r="C70" s="2141" t="s">
        <v>3191</v>
      </c>
      <c r="D70" s="2141">
        <v>50</v>
      </c>
      <c r="E70" s="2142">
        <v>76.13</v>
      </c>
      <c r="F70" s="2142">
        <v>17725</v>
      </c>
      <c r="G70" s="2142">
        <v>1349404.25</v>
      </c>
      <c r="H70" s="2143"/>
      <c r="I70" s="2142">
        <v>50000</v>
      </c>
    </row>
    <row r="71" spans="1:9" s="2139" customFormat="1" hidden="1">
      <c r="A71" s="2140" t="s">
        <v>3216</v>
      </c>
      <c r="B71" s="2141">
        <v>2</v>
      </c>
      <c r="C71" s="2141" t="s">
        <v>3191</v>
      </c>
      <c r="D71" s="2141">
        <v>51</v>
      </c>
      <c r="E71" s="2142">
        <v>102.88</v>
      </c>
      <c r="F71" s="2142">
        <v>17190</v>
      </c>
      <c r="G71" s="2142">
        <v>1768507.2</v>
      </c>
      <c r="H71" s="2143"/>
      <c r="I71" s="2142">
        <v>50000</v>
      </c>
    </row>
    <row r="72" spans="1:9" s="2139" customFormat="1" hidden="1">
      <c r="A72" s="2140" t="s">
        <v>3217</v>
      </c>
      <c r="B72" s="2141">
        <v>2</v>
      </c>
      <c r="C72" s="2141" t="s">
        <v>3191</v>
      </c>
      <c r="D72" s="2141">
        <v>52</v>
      </c>
      <c r="E72" s="2142">
        <v>107.37</v>
      </c>
      <c r="F72" s="2142">
        <v>17725</v>
      </c>
      <c r="G72" s="2142">
        <v>1903133.25</v>
      </c>
      <c r="H72" s="2143"/>
      <c r="I72" s="2142">
        <v>50000</v>
      </c>
    </row>
    <row r="73" spans="1:9" s="2139" customFormat="1" hidden="1">
      <c r="A73" s="2140" t="s">
        <v>3218</v>
      </c>
      <c r="B73" s="2141">
        <v>2</v>
      </c>
      <c r="C73" s="2141" t="s">
        <v>3191</v>
      </c>
      <c r="D73" s="2141">
        <v>53</v>
      </c>
      <c r="E73" s="2142">
        <v>100.92</v>
      </c>
      <c r="F73" s="2142">
        <v>16881</v>
      </c>
      <c r="G73" s="2142">
        <v>1703630.52</v>
      </c>
      <c r="H73" s="2143"/>
      <c r="I73" s="2142">
        <v>50000</v>
      </c>
    </row>
    <row r="74" spans="1:9" s="2139" customFormat="1" hidden="1">
      <c r="A74" s="2140" t="s">
        <v>3219</v>
      </c>
      <c r="B74" s="2141">
        <v>2</v>
      </c>
      <c r="C74" s="2141" t="s">
        <v>3191</v>
      </c>
      <c r="D74" s="2141">
        <v>57</v>
      </c>
      <c r="E74" s="2142">
        <v>81.12</v>
      </c>
      <c r="F74" s="2142">
        <v>16371</v>
      </c>
      <c r="G74" s="2142">
        <v>1328015.52</v>
      </c>
      <c r="H74" s="2143"/>
      <c r="I74" s="2142">
        <v>50000</v>
      </c>
    </row>
    <row r="75" spans="1:9" s="2139" customFormat="1" hidden="1">
      <c r="A75" s="2140" t="s">
        <v>3220</v>
      </c>
      <c r="B75" s="2141">
        <v>2</v>
      </c>
      <c r="C75" s="2141" t="s">
        <v>3191</v>
      </c>
      <c r="D75" s="2141">
        <v>58</v>
      </c>
      <c r="E75" s="2142">
        <v>55.57</v>
      </c>
      <c r="F75" s="2142">
        <v>16881</v>
      </c>
      <c r="G75" s="2142">
        <v>938077.17</v>
      </c>
      <c r="H75" s="2143"/>
      <c r="I75" s="2142">
        <v>50000</v>
      </c>
    </row>
    <row r="76" spans="1:9" s="2139" customFormat="1" hidden="1">
      <c r="A76" s="2140" t="s">
        <v>3221</v>
      </c>
      <c r="B76" s="2141">
        <v>2</v>
      </c>
      <c r="C76" s="2141" t="s">
        <v>3191</v>
      </c>
      <c r="D76" s="2141">
        <v>67</v>
      </c>
      <c r="E76" s="2142">
        <v>58.69</v>
      </c>
      <c r="F76" s="2142">
        <v>16654</v>
      </c>
      <c r="G76" s="2142">
        <v>977423.26</v>
      </c>
      <c r="H76" s="2143"/>
      <c r="I76" s="2142">
        <v>50000</v>
      </c>
    </row>
    <row r="77" spans="1:9" s="2139" customFormat="1" hidden="1">
      <c r="A77" s="2140" t="s">
        <v>3222</v>
      </c>
      <c r="B77" s="2141">
        <v>2</v>
      </c>
      <c r="C77" s="2141" t="s">
        <v>3191</v>
      </c>
      <c r="D77" s="2141">
        <v>68</v>
      </c>
      <c r="E77" s="2142">
        <v>82.6</v>
      </c>
      <c r="F77" s="2142">
        <v>17725</v>
      </c>
      <c r="G77" s="2142">
        <v>1464085</v>
      </c>
      <c r="H77" s="2143"/>
      <c r="I77" s="2142">
        <v>50000</v>
      </c>
    </row>
    <row r="78" spans="1:9" s="2139" customFormat="1" hidden="1">
      <c r="A78" s="2140" t="s">
        <v>3223</v>
      </c>
      <c r="B78" s="2141">
        <v>2</v>
      </c>
      <c r="C78" s="2141" t="s">
        <v>3191</v>
      </c>
      <c r="D78" s="2141">
        <v>69</v>
      </c>
      <c r="E78" s="2142">
        <v>77.09</v>
      </c>
      <c r="F78" s="2142">
        <v>17725</v>
      </c>
      <c r="G78" s="2142">
        <v>1366420.25</v>
      </c>
      <c r="H78" s="2143"/>
      <c r="I78" s="2142">
        <v>50000</v>
      </c>
    </row>
    <row r="79" spans="1:9" s="2139" customFormat="1" hidden="1">
      <c r="A79" s="2140" t="s">
        <v>3224</v>
      </c>
      <c r="B79" s="2141">
        <v>2</v>
      </c>
      <c r="C79" s="2141" t="s">
        <v>3191</v>
      </c>
      <c r="D79" s="2141">
        <v>70</v>
      </c>
      <c r="E79" s="2142">
        <v>77.09</v>
      </c>
      <c r="F79" s="2142">
        <v>17725</v>
      </c>
      <c r="G79" s="2142">
        <v>1366420.25</v>
      </c>
      <c r="H79" s="2143"/>
      <c r="I79" s="2142">
        <v>50000</v>
      </c>
    </row>
    <row r="80" spans="1:9" s="2139" customFormat="1" hidden="1">
      <c r="A80" s="2140" t="s">
        <v>3225</v>
      </c>
      <c r="B80" s="2141">
        <v>2</v>
      </c>
      <c r="C80" s="2141" t="s">
        <v>3191</v>
      </c>
      <c r="D80" s="2141">
        <v>71</v>
      </c>
      <c r="E80" s="2142">
        <v>77.09</v>
      </c>
      <c r="F80" s="2142">
        <v>17725</v>
      </c>
      <c r="G80" s="2142">
        <v>1366420.25</v>
      </c>
      <c r="H80" s="2143"/>
      <c r="I80" s="2142">
        <v>50000</v>
      </c>
    </row>
    <row r="81" spans="1:9" s="2139" customFormat="1" hidden="1">
      <c r="A81" s="2140" t="s">
        <v>3226</v>
      </c>
      <c r="B81" s="2141">
        <v>2</v>
      </c>
      <c r="C81" s="2141" t="s">
        <v>3191</v>
      </c>
      <c r="D81" s="2141">
        <v>76</v>
      </c>
      <c r="E81" s="2142">
        <v>74.31</v>
      </c>
      <c r="F81" s="2142">
        <v>18261</v>
      </c>
      <c r="G81" s="2142">
        <v>1356974.9100000001</v>
      </c>
      <c r="H81" s="2143"/>
      <c r="I81" s="2142">
        <v>50000</v>
      </c>
    </row>
    <row r="82" spans="1:9" s="2139" customFormat="1" hidden="1">
      <c r="A82" s="2140" t="s">
        <v>3227</v>
      </c>
      <c r="B82" s="2141">
        <v>2</v>
      </c>
      <c r="C82" s="2141" t="s">
        <v>3191</v>
      </c>
      <c r="D82" s="2141">
        <v>77</v>
      </c>
      <c r="E82" s="2142">
        <v>77.099999999999994</v>
      </c>
      <c r="F82" s="2142">
        <v>17725</v>
      </c>
      <c r="G82" s="2142">
        <v>1366597.5</v>
      </c>
      <c r="H82" s="2143"/>
      <c r="I82" s="2142">
        <v>50000</v>
      </c>
    </row>
    <row r="83" spans="1:9" s="2139" customFormat="1" hidden="1">
      <c r="A83" s="2140" t="s">
        <v>3228</v>
      </c>
      <c r="B83" s="2141">
        <v>2</v>
      </c>
      <c r="C83" s="2141" t="s">
        <v>3191</v>
      </c>
      <c r="D83" s="2141">
        <v>78</v>
      </c>
      <c r="E83" s="2142">
        <v>77.099999999999994</v>
      </c>
      <c r="F83" s="2142">
        <v>17725</v>
      </c>
      <c r="G83" s="2142">
        <v>1366597.5</v>
      </c>
      <c r="H83" s="2143"/>
      <c r="I83" s="2142">
        <v>50000</v>
      </c>
    </row>
    <row r="84" spans="1:9" s="2139" customFormat="1" hidden="1">
      <c r="A84" s="2140" t="s">
        <v>3229</v>
      </c>
      <c r="B84" s="2141">
        <v>2</v>
      </c>
      <c r="C84" s="2141" t="s">
        <v>3191</v>
      </c>
      <c r="D84" s="2141">
        <v>79</v>
      </c>
      <c r="E84" s="2142">
        <v>81.69</v>
      </c>
      <c r="F84" s="2142">
        <v>17725</v>
      </c>
      <c r="G84" s="2142">
        <v>1447955.25</v>
      </c>
      <c r="H84" s="2143"/>
      <c r="I84" s="2142">
        <v>50000</v>
      </c>
    </row>
    <row r="85" spans="1:9" s="2139" customFormat="1" hidden="1">
      <c r="A85" s="2140" t="s">
        <v>3230</v>
      </c>
      <c r="B85" s="2141">
        <v>2</v>
      </c>
      <c r="C85" s="2141" t="s">
        <v>3191</v>
      </c>
      <c r="D85" s="2141">
        <v>82</v>
      </c>
      <c r="E85" s="2142">
        <v>77.23</v>
      </c>
      <c r="F85" s="2142">
        <v>17725</v>
      </c>
      <c r="G85" s="2142">
        <v>1368901.75</v>
      </c>
      <c r="H85" s="2143"/>
      <c r="I85" s="2142">
        <v>50000</v>
      </c>
    </row>
    <row r="86" spans="1:9" s="2139" customFormat="1" hidden="1">
      <c r="A86" s="2140" t="s">
        <v>3231</v>
      </c>
      <c r="B86" s="2141">
        <v>2</v>
      </c>
      <c r="C86" s="2141" t="s">
        <v>3191</v>
      </c>
      <c r="D86" s="2141">
        <v>83</v>
      </c>
      <c r="E86" s="2142">
        <v>75.260000000000005</v>
      </c>
      <c r="F86" s="2142">
        <v>17725</v>
      </c>
      <c r="G86" s="2142">
        <v>1333983.5</v>
      </c>
      <c r="H86" s="2143"/>
      <c r="I86" s="2142">
        <v>50000</v>
      </c>
    </row>
    <row r="87" spans="1:9" s="2139" customFormat="1" hidden="1">
      <c r="A87" s="2140" t="s">
        <v>3232</v>
      </c>
      <c r="B87" s="2141">
        <v>2</v>
      </c>
      <c r="C87" s="2141" t="s">
        <v>3191</v>
      </c>
      <c r="D87" s="2141">
        <v>99</v>
      </c>
      <c r="E87" s="2142">
        <v>50.11</v>
      </c>
      <c r="F87" s="2142">
        <v>11715</v>
      </c>
      <c r="G87" s="2142">
        <v>587038.65</v>
      </c>
      <c r="H87" s="2143"/>
      <c r="I87" s="2142">
        <v>63519</v>
      </c>
    </row>
    <row r="88" spans="1:9" s="2139" customFormat="1" hidden="1">
      <c r="A88" s="2140" t="s">
        <v>3233</v>
      </c>
      <c r="B88" s="2141">
        <v>2</v>
      </c>
      <c r="C88" s="2141" t="s">
        <v>3191</v>
      </c>
      <c r="D88" s="2141">
        <v>100</v>
      </c>
      <c r="E88" s="2142">
        <v>50.71</v>
      </c>
      <c r="F88" s="2142">
        <v>11715</v>
      </c>
      <c r="G88" s="2142">
        <v>594067.65</v>
      </c>
      <c r="H88" s="2143"/>
      <c r="I88" s="2142">
        <v>63519</v>
      </c>
    </row>
    <row r="89" spans="1:9" s="2139" customFormat="1" hidden="1">
      <c r="A89" s="2140" t="s">
        <v>3234</v>
      </c>
      <c r="B89" s="2141">
        <v>2</v>
      </c>
      <c r="C89" s="2141" t="s">
        <v>3191</v>
      </c>
      <c r="D89" s="2141">
        <v>131</v>
      </c>
      <c r="E89" s="2142">
        <v>77.099999999999994</v>
      </c>
      <c r="F89" s="2142">
        <v>17725</v>
      </c>
      <c r="G89" s="2142">
        <v>1366597.5</v>
      </c>
      <c r="H89" s="2143"/>
      <c r="I89" s="2142">
        <v>50000</v>
      </c>
    </row>
    <row r="90" spans="1:9" s="2139" customFormat="1" hidden="1">
      <c r="A90" s="2140" t="s">
        <v>3235</v>
      </c>
      <c r="B90" s="2141">
        <v>2</v>
      </c>
      <c r="C90" s="2141" t="s">
        <v>3191</v>
      </c>
      <c r="D90" s="2141">
        <v>140</v>
      </c>
      <c r="E90" s="2142">
        <v>38.25</v>
      </c>
      <c r="F90" s="2142">
        <v>10302</v>
      </c>
      <c r="G90" s="2142">
        <v>394051.5</v>
      </c>
      <c r="H90" s="2143">
        <v>42000</v>
      </c>
      <c r="I90" s="2142">
        <v>94052</v>
      </c>
    </row>
    <row r="91" spans="1:9" s="2139" customFormat="1" hidden="1">
      <c r="A91" s="2140" t="s">
        <v>3236</v>
      </c>
      <c r="B91" s="2141">
        <v>2</v>
      </c>
      <c r="C91" s="2141" t="s">
        <v>3191</v>
      </c>
      <c r="D91" s="2141">
        <v>141</v>
      </c>
      <c r="E91" s="2142">
        <v>38.799999999999997</v>
      </c>
      <c r="F91" s="2142">
        <v>10302</v>
      </c>
      <c r="G91" s="2142">
        <v>399717.6</v>
      </c>
      <c r="H91" s="2143">
        <v>42000</v>
      </c>
      <c r="I91" s="2142">
        <v>99718</v>
      </c>
    </row>
    <row r="92" spans="1:9" s="2139" customFormat="1" hidden="1">
      <c r="A92" s="2140" t="s">
        <v>3237</v>
      </c>
      <c r="B92" s="2141">
        <v>2</v>
      </c>
      <c r="C92" s="2141" t="s">
        <v>3191</v>
      </c>
      <c r="D92" s="2141">
        <v>142</v>
      </c>
      <c r="E92" s="2142">
        <v>37.71</v>
      </c>
      <c r="F92" s="2142">
        <v>10302</v>
      </c>
      <c r="G92" s="2142">
        <v>388488.42</v>
      </c>
      <c r="H92" s="2143">
        <v>42000</v>
      </c>
      <c r="I92" s="2142">
        <v>88488</v>
      </c>
    </row>
    <row r="93" spans="1:9" s="2139" customFormat="1" hidden="1">
      <c r="A93" s="2140" t="s">
        <v>3238</v>
      </c>
      <c r="B93" s="2141">
        <v>2</v>
      </c>
      <c r="C93" s="2141" t="s">
        <v>3191</v>
      </c>
      <c r="D93" s="2141">
        <v>143</v>
      </c>
      <c r="E93" s="2142">
        <v>38.26</v>
      </c>
      <c r="F93" s="2142">
        <v>11715</v>
      </c>
      <c r="G93" s="2142">
        <v>448215.89999999997</v>
      </c>
      <c r="H93" s="2143"/>
      <c r="I93" s="2142">
        <v>48840</v>
      </c>
    </row>
    <row r="94" spans="1:9" s="2139" customFormat="1" hidden="1">
      <c r="A94" s="2140" t="s">
        <v>3239</v>
      </c>
      <c r="B94" s="2141">
        <v>2</v>
      </c>
      <c r="C94" s="2141" t="s">
        <v>3191</v>
      </c>
      <c r="D94" s="2141">
        <v>145</v>
      </c>
      <c r="E94" s="2142">
        <v>38.799999999999997</v>
      </c>
      <c r="F94" s="2142">
        <v>10302</v>
      </c>
      <c r="G94" s="2142">
        <v>399717.6</v>
      </c>
      <c r="H94" s="2143"/>
      <c r="I94" s="2142">
        <v>42950</v>
      </c>
    </row>
    <row r="95" spans="1:9" s="2139" customFormat="1" hidden="1">
      <c r="A95" s="2140" t="s">
        <v>3240</v>
      </c>
      <c r="B95" s="2141">
        <v>2</v>
      </c>
      <c r="C95" s="2141" t="s">
        <v>3151</v>
      </c>
      <c r="D95" s="2141">
        <v>43</v>
      </c>
      <c r="E95" s="2142">
        <v>97.69</v>
      </c>
      <c r="F95" s="2142">
        <v>10435.26</v>
      </c>
      <c r="G95" s="2142">
        <v>1019420.5494</v>
      </c>
      <c r="H95" s="2143">
        <v>42704</v>
      </c>
      <c r="I95" s="2142">
        <v>1019421</v>
      </c>
    </row>
    <row r="96" spans="1:9" s="2139" customFormat="1" hidden="1">
      <c r="A96" s="2140" t="s">
        <v>3241</v>
      </c>
      <c r="B96" s="2141">
        <v>2</v>
      </c>
      <c r="C96" s="2141" t="s">
        <v>3151</v>
      </c>
      <c r="D96" s="2141">
        <v>60</v>
      </c>
      <c r="E96" s="2142">
        <v>95.71</v>
      </c>
      <c r="F96" s="2142">
        <v>11676</v>
      </c>
      <c r="G96" s="2142">
        <v>1117509.96</v>
      </c>
      <c r="H96" s="2143"/>
      <c r="I96" s="2142">
        <v>107081</v>
      </c>
    </row>
    <row r="97" spans="1:9" s="2139" customFormat="1" hidden="1">
      <c r="A97" s="2140" t="s">
        <v>3242</v>
      </c>
      <c r="B97" s="3560">
        <v>2</v>
      </c>
      <c r="C97" s="2141" t="s">
        <v>3151</v>
      </c>
      <c r="D97" s="3396">
        <v>61</v>
      </c>
      <c r="E97" s="2142">
        <v>95.73</v>
      </c>
      <c r="F97" s="2142">
        <v>11676</v>
      </c>
      <c r="G97" s="2142">
        <v>1117743.48</v>
      </c>
      <c r="H97" s="3557">
        <v>42844</v>
      </c>
      <c r="I97" s="2142">
        <v>308120</v>
      </c>
    </row>
    <row r="98" spans="1:9" s="2139" customFormat="1" hidden="1">
      <c r="A98" s="2140" t="s">
        <v>3243</v>
      </c>
      <c r="B98" s="2141">
        <v>2</v>
      </c>
      <c r="C98" s="2141" t="s">
        <v>3151</v>
      </c>
      <c r="D98" s="2141">
        <v>113</v>
      </c>
      <c r="E98" s="2142">
        <v>95.3</v>
      </c>
      <c r="F98" s="2142">
        <v>16125</v>
      </c>
      <c r="G98" s="2142">
        <v>1536712.5</v>
      </c>
      <c r="H98" s="2143"/>
      <c r="I98" s="2142">
        <v>290250</v>
      </c>
    </row>
    <row r="99" spans="1:9" s="2139" customFormat="1" hidden="1">
      <c r="A99" s="2140" t="s">
        <v>3244</v>
      </c>
      <c r="B99" s="2141">
        <v>2</v>
      </c>
      <c r="C99" s="2141" t="s">
        <v>3151</v>
      </c>
      <c r="D99" s="2141">
        <v>115</v>
      </c>
      <c r="E99" s="2142">
        <v>87.89</v>
      </c>
      <c r="F99" s="2142">
        <v>16125</v>
      </c>
      <c r="G99" s="2142">
        <v>1417226.25</v>
      </c>
      <c r="H99" s="2143"/>
      <c r="I99" s="2142">
        <v>270900</v>
      </c>
    </row>
    <row r="100" spans="1:9" s="2139" customFormat="1" hidden="1">
      <c r="A100" s="2140" t="s">
        <v>3245</v>
      </c>
      <c r="B100" s="2141">
        <v>2</v>
      </c>
      <c r="C100" s="2141" t="s">
        <v>3151</v>
      </c>
      <c r="D100" s="2141">
        <v>116</v>
      </c>
      <c r="E100" s="2142">
        <v>90.01</v>
      </c>
      <c r="F100" s="2142">
        <v>16125</v>
      </c>
      <c r="G100" s="2142">
        <v>1451411.25</v>
      </c>
      <c r="H100" s="2143"/>
      <c r="I100" s="2142">
        <v>270900</v>
      </c>
    </row>
    <row r="101" spans="1:9" s="2139" customFormat="1" hidden="1">
      <c r="A101" s="2140" t="s">
        <v>3246</v>
      </c>
      <c r="B101" s="2141">
        <v>2</v>
      </c>
      <c r="C101" s="2141" t="s">
        <v>3151</v>
      </c>
      <c r="D101" s="2141">
        <v>117</v>
      </c>
      <c r="E101" s="2142">
        <v>87.89</v>
      </c>
      <c r="F101" s="2142">
        <v>16125</v>
      </c>
      <c r="G101" s="2142">
        <v>1417226.25</v>
      </c>
      <c r="H101" s="2143"/>
      <c r="I101" s="2142">
        <v>270900</v>
      </c>
    </row>
    <row r="102" spans="1:9" s="2139" customFormat="1" hidden="1">
      <c r="A102" s="2140" t="s">
        <v>3247</v>
      </c>
      <c r="B102" s="2141">
        <v>2</v>
      </c>
      <c r="C102" s="2141" t="s">
        <v>3151</v>
      </c>
      <c r="D102" s="2141">
        <v>165</v>
      </c>
      <c r="E102" s="2142">
        <v>84.98</v>
      </c>
      <c r="F102" s="2142">
        <v>16356</v>
      </c>
      <c r="G102" s="2142">
        <v>1389932.8800000001</v>
      </c>
      <c r="H102" s="2143"/>
      <c r="I102" s="2142">
        <v>131257</v>
      </c>
    </row>
    <row r="103" spans="1:9" s="2139" customFormat="1" hidden="1">
      <c r="A103" s="2140" t="s">
        <v>3248</v>
      </c>
      <c r="B103" s="2141">
        <v>2</v>
      </c>
      <c r="C103" s="2141" t="s">
        <v>3151</v>
      </c>
      <c r="D103" s="2141">
        <v>166</v>
      </c>
      <c r="E103" s="2142">
        <v>79.94</v>
      </c>
      <c r="F103" s="2142">
        <v>16125</v>
      </c>
      <c r="G103" s="2142">
        <v>1289032.5</v>
      </c>
      <c r="H103" s="2143"/>
      <c r="I103" s="2142">
        <v>121760</v>
      </c>
    </row>
    <row r="104" spans="1:9" s="2139" customFormat="1" hidden="1">
      <c r="A104" s="2140" t="s">
        <v>3249</v>
      </c>
      <c r="B104" s="2141">
        <v>2</v>
      </c>
      <c r="C104" s="2141" t="s">
        <v>3151</v>
      </c>
      <c r="D104" s="2141">
        <v>167</v>
      </c>
      <c r="E104" s="2142">
        <v>61.42</v>
      </c>
      <c r="F104" s="2142">
        <v>16125</v>
      </c>
      <c r="G104" s="2142">
        <v>990397.5</v>
      </c>
      <c r="H104" s="2143"/>
      <c r="I104" s="2142">
        <v>93557</v>
      </c>
    </row>
    <row r="105" spans="1:9" s="2139" customFormat="1" hidden="1">
      <c r="A105" s="2140" t="s">
        <v>3250</v>
      </c>
      <c r="B105" s="2141">
        <v>2</v>
      </c>
      <c r="C105" s="2141" t="s">
        <v>3151</v>
      </c>
      <c r="D105" s="2141">
        <v>168</v>
      </c>
      <c r="E105" s="2142">
        <v>80.47</v>
      </c>
      <c r="F105" s="2142">
        <v>16356</v>
      </c>
      <c r="G105" s="2142">
        <v>1316167.32</v>
      </c>
      <c r="H105" s="2143"/>
      <c r="I105" s="2142">
        <v>124306</v>
      </c>
    </row>
    <row r="106" spans="1:9" s="2139" customFormat="1" hidden="1">
      <c r="A106" s="2140" t="s">
        <v>3251</v>
      </c>
      <c r="B106" s="2141">
        <v>2</v>
      </c>
      <c r="C106" s="2141" t="s">
        <v>3142</v>
      </c>
      <c r="D106" s="2141">
        <v>81</v>
      </c>
      <c r="E106" s="2142">
        <v>41.5</v>
      </c>
      <c r="F106" s="2142">
        <v>19663</v>
      </c>
      <c r="G106" s="2142">
        <v>816014.5</v>
      </c>
      <c r="H106" s="2143"/>
      <c r="I106" s="2142">
        <v>77217</v>
      </c>
    </row>
    <row r="107" spans="1:9" s="2139" customFormat="1" hidden="1">
      <c r="A107" s="2140" t="s">
        <v>3252</v>
      </c>
      <c r="B107" s="2141">
        <v>2</v>
      </c>
      <c r="C107" s="2141" t="s">
        <v>3142</v>
      </c>
      <c r="D107" s="2141">
        <v>82</v>
      </c>
      <c r="E107" s="2142">
        <v>36.229999999999997</v>
      </c>
      <c r="F107" s="2142">
        <v>20173</v>
      </c>
      <c r="G107" s="2142">
        <v>730867.78999999992</v>
      </c>
      <c r="H107" s="2143"/>
      <c r="I107" s="2142">
        <v>79219</v>
      </c>
    </row>
    <row r="108" spans="1:9" s="2139" customFormat="1" hidden="1">
      <c r="A108" s="2140" t="s">
        <v>3253</v>
      </c>
      <c r="B108" s="2141">
        <v>2</v>
      </c>
      <c r="C108" s="2141" t="s">
        <v>3142</v>
      </c>
      <c r="D108" s="2141">
        <v>92</v>
      </c>
      <c r="E108" s="2142">
        <v>145.34</v>
      </c>
      <c r="F108" s="2142">
        <v>20173</v>
      </c>
      <c r="G108" s="2142">
        <v>2931943.8200000003</v>
      </c>
      <c r="H108" s="2143"/>
      <c r="I108" s="2142">
        <v>235036</v>
      </c>
    </row>
    <row r="109" spans="1:9" s="2139" customFormat="1" hidden="1">
      <c r="A109" s="2140" t="s">
        <v>3254</v>
      </c>
      <c r="B109" s="2141">
        <v>2</v>
      </c>
      <c r="C109" s="2141" t="s">
        <v>3142</v>
      </c>
      <c r="D109" s="2141">
        <v>93</v>
      </c>
      <c r="E109" s="2142">
        <v>114.41</v>
      </c>
      <c r="F109" s="2142">
        <v>20173</v>
      </c>
      <c r="G109" s="2142">
        <v>2307992.9299999997</v>
      </c>
      <c r="H109" s="2143"/>
      <c r="I109" s="2142">
        <v>216920</v>
      </c>
    </row>
    <row r="110" spans="1:9" s="2139" customFormat="1" hidden="1">
      <c r="A110" s="2140" t="s">
        <v>3255</v>
      </c>
      <c r="B110" s="2141">
        <v>2</v>
      </c>
      <c r="C110" s="2141" t="s">
        <v>3142</v>
      </c>
      <c r="D110" s="2141">
        <v>146</v>
      </c>
      <c r="E110" s="2142">
        <v>92.23</v>
      </c>
      <c r="F110" s="2142">
        <v>20173</v>
      </c>
      <c r="G110" s="2142">
        <v>1860555.79</v>
      </c>
      <c r="H110" s="2143"/>
      <c r="I110" s="2142">
        <v>173891</v>
      </c>
    </row>
    <row r="111" spans="1:9" s="2139" customFormat="1" hidden="1">
      <c r="A111" s="2140" t="s">
        <v>3256</v>
      </c>
      <c r="B111" s="2141">
        <v>2</v>
      </c>
      <c r="C111" s="2141" t="s">
        <v>3142</v>
      </c>
      <c r="D111" s="2141">
        <v>175</v>
      </c>
      <c r="E111" s="2142">
        <v>84.23</v>
      </c>
      <c r="F111" s="2142">
        <v>14400</v>
      </c>
      <c r="G111" s="2142">
        <v>1212912</v>
      </c>
      <c r="H111" s="2143"/>
      <c r="I111" s="2142">
        <v>50000</v>
      </c>
    </row>
    <row r="112" spans="1:9" s="2139" customFormat="1" hidden="1">
      <c r="A112" s="2140" t="s">
        <v>3257</v>
      </c>
      <c r="B112" s="2141">
        <v>2</v>
      </c>
      <c r="C112" s="2141" t="s">
        <v>3142</v>
      </c>
      <c r="D112" s="2141">
        <v>176</v>
      </c>
      <c r="E112" s="2142">
        <v>92.07</v>
      </c>
      <c r="F112" s="2142">
        <v>14400</v>
      </c>
      <c r="G112" s="2142">
        <v>1325808</v>
      </c>
      <c r="H112" s="2143"/>
      <c r="I112" s="2142">
        <v>50000</v>
      </c>
    </row>
    <row r="113" spans="1:9" s="2139" customFormat="1" hidden="1">
      <c r="A113" s="2140" t="s">
        <v>3258</v>
      </c>
      <c r="B113" s="2141">
        <v>2</v>
      </c>
      <c r="C113" s="2141" t="s">
        <v>3142</v>
      </c>
      <c r="D113" s="2141">
        <v>178</v>
      </c>
      <c r="E113" s="2142">
        <v>77.31</v>
      </c>
      <c r="F113" s="2142">
        <v>14400</v>
      </c>
      <c r="G113" s="2142">
        <v>1113264</v>
      </c>
      <c r="H113" s="2143"/>
      <c r="I113" s="2142">
        <v>50000</v>
      </c>
    </row>
    <row r="114" spans="1:9" s="2139" customFormat="1" hidden="1">
      <c r="A114" s="2140" t="s">
        <v>3259</v>
      </c>
      <c r="B114" s="2141">
        <v>2</v>
      </c>
      <c r="C114" s="2141" t="s">
        <v>3142</v>
      </c>
      <c r="D114" s="2141">
        <v>179</v>
      </c>
      <c r="E114" s="2142">
        <v>86.3</v>
      </c>
      <c r="F114" s="2142">
        <v>14400</v>
      </c>
      <c r="G114" s="2142">
        <v>1242720</v>
      </c>
      <c r="H114" s="2143"/>
      <c r="I114" s="2142">
        <v>50000</v>
      </c>
    </row>
    <row r="115" spans="1:9" s="2139" customFormat="1" hidden="1">
      <c r="A115" s="2140" t="s">
        <v>3260</v>
      </c>
      <c r="B115" s="2141">
        <v>3</v>
      </c>
      <c r="C115" s="2141" t="s">
        <v>3261</v>
      </c>
      <c r="D115" s="2141">
        <v>1</v>
      </c>
      <c r="E115" s="2142">
        <v>245.69</v>
      </c>
      <c r="F115" s="2142">
        <v>35435</v>
      </c>
      <c r="G115" s="2142">
        <v>8706025.1500000004</v>
      </c>
      <c r="H115" s="2143">
        <v>42631</v>
      </c>
      <c r="I115" s="2142">
        <v>8706025</v>
      </c>
    </row>
    <row r="116" spans="1:9" s="2139" customFormat="1" hidden="1">
      <c r="A116" s="2140" t="s">
        <v>3262</v>
      </c>
      <c r="B116" s="2141">
        <v>3</v>
      </c>
      <c r="C116" s="2141" t="s">
        <v>3261</v>
      </c>
      <c r="D116" s="2141">
        <v>3</v>
      </c>
      <c r="E116" s="2142">
        <v>298.81</v>
      </c>
      <c r="F116" s="2142">
        <v>45133</v>
      </c>
      <c r="G116" s="2142">
        <v>13486191.73</v>
      </c>
      <c r="H116" s="2143"/>
      <c r="I116" s="2142">
        <v>50000</v>
      </c>
    </row>
    <row r="117" spans="1:9" s="2139" customFormat="1" hidden="1">
      <c r="A117" s="2140" t="s">
        <v>3263</v>
      </c>
      <c r="B117" s="2141">
        <v>3</v>
      </c>
      <c r="C117" s="2141" t="s">
        <v>3261</v>
      </c>
      <c r="D117" s="2141">
        <v>7</v>
      </c>
      <c r="E117" s="2142">
        <v>199.86</v>
      </c>
      <c r="F117" s="2142">
        <v>41030</v>
      </c>
      <c r="G117" s="2142">
        <v>8200255.8000000007</v>
      </c>
      <c r="H117" s="2143"/>
      <c r="I117" s="2142">
        <v>995000</v>
      </c>
    </row>
    <row r="118" spans="1:9" s="2139" customFormat="1" hidden="1">
      <c r="A118" s="2140" t="s">
        <v>3264</v>
      </c>
      <c r="B118" s="2141">
        <v>3</v>
      </c>
      <c r="C118" s="2141" t="s">
        <v>3261</v>
      </c>
      <c r="D118" s="2141">
        <v>8</v>
      </c>
      <c r="E118" s="2142">
        <v>70.959999999999994</v>
      </c>
      <c r="F118" s="2142">
        <v>40480</v>
      </c>
      <c r="G118" s="2142">
        <v>2872460.8</v>
      </c>
      <c r="H118" s="2143"/>
      <c r="I118" s="2142">
        <v>230000</v>
      </c>
    </row>
    <row r="119" spans="1:9" s="2139" customFormat="1" hidden="1">
      <c r="A119" s="2140" t="s">
        <v>3265</v>
      </c>
      <c r="B119" s="2141">
        <v>3</v>
      </c>
      <c r="C119" s="2141" t="s">
        <v>3261</v>
      </c>
      <c r="D119" s="2141">
        <v>17</v>
      </c>
      <c r="E119" s="2142">
        <v>55.23</v>
      </c>
      <c r="F119" s="2142">
        <v>31680</v>
      </c>
      <c r="G119" s="2142">
        <v>1749686.4</v>
      </c>
      <c r="H119" s="2143"/>
      <c r="I119" s="2142">
        <v>210000</v>
      </c>
    </row>
    <row r="120" spans="1:9" s="2139" customFormat="1" hidden="1">
      <c r="A120" s="2140" t="s">
        <v>3266</v>
      </c>
      <c r="B120" s="2141">
        <v>3</v>
      </c>
      <c r="C120" s="2141" t="s">
        <v>3261</v>
      </c>
      <c r="D120" s="2141">
        <v>18</v>
      </c>
      <c r="E120" s="2142">
        <v>36.24</v>
      </c>
      <c r="F120" s="2142">
        <v>28380</v>
      </c>
      <c r="G120" s="2142">
        <v>1028491.2000000001</v>
      </c>
      <c r="H120" s="2143"/>
      <c r="I120" s="2142">
        <v>160000</v>
      </c>
    </row>
    <row r="121" spans="1:9" s="2139" customFormat="1" hidden="1">
      <c r="A121" s="2140" t="s">
        <v>3267</v>
      </c>
      <c r="B121" s="2141">
        <v>3</v>
      </c>
      <c r="C121" s="2141" t="s">
        <v>3261</v>
      </c>
      <c r="D121" s="2141">
        <v>19</v>
      </c>
      <c r="E121" s="2142">
        <v>47.91</v>
      </c>
      <c r="F121" s="2142">
        <v>28380</v>
      </c>
      <c r="G121" s="2142">
        <v>1359685.7999999998</v>
      </c>
      <c r="H121" s="2143"/>
      <c r="I121" s="2142">
        <v>160000</v>
      </c>
    </row>
    <row r="122" spans="1:9" s="2139" customFormat="1" hidden="1">
      <c r="A122" s="2140" t="s">
        <v>3268</v>
      </c>
      <c r="B122" s="2141">
        <v>3</v>
      </c>
      <c r="C122" s="2141" t="s">
        <v>3261</v>
      </c>
      <c r="D122" s="2141">
        <v>20</v>
      </c>
      <c r="E122" s="2142">
        <v>50.16</v>
      </c>
      <c r="F122" s="2142">
        <v>29480</v>
      </c>
      <c r="G122" s="2142">
        <v>1478716.7999999998</v>
      </c>
      <c r="H122" s="2143"/>
      <c r="I122" s="2142">
        <v>180000</v>
      </c>
    </row>
    <row r="123" spans="1:9" s="2139" customFormat="1" hidden="1">
      <c r="A123" s="2140" t="s">
        <v>3269</v>
      </c>
      <c r="B123" s="2141">
        <v>3</v>
      </c>
      <c r="C123" s="2141" t="s">
        <v>3261</v>
      </c>
      <c r="D123" s="2141">
        <v>21</v>
      </c>
      <c r="E123" s="2142">
        <v>68.349999999999994</v>
      </c>
      <c r="F123" s="2142">
        <v>44528</v>
      </c>
      <c r="G123" s="2142">
        <v>3043488.8</v>
      </c>
      <c r="H123" s="2143"/>
      <c r="I123" s="2142">
        <v>50000</v>
      </c>
    </row>
    <row r="124" spans="1:9" s="2139" customFormat="1" hidden="1">
      <c r="A124" s="2140" t="s">
        <v>3270</v>
      </c>
      <c r="B124" s="2141">
        <v>3</v>
      </c>
      <c r="C124" s="2141" t="s">
        <v>3261</v>
      </c>
      <c r="D124" s="2141">
        <v>42</v>
      </c>
      <c r="E124" s="2142">
        <v>70.44</v>
      </c>
      <c r="F124" s="2142">
        <v>42406.46</v>
      </c>
      <c r="G124" s="2142">
        <v>2987111.0423999997</v>
      </c>
      <c r="H124" s="2143">
        <v>42175</v>
      </c>
      <c r="I124" s="2142">
        <v>2987111</v>
      </c>
    </row>
    <row r="125" spans="1:9" s="2139" customFormat="1" hidden="1">
      <c r="A125" s="2140" t="s">
        <v>3271</v>
      </c>
      <c r="B125" s="2141">
        <v>3</v>
      </c>
      <c r="C125" s="2141" t="s">
        <v>3261</v>
      </c>
      <c r="D125" s="2141">
        <v>47</v>
      </c>
      <c r="E125" s="2142">
        <v>49.34</v>
      </c>
      <c r="F125" s="2142">
        <v>29387</v>
      </c>
      <c r="G125" s="2142">
        <v>1449954.58</v>
      </c>
      <c r="H125" s="2143">
        <v>42291</v>
      </c>
      <c r="I125" s="2142">
        <v>729955</v>
      </c>
    </row>
    <row r="126" spans="1:9" s="2139" customFormat="1" hidden="1">
      <c r="A126" s="2140" t="s">
        <v>3272</v>
      </c>
      <c r="B126" s="2141">
        <v>3</v>
      </c>
      <c r="C126" s="2141" t="s">
        <v>3261</v>
      </c>
      <c r="D126" s="2141">
        <v>50</v>
      </c>
      <c r="E126" s="2142">
        <v>47.7</v>
      </c>
      <c r="F126" s="2142">
        <v>44528</v>
      </c>
      <c r="G126" s="2142">
        <v>2123985.6</v>
      </c>
      <c r="H126" s="2143"/>
      <c r="I126" s="2142">
        <v>50000</v>
      </c>
    </row>
    <row r="127" spans="1:9" s="2139" customFormat="1" hidden="1">
      <c r="A127" s="2140" t="s">
        <v>3273</v>
      </c>
      <c r="B127" s="2141">
        <v>3</v>
      </c>
      <c r="C127" s="2141" t="s">
        <v>3261</v>
      </c>
      <c r="D127" s="2141">
        <v>51</v>
      </c>
      <c r="E127" s="2142">
        <v>45.72</v>
      </c>
      <c r="F127" s="2142">
        <v>44528</v>
      </c>
      <c r="G127" s="2142">
        <v>2035820.16</v>
      </c>
      <c r="H127" s="2143"/>
      <c r="I127" s="2142">
        <v>50000</v>
      </c>
    </row>
    <row r="128" spans="1:9" s="2139" customFormat="1" hidden="1">
      <c r="A128" s="2140" t="s">
        <v>3274</v>
      </c>
      <c r="B128" s="2141">
        <v>3</v>
      </c>
      <c r="C128" s="2141" t="s">
        <v>3261</v>
      </c>
      <c r="D128" s="2141">
        <v>56</v>
      </c>
      <c r="E128" s="2142">
        <v>134.99</v>
      </c>
      <c r="F128" s="2142">
        <v>43923</v>
      </c>
      <c r="G128" s="2142">
        <v>5929165.7700000005</v>
      </c>
      <c r="H128" s="2143"/>
      <c r="I128" s="2142">
        <v>50000</v>
      </c>
    </row>
    <row r="129" spans="1:9" s="2139" customFormat="1" hidden="1">
      <c r="A129" s="2140" t="s">
        <v>3275</v>
      </c>
      <c r="B129" s="2141">
        <v>3</v>
      </c>
      <c r="C129" s="2141" t="s">
        <v>3261</v>
      </c>
      <c r="D129" s="2141">
        <v>62</v>
      </c>
      <c r="E129" s="2142">
        <v>28.34</v>
      </c>
      <c r="F129" s="2142">
        <v>37180</v>
      </c>
      <c r="G129" s="2142">
        <v>1053681.2</v>
      </c>
      <c r="H129" s="2143"/>
      <c r="I129" s="2142">
        <v>100000</v>
      </c>
    </row>
    <row r="130" spans="1:9" s="2139" customFormat="1" hidden="1">
      <c r="A130" s="2140" t="s">
        <v>3276</v>
      </c>
      <c r="B130" s="2141">
        <v>3</v>
      </c>
      <c r="C130" s="2141" t="s">
        <v>3261</v>
      </c>
      <c r="D130" s="2141">
        <v>63</v>
      </c>
      <c r="E130" s="2142">
        <v>28.61</v>
      </c>
      <c r="F130" s="2142">
        <v>36080</v>
      </c>
      <c r="G130" s="2142">
        <v>1032248.7999999999</v>
      </c>
      <c r="H130" s="2143"/>
      <c r="I130" s="2142">
        <v>100000</v>
      </c>
    </row>
    <row r="131" spans="1:9" s="2139" customFormat="1" hidden="1">
      <c r="A131" s="2140" t="s">
        <v>3277</v>
      </c>
      <c r="B131" s="2141">
        <v>3</v>
      </c>
      <c r="C131" s="2141" t="s">
        <v>3261</v>
      </c>
      <c r="D131" s="2141">
        <v>71</v>
      </c>
      <c r="E131" s="2142">
        <v>50.72</v>
      </c>
      <c r="F131" s="2142">
        <v>42108</v>
      </c>
      <c r="G131" s="2142">
        <v>2135717.7599999998</v>
      </c>
      <c r="H131" s="2143"/>
      <c r="I131" s="2142">
        <v>50000</v>
      </c>
    </row>
    <row r="132" spans="1:9" s="2139" customFormat="1" hidden="1">
      <c r="A132" s="2140" t="s">
        <v>3278</v>
      </c>
      <c r="B132" s="2141">
        <v>3</v>
      </c>
      <c r="C132" s="2141" t="s">
        <v>3261</v>
      </c>
      <c r="D132" s="2141">
        <v>97</v>
      </c>
      <c r="E132" s="2142">
        <v>75.17</v>
      </c>
      <c r="F132" s="2142">
        <v>40480</v>
      </c>
      <c r="G132" s="2142">
        <v>3042881.6</v>
      </c>
      <c r="H132" s="2143"/>
      <c r="I132" s="2142">
        <v>340000</v>
      </c>
    </row>
    <row r="133" spans="1:9" s="2139" customFormat="1" hidden="1">
      <c r="A133" s="2140" t="s">
        <v>3279</v>
      </c>
      <c r="B133" s="2141">
        <v>3</v>
      </c>
      <c r="C133" s="2141" t="s">
        <v>3261</v>
      </c>
      <c r="D133" s="2141">
        <v>98</v>
      </c>
      <c r="E133" s="2142">
        <v>49.34</v>
      </c>
      <c r="F133" s="2142">
        <v>34980</v>
      </c>
      <c r="G133" s="2142">
        <v>1725913.2000000002</v>
      </c>
      <c r="H133" s="2143"/>
      <c r="I133" s="2142">
        <v>207327</v>
      </c>
    </row>
    <row r="134" spans="1:9" s="2139" customFormat="1" hidden="1">
      <c r="A134" s="2140" t="s">
        <v>3280</v>
      </c>
      <c r="B134" s="2141">
        <v>3</v>
      </c>
      <c r="C134" s="2141" t="s">
        <v>3261</v>
      </c>
      <c r="D134" s="2141">
        <v>99</v>
      </c>
      <c r="E134" s="2142">
        <v>53.57</v>
      </c>
      <c r="F134" s="2142">
        <v>34980</v>
      </c>
      <c r="G134" s="2142">
        <v>1873878.6</v>
      </c>
      <c r="H134" s="2143"/>
      <c r="I134" s="2142">
        <v>214777</v>
      </c>
    </row>
    <row r="135" spans="1:9" s="2139" customFormat="1" hidden="1">
      <c r="A135" s="2140" t="s">
        <v>3281</v>
      </c>
      <c r="B135" s="2141">
        <v>3</v>
      </c>
      <c r="C135" s="2141" t="s">
        <v>3261</v>
      </c>
      <c r="D135" s="2141">
        <v>100</v>
      </c>
      <c r="E135" s="2142">
        <v>55.22</v>
      </c>
      <c r="F135" s="2142">
        <v>44528</v>
      </c>
      <c r="G135" s="2142">
        <v>2458836.16</v>
      </c>
      <c r="H135" s="2143"/>
      <c r="I135" s="2142">
        <v>50000</v>
      </c>
    </row>
    <row r="136" spans="1:9" s="2139" customFormat="1" hidden="1">
      <c r="A136" s="2140" t="s">
        <v>3282</v>
      </c>
      <c r="B136" s="2141">
        <v>3</v>
      </c>
      <c r="C136" s="2141" t="s">
        <v>3261</v>
      </c>
      <c r="D136" s="2141">
        <v>101</v>
      </c>
      <c r="E136" s="2142">
        <v>59.45</v>
      </c>
      <c r="F136" s="2142">
        <v>44528</v>
      </c>
      <c r="G136" s="2142">
        <v>2647189.6</v>
      </c>
      <c r="H136" s="2143"/>
      <c r="I136" s="2142">
        <v>50000</v>
      </c>
    </row>
    <row r="137" spans="1:9" s="2139" customFormat="1" hidden="1">
      <c r="A137" s="2140" t="s">
        <v>3283</v>
      </c>
      <c r="B137" s="2141">
        <v>3</v>
      </c>
      <c r="C137" s="2141" t="s">
        <v>3261</v>
      </c>
      <c r="D137" s="2141">
        <v>102</v>
      </c>
      <c r="E137" s="2142">
        <v>56.42</v>
      </c>
      <c r="F137" s="2142">
        <v>38280</v>
      </c>
      <c r="G137" s="2142">
        <v>2159757.6</v>
      </c>
      <c r="H137" s="2143"/>
      <c r="I137" s="2142">
        <v>247365</v>
      </c>
    </row>
    <row r="138" spans="1:9" s="2139" customFormat="1" hidden="1">
      <c r="A138" s="2140" t="s">
        <v>3284</v>
      </c>
      <c r="B138" s="2141">
        <v>3</v>
      </c>
      <c r="C138" s="2141" t="s">
        <v>3261</v>
      </c>
      <c r="D138" s="2141">
        <v>105</v>
      </c>
      <c r="E138" s="2142">
        <v>55.17</v>
      </c>
      <c r="F138" s="2142">
        <v>43318</v>
      </c>
      <c r="G138" s="2142">
        <v>2389854.06</v>
      </c>
      <c r="H138" s="2143"/>
      <c r="I138" s="2142">
        <v>50000</v>
      </c>
    </row>
    <row r="139" spans="1:9" s="2139" customFormat="1" hidden="1">
      <c r="A139" s="2140" t="s">
        <v>3285</v>
      </c>
      <c r="B139" s="2141">
        <v>3</v>
      </c>
      <c r="C139" s="2141" t="s">
        <v>3261</v>
      </c>
      <c r="D139" s="2141">
        <v>106</v>
      </c>
      <c r="E139" s="2142">
        <v>69.73</v>
      </c>
      <c r="F139" s="2142">
        <v>34980</v>
      </c>
      <c r="G139" s="2142">
        <v>2439155.4</v>
      </c>
      <c r="H139" s="2143"/>
      <c r="I139" s="2142">
        <v>316219.2</v>
      </c>
    </row>
    <row r="140" spans="1:9" s="2139" customFormat="1" hidden="1">
      <c r="A140" s="2140" t="s">
        <v>3286</v>
      </c>
      <c r="B140" s="2141">
        <v>3</v>
      </c>
      <c r="C140" s="2141" t="s">
        <v>3261</v>
      </c>
      <c r="D140" s="2141">
        <v>107</v>
      </c>
      <c r="E140" s="2142">
        <v>81.5</v>
      </c>
      <c r="F140" s="2142">
        <v>34980</v>
      </c>
      <c r="G140" s="2142">
        <v>2850870</v>
      </c>
      <c r="H140" s="2143"/>
      <c r="I140" s="2142">
        <v>311496.90000000002</v>
      </c>
    </row>
    <row r="141" spans="1:9" s="2139" customFormat="1" hidden="1">
      <c r="A141" s="2140" t="s">
        <v>3287</v>
      </c>
      <c r="B141" s="2141">
        <v>3</v>
      </c>
      <c r="C141" s="2141" t="s">
        <v>3261</v>
      </c>
      <c r="D141" s="2141">
        <v>108</v>
      </c>
      <c r="E141" s="2142">
        <v>95.69</v>
      </c>
      <c r="F141" s="2142">
        <v>38280</v>
      </c>
      <c r="G141" s="2142">
        <v>3663013.1999999997</v>
      </c>
      <c r="H141" s="2143"/>
      <c r="I141" s="2142">
        <v>419472.24</v>
      </c>
    </row>
    <row r="142" spans="1:9" s="2139" customFormat="1" hidden="1">
      <c r="A142" s="2140" t="s">
        <v>3288</v>
      </c>
      <c r="B142" s="3560">
        <v>3</v>
      </c>
      <c r="C142" s="2141" t="s">
        <v>3161</v>
      </c>
      <c r="D142" s="3396">
        <v>29</v>
      </c>
      <c r="E142" s="2142">
        <v>52.71</v>
      </c>
      <c r="F142" s="2142">
        <v>21229.994309999998</v>
      </c>
      <c r="G142" s="2142">
        <v>1119033.0000801</v>
      </c>
      <c r="H142" s="3557">
        <v>42839</v>
      </c>
      <c r="I142" s="2142">
        <v>361356</v>
      </c>
    </row>
    <row r="143" spans="1:9" s="2139" customFormat="1" hidden="1">
      <c r="A143" s="2140" t="s">
        <v>3289</v>
      </c>
      <c r="B143" s="3560">
        <v>3</v>
      </c>
      <c r="C143" s="2141" t="s">
        <v>3161</v>
      </c>
      <c r="D143" s="3396">
        <v>30</v>
      </c>
      <c r="E143" s="2142">
        <v>48.65</v>
      </c>
      <c r="F143" s="2142">
        <v>17600</v>
      </c>
      <c r="G143" s="2142">
        <v>856240</v>
      </c>
      <c r="H143" s="3557">
        <v>42839</v>
      </c>
      <c r="I143" s="2142">
        <v>436240</v>
      </c>
    </row>
    <row r="144" spans="1:9" s="2139" customFormat="1" hidden="1">
      <c r="A144" s="2140" t="s">
        <v>3290</v>
      </c>
      <c r="B144" s="2141">
        <v>3</v>
      </c>
      <c r="C144" s="2141" t="s">
        <v>3161</v>
      </c>
      <c r="D144" s="2141">
        <v>36</v>
      </c>
      <c r="E144" s="2142">
        <v>43.04</v>
      </c>
      <c r="F144" s="2142">
        <v>25630</v>
      </c>
      <c r="G144" s="2142">
        <v>1103115.2</v>
      </c>
      <c r="H144" s="2143"/>
      <c r="I144" s="2142">
        <v>123000</v>
      </c>
    </row>
    <row r="145" spans="1:9" s="2139" customFormat="1" hidden="1">
      <c r="A145" s="2140" t="s">
        <v>3291</v>
      </c>
      <c r="B145" s="2141">
        <v>3</v>
      </c>
      <c r="C145" s="2141" t="s">
        <v>3161</v>
      </c>
      <c r="D145" s="2141">
        <v>37</v>
      </c>
      <c r="E145" s="2142">
        <v>49.81</v>
      </c>
      <c r="F145" s="2142">
        <v>25630</v>
      </c>
      <c r="G145" s="2142">
        <v>1276630.3</v>
      </c>
      <c r="H145" s="2143"/>
      <c r="I145" s="2142">
        <v>142000</v>
      </c>
    </row>
    <row r="146" spans="1:9" s="2139" customFormat="1" hidden="1">
      <c r="A146" s="2140" t="s">
        <v>3292</v>
      </c>
      <c r="B146" s="2141">
        <v>3</v>
      </c>
      <c r="C146" s="2141" t="s">
        <v>3161</v>
      </c>
      <c r="D146" s="2141">
        <v>38</v>
      </c>
      <c r="E146" s="2142">
        <v>59.24</v>
      </c>
      <c r="F146" s="2142">
        <v>24530</v>
      </c>
      <c r="G146" s="2142">
        <v>1453157.2</v>
      </c>
      <c r="H146" s="2143"/>
      <c r="I146" s="2142">
        <v>170000</v>
      </c>
    </row>
    <row r="147" spans="1:9" s="2139" customFormat="1" hidden="1">
      <c r="A147" s="2140" t="s">
        <v>3293</v>
      </c>
      <c r="B147" s="2141">
        <v>3</v>
      </c>
      <c r="C147" s="2141" t="s">
        <v>3161</v>
      </c>
      <c r="D147" s="2141">
        <v>39</v>
      </c>
      <c r="E147" s="2142">
        <v>65.989999999999995</v>
      </c>
      <c r="F147" s="2142">
        <v>24530</v>
      </c>
      <c r="G147" s="2142">
        <v>1618734.7</v>
      </c>
      <c r="H147" s="2143"/>
      <c r="I147" s="2142">
        <v>180000</v>
      </c>
    </row>
    <row r="148" spans="1:9" s="2139" customFormat="1" hidden="1">
      <c r="A148" s="2140" t="s">
        <v>3294</v>
      </c>
      <c r="B148" s="2141">
        <v>3</v>
      </c>
      <c r="C148" s="2141" t="s">
        <v>3161</v>
      </c>
      <c r="D148" s="2141">
        <v>40</v>
      </c>
      <c r="E148" s="2142">
        <v>33.51</v>
      </c>
      <c r="F148" s="2142">
        <v>17600</v>
      </c>
      <c r="G148" s="2142">
        <v>589776</v>
      </c>
      <c r="H148" s="2143"/>
      <c r="I148" s="2142">
        <v>66000</v>
      </c>
    </row>
    <row r="149" spans="1:9" s="2139" customFormat="1" hidden="1">
      <c r="A149" s="2140" t="s">
        <v>3295</v>
      </c>
      <c r="B149" s="2141">
        <v>3</v>
      </c>
      <c r="C149" s="2141" t="s">
        <v>3161</v>
      </c>
      <c r="D149" s="2141">
        <v>46</v>
      </c>
      <c r="E149" s="2142">
        <v>37.58</v>
      </c>
      <c r="F149" s="2142">
        <v>20867</v>
      </c>
      <c r="G149" s="2142">
        <v>784181.86</v>
      </c>
      <c r="H149" s="2143">
        <v>42202</v>
      </c>
      <c r="I149" s="2142">
        <v>164182</v>
      </c>
    </row>
    <row r="150" spans="1:9" s="2139" customFormat="1" hidden="1">
      <c r="A150" s="2140" t="s">
        <v>3296</v>
      </c>
      <c r="B150" s="2141">
        <v>3</v>
      </c>
      <c r="C150" s="2141" t="s">
        <v>3161</v>
      </c>
      <c r="D150" s="2141">
        <v>53</v>
      </c>
      <c r="E150" s="2142">
        <v>42.72</v>
      </c>
      <c r="F150" s="2142">
        <v>23375.07</v>
      </c>
      <c r="G150" s="2142">
        <v>998582.99040000001</v>
      </c>
      <c r="H150" s="2143">
        <v>42221</v>
      </c>
      <c r="I150" s="2142">
        <v>998583</v>
      </c>
    </row>
    <row r="151" spans="1:9" s="2139" customFormat="1" hidden="1">
      <c r="A151" s="2140" t="s">
        <v>3297</v>
      </c>
      <c r="B151" s="2141">
        <v>3</v>
      </c>
      <c r="C151" s="2141" t="s">
        <v>3161</v>
      </c>
      <c r="D151" s="2141">
        <v>55</v>
      </c>
      <c r="E151" s="2142">
        <v>39.92</v>
      </c>
      <c r="F151" s="2142">
        <v>23375.05</v>
      </c>
      <c r="G151" s="2142">
        <v>933131.99600000004</v>
      </c>
      <c r="H151" s="2143">
        <v>42221</v>
      </c>
      <c r="I151" s="2142">
        <v>933132</v>
      </c>
    </row>
    <row r="152" spans="1:9" s="2139" customFormat="1" hidden="1">
      <c r="A152" s="2140" t="s">
        <v>3298</v>
      </c>
      <c r="B152" s="2141">
        <v>3</v>
      </c>
      <c r="C152" s="2141" t="s">
        <v>3161</v>
      </c>
      <c r="D152" s="2141">
        <v>56</v>
      </c>
      <c r="E152" s="2142">
        <v>27.46</v>
      </c>
      <c r="F152" s="2142">
        <v>23570</v>
      </c>
      <c r="G152" s="2142">
        <v>647232.20000000007</v>
      </c>
      <c r="H152" s="2143">
        <v>42264</v>
      </c>
      <c r="I152" s="2142">
        <v>327232</v>
      </c>
    </row>
    <row r="153" spans="1:9" s="2139" customFormat="1" hidden="1">
      <c r="A153" s="2140" t="s">
        <v>3299</v>
      </c>
      <c r="B153" s="3560">
        <v>3</v>
      </c>
      <c r="C153" s="2141" t="s">
        <v>3161</v>
      </c>
      <c r="D153" s="3396">
        <v>58</v>
      </c>
      <c r="E153" s="2142">
        <v>32.549999999999997</v>
      </c>
      <c r="F153" s="2142">
        <v>23839.7</v>
      </c>
      <c r="G153" s="2142">
        <v>775982.23499999999</v>
      </c>
      <c r="H153" s="3557">
        <v>42870</v>
      </c>
      <c r="I153" s="2142">
        <v>775982</v>
      </c>
    </row>
    <row r="154" spans="1:9" s="2139" customFormat="1" hidden="1">
      <c r="A154" s="2140" t="s">
        <v>3300</v>
      </c>
      <c r="B154" s="2141">
        <v>3</v>
      </c>
      <c r="C154" s="2141" t="s">
        <v>3161</v>
      </c>
      <c r="D154" s="2141">
        <v>59</v>
      </c>
      <c r="E154" s="2142">
        <v>32.450000000000003</v>
      </c>
      <c r="F154" s="2142">
        <v>23070.01</v>
      </c>
      <c r="G154" s="2142">
        <v>748621.82449999999</v>
      </c>
      <c r="H154" s="2143">
        <v>42264</v>
      </c>
      <c r="I154" s="2142">
        <v>378622</v>
      </c>
    </row>
    <row r="155" spans="1:9" s="2139" customFormat="1" hidden="1">
      <c r="A155" s="2140" t="s">
        <v>3301</v>
      </c>
      <c r="B155" s="2141">
        <v>3</v>
      </c>
      <c r="C155" s="2141" t="s">
        <v>3161</v>
      </c>
      <c r="D155" s="2141">
        <v>65</v>
      </c>
      <c r="E155" s="2142">
        <v>50.71</v>
      </c>
      <c r="F155" s="2142">
        <v>17600</v>
      </c>
      <c r="G155" s="2142">
        <v>892496</v>
      </c>
      <c r="H155" s="2143"/>
      <c r="I155" s="2142">
        <v>99458</v>
      </c>
    </row>
    <row r="156" spans="1:9" s="2139" customFormat="1" hidden="1">
      <c r="A156" s="2140" t="s">
        <v>3302</v>
      </c>
      <c r="B156" s="2141">
        <v>3</v>
      </c>
      <c r="C156" s="2141" t="s">
        <v>3161</v>
      </c>
      <c r="D156" s="2141">
        <v>66</v>
      </c>
      <c r="E156" s="2142">
        <v>50.71</v>
      </c>
      <c r="F156" s="2142">
        <v>17600</v>
      </c>
      <c r="G156" s="2142">
        <v>892496</v>
      </c>
      <c r="H156" s="2143"/>
      <c r="I156" s="2142">
        <v>99458</v>
      </c>
    </row>
    <row r="157" spans="1:9" s="2139" customFormat="1" hidden="1">
      <c r="A157" s="2140" t="s">
        <v>3303</v>
      </c>
      <c r="B157" s="2141">
        <v>3</v>
      </c>
      <c r="C157" s="2141" t="s">
        <v>3161</v>
      </c>
      <c r="D157" s="2141">
        <v>76</v>
      </c>
      <c r="E157" s="2142">
        <v>46.92</v>
      </c>
      <c r="F157" s="2142">
        <v>18982.89</v>
      </c>
      <c r="G157" s="2142">
        <v>890677.19880000001</v>
      </c>
      <c r="H157" s="2143">
        <v>42206</v>
      </c>
      <c r="I157" s="2142">
        <v>890677</v>
      </c>
    </row>
    <row r="158" spans="1:9" s="2139" customFormat="1" hidden="1">
      <c r="A158" s="2140" t="s">
        <v>3304</v>
      </c>
      <c r="B158" s="3560">
        <v>3</v>
      </c>
      <c r="C158" s="2141" t="s">
        <v>3161</v>
      </c>
      <c r="D158" s="3396">
        <v>91</v>
      </c>
      <c r="E158" s="2142">
        <v>75.38</v>
      </c>
      <c r="F158" s="2142">
        <v>27797</v>
      </c>
      <c r="G158" s="2142">
        <v>2095337.8599999999</v>
      </c>
      <c r="H158" s="3557">
        <v>42817</v>
      </c>
      <c r="I158" s="2142">
        <v>50000</v>
      </c>
    </row>
    <row r="159" spans="1:9" s="2139" customFormat="1" hidden="1">
      <c r="A159" s="2140" t="s">
        <v>3305</v>
      </c>
      <c r="B159" s="3560">
        <v>3</v>
      </c>
      <c r="C159" s="2141" t="s">
        <v>3161</v>
      </c>
      <c r="D159" s="3396">
        <v>92</v>
      </c>
      <c r="E159" s="2142">
        <v>75.38</v>
      </c>
      <c r="F159" s="2142">
        <v>27797</v>
      </c>
      <c r="G159" s="2142">
        <v>2095337.8599999999</v>
      </c>
      <c r="H159" s="3557">
        <v>42817</v>
      </c>
      <c r="I159" s="2142">
        <v>50000</v>
      </c>
    </row>
    <row r="160" spans="1:9" s="2139" customFormat="1" hidden="1">
      <c r="A160" s="2140" t="s">
        <v>3306</v>
      </c>
      <c r="B160" s="3560">
        <v>3</v>
      </c>
      <c r="C160" s="2141" t="s">
        <v>3161</v>
      </c>
      <c r="D160" s="3396">
        <v>99</v>
      </c>
      <c r="E160" s="2142">
        <v>48.65</v>
      </c>
      <c r="F160" s="2142">
        <v>19657</v>
      </c>
      <c r="G160" s="2142">
        <v>956313.04999999993</v>
      </c>
      <c r="H160" s="3557">
        <v>42817</v>
      </c>
      <c r="I160" s="2142">
        <v>50000</v>
      </c>
    </row>
    <row r="161" spans="1:9" s="2139" customFormat="1" hidden="1">
      <c r="A161" s="2140" t="s">
        <v>3307</v>
      </c>
      <c r="B161" s="3560">
        <v>3</v>
      </c>
      <c r="C161" s="2141" t="s">
        <v>3161</v>
      </c>
      <c r="D161" s="3396">
        <v>100</v>
      </c>
      <c r="E161" s="2142">
        <v>48.65</v>
      </c>
      <c r="F161" s="2142">
        <v>19657</v>
      </c>
      <c r="G161" s="2142">
        <v>956313.04999999993</v>
      </c>
      <c r="H161" s="3557">
        <v>42817</v>
      </c>
      <c r="I161" s="2142">
        <v>50000</v>
      </c>
    </row>
    <row r="162" spans="1:9" s="2139" customFormat="1" hidden="1">
      <c r="A162" s="2140" t="s">
        <v>3308</v>
      </c>
      <c r="B162" s="2141">
        <v>3</v>
      </c>
      <c r="C162" s="2141" t="s">
        <v>3161</v>
      </c>
      <c r="D162" s="2141">
        <v>103</v>
      </c>
      <c r="E162" s="2142">
        <v>48.65</v>
      </c>
      <c r="F162" s="2142">
        <v>17600</v>
      </c>
      <c r="G162" s="2142">
        <v>856240</v>
      </c>
      <c r="H162" s="2143"/>
      <c r="I162" s="2142">
        <v>95427</v>
      </c>
    </row>
    <row r="163" spans="1:9" s="2139" customFormat="1" hidden="1">
      <c r="A163" s="2140" t="s">
        <v>3309</v>
      </c>
      <c r="B163" s="3560">
        <v>3</v>
      </c>
      <c r="C163" s="2141" t="s">
        <v>3161</v>
      </c>
      <c r="D163" s="3396">
        <v>109</v>
      </c>
      <c r="E163" s="2142">
        <v>74.010000000000005</v>
      </c>
      <c r="F163" s="2142">
        <v>27797</v>
      </c>
      <c r="G163" s="2142">
        <v>2057255.9700000002</v>
      </c>
      <c r="H163" s="3557">
        <v>42817</v>
      </c>
      <c r="I163" s="2142">
        <v>50000</v>
      </c>
    </row>
    <row r="164" spans="1:9" s="2139" customFormat="1" hidden="1">
      <c r="A164" s="2140" t="s">
        <v>3310</v>
      </c>
      <c r="B164" s="3560">
        <v>3</v>
      </c>
      <c r="C164" s="2141" t="s">
        <v>3161</v>
      </c>
      <c r="D164" s="3396">
        <v>110</v>
      </c>
      <c r="E164" s="2142">
        <v>74.010000000000005</v>
      </c>
      <c r="F164" s="2142">
        <v>27797</v>
      </c>
      <c r="G164" s="2142">
        <v>2057255.9700000002</v>
      </c>
      <c r="H164" s="3557">
        <v>42817</v>
      </c>
      <c r="I164" s="2142">
        <v>50000</v>
      </c>
    </row>
    <row r="165" spans="1:9" s="2139" customFormat="1" hidden="1">
      <c r="A165" s="2140" t="s">
        <v>3311</v>
      </c>
      <c r="B165" s="2141">
        <v>3</v>
      </c>
      <c r="C165" s="2141" t="s">
        <v>3161</v>
      </c>
      <c r="D165" s="2141">
        <v>136</v>
      </c>
      <c r="E165" s="2142">
        <v>76.44</v>
      </c>
      <c r="F165" s="2142">
        <v>18700</v>
      </c>
      <c r="G165" s="2142">
        <v>1429428</v>
      </c>
      <c r="H165" s="2143"/>
      <c r="I165" s="2142">
        <v>164392</v>
      </c>
    </row>
    <row r="166" spans="1:9" s="2139" customFormat="1" hidden="1">
      <c r="A166" s="2140" t="s">
        <v>3312</v>
      </c>
      <c r="B166" s="2141">
        <v>3</v>
      </c>
      <c r="C166" s="2141" t="s">
        <v>3161</v>
      </c>
      <c r="D166" s="2141">
        <v>137</v>
      </c>
      <c r="E166" s="2142">
        <v>80.78</v>
      </c>
      <c r="F166" s="2142">
        <v>20130</v>
      </c>
      <c r="G166" s="2142">
        <v>1626101.4</v>
      </c>
      <c r="H166" s="2143"/>
      <c r="I166" s="2142">
        <v>181210</v>
      </c>
    </row>
    <row r="167" spans="1:9" s="2139" customFormat="1" hidden="1">
      <c r="A167" s="2140" t="s">
        <v>3313</v>
      </c>
      <c r="B167" s="2141">
        <v>3</v>
      </c>
      <c r="C167" s="2141" t="s">
        <v>3161</v>
      </c>
      <c r="D167" s="2141">
        <v>138</v>
      </c>
      <c r="E167" s="2142">
        <v>82.47</v>
      </c>
      <c r="F167" s="2142">
        <v>25270</v>
      </c>
      <c r="G167" s="2142">
        <v>2084016.9</v>
      </c>
      <c r="H167" s="2143"/>
      <c r="I167" s="2142">
        <v>185000</v>
      </c>
    </row>
    <row r="168" spans="1:9" s="2139" customFormat="1" hidden="1">
      <c r="A168" s="2140" t="s">
        <v>3314</v>
      </c>
      <c r="B168" s="2141">
        <v>3</v>
      </c>
      <c r="C168" s="2141" t="s">
        <v>3161</v>
      </c>
      <c r="D168" s="2141">
        <v>139</v>
      </c>
      <c r="E168" s="2142">
        <v>83.47</v>
      </c>
      <c r="F168" s="2142">
        <v>25270</v>
      </c>
      <c r="G168" s="2142">
        <v>2109286.9</v>
      </c>
      <c r="H168" s="2143"/>
      <c r="I168" s="2142">
        <v>190000</v>
      </c>
    </row>
    <row r="169" spans="1:9" s="2139" customFormat="1" hidden="1">
      <c r="A169" s="2140" t="s">
        <v>3315</v>
      </c>
      <c r="B169" s="2141">
        <v>3</v>
      </c>
      <c r="C169" s="2141" t="s">
        <v>3161</v>
      </c>
      <c r="D169" s="2141">
        <v>140</v>
      </c>
      <c r="E169" s="2142">
        <v>84.43</v>
      </c>
      <c r="F169" s="2142">
        <v>25270</v>
      </c>
      <c r="G169" s="2142">
        <v>2133546.1</v>
      </c>
      <c r="H169" s="2143"/>
      <c r="I169" s="2142">
        <v>100000</v>
      </c>
    </row>
    <row r="170" spans="1:9" s="2139" customFormat="1" hidden="1">
      <c r="A170" s="2140" t="s">
        <v>3316</v>
      </c>
      <c r="B170" s="2141">
        <v>3</v>
      </c>
      <c r="C170" s="2141" t="s">
        <v>3161</v>
      </c>
      <c r="D170" s="2141">
        <v>141</v>
      </c>
      <c r="E170" s="2142">
        <v>85.38</v>
      </c>
      <c r="F170" s="2142">
        <v>25270</v>
      </c>
      <c r="G170" s="2142">
        <v>2157552.6</v>
      </c>
      <c r="H170" s="2143"/>
      <c r="I170" s="2142">
        <v>105000</v>
      </c>
    </row>
    <row r="171" spans="1:9" s="2139" customFormat="1" hidden="1">
      <c r="A171" s="2140" t="s">
        <v>3317</v>
      </c>
      <c r="B171" s="2141">
        <v>3</v>
      </c>
      <c r="C171" s="2141" t="s">
        <v>3161</v>
      </c>
      <c r="D171" s="2141">
        <v>142</v>
      </c>
      <c r="E171" s="2142">
        <v>86.34</v>
      </c>
      <c r="F171" s="2142">
        <v>25270</v>
      </c>
      <c r="G171" s="2142">
        <v>2181811.8000000003</v>
      </c>
      <c r="H171" s="2143"/>
      <c r="I171" s="2142">
        <v>105000</v>
      </c>
    </row>
    <row r="172" spans="1:9" s="2139" customFormat="1" hidden="1">
      <c r="A172" s="2140" t="s">
        <v>3318</v>
      </c>
      <c r="B172" s="2141">
        <v>3</v>
      </c>
      <c r="C172" s="2141" t="s">
        <v>3161</v>
      </c>
      <c r="D172" s="2141">
        <v>143</v>
      </c>
      <c r="E172" s="2142">
        <v>119.15</v>
      </c>
      <c r="F172" s="2142">
        <v>22330</v>
      </c>
      <c r="G172" s="2142">
        <v>2660619.5</v>
      </c>
      <c r="H172" s="2143"/>
      <c r="I172" s="2142">
        <v>304246.25</v>
      </c>
    </row>
    <row r="173" spans="1:9" s="2139" customFormat="1" hidden="1">
      <c r="A173" s="2140" t="s">
        <v>3319</v>
      </c>
      <c r="B173" s="2141">
        <v>3</v>
      </c>
      <c r="C173" s="2141" t="s">
        <v>3161</v>
      </c>
      <c r="D173" s="2141">
        <v>145</v>
      </c>
      <c r="E173" s="2142">
        <v>141.65</v>
      </c>
      <c r="F173" s="2142">
        <v>18700</v>
      </c>
      <c r="G173" s="2142">
        <v>2648855</v>
      </c>
      <c r="H173" s="2143"/>
      <c r="I173" s="2142">
        <v>318199.2</v>
      </c>
    </row>
    <row r="174" spans="1:9" s="2139" customFormat="1" hidden="1">
      <c r="A174" s="2140" t="s">
        <v>3320</v>
      </c>
      <c r="B174" s="2141">
        <v>3</v>
      </c>
      <c r="C174" s="2141" t="s">
        <v>3161</v>
      </c>
      <c r="D174" s="2141">
        <v>146</v>
      </c>
      <c r="E174" s="2142">
        <v>119.5</v>
      </c>
      <c r="F174" s="2142">
        <v>18700</v>
      </c>
      <c r="G174" s="2142">
        <v>2234650</v>
      </c>
      <c r="H174" s="2143"/>
      <c r="I174" s="2142">
        <v>236667.2</v>
      </c>
    </row>
    <row r="175" spans="1:9" s="2139" customFormat="1" hidden="1">
      <c r="A175" s="2140" t="s">
        <v>3321</v>
      </c>
      <c r="B175" s="2141">
        <v>3</v>
      </c>
      <c r="C175" s="2141" t="s">
        <v>3161</v>
      </c>
      <c r="D175" s="2141">
        <v>147</v>
      </c>
      <c r="E175" s="2142">
        <v>57.2</v>
      </c>
      <c r="F175" s="2142">
        <v>18700</v>
      </c>
      <c r="G175" s="2142">
        <v>1069640</v>
      </c>
      <c r="H175" s="2143"/>
      <c r="I175" s="2142">
        <v>118427.1</v>
      </c>
    </row>
    <row r="176" spans="1:9" s="2139" customFormat="1" hidden="1">
      <c r="A176" s="2140" t="s">
        <v>3322</v>
      </c>
      <c r="B176" s="2141">
        <v>3</v>
      </c>
      <c r="C176" s="2141" t="s">
        <v>3161</v>
      </c>
      <c r="D176" s="2141">
        <v>148</v>
      </c>
      <c r="E176" s="2142">
        <v>78.930000000000007</v>
      </c>
      <c r="F176" s="2142">
        <v>23430</v>
      </c>
      <c r="G176" s="2142">
        <v>1849329.9000000001</v>
      </c>
      <c r="H176" s="2143"/>
      <c r="I176" s="2142">
        <v>176980</v>
      </c>
    </row>
    <row r="177" spans="1:9" s="2139" customFormat="1" hidden="1">
      <c r="A177" s="2140" t="s">
        <v>3323</v>
      </c>
      <c r="B177" s="2141">
        <v>3</v>
      </c>
      <c r="C177" s="2141" t="s">
        <v>3168</v>
      </c>
      <c r="D177" s="2141">
        <v>3</v>
      </c>
      <c r="E177" s="2142">
        <v>66.900000000000006</v>
      </c>
      <c r="F177" s="2142">
        <v>16632</v>
      </c>
      <c r="G177" s="2142">
        <v>1112680.8</v>
      </c>
      <c r="H177" s="2143">
        <v>42536</v>
      </c>
      <c r="I177" s="2142">
        <v>1112681</v>
      </c>
    </row>
    <row r="178" spans="1:9" s="2139" customFormat="1" hidden="1">
      <c r="A178" s="2140" t="s">
        <v>3324</v>
      </c>
      <c r="B178" s="2141">
        <v>3</v>
      </c>
      <c r="C178" s="2141" t="s">
        <v>3168</v>
      </c>
      <c r="D178" s="2141">
        <v>27</v>
      </c>
      <c r="E178" s="2142">
        <v>48.42</v>
      </c>
      <c r="F178" s="2142">
        <v>15620</v>
      </c>
      <c r="G178" s="2142">
        <v>756320.4</v>
      </c>
      <c r="H178" s="2143"/>
      <c r="I178" s="2142">
        <v>151264</v>
      </c>
    </row>
    <row r="179" spans="1:9" s="2139" customFormat="1" hidden="1">
      <c r="A179" s="2140" t="s">
        <v>3325</v>
      </c>
      <c r="B179" s="2141">
        <v>3</v>
      </c>
      <c r="C179" s="2141" t="s">
        <v>3168</v>
      </c>
      <c r="D179" s="2141">
        <v>31</v>
      </c>
      <c r="E179" s="2142">
        <v>37.06</v>
      </c>
      <c r="F179" s="2142">
        <v>16742.2</v>
      </c>
      <c r="G179" s="2142">
        <v>620465.93200000003</v>
      </c>
      <c r="H179" s="2143">
        <v>42288</v>
      </c>
      <c r="I179" s="2142">
        <v>620466</v>
      </c>
    </row>
    <row r="180" spans="1:9" s="2139" customFormat="1" hidden="1">
      <c r="A180" s="2140" t="s">
        <v>3326</v>
      </c>
      <c r="B180" s="2141">
        <v>3</v>
      </c>
      <c r="C180" s="2141" t="s">
        <v>3168</v>
      </c>
      <c r="D180" s="2141">
        <v>32</v>
      </c>
      <c r="E180" s="2142">
        <v>48.42</v>
      </c>
      <c r="F180" s="2142">
        <v>12484</v>
      </c>
      <c r="G180" s="2142">
        <v>604475.28</v>
      </c>
      <c r="H180" s="2143">
        <v>42355</v>
      </c>
      <c r="I180" s="2142">
        <v>604475</v>
      </c>
    </row>
    <row r="181" spans="1:9" s="2139" customFormat="1" hidden="1">
      <c r="A181" s="2140" t="s">
        <v>3327</v>
      </c>
      <c r="B181" s="2141">
        <v>3</v>
      </c>
      <c r="C181" s="2141" t="s">
        <v>3168</v>
      </c>
      <c r="D181" s="2141">
        <v>33</v>
      </c>
      <c r="E181" s="2142">
        <v>48.42</v>
      </c>
      <c r="F181" s="2142">
        <v>12484</v>
      </c>
      <c r="G181" s="2142">
        <v>604475.28</v>
      </c>
      <c r="H181" s="2143">
        <v>42355</v>
      </c>
      <c r="I181" s="2142">
        <v>604475</v>
      </c>
    </row>
    <row r="182" spans="1:9" s="2139" customFormat="1" hidden="1">
      <c r="A182" s="2140" t="s">
        <v>3328</v>
      </c>
      <c r="B182" s="3560">
        <v>3</v>
      </c>
      <c r="C182" s="2141" t="s">
        <v>3168</v>
      </c>
      <c r="D182" s="3396">
        <v>35</v>
      </c>
      <c r="E182" s="2142">
        <v>62.89</v>
      </c>
      <c r="F182" s="2142">
        <v>13300</v>
      </c>
      <c r="G182" s="2142">
        <v>836437</v>
      </c>
      <c r="H182" s="3557">
        <v>42992</v>
      </c>
      <c r="I182" s="2142">
        <v>426437</v>
      </c>
    </row>
    <row r="183" spans="1:9" s="2139" customFormat="1" hidden="1">
      <c r="A183" s="2140" t="s">
        <v>3329</v>
      </c>
      <c r="B183" s="2141">
        <v>3</v>
      </c>
      <c r="C183" s="2141" t="s">
        <v>3168</v>
      </c>
      <c r="D183" s="2141">
        <v>36</v>
      </c>
      <c r="E183" s="2142">
        <v>42.84</v>
      </c>
      <c r="F183" s="2142">
        <v>14681.91</v>
      </c>
      <c r="G183" s="2142">
        <v>628973.02439999999</v>
      </c>
      <c r="H183" s="2143">
        <v>42499</v>
      </c>
      <c r="I183" s="2142">
        <v>628973</v>
      </c>
    </row>
    <row r="184" spans="1:9" s="2139" customFormat="1" hidden="1">
      <c r="A184" s="2140" t="s">
        <v>3330</v>
      </c>
      <c r="B184" s="2141">
        <v>3</v>
      </c>
      <c r="C184" s="2141" t="s">
        <v>3168</v>
      </c>
      <c r="D184" s="2141">
        <v>40</v>
      </c>
      <c r="E184" s="2142">
        <v>33.35</v>
      </c>
      <c r="F184" s="2142">
        <v>13300</v>
      </c>
      <c r="G184" s="2142">
        <v>443555</v>
      </c>
      <c r="H184" s="2143">
        <v>42692</v>
      </c>
      <c r="I184" s="2142">
        <v>443555</v>
      </c>
    </row>
    <row r="185" spans="1:9" s="2139" customFormat="1" hidden="1">
      <c r="A185" s="2140" t="s">
        <v>3331</v>
      </c>
      <c r="B185" s="2141">
        <v>3</v>
      </c>
      <c r="C185" s="2141" t="s">
        <v>3168</v>
      </c>
      <c r="D185" s="2141">
        <v>43</v>
      </c>
      <c r="E185" s="2142">
        <v>42.22</v>
      </c>
      <c r="F185" s="2142">
        <v>16632</v>
      </c>
      <c r="G185" s="2142">
        <v>702203.04</v>
      </c>
      <c r="H185" s="2143">
        <v>42203</v>
      </c>
      <c r="I185" s="2142">
        <v>702203</v>
      </c>
    </row>
    <row r="186" spans="1:9" s="2139" customFormat="1" hidden="1">
      <c r="A186" s="2140" t="s">
        <v>3332</v>
      </c>
      <c r="B186" s="2141">
        <v>3</v>
      </c>
      <c r="C186" s="2141" t="s">
        <v>3168</v>
      </c>
      <c r="D186" s="2141">
        <v>46</v>
      </c>
      <c r="E186" s="2142">
        <v>37.4</v>
      </c>
      <c r="F186" s="2142">
        <v>16632</v>
      </c>
      <c r="G186" s="2142">
        <v>622036.79999999993</v>
      </c>
      <c r="H186" s="2143">
        <v>42521</v>
      </c>
      <c r="I186" s="2142">
        <v>622037</v>
      </c>
    </row>
    <row r="187" spans="1:9" s="2139" customFormat="1" hidden="1">
      <c r="A187" s="2140" t="s">
        <v>3333</v>
      </c>
      <c r="B187" s="3560">
        <v>3</v>
      </c>
      <c r="C187" s="2141" t="s">
        <v>3168</v>
      </c>
      <c r="D187" s="3396">
        <v>52</v>
      </c>
      <c r="E187" s="2142">
        <v>50.27</v>
      </c>
      <c r="F187" s="2142">
        <v>18244</v>
      </c>
      <c r="G187" s="2142">
        <v>917125.88</v>
      </c>
      <c r="H187" s="3557">
        <v>42839</v>
      </c>
      <c r="I187" s="2142">
        <v>917126</v>
      </c>
    </row>
    <row r="188" spans="1:9" s="2139" customFormat="1" hidden="1">
      <c r="A188" s="2140" t="s">
        <v>3334</v>
      </c>
      <c r="B188" s="2141">
        <v>3</v>
      </c>
      <c r="C188" s="2141" t="s">
        <v>3168</v>
      </c>
      <c r="D188" s="2141">
        <v>57</v>
      </c>
      <c r="E188" s="2142">
        <v>67.81</v>
      </c>
      <c r="F188" s="2142">
        <v>17298</v>
      </c>
      <c r="G188" s="2142">
        <v>1172977.3800000001</v>
      </c>
      <c r="H188" s="2143">
        <v>42355</v>
      </c>
      <c r="I188" s="2142">
        <v>1172977</v>
      </c>
    </row>
    <row r="189" spans="1:9" s="2139" customFormat="1" hidden="1">
      <c r="A189" s="2140" t="s">
        <v>3335</v>
      </c>
      <c r="B189" s="2141">
        <v>3</v>
      </c>
      <c r="C189" s="2141" t="s">
        <v>3168</v>
      </c>
      <c r="D189" s="2141">
        <v>59</v>
      </c>
      <c r="E189" s="2142">
        <v>32.299999999999997</v>
      </c>
      <c r="F189" s="2142">
        <v>15136</v>
      </c>
      <c r="G189" s="2142">
        <v>488892.79999999993</v>
      </c>
      <c r="H189" s="2143">
        <v>42520</v>
      </c>
      <c r="I189" s="2142">
        <v>488893</v>
      </c>
    </row>
    <row r="190" spans="1:9" s="2139" customFormat="1" hidden="1">
      <c r="A190" s="2140" t="s">
        <v>3336</v>
      </c>
      <c r="B190" s="2141">
        <v>3</v>
      </c>
      <c r="C190" s="2141" t="s">
        <v>3168</v>
      </c>
      <c r="D190" s="2141">
        <v>61</v>
      </c>
      <c r="E190" s="2142">
        <v>72.05</v>
      </c>
      <c r="F190" s="2142">
        <v>19094</v>
      </c>
      <c r="G190" s="2142">
        <v>1375722.7</v>
      </c>
      <c r="H190" s="2143">
        <v>42723</v>
      </c>
      <c r="I190" s="2142">
        <v>285723</v>
      </c>
    </row>
    <row r="191" spans="1:9" s="2139" customFormat="1" hidden="1">
      <c r="A191" s="2140" t="s">
        <v>3337</v>
      </c>
      <c r="B191" s="2141">
        <v>3</v>
      </c>
      <c r="C191" s="2141" t="s">
        <v>3168</v>
      </c>
      <c r="D191" s="2141">
        <v>70</v>
      </c>
      <c r="E191" s="2142">
        <v>50.47</v>
      </c>
      <c r="F191" s="2142">
        <v>19094</v>
      </c>
      <c r="G191" s="2142">
        <v>963674.17999999993</v>
      </c>
      <c r="H191" s="2143">
        <v>42723</v>
      </c>
      <c r="I191" s="2142">
        <v>203674</v>
      </c>
    </row>
    <row r="192" spans="1:9" s="2139" customFormat="1" hidden="1">
      <c r="A192" s="2140" t="s">
        <v>3338</v>
      </c>
      <c r="B192" s="2141">
        <v>3</v>
      </c>
      <c r="C192" s="2141" t="s">
        <v>3168</v>
      </c>
      <c r="D192" s="2141">
        <v>97</v>
      </c>
      <c r="E192" s="2142">
        <v>20.29</v>
      </c>
      <c r="F192" s="2142">
        <v>17512</v>
      </c>
      <c r="G192" s="2142">
        <v>355318.48</v>
      </c>
      <c r="H192" s="2143">
        <v>42483</v>
      </c>
      <c r="I192" s="2142">
        <v>355318</v>
      </c>
    </row>
    <row r="193" spans="1:9" s="2139" customFormat="1" hidden="1">
      <c r="A193" s="2140" t="s">
        <v>3339</v>
      </c>
      <c r="B193" s="2141">
        <v>3</v>
      </c>
      <c r="C193" s="2141" t="s">
        <v>3168</v>
      </c>
      <c r="D193" s="2141">
        <v>98</v>
      </c>
      <c r="E193" s="2142">
        <v>55.74</v>
      </c>
      <c r="F193" s="2142">
        <v>12253.05</v>
      </c>
      <c r="G193" s="2142">
        <v>682985.00699999998</v>
      </c>
      <c r="H193" s="2143">
        <v>42556</v>
      </c>
      <c r="I193" s="2142">
        <v>682985</v>
      </c>
    </row>
    <row r="194" spans="1:9" s="2139" customFormat="1" hidden="1">
      <c r="A194" s="2140" t="s">
        <v>3340</v>
      </c>
      <c r="B194" s="2141">
        <v>3</v>
      </c>
      <c r="C194" s="2141" t="s">
        <v>3168</v>
      </c>
      <c r="D194" s="2141">
        <v>99</v>
      </c>
      <c r="E194" s="2142">
        <v>48.42</v>
      </c>
      <c r="F194" s="2142">
        <v>12362</v>
      </c>
      <c r="G194" s="2142">
        <v>598568.04</v>
      </c>
      <c r="H194" s="2143">
        <v>42571</v>
      </c>
      <c r="I194" s="2142">
        <v>598568</v>
      </c>
    </row>
    <row r="195" spans="1:9" s="2139" customFormat="1" hidden="1">
      <c r="A195" s="2140" t="s">
        <v>3341</v>
      </c>
      <c r="B195" s="2141">
        <v>3</v>
      </c>
      <c r="C195" s="2141" t="s">
        <v>3168</v>
      </c>
      <c r="D195" s="2141">
        <v>100</v>
      </c>
      <c r="E195" s="2142">
        <v>48.42</v>
      </c>
      <c r="F195" s="2142">
        <v>12362</v>
      </c>
      <c r="G195" s="2142">
        <v>598568.04</v>
      </c>
      <c r="H195" s="2143">
        <v>42699</v>
      </c>
      <c r="I195" s="2142">
        <v>598568</v>
      </c>
    </row>
    <row r="196" spans="1:9" s="2139" customFormat="1" hidden="1">
      <c r="A196" s="2140" t="s">
        <v>3342</v>
      </c>
      <c r="B196" s="2141">
        <v>3</v>
      </c>
      <c r="C196" s="2141" t="s">
        <v>3168</v>
      </c>
      <c r="D196" s="2141">
        <v>101</v>
      </c>
      <c r="E196" s="2142">
        <v>48.42</v>
      </c>
      <c r="F196" s="2142">
        <v>12362</v>
      </c>
      <c r="G196" s="2142">
        <v>598568.04</v>
      </c>
      <c r="H196" s="2143">
        <v>42732</v>
      </c>
      <c r="I196" s="2142">
        <v>308568</v>
      </c>
    </row>
    <row r="197" spans="1:9" s="2139" customFormat="1" hidden="1">
      <c r="A197" s="2140" t="s">
        <v>3343</v>
      </c>
      <c r="B197" s="2141">
        <v>3</v>
      </c>
      <c r="C197" s="2141" t="s">
        <v>3168</v>
      </c>
      <c r="D197" s="2141">
        <v>102</v>
      </c>
      <c r="E197" s="2142">
        <v>48.42</v>
      </c>
      <c r="F197" s="2142">
        <v>15620</v>
      </c>
      <c r="G197" s="2142">
        <v>756320.4</v>
      </c>
      <c r="H197" s="2143">
        <v>42192</v>
      </c>
      <c r="I197" s="2142">
        <v>756320</v>
      </c>
    </row>
    <row r="198" spans="1:9" s="2139" customFormat="1" hidden="1">
      <c r="A198" s="2140" t="s">
        <v>3344</v>
      </c>
      <c r="B198" s="2141">
        <v>3</v>
      </c>
      <c r="C198" s="2141" t="s">
        <v>3168</v>
      </c>
      <c r="D198" s="2141">
        <v>119</v>
      </c>
      <c r="E198" s="2142">
        <v>37.4</v>
      </c>
      <c r="F198" s="2142">
        <v>15808</v>
      </c>
      <c r="G198" s="2142">
        <v>591219.19999999995</v>
      </c>
      <c r="H198" s="2143">
        <v>42654</v>
      </c>
      <c r="I198" s="2142">
        <v>591219</v>
      </c>
    </row>
    <row r="199" spans="1:9" s="2139" customFormat="1" hidden="1">
      <c r="A199" s="2140" t="s">
        <v>3345</v>
      </c>
      <c r="B199" s="2141">
        <v>3</v>
      </c>
      <c r="C199" s="2141" t="s">
        <v>3168</v>
      </c>
      <c r="D199" s="2141">
        <v>122</v>
      </c>
      <c r="E199" s="2142">
        <v>79.08</v>
      </c>
      <c r="F199" s="2142">
        <v>18639.52</v>
      </c>
      <c r="G199" s="2142">
        <v>1474013.2416000001</v>
      </c>
      <c r="H199" s="2143">
        <v>42545</v>
      </c>
      <c r="I199" s="2142">
        <v>1474013</v>
      </c>
    </row>
    <row r="200" spans="1:9" s="2139" customFormat="1" hidden="1">
      <c r="A200" s="2140" t="s">
        <v>3346</v>
      </c>
      <c r="B200" s="2141">
        <v>3</v>
      </c>
      <c r="C200" s="2141" t="s">
        <v>3180</v>
      </c>
      <c r="D200" s="2141">
        <v>2</v>
      </c>
      <c r="E200" s="2142">
        <v>66.08</v>
      </c>
      <c r="F200" s="2142">
        <v>8371.66</v>
      </c>
      <c r="G200" s="2142">
        <v>553199.29279999994</v>
      </c>
      <c r="H200" s="2143">
        <v>42458</v>
      </c>
      <c r="I200" s="2142">
        <v>403199</v>
      </c>
    </row>
    <row r="201" spans="1:9" s="2139" customFormat="1" hidden="1">
      <c r="A201" s="2140" t="s">
        <v>3347</v>
      </c>
      <c r="B201" s="2141">
        <v>3</v>
      </c>
      <c r="C201" s="2141" t="s">
        <v>3180</v>
      </c>
      <c r="D201" s="2141">
        <v>3</v>
      </c>
      <c r="E201" s="2142">
        <v>66.91</v>
      </c>
      <c r="F201" s="2142">
        <v>8377.0400000000009</v>
      </c>
      <c r="G201" s="2142">
        <v>560507.74640000006</v>
      </c>
      <c r="H201" s="2143">
        <v>42458</v>
      </c>
      <c r="I201" s="2142">
        <v>390508</v>
      </c>
    </row>
    <row r="202" spans="1:9" s="2139" customFormat="1" hidden="1">
      <c r="A202" s="2140" t="s">
        <v>3348</v>
      </c>
      <c r="B202" s="2141">
        <v>3</v>
      </c>
      <c r="C202" s="2141" t="s">
        <v>3180</v>
      </c>
      <c r="D202" s="2141">
        <v>6</v>
      </c>
      <c r="E202" s="2142">
        <v>70.180000000000007</v>
      </c>
      <c r="F202" s="2142">
        <v>8557</v>
      </c>
      <c r="G202" s="2142">
        <v>600530.26</v>
      </c>
      <c r="H202" s="2143">
        <v>42356</v>
      </c>
      <c r="I202" s="2142">
        <v>600530</v>
      </c>
    </row>
    <row r="203" spans="1:9" s="2139" customFormat="1" hidden="1">
      <c r="A203" s="2140" t="s">
        <v>3349</v>
      </c>
      <c r="B203" s="2141">
        <v>3</v>
      </c>
      <c r="C203" s="2141" t="s">
        <v>3180</v>
      </c>
      <c r="D203" s="2141">
        <v>7</v>
      </c>
      <c r="E203" s="2142">
        <v>71.81</v>
      </c>
      <c r="F203" s="2142">
        <v>8557</v>
      </c>
      <c r="G203" s="2142">
        <v>614478.17000000004</v>
      </c>
      <c r="H203" s="2143">
        <v>42357</v>
      </c>
      <c r="I203" s="2142">
        <v>614478</v>
      </c>
    </row>
    <row r="204" spans="1:9" s="2139" customFormat="1" hidden="1">
      <c r="A204" s="2140" t="s">
        <v>3350</v>
      </c>
      <c r="B204" s="2141">
        <v>3</v>
      </c>
      <c r="C204" s="2141" t="s">
        <v>3180</v>
      </c>
      <c r="D204" s="2141">
        <v>8</v>
      </c>
      <c r="E204" s="2142">
        <v>73.45</v>
      </c>
      <c r="F204" s="2142">
        <v>8557</v>
      </c>
      <c r="G204" s="2142">
        <v>628511.65</v>
      </c>
      <c r="H204" s="2143">
        <v>42356</v>
      </c>
      <c r="I204" s="2142">
        <v>628512</v>
      </c>
    </row>
    <row r="205" spans="1:9" s="2139" customFormat="1" hidden="1">
      <c r="A205" s="2140" t="s">
        <v>3351</v>
      </c>
      <c r="B205" s="3560">
        <v>3</v>
      </c>
      <c r="C205" s="2141" t="s">
        <v>3180</v>
      </c>
      <c r="D205" s="3396">
        <v>10</v>
      </c>
      <c r="E205" s="2142">
        <v>58.3</v>
      </c>
      <c r="F205" s="2142">
        <v>8556.9982999999993</v>
      </c>
      <c r="G205" s="2142">
        <v>498873.00088999991</v>
      </c>
      <c r="H205" s="3557">
        <v>42756</v>
      </c>
      <c r="I205" s="2142">
        <v>498873</v>
      </c>
    </row>
    <row r="206" spans="1:9" s="2139" customFormat="1" hidden="1">
      <c r="A206" s="2140" t="s">
        <v>3352</v>
      </c>
      <c r="B206" s="3560">
        <v>3</v>
      </c>
      <c r="C206" s="2141" t="s">
        <v>3180</v>
      </c>
      <c r="D206" s="3396">
        <v>11</v>
      </c>
      <c r="E206" s="2142">
        <v>61.49</v>
      </c>
      <c r="F206" s="2142">
        <v>8557.0010999999995</v>
      </c>
      <c r="G206" s="2142">
        <v>526169.99763899995</v>
      </c>
      <c r="H206" s="3557">
        <v>42756</v>
      </c>
      <c r="I206" s="2142">
        <v>296170</v>
      </c>
    </row>
    <row r="207" spans="1:9" s="2139" customFormat="1" hidden="1">
      <c r="A207" s="2140" t="s">
        <v>3353</v>
      </c>
      <c r="B207" s="3560">
        <v>3</v>
      </c>
      <c r="C207" s="2141" t="s">
        <v>3180</v>
      </c>
      <c r="D207" s="3396">
        <v>12</v>
      </c>
      <c r="E207" s="2142">
        <v>97.43</v>
      </c>
      <c r="F207" s="2142">
        <v>10266.48</v>
      </c>
      <c r="G207" s="2142">
        <v>1000263.1464000001</v>
      </c>
      <c r="H207" s="3557">
        <v>42849</v>
      </c>
      <c r="I207" s="2142">
        <v>1000263</v>
      </c>
    </row>
    <row r="208" spans="1:9" s="2139" customFormat="1" hidden="1">
      <c r="A208" s="2140" t="s">
        <v>3354</v>
      </c>
      <c r="B208" s="2141">
        <v>3</v>
      </c>
      <c r="C208" s="2141" t="s">
        <v>3180</v>
      </c>
      <c r="D208" s="2141">
        <v>27</v>
      </c>
      <c r="E208" s="2142">
        <v>48.43</v>
      </c>
      <c r="F208" s="2142">
        <v>8812.4500000000007</v>
      </c>
      <c r="G208" s="2142">
        <v>426786.95350000006</v>
      </c>
      <c r="H208" s="2143">
        <v>42521</v>
      </c>
      <c r="I208" s="2142">
        <v>426787</v>
      </c>
    </row>
    <row r="209" spans="1:9" s="2139" customFormat="1" hidden="1">
      <c r="A209" s="2140" t="s">
        <v>3355</v>
      </c>
      <c r="B209" s="2141">
        <v>3</v>
      </c>
      <c r="C209" s="2141" t="s">
        <v>3180</v>
      </c>
      <c r="D209" s="2141">
        <v>28</v>
      </c>
      <c r="E209" s="2142">
        <v>64</v>
      </c>
      <c r="F209" s="2142">
        <v>10633.14</v>
      </c>
      <c r="G209" s="2142">
        <v>680520.96</v>
      </c>
      <c r="H209" s="2143">
        <v>42521</v>
      </c>
      <c r="I209" s="2142">
        <v>680521</v>
      </c>
    </row>
    <row r="210" spans="1:9" s="2139" customFormat="1" hidden="1">
      <c r="A210" s="2140" t="s">
        <v>3356</v>
      </c>
      <c r="B210" s="2141">
        <v>3</v>
      </c>
      <c r="C210" s="2141" t="s">
        <v>3180</v>
      </c>
      <c r="D210" s="2141">
        <v>29</v>
      </c>
      <c r="E210" s="2142">
        <v>52.46</v>
      </c>
      <c r="F210" s="2142">
        <v>10633.15</v>
      </c>
      <c r="G210" s="2142">
        <v>557815.049</v>
      </c>
      <c r="H210" s="2143">
        <v>42521</v>
      </c>
      <c r="I210" s="2142">
        <v>557815</v>
      </c>
    </row>
    <row r="211" spans="1:9" s="2139" customFormat="1" hidden="1">
      <c r="A211" s="2140" t="s">
        <v>3357</v>
      </c>
      <c r="B211" s="2141">
        <v>3</v>
      </c>
      <c r="C211" s="2141" t="s">
        <v>3180</v>
      </c>
      <c r="D211" s="2141">
        <v>30</v>
      </c>
      <c r="E211" s="2142">
        <v>48.43</v>
      </c>
      <c r="F211" s="2142">
        <v>8300.31</v>
      </c>
      <c r="G211" s="2142">
        <v>401984.01329999999</v>
      </c>
      <c r="H211" s="2143">
        <v>42521</v>
      </c>
      <c r="I211" s="2142">
        <v>401984</v>
      </c>
    </row>
    <row r="212" spans="1:9" s="2139" customFormat="1" hidden="1">
      <c r="A212" s="2140" t="s">
        <v>3358</v>
      </c>
      <c r="B212" s="2141">
        <v>3</v>
      </c>
      <c r="C212" s="2141" t="s">
        <v>3180</v>
      </c>
      <c r="D212" s="2141">
        <v>31</v>
      </c>
      <c r="E212" s="2142">
        <v>37.07</v>
      </c>
      <c r="F212" s="2142">
        <v>8557</v>
      </c>
      <c r="G212" s="2142">
        <v>317207.99</v>
      </c>
      <c r="H212" s="2143">
        <v>42522</v>
      </c>
      <c r="I212" s="2142">
        <v>317208</v>
      </c>
    </row>
    <row r="213" spans="1:9" s="2139" customFormat="1" hidden="1">
      <c r="A213" s="2140" t="s">
        <v>3359</v>
      </c>
      <c r="B213" s="2141">
        <v>3</v>
      </c>
      <c r="C213" s="2141" t="s">
        <v>3180</v>
      </c>
      <c r="D213" s="2141">
        <v>32</v>
      </c>
      <c r="E213" s="2142">
        <v>48.43</v>
      </c>
      <c r="F213" s="2142">
        <v>9577</v>
      </c>
      <c r="G213" s="2142">
        <v>463814.11</v>
      </c>
      <c r="H213" s="2143">
        <v>42579</v>
      </c>
      <c r="I213" s="2142">
        <v>463814</v>
      </c>
    </row>
    <row r="214" spans="1:9" s="2139" customFormat="1" hidden="1">
      <c r="A214" s="2140" t="s">
        <v>3360</v>
      </c>
      <c r="B214" s="2141">
        <v>3</v>
      </c>
      <c r="C214" s="2141" t="s">
        <v>3180</v>
      </c>
      <c r="D214" s="2141">
        <v>35</v>
      </c>
      <c r="E214" s="2142">
        <v>62.71</v>
      </c>
      <c r="F214" s="2142">
        <v>8557</v>
      </c>
      <c r="G214" s="2142">
        <v>536609.47</v>
      </c>
      <c r="H214" s="2143">
        <v>42307</v>
      </c>
      <c r="I214" s="2142">
        <v>536609</v>
      </c>
    </row>
    <row r="215" spans="1:9" s="2139" customFormat="1" hidden="1">
      <c r="A215" s="2140" t="s">
        <v>3361</v>
      </c>
      <c r="B215" s="2141">
        <v>3</v>
      </c>
      <c r="C215" s="2141" t="s">
        <v>3180</v>
      </c>
      <c r="D215" s="2141">
        <v>40</v>
      </c>
      <c r="E215" s="2142">
        <v>33.36</v>
      </c>
      <c r="F215" s="2142">
        <v>8557</v>
      </c>
      <c r="G215" s="2142">
        <v>285461.52</v>
      </c>
      <c r="H215" s="2143">
        <v>42538</v>
      </c>
      <c r="I215" s="2142">
        <v>285462</v>
      </c>
    </row>
    <row r="216" spans="1:9" s="2139" customFormat="1" hidden="1">
      <c r="A216" s="2140" t="s">
        <v>3362</v>
      </c>
      <c r="B216" s="2141">
        <v>3</v>
      </c>
      <c r="C216" s="2141" t="s">
        <v>3180</v>
      </c>
      <c r="D216" s="2141">
        <v>42</v>
      </c>
      <c r="E216" s="2142">
        <v>31.67</v>
      </c>
      <c r="F216" s="2142">
        <v>8557</v>
      </c>
      <c r="G216" s="2142">
        <v>271000.19</v>
      </c>
      <c r="H216" s="2143">
        <v>42304</v>
      </c>
      <c r="I216" s="2142">
        <v>271000</v>
      </c>
    </row>
    <row r="217" spans="1:9" s="2139" customFormat="1" hidden="1">
      <c r="A217" s="2140" t="s">
        <v>3363</v>
      </c>
      <c r="B217" s="2141">
        <v>3</v>
      </c>
      <c r="C217" s="2141" t="s">
        <v>3180</v>
      </c>
      <c r="D217" s="2141">
        <v>43</v>
      </c>
      <c r="E217" s="2142">
        <v>42.23</v>
      </c>
      <c r="F217" s="2142">
        <v>8300.2800000000007</v>
      </c>
      <c r="G217" s="2142">
        <v>350520.82439999998</v>
      </c>
      <c r="H217" s="2143">
        <v>42535</v>
      </c>
      <c r="I217" s="2142">
        <v>350521</v>
      </c>
    </row>
    <row r="218" spans="1:9" s="2139" customFormat="1" hidden="1">
      <c r="A218" s="2140" t="s">
        <v>3364</v>
      </c>
      <c r="B218" s="2141">
        <v>3</v>
      </c>
      <c r="C218" s="2141" t="s">
        <v>3180</v>
      </c>
      <c r="D218" s="2141">
        <v>46</v>
      </c>
      <c r="E218" s="2142">
        <v>37.409999999999997</v>
      </c>
      <c r="F218" s="2142">
        <v>8300.27</v>
      </c>
      <c r="G218" s="2142">
        <v>310513.10070000001</v>
      </c>
      <c r="H218" s="2143">
        <v>42521</v>
      </c>
      <c r="I218" s="2142">
        <v>310513</v>
      </c>
    </row>
    <row r="219" spans="1:9" s="2139" customFormat="1" hidden="1">
      <c r="A219" s="2140" t="s">
        <v>3365</v>
      </c>
      <c r="B219" s="3560">
        <v>3</v>
      </c>
      <c r="C219" s="2141" t="s">
        <v>3180</v>
      </c>
      <c r="D219" s="3396">
        <v>47</v>
      </c>
      <c r="E219" s="2142">
        <v>69.7</v>
      </c>
      <c r="F219" s="2142">
        <v>15375.997131</v>
      </c>
      <c r="G219" s="2142">
        <v>1071707.0000307001</v>
      </c>
      <c r="H219" s="3557">
        <v>42749</v>
      </c>
      <c r="I219" s="2142">
        <v>541707</v>
      </c>
    </row>
    <row r="220" spans="1:9" s="2139" customFormat="1" hidden="1">
      <c r="A220" s="2140" t="s">
        <v>3366</v>
      </c>
      <c r="B220" s="3560">
        <v>3</v>
      </c>
      <c r="C220" s="2141" t="s">
        <v>3180</v>
      </c>
      <c r="D220" s="3396">
        <v>49</v>
      </c>
      <c r="E220" s="2142">
        <v>39.340000000000003</v>
      </c>
      <c r="F220" s="2142">
        <v>15345</v>
      </c>
      <c r="G220" s="2142">
        <v>603672.30000000005</v>
      </c>
      <c r="H220" s="3557">
        <v>42850</v>
      </c>
      <c r="I220" s="2142">
        <v>50000</v>
      </c>
    </row>
    <row r="221" spans="1:9" s="2139" customFormat="1" hidden="1">
      <c r="A221" s="2140" t="s">
        <v>3367</v>
      </c>
      <c r="B221" s="3560">
        <v>3</v>
      </c>
      <c r="C221" s="2141" t="s">
        <v>3180</v>
      </c>
      <c r="D221" s="3396">
        <v>67</v>
      </c>
      <c r="E221" s="2142">
        <v>50.48</v>
      </c>
      <c r="F221" s="2142">
        <v>18150</v>
      </c>
      <c r="G221" s="2142">
        <v>916212</v>
      </c>
      <c r="H221" s="3557">
        <v>42850</v>
      </c>
      <c r="I221" s="2142">
        <v>486212</v>
      </c>
    </row>
    <row r="222" spans="1:9" s="2139" customFormat="1" hidden="1">
      <c r="A222" s="2140" t="s">
        <v>3368</v>
      </c>
      <c r="B222" s="3560">
        <v>3</v>
      </c>
      <c r="C222" s="2141" t="s">
        <v>3180</v>
      </c>
      <c r="D222" s="3396">
        <v>97</v>
      </c>
      <c r="E222" s="2142">
        <v>20.3</v>
      </c>
      <c r="F222" s="2142">
        <v>10903.004929999999</v>
      </c>
      <c r="G222" s="2142">
        <v>221331.00007899999</v>
      </c>
      <c r="H222" s="3557">
        <v>42872</v>
      </c>
      <c r="I222" s="2142">
        <v>111331</v>
      </c>
    </row>
    <row r="223" spans="1:9" s="2139" customFormat="1" hidden="1">
      <c r="A223" s="2140" t="s">
        <v>3369</v>
      </c>
      <c r="B223" s="2141">
        <v>3</v>
      </c>
      <c r="C223" s="2141" t="s">
        <v>3180</v>
      </c>
      <c r="D223" s="2141">
        <v>98</v>
      </c>
      <c r="E223" s="2142">
        <v>55.32</v>
      </c>
      <c r="F223" s="2142">
        <v>9979</v>
      </c>
      <c r="G223" s="2142">
        <v>552038.28</v>
      </c>
      <c r="H223" s="2143">
        <v>42354</v>
      </c>
      <c r="I223" s="2142">
        <v>552038</v>
      </c>
    </row>
    <row r="224" spans="1:9" s="2139" customFormat="1" hidden="1">
      <c r="A224" s="2140" t="s">
        <v>3370</v>
      </c>
      <c r="B224" s="2141">
        <v>3</v>
      </c>
      <c r="C224" s="2141" t="s">
        <v>3180</v>
      </c>
      <c r="D224" s="2141">
        <v>99</v>
      </c>
      <c r="E224" s="2142">
        <v>48.43</v>
      </c>
      <c r="F224" s="2142">
        <v>9679.64</v>
      </c>
      <c r="G224" s="2142">
        <v>468784.96519999998</v>
      </c>
      <c r="H224" s="2143">
        <v>42354</v>
      </c>
      <c r="I224" s="2142">
        <v>468785</v>
      </c>
    </row>
    <row r="225" spans="1:9" s="2139" customFormat="1" hidden="1">
      <c r="A225" s="2140" t="s">
        <v>3371</v>
      </c>
      <c r="B225" s="2141">
        <v>3</v>
      </c>
      <c r="C225" s="2141" t="s">
        <v>3180</v>
      </c>
      <c r="D225" s="2141">
        <v>100</v>
      </c>
      <c r="E225" s="2142">
        <v>48.43</v>
      </c>
      <c r="F225" s="2142">
        <v>9979</v>
      </c>
      <c r="G225" s="2142">
        <v>483282.97</v>
      </c>
      <c r="H225" s="2143">
        <v>42359</v>
      </c>
      <c r="I225" s="2142">
        <v>483283</v>
      </c>
    </row>
    <row r="226" spans="1:9" s="2139" customFormat="1" hidden="1">
      <c r="A226" s="2140" t="s">
        <v>3372</v>
      </c>
      <c r="B226" s="2141">
        <v>3</v>
      </c>
      <c r="C226" s="2141" t="s">
        <v>3180</v>
      </c>
      <c r="D226" s="2141">
        <v>102</v>
      </c>
      <c r="E226" s="2142">
        <v>48.43</v>
      </c>
      <c r="F226" s="2142">
        <v>8557</v>
      </c>
      <c r="G226" s="2142">
        <v>414415.51</v>
      </c>
      <c r="H226" s="2143">
        <v>42699</v>
      </c>
      <c r="I226" s="2142">
        <v>414416</v>
      </c>
    </row>
    <row r="227" spans="1:9" s="2139" customFormat="1" hidden="1">
      <c r="A227" s="2140" t="s">
        <v>3373</v>
      </c>
      <c r="B227" s="2141">
        <v>3</v>
      </c>
      <c r="C227" s="2141" t="s">
        <v>3180</v>
      </c>
      <c r="D227" s="2141">
        <v>103</v>
      </c>
      <c r="E227" s="2142">
        <v>48.43</v>
      </c>
      <c r="F227" s="2142">
        <v>8557</v>
      </c>
      <c r="G227" s="2142">
        <v>414415.51</v>
      </c>
      <c r="H227" s="2143">
        <v>42339</v>
      </c>
      <c r="I227" s="2142">
        <v>414416</v>
      </c>
    </row>
    <row r="228" spans="1:9" s="2139" customFormat="1" hidden="1">
      <c r="A228" s="2140" t="s">
        <v>3374</v>
      </c>
      <c r="B228" s="2141">
        <v>3</v>
      </c>
      <c r="C228" s="2141" t="s">
        <v>3180</v>
      </c>
      <c r="D228" s="2141">
        <v>105</v>
      </c>
      <c r="E228" s="2142">
        <v>51.89</v>
      </c>
      <c r="F228" s="2142">
        <v>12356.83</v>
      </c>
      <c r="G228" s="2142">
        <v>641195.90870000003</v>
      </c>
      <c r="H228" s="2143">
        <v>42517</v>
      </c>
      <c r="I228" s="2142">
        <v>641196</v>
      </c>
    </row>
    <row r="229" spans="1:9" s="2139" customFormat="1" hidden="1">
      <c r="A229" s="2140" t="s">
        <v>3375</v>
      </c>
      <c r="B229" s="2141">
        <v>3</v>
      </c>
      <c r="C229" s="2141" t="s">
        <v>3180</v>
      </c>
      <c r="D229" s="2141">
        <v>106</v>
      </c>
      <c r="E229" s="2142">
        <v>74.180000000000007</v>
      </c>
      <c r="F229" s="2142">
        <v>12800</v>
      </c>
      <c r="G229" s="2142">
        <v>949504.00000000012</v>
      </c>
      <c r="H229" s="2143">
        <v>42642</v>
      </c>
      <c r="I229" s="2142">
        <v>263712</v>
      </c>
    </row>
    <row r="230" spans="1:9" s="2139" customFormat="1" hidden="1">
      <c r="A230" s="2140" t="s">
        <v>3376</v>
      </c>
      <c r="B230" s="2141">
        <v>3</v>
      </c>
      <c r="C230" s="2141" t="s">
        <v>3180</v>
      </c>
      <c r="D230" s="2141">
        <v>107</v>
      </c>
      <c r="E230" s="2142">
        <v>74.180000000000007</v>
      </c>
      <c r="F230" s="2142">
        <v>12800</v>
      </c>
      <c r="G230" s="2142">
        <v>949504.00000000012</v>
      </c>
      <c r="H230" s="2143">
        <v>42614</v>
      </c>
      <c r="I230" s="2142">
        <v>215496</v>
      </c>
    </row>
    <row r="231" spans="1:9" s="2139" customFormat="1" hidden="1">
      <c r="A231" s="2140" t="s">
        <v>3377</v>
      </c>
      <c r="B231" s="2141">
        <v>3</v>
      </c>
      <c r="C231" s="2141" t="s">
        <v>3180</v>
      </c>
      <c r="D231" s="2141">
        <v>113</v>
      </c>
      <c r="E231" s="2142">
        <v>56.96</v>
      </c>
      <c r="F231" s="2142">
        <v>15792</v>
      </c>
      <c r="G231" s="2142">
        <v>899512.32000000007</v>
      </c>
      <c r="H231" s="2143">
        <v>42614</v>
      </c>
      <c r="I231" s="2142">
        <v>182991</v>
      </c>
    </row>
    <row r="232" spans="1:9" s="2139" customFormat="1" hidden="1">
      <c r="A232" s="2140" t="s">
        <v>3378</v>
      </c>
      <c r="B232" s="2141">
        <v>3</v>
      </c>
      <c r="C232" s="2141" t="s">
        <v>3180</v>
      </c>
      <c r="D232" s="2141">
        <v>115</v>
      </c>
      <c r="E232" s="2142">
        <v>31.47</v>
      </c>
      <c r="F232" s="2142">
        <v>13647</v>
      </c>
      <c r="G232" s="2142">
        <v>429471.08999999997</v>
      </c>
      <c r="H232" s="2143">
        <v>42614</v>
      </c>
      <c r="I232" s="2142">
        <v>50000</v>
      </c>
    </row>
    <row r="233" spans="1:9" s="2139" customFormat="1" hidden="1">
      <c r="A233" s="2140" t="s">
        <v>3379</v>
      </c>
      <c r="B233" s="2141">
        <v>3</v>
      </c>
      <c r="C233" s="2141" t="s">
        <v>3180</v>
      </c>
      <c r="D233" s="2141">
        <v>121</v>
      </c>
      <c r="E233" s="2142">
        <v>84.73</v>
      </c>
      <c r="F233" s="2142">
        <v>18150.005901</v>
      </c>
      <c r="G233" s="2142">
        <v>1537849.9999917301</v>
      </c>
      <c r="H233" s="2143">
        <v>42234</v>
      </c>
      <c r="I233" s="2142">
        <v>307570</v>
      </c>
    </row>
    <row r="234" spans="1:9" s="2139" customFormat="1" hidden="1">
      <c r="A234" s="2140" t="s">
        <v>3380</v>
      </c>
      <c r="B234" s="2141">
        <v>3</v>
      </c>
      <c r="C234" s="2141" t="s">
        <v>3180</v>
      </c>
      <c r="D234" s="2141">
        <v>122</v>
      </c>
      <c r="E234" s="2142">
        <v>79.099999999999994</v>
      </c>
      <c r="F234" s="2142">
        <v>18700</v>
      </c>
      <c r="G234" s="2142">
        <v>1479170</v>
      </c>
      <c r="H234" s="2143">
        <v>42234</v>
      </c>
      <c r="I234" s="2142">
        <v>295834</v>
      </c>
    </row>
    <row r="235" spans="1:9" s="2139" customFormat="1" hidden="1">
      <c r="A235" s="2140" t="s">
        <v>3381</v>
      </c>
      <c r="B235" s="2141">
        <v>3</v>
      </c>
      <c r="C235" s="2141" t="s">
        <v>3180</v>
      </c>
      <c r="D235" s="2141">
        <v>133</v>
      </c>
      <c r="E235" s="2142">
        <v>71.23</v>
      </c>
      <c r="F235" s="2142">
        <v>9085</v>
      </c>
      <c r="G235" s="2142">
        <v>647124.55000000005</v>
      </c>
      <c r="H235" s="2143">
        <v>42368</v>
      </c>
      <c r="I235" s="2142">
        <v>647125</v>
      </c>
    </row>
    <row r="236" spans="1:9" s="2139" customFormat="1" hidden="1">
      <c r="A236" s="2140" t="s">
        <v>3382</v>
      </c>
      <c r="B236" s="2141">
        <v>3</v>
      </c>
      <c r="C236" s="2141" t="s">
        <v>3142</v>
      </c>
      <c r="D236" s="2141">
        <v>7</v>
      </c>
      <c r="E236" s="2142">
        <v>46.82</v>
      </c>
      <c r="F236" s="2142">
        <v>18593</v>
      </c>
      <c r="G236" s="2142">
        <v>870524.26</v>
      </c>
      <c r="H236" s="2143"/>
      <c r="I236" s="2142">
        <v>50000</v>
      </c>
    </row>
    <row r="237" spans="1:9" s="2139" customFormat="1" hidden="1">
      <c r="A237" s="2140" t="s">
        <v>3383</v>
      </c>
      <c r="B237" s="3560">
        <v>3</v>
      </c>
      <c r="C237" s="2141" t="s">
        <v>3142</v>
      </c>
      <c r="D237" s="3396">
        <v>10</v>
      </c>
      <c r="E237" s="2142">
        <v>53.72</v>
      </c>
      <c r="F237" s="2142">
        <v>15300.65</v>
      </c>
      <c r="G237" s="2142">
        <v>821951</v>
      </c>
      <c r="H237" s="3557">
        <v>42998</v>
      </c>
      <c r="I237" s="2142">
        <v>821951</v>
      </c>
    </row>
    <row r="238" spans="1:9" s="2139" customFormat="1" hidden="1">
      <c r="A238" s="2140" t="s">
        <v>3384</v>
      </c>
      <c r="B238" s="3560">
        <v>3</v>
      </c>
      <c r="C238" s="2141" t="s">
        <v>3142</v>
      </c>
      <c r="D238" s="3396">
        <v>13</v>
      </c>
      <c r="E238" s="2142">
        <v>88.74</v>
      </c>
      <c r="F238" s="2142">
        <v>15529.06</v>
      </c>
      <c r="G238" s="2142">
        <v>1378049</v>
      </c>
      <c r="H238" s="3557">
        <v>42998</v>
      </c>
      <c r="I238" s="2142">
        <v>1378049</v>
      </c>
    </row>
    <row r="239" spans="1:9" s="2139" customFormat="1" hidden="1">
      <c r="A239" s="2140" t="s">
        <v>3385</v>
      </c>
      <c r="B239" s="2141">
        <v>3</v>
      </c>
      <c r="C239" s="2141" t="s">
        <v>3142</v>
      </c>
      <c r="D239" s="2141">
        <v>17</v>
      </c>
      <c r="E239" s="2142">
        <v>81.69</v>
      </c>
      <c r="F239" s="2142">
        <v>18983</v>
      </c>
      <c r="G239" s="2142">
        <v>1550721.27</v>
      </c>
      <c r="H239" s="2143"/>
      <c r="I239" s="2142">
        <v>145106</v>
      </c>
    </row>
    <row r="240" spans="1:9" s="2139" customFormat="1" hidden="1">
      <c r="A240" s="2140" t="s">
        <v>3386</v>
      </c>
      <c r="B240" s="2141">
        <v>3</v>
      </c>
      <c r="C240" s="2141" t="s">
        <v>3142</v>
      </c>
      <c r="D240" s="2141">
        <v>31</v>
      </c>
      <c r="E240" s="2142">
        <v>94.36</v>
      </c>
      <c r="F240" s="2142">
        <v>18983</v>
      </c>
      <c r="G240" s="2142">
        <v>1791235.88</v>
      </c>
      <c r="H240" s="2143"/>
      <c r="I240" s="2142">
        <v>100000</v>
      </c>
    </row>
    <row r="241" spans="1:9" s="2139" customFormat="1" hidden="1">
      <c r="A241" s="2140" t="s">
        <v>3387</v>
      </c>
      <c r="B241" s="2141">
        <v>3</v>
      </c>
      <c r="C241" s="2141" t="s">
        <v>3142</v>
      </c>
      <c r="D241" s="2141">
        <v>33</v>
      </c>
      <c r="E241" s="2142">
        <v>63.42</v>
      </c>
      <c r="F241" s="2142">
        <v>18983</v>
      </c>
      <c r="G241" s="2142">
        <v>1203901.8600000001</v>
      </c>
      <c r="H241" s="2143"/>
      <c r="I241" s="2142">
        <v>50000</v>
      </c>
    </row>
    <row r="242" spans="1:9" s="2139" customFormat="1" hidden="1">
      <c r="A242" s="2140" t="s">
        <v>3388</v>
      </c>
      <c r="B242" s="2141">
        <v>3</v>
      </c>
      <c r="C242" s="2141" t="s">
        <v>3142</v>
      </c>
      <c r="D242" s="2141">
        <v>35</v>
      </c>
      <c r="E242" s="2142">
        <v>46.28</v>
      </c>
      <c r="F242" s="2142">
        <v>18593</v>
      </c>
      <c r="G242" s="2142">
        <v>860484.04</v>
      </c>
      <c r="H242" s="2143"/>
      <c r="I242" s="2142">
        <v>50000</v>
      </c>
    </row>
    <row r="243" spans="1:9" s="2139" customFormat="1" hidden="1">
      <c r="A243" s="2140" t="s">
        <v>3389</v>
      </c>
      <c r="B243" s="2141">
        <v>3</v>
      </c>
      <c r="C243" s="2141" t="s">
        <v>3142</v>
      </c>
      <c r="D243" s="2141">
        <v>36</v>
      </c>
      <c r="E243" s="2142">
        <v>50.22</v>
      </c>
      <c r="F243" s="2142">
        <v>18593</v>
      </c>
      <c r="G243" s="2142">
        <v>933740.46</v>
      </c>
      <c r="H243" s="2143"/>
      <c r="I243" s="2142">
        <v>50000</v>
      </c>
    </row>
    <row r="244" spans="1:9" s="2139" customFormat="1" hidden="1">
      <c r="A244" s="2140" t="s">
        <v>3390</v>
      </c>
      <c r="B244" s="2141">
        <v>3</v>
      </c>
      <c r="C244" s="2141" t="s">
        <v>3142</v>
      </c>
      <c r="D244" s="2141">
        <v>105</v>
      </c>
      <c r="E244" s="2142">
        <v>48.52</v>
      </c>
      <c r="F244" s="2142">
        <v>16500</v>
      </c>
      <c r="G244" s="2142">
        <v>800580</v>
      </c>
      <c r="H244" s="2143">
        <v>41546</v>
      </c>
      <c r="I244" s="2142">
        <v>74910</v>
      </c>
    </row>
    <row r="245" spans="1:9" s="2139" customFormat="1" hidden="1">
      <c r="A245" s="2140" t="s">
        <v>3391</v>
      </c>
      <c r="B245" s="2141">
        <v>3</v>
      </c>
      <c r="C245" s="2141" t="s">
        <v>3142</v>
      </c>
      <c r="D245" s="2141">
        <v>106</v>
      </c>
      <c r="E245" s="2142">
        <v>45.9</v>
      </c>
      <c r="F245" s="2142">
        <v>14520</v>
      </c>
      <c r="G245" s="2142">
        <v>666468</v>
      </c>
      <c r="H245" s="2143">
        <v>41546</v>
      </c>
      <c r="I245" s="2142">
        <v>62363</v>
      </c>
    </row>
    <row r="246" spans="1:9" s="2139" customFormat="1" hidden="1">
      <c r="A246" s="2140" t="s">
        <v>3392</v>
      </c>
      <c r="B246" s="2141">
        <v>3</v>
      </c>
      <c r="C246" s="2141" t="s">
        <v>3142</v>
      </c>
      <c r="D246" s="2141">
        <v>135</v>
      </c>
      <c r="E246" s="2142">
        <v>89.55</v>
      </c>
      <c r="F246" s="2142">
        <v>16885.09</v>
      </c>
      <c r="G246" s="2142">
        <v>1512059.8095</v>
      </c>
      <c r="H246" s="2143">
        <v>42644</v>
      </c>
      <c r="I246" s="2142">
        <v>762060</v>
      </c>
    </row>
    <row r="247" spans="1:9" s="2139" customFormat="1" hidden="1">
      <c r="A247" s="2140" t="s">
        <v>3393</v>
      </c>
      <c r="B247" s="2141">
        <v>3</v>
      </c>
      <c r="C247" s="2141" t="s">
        <v>3142</v>
      </c>
      <c r="D247" s="2141">
        <v>136</v>
      </c>
      <c r="E247" s="2142">
        <v>85.49</v>
      </c>
      <c r="F247" s="2142">
        <v>16459.14</v>
      </c>
      <c r="G247" s="2142">
        <v>1407091.8785999999</v>
      </c>
      <c r="H247" s="2143">
        <v>42644</v>
      </c>
      <c r="I247" s="2142">
        <v>707092</v>
      </c>
    </row>
    <row r="248" spans="1:9" s="2139" customFormat="1" hidden="1">
      <c r="A248" s="2140" t="s">
        <v>3394</v>
      </c>
      <c r="B248" s="2141">
        <v>3</v>
      </c>
      <c r="C248" s="2141" t="s">
        <v>3142</v>
      </c>
      <c r="D248" s="2141">
        <v>137</v>
      </c>
      <c r="E248" s="2142">
        <v>80.790000000000006</v>
      </c>
      <c r="F248" s="2142">
        <v>16459.14</v>
      </c>
      <c r="G248" s="2142">
        <v>1329733.9206000001</v>
      </c>
      <c r="H248" s="2143">
        <v>42644</v>
      </c>
      <c r="I248" s="2142">
        <v>669734</v>
      </c>
    </row>
    <row r="249" spans="1:9" s="2139" customFormat="1" hidden="1">
      <c r="A249" s="2140" t="s">
        <v>3395</v>
      </c>
      <c r="B249" s="2141">
        <v>3</v>
      </c>
      <c r="C249" s="2141" t="s">
        <v>3142</v>
      </c>
      <c r="D249" s="2141">
        <v>138</v>
      </c>
      <c r="E249" s="2142">
        <v>89.87</v>
      </c>
      <c r="F249" s="2142">
        <v>16459.14</v>
      </c>
      <c r="G249" s="2142">
        <v>1479182.9118000001</v>
      </c>
      <c r="H249" s="2143">
        <v>42644</v>
      </c>
      <c r="I249" s="2142">
        <v>789183</v>
      </c>
    </row>
    <row r="250" spans="1:9" s="2139" customFormat="1" hidden="1">
      <c r="A250" s="2140" t="s">
        <v>3396</v>
      </c>
      <c r="B250" s="3560">
        <v>3</v>
      </c>
      <c r="C250" s="2141" t="s">
        <v>3151</v>
      </c>
      <c r="D250" s="3396">
        <v>10</v>
      </c>
      <c r="E250" s="2142">
        <v>69.989999999999995</v>
      </c>
      <c r="F250" s="2142">
        <v>12196</v>
      </c>
      <c r="G250" s="2142">
        <v>853598.03999999992</v>
      </c>
      <c r="H250" s="3557">
        <v>42843</v>
      </c>
      <c r="I250" s="2142">
        <v>203598</v>
      </c>
    </row>
    <row r="251" spans="1:9" s="2139" customFormat="1" hidden="1">
      <c r="A251" s="2140" t="s">
        <v>3397</v>
      </c>
      <c r="B251" s="3560">
        <v>3</v>
      </c>
      <c r="C251" s="2141" t="s">
        <v>3151</v>
      </c>
      <c r="D251" s="3396">
        <v>11</v>
      </c>
      <c r="E251" s="2142">
        <v>67.650000000000006</v>
      </c>
      <c r="F251" s="2142">
        <v>12196</v>
      </c>
      <c r="G251" s="2142">
        <v>825059.4</v>
      </c>
      <c r="H251" s="3557">
        <v>42843</v>
      </c>
      <c r="I251" s="2142">
        <v>175059</v>
      </c>
    </row>
    <row r="252" spans="1:9" s="2139" customFormat="1" hidden="1">
      <c r="A252" s="2140" t="s">
        <v>3398</v>
      </c>
      <c r="B252" s="2141">
        <v>3</v>
      </c>
      <c r="C252" s="2141" t="s">
        <v>3151</v>
      </c>
      <c r="D252" s="2141">
        <v>45</v>
      </c>
      <c r="E252" s="2142">
        <v>92.21</v>
      </c>
      <c r="F252" s="2142">
        <v>18000</v>
      </c>
      <c r="G252" s="2142">
        <v>1659780</v>
      </c>
      <c r="H252" s="2143"/>
      <c r="I252" s="2142">
        <v>50000</v>
      </c>
    </row>
    <row r="253" spans="1:9" s="2139" customFormat="1" hidden="1">
      <c r="A253" s="2140" t="s">
        <v>3399</v>
      </c>
      <c r="B253" s="2141">
        <v>3</v>
      </c>
      <c r="C253" s="2141" t="s">
        <v>3151</v>
      </c>
      <c r="D253" s="2141">
        <v>46</v>
      </c>
      <c r="E253" s="2142">
        <v>96.05</v>
      </c>
      <c r="F253" s="2142">
        <v>18000</v>
      </c>
      <c r="G253" s="2142">
        <v>1728900</v>
      </c>
      <c r="H253" s="2143"/>
      <c r="I253" s="2142">
        <v>50000</v>
      </c>
    </row>
    <row r="254" spans="1:9" s="2139" customFormat="1" hidden="1">
      <c r="A254" s="2140" t="s">
        <v>3400</v>
      </c>
      <c r="B254" s="2141">
        <v>3</v>
      </c>
      <c r="C254" s="2141" t="s">
        <v>3151</v>
      </c>
      <c r="D254" s="2141">
        <v>57</v>
      </c>
      <c r="E254" s="2142">
        <v>56.56</v>
      </c>
      <c r="F254" s="2142">
        <v>18000</v>
      </c>
      <c r="G254" s="2142">
        <v>1018080</v>
      </c>
      <c r="H254" s="2143"/>
      <c r="I254" s="2142">
        <v>50000</v>
      </c>
    </row>
    <row r="255" spans="1:9" s="2139" customFormat="1" hidden="1">
      <c r="A255" s="2140" t="s">
        <v>3401</v>
      </c>
      <c r="B255" s="2141">
        <v>3</v>
      </c>
      <c r="C255" s="2141" t="s">
        <v>3151</v>
      </c>
      <c r="D255" s="2141">
        <v>58</v>
      </c>
      <c r="E255" s="2142">
        <v>51.98</v>
      </c>
      <c r="F255" s="2142">
        <v>18000</v>
      </c>
      <c r="G255" s="2142">
        <v>935640</v>
      </c>
      <c r="H255" s="2143"/>
      <c r="I255" s="2142">
        <v>50000</v>
      </c>
    </row>
    <row r="256" spans="1:9" s="2139" customFormat="1" hidden="1">
      <c r="A256" s="2140" t="s">
        <v>3402</v>
      </c>
      <c r="B256" s="2141">
        <v>3</v>
      </c>
      <c r="C256" s="2141" t="s">
        <v>3151</v>
      </c>
      <c r="D256" s="2141">
        <v>83</v>
      </c>
      <c r="E256" s="2142">
        <v>90.09</v>
      </c>
      <c r="F256" s="2142">
        <v>17300</v>
      </c>
      <c r="G256" s="2142">
        <v>1558557</v>
      </c>
      <c r="H256" s="2143"/>
      <c r="I256" s="2142">
        <v>311712</v>
      </c>
    </row>
    <row r="257" spans="1:9" s="2139" customFormat="1" hidden="1">
      <c r="A257" s="2140" t="s">
        <v>3403</v>
      </c>
      <c r="B257" s="2141">
        <v>3</v>
      </c>
      <c r="C257" s="2141" t="s">
        <v>3151</v>
      </c>
      <c r="D257" s="2141">
        <v>85</v>
      </c>
      <c r="E257" s="2142">
        <v>98.17</v>
      </c>
      <c r="F257" s="2142">
        <v>13700</v>
      </c>
      <c r="G257" s="2142">
        <v>1344929</v>
      </c>
      <c r="H257" s="2143"/>
      <c r="I257" s="2142">
        <v>268986</v>
      </c>
    </row>
    <row r="258" spans="1:9" s="2139" customFormat="1" hidden="1">
      <c r="A258" s="2140" t="s">
        <v>3404</v>
      </c>
      <c r="B258" s="2141">
        <v>3</v>
      </c>
      <c r="C258" s="2141" t="s">
        <v>3151</v>
      </c>
      <c r="D258" s="2141">
        <v>86</v>
      </c>
      <c r="E258" s="2142">
        <v>40.840000000000003</v>
      </c>
      <c r="F258" s="2142">
        <v>14300</v>
      </c>
      <c r="G258" s="2142">
        <v>584012</v>
      </c>
      <c r="H258" s="2143"/>
      <c r="I258" s="2142">
        <v>116803</v>
      </c>
    </row>
    <row r="259" spans="1:9" s="2139" customFormat="1" hidden="1">
      <c r="A259" s="2140" t="s">
        <v>3405</v>
      </c>
      <c r="B259" s="2141">
        <v>3</v>
      </c>
      <c r="C259" s="2141" t="s">
        <v>3151</v>
      </c>
      <c r="D259" s="2141">
        <v>87</v>
      </c>
      <c r="E259" s="2142">
        <v>43.27</v>
      </c>
      <c r="F259" s="2142">
        <v>14300</v>
      </c>
      <c r="G259" s="2142">
        <v>618761</v>
      </c>
      <c r="H259" s="2143"/>
      <c r="I259" s="2142">
        <v>123753</v>
      </c>
    </row>
    <row r="260" spans="1:9" s="2139" customFormat="1" hidden="1">
      <c r="A260" s="2140" t="s">
        <v>3406</v>
      </c>
      <c r="B260" s="2141">
        <v>3</v>
      </c>
      <c r="C260" s="2141" t="s">
        <v>3151</v>
      </c>
      <c r="D260" s="2141">
        <v>102</v>
      </c>
      <c r="E260" s="2142">
        <v>64.45</v>
      </c>
      <c r="F260" s="2142">
        <v>16300</v>
      </c>
      <c r="G260" s="2142">
        <v>1050535</v>
      </c>
      <c r="H260" s="2143"/>
      <c r="I260" s="2142">
        <v>210107</v>
      </c>
    </row>
    <row r="261" spans="1:9" s="2139" customFormat="1" hidden="1">
      <c r="A261" s="2140" t="s">
        <v>3407</v>
      </c>
      <c r="B261" s="2141">
        <v>3</v>
      </c>
      <c r="C261" s="2141" t="s">
        <v>3151</v>
      </c>
      <c r="D261" s="2141">
        <v>103</v>
      </c>
      <c r="E261" s="2142">
        <v>82.97</v>
      </c>
      <c r="F261" s="2142">
        <v>16300</v>
      </c>
      <c r="G261" s="2142">
        <v>1352411</v>
      </c>
      <c r="H261" s="2143"/>
      <c r="I261" s="2142">
        <v>270483</v>
      </c>
    </row>
    <row r="262" spans="1:9" s="2139" customFormat="1" hidden="1">
      <c r="A262" s="2140" t="s">
        <v>3408</v>
      </c>
      <c r="B262" s="2141">
        <v>3</v>
      </c>
      <c r="C262" s="2141" t="s">
        <v>3151</v>
      </c>
      <c r="D262" s="2141">
        <v>109</v>
      </c>
      <c r="E262" s="2142">
        <v>80.53</v>
      </c>
      <c r="F262" s="2142">
        <v>16000</v>
      </c>
      <c r="G262" s="2142">
        <v>1288480</v>
      </c>
      <c r="H262" s="2143"/>
      <c r="I262" s="2142">
        <v>648480</v>
      </c>
    </row>
    <row r="263" spans="1:9" s="2139" customFormat="1" hidden="1">
      <c r="A263" s="2140" t="s">
        <v>3409</v>
      </c>
      <c r="B263" s="2141">
        <v>3</v>
      </c>
      <c r="C263" s="2141" t="s">
        <v>3151</v>
      </c>
      <c r="D263" s="2141">
        <v>110</v>
      </c>
      <c r="E263" s="2142">
        <v>85.41</v>
      </c>
      <c r="F263" s="2142">
        <v>16000</v>
      </c>
      <c r="G263" s="2142">
        <v>1366560</v>
      </c>
      <c r="H263" s="2143"/>
      <c r="I263" s="2142">
        <v>585040</v>
      </c>
    </row>
    <row r="264" spans="1:9" s="2139" customFormat="1" hidden="1">
      <c r="A264" s="2140" t="s">
        <v>3410</v>
      </c>
      <c r="B264" s="2141">
        <v>3</v>
      </c>
      <c r="C264" s="2141" t="s">
        <v>3151</v>
      </c>
      <c r="D264" s="2141">
        <v>111</v>
      </c>
      <c r="E264" s="2142">
        <v>82.97</v>
      </c>
      <c r="F264" s="2142">
        <v>16500</v>
      </c>
      <c r="G264" s="2142">
        <v>1369005</v>
      </c>
      <c r="H264" s="2143"/>
      <c r="I264" s="2142">
        <v>689005</v>
      </c>
    </row>
    <row r="265" spans="1:9" s="2139" customFormat="1" hidden="1">
      <c r="A265" s="2140" t="s">
        <v>3411</v>
      </c>
      <c r="B265" s="2141">
        <v>3</v>
      </c>
      <c r="C265" s="2141" t="s">
        <v>3151</v>
      </c>
      <c r="D265" s="2141">
        <v>112</v>
      </c>
      <c r="E265" s="2142">
        <v>85.61</v>
      </c>
      <c r="F265" s="2142">
        <v>12500</v>
      </c>
      <c r="G265" s="2142">
        <v>1070125</v>
      </c>
      <c r="H265" s="2143"/>
      <c r="I265" s="2142">
        <v>540125</v>
      </c>
    </row>
    <row r="266" spans="1:9" s="2139" customFormat="1" hidden="1">
      <c r="A266" s="2140" t="s">
        <v>3412</v>
      </c>
      <c r="B266" s="2141">
        <v>3</v>
      </c>
      <c r="C266" s="2141" t="s">
        <v>3151</v>
      </c>
      <c r="D266" s="2141">
        <v>113</v>
      </c>
      <c r="E266" s="2142">
        <v>79.489999999999995</v>
      </c>
      <c r="F266" s="2142">
        <v>12500</v>
      </c>
      <c r="G266" s="2142">
        <v>993624.99999999988</v>
      </c>
      <c r="H266" s="2143"/>
      <c r="I266" s="2142">
        <v>503625</v>
      </c>
    </row>
    <row r="267" spans="1:9" s="2139" customFormat="1" hidden="1">
      <c r="A267" s="2140" t="s">
        <v>3413</v>
      </c>
      <c r="B267" s="2141">
        <v>3</v>
      </c>
      <c r="C267" s="2141" t="s">
        <v>3151</v>
      </c>
      <c r="D267" s="2141">
        <v>115</v>
      </c>
      <c r="E267" s="2142">
        <v>67.260000000000005</v>
      </c>
      <c r="F267" s="2142">
        <v>13500</v>
      </c>
      <c r="G267" s="2142">
        <v>908010.00000000012</v>
      </c>
      <c r="H267" s="2143"/>
      <c r="I267" s="2142">
        <v>458010</v>
      </c>
    </row>
    <row r="268" spans="1:9" s="2139" customFormat="1" hidden="1">
      <c r="A268" s="2140" t="s">
        <v>3414</v>
      </c>
      <c r="B268" s="2141">
        <v>3</v>
      </c>
      <c r="C268" s="2141" t="s">
        <v>3151</v>
      </c>
      <c r="D268" s="2141">
        <v>116</v>
      </c>
      <c r="E268" s="2142">
        <v>37.31</v>
      </c>
      <c r="F268" s="2142">
        <v>12500</v>
      </c>
      <c r="G268" s="2142">
        <v>466375</v>
      </c>
      <c r="H268" s="2143"/>
      <c r="I268" s="2142">
        <v>236375</v>
      </c>
    </row>
    <row r="269" spans="1:9" s="2139" customFormat="1" hidden="1">
      <c r="A269" s="2140" t="s">
        <v>3415</v>
      </c>
      <c r="B269" s="2141">
        <v>3</v>
      </c>
      <c r="C269" s="2141" t="s">
        <v>3151</v>
      </c>
      <c r="D269" s="2141">
        <v>117</v>
      </c>
      <c r="E269" s="2142">
        <v>58.12</v>
      </c>
      <c r="F269" s="2142">
        <v>11200</v>
      </c>
      <c r="G269" s="2142">
        <v>650944</v>
      </c>
      <c r="H269" s="2143"/>
      <c r="I269" s="2142">
        <v>330944</v>
      </c>
    </row>
    <row r="270" spans="1:9" s="2139" customFormat="1" hidden="1">
      <c r="A270" s="2140" t="s">
        <v>3416</v>
      </c>
      <c r="B270" s="2141">
        <v>3</v>
      </c>
      <c r="C270" s="2141" t="s">
        <v>3151</v>
      </c>
      <c r="D270" s="2141">
        <v>118</v>
      </c>
      <c r="E270" s="2142">
        <v>58.12</v>
      </c>
      <c r="F270" s="2142">
        <v>11200</v>
      </c>
      <c r="G270" s="2142">
        <v>650944</v>
      </c>
      <c r="H270" s="2143"/>
      <c r="I270" s="2142">
        <v>330944</v>
      </c>
    </row>
    <row r="271" spans="1:9" s="2139" customFormat="1" hidden="1">
      <c r="A271" s="2140" t="s">
        <v>3417</v>
      </c>
      <c r="B271" s="2141">
        <v>3</v>
      </c>
      <c r="C271" s="2141" t="s">
        <v>3151</v>
      </c>
      <c r="D271" s="2141">
        <v>119</v>
      </c>
      <c r="E271" s="2142">
        <v>58.12</v>
      </c>
      <c r="F271" s="2142">
        <v>16000</v>
      </c>
      <c r="G271" s="2142">
        <v>929920</v>
      </c>
      <c r="H271" s="2143"/>
      <c r="I271" s="2142">
        <v>469920</v>
      </c>
    </row>
    <row r="272" spans="1:9" s="2139" customFormat="1" hidden="1">
      <c r="A272" s="2140" t="s">
        <v>3418</v>
      </c>
      <c r="B272" s="2141">
        <v>3</v>
      </c>
      <c r="C272" s="2141" t="s">
        <v>3151</v>
      </c>
      <c r="D272" s="2141">
        <v>120</v>
      </c>
      <c r="E272" s="2142">
        <v>62.27</v>
      </c>
      <c r="F272" s="2142">
        <v>16000</v>
      </c>
      <c r="G272" s="2142">
        <v>996320</v>
      </c>
      <c r="H272" s="2143"/>
      <c r="I272" s="2142">
        <v>506320</v>
      </c>
    </row>
    <row r="273" spans="1:9" s="2139" customFormat="1" hidden="1">
      <c r="A273" s="2140" t="s">
        <v>3419</v>
      </c>
      <c r="B273" s="2141">
        <v>3</v>
      </c>
      <c r="C273" s="2141" t="s">
        <v>3151</v>
      </c>
      <c r="D273" s="2141">
        <v>121</v>
      </c>
      <c r="E273" s="2142">
        <v>55.68</v>
      </c>
      <c r="F273" s="2142">
        <v>16500</v>
      </c>
      <c r="G273" s="2142">
        <v>918720</v>
      </c>
      <c r="H273" s="2143"/>
      <c r="I273" s="2142">
        <v>50000</v>
      </c>
    </row>
    <row r="274" spans="1:9" s="2139" customFormat="1" hidden="1">
      <c r="A274" s="2140" t="s">
        <v>3420</v>
      </c>
      <c r="B274" s="2141">
        <v>3</v>
      </c>
      <c r="C274" s="2141" t="s">
        <v>3151</v>
      </c>
      <c r="D274" s="2141">
        <v>122</v>
      </c>
      <c r="E274" s="2142">
        <v>61.85</v>
      </c>
      <c r="F274" s="2142">
        <v>17300</v>
      </c>
      <c r="G274" s="2142">
        <v>1070005</v>
      </c>
      <c r="H274" s="2143"/>
      <c r="I274" s="2142">
        <v>50000</v>
      </c>
    </row>
    <row r="275" spans="1:9" s="2139" customFormat="1" hidden="1">
      <c r="A275" s="2140" t="s">
        <v>3421</v>
      </c>
      <c r="B275" s="2141">
        <v>3</v>
      </c>
      <c r="C275" s="2141" t="s">
        <v>3151</v>
      </c>
      <c r="D275" s="2141">
        <v>128</v>
      </c>
      <c r="E275" s="2142">
        <v>48.43</v>
      </c>
      <c r="F275" s="2142">
        <v>17300</v>
      </c>
      <c r="G275" s="2142">
        <v>837839</v>
      </c>
      <c r="H275" s="2143"/>
      <c r="I275" s="2142">
        <v>50000</v>
      </c>
    </row>
    <row r="276" spans="1:9" s="2139" customFormat="1" hidden="1">
      <c r="A276" s="2140" t="s">
        <v>3422</v>
      </c>
      <c r="B276" s="2141">
        <v>5</v>
      </c>
      <c r="C276" s="2141" t="s">
        <v>3261</v>
      </c>
      <c r="D276" s="2141">
        <v>1</v>
      </c>
      <c r="E276" s="2142">
        <v>155.88999999999999</v>
      </c>
      <c r="F276" s="2142">
        <v>35800</v>
      </c>
      <c r="G276" s="2142">
        <v>5580861.9999999991</v>
      </c>
      <c r="H276" s="2143"/>
      <c r="I276" s="2142">
        <v>871086</v>
      </c>
    </row>
    <row r="277" spans="1:9" s="2139" customFormat="1" hidden="1">
      <c r="A277" s="2140" t="s">
        <v>3423</v>
      </c>
      <c r="B277" s="2141">
        <v>5</v>
      </c>
      <c r="C277" s="2141" t="s">
        <v>3261</v>
      </c>
      <c r="D277" s="2141">
        <v>2</v>
      </c>
      <c r="E277" s="2142">
        <v>140.15</v>
      </c>
      <c r="F277" s="2142">
        <v>35800</v>
      </c>
      <c r="G277" s="2142">
        <v>5017370</v>
      </c>
      <c r="H277" s="2143"/>
      <c r="I277" s="2142">
        <v>871086</v>
      </c>
    </row>
    <row r="278" spans="1:9" s="2139" customFormat="1" hidden="1">
      <c r="A278" s="2140" t="s">
        <v>3424</v>
      </c>
      <c r="B278" s="2141">
        <v>5</v>
      </c>
      <c r="C278" s="2141" t="s">
        <v>3261</v>
      </c>
      <c r="D278" s="2141">
        <v>3</v>
      </c>
      <c r="E278" s="2142">
        <v>199.22</v>
      </c>
      <c r="F278" s="2142">
        <v>35200</v>
      </c>
      <c r="G278" s="2142">
        <v>7012544</v>
      </c>
      <c r="H278" s="2143"/>
      <c r="I278" s="2142">
        <v>1469108</v>
      </c>
    </row>
    <row r="279" spans="1:9" s="2139" customFormat="1" hidden="1">
      <c r="A279" s="2140" t="s">
        <v>3425</v>
      </c>
      <c r="B279" s="3560">
        <v>5</v>
      </c>
      <c r="C279" s="2141" t="s">
        <v>3261</v>
      </c>
      <c r="D279" s="3396">
        <v>5</v>
      </c>
      <c r="E279" s="2142">
        <v>245.1</v>
      </c>
      <c r="F279" s="2142">
        <v>33160.016320000002</v>
      </c>
      <c r="G279" s="2142">
        <v>8127520.0000320002</v>
      </c>
      <c r="H279" s="3557">
        <v>42751</v>
      </c>
      <c r="I279" s="2142">
        <v>8127520</v>
      </c>
    </row>
    <row r="280" spans="1:9" s="2139" customFormat="1" hidden="1">
      <c r="A280" s="2140" t="s">
        <v>3426</v>
      </c>
      <c r="B280" s="3560">
        <v>5</v>
      </c>
      <c r="C280" s="2141" t="s">
        <v>3261</v>
      </c>
      <c r="D280" s="3396">
        <v>6</v>
      </c>
      <c r="E280" s="2142">
        <v>153.47999999999999</v>
      </c>
      <c r="F280" s="2142">
        <v>31742.24655</v>
      </c>
      <c r="G280" s="2142">
        <v>4871800.0004939996</v>
      </c>
      <c r="H280" s="3557">
        <v>42751</v>
      </c>
      <c r="I280" s="2142">
        <v>4871800</v>
      </c>
    </row>
    <row r="281" spans="1:9" s="2139" customFormat="1" hidden="1">
      <c r="A281" s="2140" t="s">
        <v>3427</v>
      </c>
      <c r="B281" s="2141">
        <v>5</v>
      </c>
      <c r="C281" s="2141" t="s">
        <v>3261</v>
      </c>
      <c r="D281" s="2141">
        <v>7</v>
      </c>
      <c r="E281" s="2142">
        <v>75.36</v>
      </c>
      <c r="F281" s="2142">
        <v>25800</v>
      </c>
      <c r="G281" s="2142">
        <v>1944288</v>
      </c>
      <c r="H281" s="2143">
        <v>42073</v>
      </c>
      <c r="I281" s="2142">
        <v>1944288</v>
      </c>
    </row>
    <row r="282" spans="1:9" s="2139" customFormat="1" hidden="1">
      <c r="A282" s="2140" t="s">
        <v>3428</v>
      </c>
      <c r="B282" s="2141">
        <v>5</v>
      </c>
      <c r="C282" s="2141" t="s">
        <v>3261</v>
      </c>
      <c r="D282" s="2141">
        <v>8</v>
      </c>
      <c r="E282" s="2142">
        <v>237.42</v>
      </c>
      <c r="F282" s="2142">
        <v>29524.47</v>
      </c>
      <c r="G282" s="2142">
        <v>7009699.6673999997</v>
      </c>
      <c r="H282" s="2143">
        <v>42027</v>
      </c>
      <c r="I282" s="2142">
        <v>1409700</v>
      </c>
    </row>
    <row r="283" spans="1:9" s="2139" customFormat="1" hidden="1">
      <c r="A283" s="2140" t="s">
        <v>3429</v>
      </c>
      <c r="B283" s="2141">
        <v>5</v>
      </c>
      <c r="C283" s="2141" t="s">
        <v>3261</v>
      </c>
      <c r="D283" s="2141">
        <v>9</v>
      </c>
      <c r="E283" s="2142">
        <v>83.51</v>
      </c>
      <c r="F283" s="2142">
        <v>35300</v>
      </c>
      <c r="G283" s="2142">
        <v>2947903</v>
      </c>
      <c r="H283" s="2143">
        <v>42613</v>
      </c>
      <c r="I283" s="2142">
        <v>1477903</v>
      </c>
    </row>
    <row r="284" spans="1:9" s="2139" customFormat="1" hidden="1">
      <c r="A284" s="2140" t="s">
        <v>3430</v>
      </c>
      <c r="B284" s="2141">
        <v>5</v>
      </c>
      <c r="C284" s="2141" t="s">
        <v>3261</v>
      </c>
      <c r="D284" s="2141">
        <v>10</v>
      </c>
      <c r="E284" s="2142">
        <v>57.71</v>
      </c>
      <c r="F284" s="2142">
        <v>35300</v>
      </c>
      <c r="G284" s="2142">
        <v>2037163</v>
      </c>
      <c r="H284" s="2143">
        <v>42544</v>
      </c>
      <c r="I284" s="2142">
        <v>2037163</v>
      </c>
    </row>
    <row r="285" spans="1:9" s="2139" customFormat="1" hidden="1">
      <c r="A285" s="2140" t="s">
        <v>3431</v>
      </c>
      <c r="B285" s="3560">
        <v>5</v>
      </c>
      <c r="C285" s="2141" t="s">
        <v>3261</v>
      </c>
      <c r="D285" s="3396">
        <v>13</v>
      </c>
      <c r="E285" s="2142">
        <v>172.25</v>
      </c>
      <c r="F285" s="2142">
        <v>32097.24238</v>
      </c>
      <c r="G285" s="2142">
        <v>5528749.9999550004</v>
      </c>
      <c r="H285" s="3557">
        <v>42751</v>
      </c>
      <c r="I285" s="2142">
        <v>5528750</v>
      </c>
    </row>
    <row r="286" spans="1:9" s="2139" customFormat="1" hidden="1">
      <c r="A286" s="2140" t="s">
        <v>3432</v>
      </c>
      <c r="B286" s="3560">
        <v>5</v>
      </c>
      <c r="C286" s="2141" t="s">
        <v>3261</v>
      </c>
      <c r="D286" s="3396">
        <v>15</v>
      </c>
      <c r="E286" s="2142">
        <v>231.87</v>
      </c>
      <c r="F286" s="2142">
        <v>33643.619270000003</v>
      </c>
      <c r="G286" s="2142">
        <v>7800946.0001349011</v>
      </c>
      <c r="H286" s="3557">
        <v>42751</v>
      </c>
      <c r="I286" s="2142">
        <v>7800946</v>
      </c>
    </row>
    <row r="287" spans="1:9" s="2139" customFormat="1" hidden="1">
      <c r="A287" s="2140" t="s">
        <v>3433</v>
      </c>
      <c r="B287" s="3560">
        <v>5</v>
      </c>
      <c r="C287" s="2141" t="s">
        <v>3261</v>
      </c>
      <c r="D287" s="3396">
        <v>17</v>
      </c>
      <c r="E287" s="2142">
        <v>215.74</v>
      </c>
      <c r="F287" s="2142">
        <v>35800</v>
      </c>
      <c r="G287" s="2142">
        <v>7723492</v>
      </c>
      <c r="H287" s="3557">
        <v>42797</v>
      </c>
      <c r="I287" s="2142">
        <v>3863492</v>
      </c>
    </row>
    <row r="288" spans="1:9" s="2139" customFormat="1" hidden="1">
      <c r="A288" s="2140" t="s">
        <v>3434</v>
      </c>
      <c r="B288" s="2141">
        <v>5</v>
      </c>
      <c r="C288" s="2141" t="s">
        <v>3261</v>
      </c>
      <c r="D288" s="2141">
        <v>19</v>
      </c>
      <c r="E288" s="2142">
        <v>39.29</v>
      </c>
      <c r="F288" s="2142">
        <v>35800</v>
      </c>
      <c r="G288" s="2142">
        <v>1406582</v>
      </c>
      <c r="H288" s="2143">
        <v>42549</v>
      </c>
      <c r="I288" s="2142">
        <v>1406582</v>
      </c>
    </row>
    <row r="289" spans="1:9" s="2139" customFormat="1" hidden="1">
      <c r="A289" s="2140" t="s">
        <v>3435</v>
      </c>
      <c r="B289" s="2141">
        <v>5</v>
      </c>
      <c r="C289" s="2141" t="s">
        <v>3261</v>
      </c>
      <c r="D289" s="2141">
        <v>26</v>
      </c>
      <c r="E289" s="2142">
        <v>45.46</v>
      </c>
      <c r="F289" s="2142">
        <v>29100</v>
      </c>
      <c r="G289" s="2142">
        <v>1322886</v>
      </c>
      <c r="H289" s="2143">
        <v>42539</v>
      </c>
      <c r="I289" s="2142">
        <v>1322886</v>
      </c>
    </row>
    <row r="290" spans="1:9" s="2139" customFormat="1" hidden="1">
      <c r="A290" s="2140" t="s">
        <v>3436</v>
      </c>
      <c r="B290" s="2141">
        <v>5</v>
      </c>
      <c r="C290" s="2141" t="s">
        <v>3261</v>
      </c>
      <c r="D290" s="2141">
        <v>27</v>
      </c>
      <c r="E290" s="2142">
        <v>55.6</v>
      </c>
      <c r="F290" s="2142">
        <v>29100</v>
      </c>
      <c r="G290" s="2142">
        <v>1617960</v>
      </c>
      <c r="H290" s="2143">
        <v>42437</v>
      </c>
      <c r="I290" s="2142">
        <v>1617960</v>
      </c>
    </row>
    <row r="291" spans="1:9" s="2139" customFormat="1" hidden="1">
      <c r="A291" s="2140" t="s">
        <v>3437</v>
      </c>
      <c r="B291" s="2141">
        <v>5</v>
      </c>
      <c r="C291" s="2141" t="s">
        <v>3261</v>
      </c>
      <c r="D291" s="2141">
        <v>28</v>
      </c>
      <c r="E291" s="2142">
        <v>58.41</v>
      </c>
      <c r="F291" s="2142">
        <v>25026.01</v>
      </c>
      <c r="G291" s="2142">
        <v>1461769.2440999998</v>
      </c>
      <c r="H291" s="2143">
        <v>42144</v>
      </c>
      <c r="I291" s="2142">
        <v>1461769</v>
      </c>
    </row>
    <row r="292" spans="1:9" s="2139" customFormat="1" hidden="1">
      <c r="A292" s="2140" t="s">
        <v>3438</v>
      </c>
      <c r="B292" s="2141">
        <v>5</v>
      </c>
      <c r="C292" s="2141" t="s">
        <v>3261</v>
      </c>
      <c r="D292" s="2141">
        <v>33</v>
      </c>
      <c r="E292" s="2142">
        <v>48.33</v>
      </c>
      <c r="F292" s="2142">
        <v>25800</v>
      </c>
      <c r="G292" s="2142">
        <v>1246914</v>
      </c>
      <c r="H292" s="2143">
        <v>42549</v>
      </c>
      <c r="I292" s="2142">
        <v>1246914</v>
      </c>
    </row>
    <row r="293" spans="1:9" s="2139" customFormat="1" hidden="1">
      <c r="A293" s="2140" t="s">
        <v>3439</v>
      </c>
      <c r="B293" s="2141">
        <v>5</v>
      </c>
      <c r="C293" s="2141" t="s">
        <v>3261</v>
      </c>
      <c r="D293" s="2141">
        <v>35</v>
      </c>
      <c r="E293" s="2142">
        <v>54.16</v>
      </c>
      <c r="F293" s="2142">
        <v>26300</v>
      </c>
      <c r="G293" s="2142">
        <v>1424408</v>
      </c>
      <c r="H293" s="2143">
        <v>42549</v>
      </c>
      <c r="I293" s="2142">
        <v>1424408</v>
      </c>
    </row>
    <row r="294" spans="1:9" s="2139" customFormat="1" hidden="1">
      <c r="A294" s="2140" t="s">
        <v>3440</v>
      </c>
      <c r="B294" s="2141">
        <v>5</v>
      </c>
      <c r="C294" s="2141" t="s">
        <v>3261</v>
      </c>
      <c r="D294" s="2141">
        <v>36</v>
      </c>
      <c r="E294" s="2142">
        <v>74.849999999999994</v>
      </c>
      <c r="F294" s="2142">
        <v>34300</v>
      </c>
      <c r="G294" s="2142">
        <v>2567355</v>
      </c>
      <c r="H294" s="2143">
        <v>42475</v>
      </c>
      <c r="I294" s="2142">
        <v>2567355</v>
      </c>
    </row>
    <row r="295" spans="1:9" s="2139" customFormat="1" hidden="1">
      <c r="A295" s="2140" t="s">
        <v>3441</v>
      </c>
      <c r="B295" s="2141">
        <v>5</v>
      </c>
      <c r="C295" s="2141" t="s">
        <v>3261</v>
      </c>
      <c r="D295" s="2141">
        <v>48</v>
      </c>
      <c r="E295" s="2142">
        <v>126.28</v>
      </c>
      <c r="F295" s="2142">
        <v>35800</v>
      </c>
      <c r="G295" s="2142">
        <v>4520824</v>
      </c>
      <c r="H295" s="2143"/>
      <c r="I295" s="2142">
        <v>535640</v>
      </c>
    </row>
    <row r="296" spans="1:9" s="2139" customFormat="1" hidden="1">
      <c r="A296" s="2140" t="s">
        <v>3442</v>
      </c>
      <c r="B296" s="2141">
        <v>5</v>
      </c>
      <c r="C296" s="2141" t="s">
        <v>3261</v>
      </c>
      <c r="D296" s="2141">
        <v>52</v>
      </c>
      <c r="E296" s="2142">
        <v>60.2</v>
      </c>
      <c r="F296" s="2142">
        <v>26800</v>
      </c>
      <c r="G296" s="2142">
        <v>1613360</v>
      </c>
      <c r="H296" s="2143">
        <v>42517</v>
      </c>
      <c r="I296" s="2142">
        <v>1613360</v>
      </c>
    </row>
    <row r="297" spans="1:9" s="2139" customFormat="1" hidden="1">
      <c r="A297" s="2140" t="s">
        <v>3443</v>
      </c>
      <c r="B297" s="2141">
        <v>5</v>
      </c>
      <c r="C297" s="2141" t="s">
        <v>3261</v>
      </c>
      <c r="D297" s="2141">
        <v>53</v>
      </c>
      <c r="E297" s="2142">
        <v>60.48</v>
      </c>
      <c r="F297" s="2142">
        <v>35800</v>
      </c>
      <c r="G297" s="2142">
        <v>2165184</v>
      </c>
      <c r="H297" s="2143">
        <v>42517</v>
      </c>
      <c r="I297" s="2142">
        <v>2165184</v>
      </c>
    </row>
    <row r="298" spans="1:9" s="2139" customFormat="1" hidden="1">
      <c r="A298" s="2140" t="s">
        <v>3444</v>
      </c>
      <c r="B298" s="2141">
        <v>5</v>
      </c>
      <c r="C298" s="2141" t="s">
        <v>3261</v>
      </c>
      <c r="D298" s="2141">
        <v>57</v>
      </c>
      <c r="E298" s="2142">
        <v>15.21</v>
      </c>
      <c r="F298" s="2142">
        <v>35800</v>
      </c>
      <c r="G298" s="2142">
        <v>544518</v>
      </c>
      <c r="H298" s="2143">
        <v>42124</v>
      </c>
      <c r="I298" s="2142">
        <v>274518</v>
      </c>
    </row>
    <row r="299" spans="1:9" s="2139" customFormat="1" hidden="1">
      <c r="A299" s="2140" t="s">
        <v>3445</v>
      </c>
      <c r="B299" s="2141">
        <v>5</v>
      </c>
      <c r="C299" s="2141" t="s">
        <v>3261</v>
      </c>
      <c r="D299" s="2141">
        <v>58</v>
      </c>
      <c r="E299" s="2142">
        <v>19.59</v>
      </c>
      <c r="F299" s="2142">
        <v>35800</v>
      </c>
      <c r="G299" s="2142">
        <v>701322</v>
      </c>
      <c r="H299" s="2143">
        <v>42124</v>
      </c>
      <c r="I299" s="2142">
        <v>381322</v>
      </c>
    </row>
    <row r="300" spans="1:9" s="2139" customFormat="1" hidden="1">
      <c r="A300" s="2140" t="s">
        <v>3446</v>
      </c>
      <c r="B300" s="2141">
        <v>5</v>
      </c>
      <c r="C300" s="2141" t="s">
        <v>3261</v>
      </c>
      <c r="D300" s="2141">
        <v>62</v>
      </c>
      <c r="E300" s="2142">
        <v>37.82</v>
      </c>
      <c r="F300" s="2142">
        <v>33800</v>
      </c>
      <c r="G300" s="2142">
        <v>1278316</v>
      </c>
      <c r="H300" s="2143">
        <v>41639</v>
      </c>
      <c r="I300" s="2142">
        <v>325832</v>
      </c>
    </row>
    <row r="301" spans="1:9" s="2139" customFormat="1" hidden="1">
      <c r="A301" s="2140" t="s">
        <v>3447</v>
      </c>
      <c r="B301" s="2141">
        <v>5</v>
      </c>
      <c r="C301" s="2141" t="s">
        <v>3261</v>
      </c>
      <c r="D301" s="2141">
        <v>67</v>
      </c>
      <c r="E301" s="2142">
        <v>36.159999999999997</v>
      </c>
      <c r="F301" s="2142">
        <v>26800</v>
      </c>
      <c r="G301" s="2142">
        <v>969087.99999999988</v>
      </c>
      <c r="H301" s="2143">
        <v>42517</v>
      </c>
      <c r="I301" s="2142">
        <v>969088</v>
      </c>
    </row>
    <row r="302" spans="1:9" s="2139" customFormat="1" hidden="1">
      <c r="A302" s="2140" t="s">
        <v>3448</v>
      </c>
      <c r="B302" s="2141">
        <v>5</v>
      </c>
      <c r="C302" s="2141" t="s">
        <v>3261</v>
      </c>
      <c r="D302" s="2141">
        <v>70</v>
      </c>
      <c r="E302" s="2142">
        <v>43.04</v>
      </c>
      <c r="F302" s="2142">
        <v>26800</v>
      </c>
      <c r="G302" s="2142">
        <v>1153472</v>
      </c>
      <c r="H302" s="2143">
        <v>42065</v>
      </c>
      <c r="I302" s="2142">
        <v>1153472</v>
      </c>
    </row>
    <row r="303" spans="1:9" s="2139" customFormat="1" hidden="1">
      <c r="A303" s="2140" t="s">
        <v>3449</v>
      </c>
      <c r="B303" s="2141">
        <v>5</v>
      </c>
      <c r="C303" s="2141" t="s">
        <v>3261</v>
      </c>
      <c r="D303" s="2141">
        <v>77</v>
      </c>
      <c r="E303" s="2142">
        <v>75.94</v>
      </c>
      <c r="F303" s="2142">
        <v>35800</v>
      </c>
      <c r="G303" s="2142">
        <v>2718652</v>
      </c>
      <c r="H303" s="2143">
        <v>42029</v>
      </c>
      <c r="I303" s="2142">
        <v>2718652</v>
      </c>
    </row>
    <row r="304" spans="1:9" s="2139" customFormat="1" hidden="1">
      <c r="A304" s="2140" t="s">
        <v>3450</v>
      </c>
      <c r="B304" s="2141">
        <v>5</v>
      </c>
      <c r="C304" s="2141" t="s">
        <v>3261</v>
      </c>
      <c r="D304" s="2141">
        <v>83</v>
      </c>
      <c r="E304" s="2142">
        <v>36.42</v>
      </c>
      <c r="F304" s="2142">
        <v>35800</v>
      </c>
      <c r="G304" s="2142">
        <v>1303836</v>
      </c>
      <c r="H304" s="2143">
        <v>42569</v>
      </c>
      <c r="I304" s="2142">
        <v>1303836</v>
      </c>
    </row>
    <row r="305" spans="1:9" s="2139" customFormat="1" hidden="1">
      <c r="A305" s="2140" t="s">
        <v>3451</v>
      </c>
      <c r="B305" s="2141">
        <v>5</v>
      </c>
      <c r="C305" s="2141" t="s">
        <v>3261</v>
      </c>
      <c r="D305" s="2141">
        <v>92</v>
      </c>
      <c r="E305" s="2142">
        <v>39.53</v>
      </c>
      <c r="F305" s="2142">
        <v>25800</v>
      </c>
      <c r="G305" s="2142">
        <v>1019874</v>
      </c>
      <c r="H305" s="2143"/>
      <c r="I305" s="2142">
        <v>223996</v>
      </c>
    </row>
    <row r="306" spans="1:9" s="2139" customFormat="1" hidden="1">
      <c r="A306" s="2140" t="s">
        <v>3452</v>
      </c>
      <c r="B306" s="2141">
        <v>5</v>
      </c>
      <c r="C306" s="2141" t="s">
        <v>3261</v>
      </c>
      <c r="D306" s="2141">
        <v>96</v>
      </c>
      <c r="E306" s="2142">
        <v>34.520000000000003</v>
      </c>
      <c r="F306" s="2142">
        <v>25511.01</v>
      </c>
      <c r="G306" s="2142">
        <v>880640.06520000007</v>
      </c>
      <c r="H306" s="2143">
        <v>42587</v>
      </c>
      <c r="I306" s="2142">
        <v>880640</v>
      </c>
    </row>
    <row r="307" spans="1:9" s="2139" customFormat="1" hidden="1">
      <c r="A307" s="2140" t="s">
        <v>3453</v>
      </c>
      <c r="B307" s="2141">
        <v>5</v>
      </c>
      <c r="C307" s="2141" t="s">
        <v>3261</v>
      </c>
      <c r="D307" s="2141">
        <v>102</v>
      </c>
      <c r="E307" s="2142">
        <v>48.23</v>
      </c>
      <c r="F307" s="2142">
        <v>25026</v>
      </c>
      <c r="G307" s="2142">
        <v>1207003.98</v>
      </c>
      <c r="H307" s="2143">
        <v>42477</v>
      </c>
      <c r="I307" s="2142">
        <v>1207004</v>
      </c>
    </row>
    <row r="308" spans="1:9" s="2139" customFormat="1" hidden="1">
      <c r="A308" s="2140" t="s">
        <v>3454</v>
      </c>
      <c r="B308" s="2141">
        <v>5</v>
      </c>
      <c r="C308" s="2141" t="s">
        <v>3261</v>
      </c>
      <c r="D308" s="2141">
        <v>112</v>
      </c>
      <c r="E308" s="2142">
        <v>72.069999999999993</v>
      </c>
      <c r="F308" s="2142">
        <v>32800</v>
      </c>
      <c r="G308" s="2142">
        <v>2363896</v>
      </c>
      <c r="H308" s="2143">
        <v>42566</v>
      </c>
      <c r="I308" s="2142">
        <v>1183896</v>
      </c>
    </row>
    <row r="309" spans="1:9" s="2139" customFormat="1" hidden="1">
      <c r="A309" s="2140" t="s">
        <v>3455</v>
      </c>
      <c r="B309" s="2141">
        <v>5</v>
      </c>
      <c r="C309" s="2141" t="s">
        <v>3261</v>
      </c>
      <c r="D309" s="2141">
        <v>113</v>
      </c>
      <c r="E309" s="2142">
        <v>49.29</v>
      </c>
      <c r="F309" s="2142">
        <v>27935.99</v>
      </c>
      <c r="G309" s="2142">
        <v>1376964.9471</v>
      </c>
      <c r="H309" s="2143">
        <v>42680</v>
      </c>
      <c r="I309" s="2142">
        <v>1376965</v>
      </c>
    </row>
    <row r="310" spans="1:9" s="2139" customFormat="1" hidden="1">
      <c r="A310" s="2140" t="s">
        <v>3456</v>
      </c>
      <c r="B310" s="2141">
        <v>5</v>
      </c>
      <c r="C310" s="2141" t="s">
        <v>3261</v>
      </c>
      <c r="D310" s="2141">
        <v>115</v>
      </c>
      <c r="E310" s="2142">
        <v>33.15</v>
      </c>
      <c r="F310" s="2142">
        <v>28800</v>
      </c>
      <c r="G310" s="2142">
        <v>954720</v>
      </c>
      <c r="H310" s="2143">
        <v>42566</v>
      </c>
      <c r="I310" s="2142">
        <v>484720</v>
      </c>
    </row>
    <row r="311" spans="1:9" s="2139" customFormat="1" hidden="1">
      <c r="A311" s="2140" t="s">
        <v>3457</v>
      </c>
      <c r="B311" s="2141">
        <v>5</v>
      </c>
      <c r="C311" s="2141" t="s">
        <v>3161</v>
      </c>
      <c r="D311" s="2141">
        <v>1</v>
      </c>
      <c r="E311" s="2142">
        <v>68.16</v>
      </c>
      <c r="F311" s="2142">
        <v>23800</v>
      </c>
      <c r="G311" s="2142">
        <v>1622208</v>
      </c>
      <c r="H311" s="2143"/>
      <c r="I311" s="2142">
        <v>383132</v>
      </c>
    </row>
    <row r="312" spans="1:9" s="2139" customFormat="1" hidden="1">
      <c r="A312" s="2140" t="s">
        <v>3458</v>
      </c>
      <c r="B312" s="2141">
        <v>5</v>
      </c>
      <c r="C312" s="2141" t="s">
        <v>3161</v>
      </c>
      <c r="D312" s="2141">
        <v>2</v>
      </c>
      <c r="E312" s="2142">
        <v>75.3</v>
      </c>
      <c r="F312" s="2142">
        <v>18800</v>
      </c>
      <c r="G312" s="2142">
        <v>1415640</v>
      </c>
      <c r="H312" s="2143"/>
      <c r="I312" s="2142">
        <v>228344</v>
      </c>
    </row>
    <row r="313" spans="1:9" s="2139" customFormat="1" hidden="1">
      <c r="A313" s="2140" t="s">
        <v>3459</v>
      </c>
      <c r="B313" s="2141">
        <v>5</v>
      </c>
      <c r="C313" s="2141" t="s">
        <v>3161</v>
      </c>
      <c r="D313" s="2141">
        <v>3</v>
      </c>
      <c r="E313" s="2142">
        <v>61.6</v>
      </c>
      <c r="F313" s="2142">
        <v>17800</v>
      </c>
      <c r="G313" s="2142">
        <v>1096480</v>
      </c>
      <c r="H313" s="2143"/>
      <c r="I313" s="2142">
        <v>312924</v>
      </c>
    </row>
    <row r="314" spans="1:9" s="2139" customFormat="1" hidden="1">
      <c r="A314" s="2140" t="s">
        <v>3460</v>
      </c>
      <c r="B314" s="2141">
        <v>5</v>
      </c>
      <c r="C314" s="2141" t="s">
        <v>3161</v>
      </c>
      <c r="D314" s="2141">
        <v>5</v>
      </c>
      <c r="E314" s="2142">
        <v>61.91</v>
      </c>
      <c r="F314" s="2142">
        <v>17800</v>
      </c>
      <c r="G314" s="2142">
        <v>1101998</v>
      </c>
      <c r="H314" s="2143"/>
      <c r="I314" s="2142">
        <v>159132</v>
      </c>
    </row>
    <row r="315" spans="1:9" s="2139" customFormat="1" hidden="1">
      <c r="A315" s="2140" t="s">
        <v>3461</v>
      </c>
      <c r="B315" s="2141">
        <v>5</v>
      </c>
      <c r="C315" s="2141" t="s">
        <v>3161</v>
      </c>
      <c r="D315" s="2141">
        <v>6</v>
      </c>
      <c r="E315" s="2142">
        <v>46.06</v>
      </c>
      <c r="F315" s="2142">
        <v>17800</v>
      </c>
      <c r="G315" s="2142">
        <v>819868</v>
      </c>
      <c r="H315" s="2143">
        <v>42688</v>
      </c>
      <c r="I315" s="2142">
        <v>419868</v>
      </c>
    </row>
    <row r="316" spans="1:9" s="2139" customFormat="1" hidden="1">
      <c r="A316" s="2140" t="s">
        <v>3462</v>
      </c>
      <c r="B316" s="2141">
        <v>5</v>
      </c>
      <c r="C316" s="2141" t="s">
        <v>3161</v>
      </c>
      <c r="D316" s="2141">
        <v>7</v>
      </c>
      <c r="E316" s="2142">
        <v>45.88</v>
      </c>
      <c r="F316" s="2142">
        <v>17800</v>
      </c>
      <c r="G316" s="2142">
        <v>816664</v>
      </c>
      <c r="H316" s="2143"/>
      <c r="I316" s="2142">
        <v>155074</v>
      </c>
    </row>
    <row r="317" spans="1:9" s="2139" customFormat="1" hidden="1">
      <c r="A317" s="2140" t="s">
        <v>3463</v>
      </c>
      <c r="B317" s="2141">
        <v>5</v>
      </c>
      <c r="C317" s="2141" t="s">
        <v>3161</v>
      </c>
      <c r="D317" s="2141">
        <v>8</v>
      </c>
      <c r="E317" s="2142">
        <v>45.76</v>
      </c>
      <c r="F317" s="2142">
        <v>17266</v>
      </c>
      <c r="G317" s="2142">
        <v>790092.15999999992</v>
      </c>
      <c r="H317" s="2143">
        <v>42129</v>
      </c>
      <c r="I317" s="2142">
        <v>790092</v>
      </c>
    </row>
    <row r="318" spans="1:9" s="2139" customFormat="1" hidden="1">
      <c r="A318" s="2140" t="s">
        <v>3464</v>
      </c>
      <c r="B318" s="2141">
        <v>5</v>
      </c>
      <c r="C318" s="2141" t="s">
        <v>3161</v>
      </c>
      <c r="D318" s="2141">
        <v>9</v>
      </c>
      <c r="E318" s="2142">
        <v>45.71</v>
      </c>
      <c r="F318" s="2142">
        <v>17266</v>
      </c>
      <c r="G318" s="2142">
        <v>789228.86</v>
      </c>
      <c r="H318" s="2143">
        <v>42100</v>
      </c>
      <c r="I318" s="2142">
        <v>789229</v>
      </c>
    </row>
    <row r="319" spans="1:9" s="2139" customFormat="1" hidden="1">
      <c r="A319" s="2140" t="s">
        <v>3465</v>
      </c>
      <c r="B319" s="2141">
        <v>5</v>
      </c>
      <c r="C319" s="2141" t="s">
        <v>3161</v>
      </c>
      <c r="D319" s="2141">
        <v>11</v>
      </c>
      <c r="E319" s="2142">
        <v>45.81</v>
      </c>
      <c r="F319" s="2142">
        <v>17266</v>
      </c>
      <c r="G319" s="2142">
        <v>790955.46000000008</v>
      </c>
      <c r="H319" s="2143">
        <v>42629</v>
      </c>
      <c r="I319" s="2142">
        <v>790955</v>
      </c>
    </row>
    <row r="320" spans="1:9" s="2139" customFormat="1" hidden="1">
      <c r="A320" s="2140" t="s">
        <v>3466</v>
      </c>
      <c r="B320" s="2141">
        <v>5</v>
      </c>
      <c r="C320" s="2141" t="s">
        <v>3161</v>
      </c>
      <c r="D320" s="2141">
        <v>12</v>
      </c>
      <c r="E320" s="2142">
        <v>45.97</v>
      </c>
      <c r="F320" s="2142">
        <v>17800</v>
      </c>
      <c r="G320" s="2142">
        <v>818266</v>
      </c>
      <c r="H320" s="2143">
        <v>42577</v>
      </c>
      <c r="I320" s="2142">
        <v>818266</v>
      </c>
    </row>
    <row r="321" spans="1:9" s="2139" customFormat="1" hidden="1">
      <c r="A321" s="2140" t="s">
        <v>3467</v>
      </c>
      <c r="B321" s="2141">
        <v>5</v>
      </c>
      <c r="C321" s="2141" t="s">
        <v>3161</v>
      </c>
      <c r="D321" s="2141">
        <v>13</v>
      </c>
      <c r="E321" s="2142">
        <v>46.2</v>
      </c>
      <c r="F321" s="2142">
        <v>17800</v>
      </c>
      <c r="G321" s="2142">
        <v>822360</v>
      </c>
      <c r="H321" s="2143">
        <v>42577</v>
      </c>
      <c r="I321" s="2142">
        <v>822360</v>
      </c>
    </row>
    <row r="322" spans="1:9" s="2139" customFormat="1" hidden="1">
      <c r="A322" s="2140" t="s">
        <v>3468</v>
      </c>
      <c r="B322" s="2141">
        <v>5</v>
      </c>
      <c r="C322" s="2141" t="s">
        <v>3161</v>
      </c>
      <c r="D322" s="2141">
        <v>15</v>
      </c>
      <c r="E322" s="2142">
        <v>46.49</v>
      </c>
      <c r="F322" s="2142">
        <v>17266</v>
      </c>
      <c r="G322" s="2142">
        <v>802696.34000000008</v>
      </c>
      <c r="H322" s="2143">
        <v>42229</v>
      </c>
      <c r="I322" s="2142">
        <v>802696</v>
      </c>
    </row>
    <row r="323" spans="1:9" s="2139" customFormat="1" hidden="1">
      <c r="A323" s="2140" t="s">
        <v>3469</v>
      </c>
      <c r="B323" s="2141">
        <v>5</v>
      </c>
      <c r="C323" s="2141" t="s">
        <v>3161</v>
      </c>
      <c r="D323" s="2141">
        <v>16</v>
      </c>
      <c r="E323" s="2142">
        <v>46.85</v>
      </c>
      <c r="F323" s="2142">
        <v>17800</v>
      </c>
      <c r="G323" s="2142">
        <v>833930</v>
      </c>
      <c r="H323" s="2143">
        <v>42689</v>
      </c>
      <c r="I323" s="2142">
        <v>463930</v>
      </c>
    </row>
    <row r="324" spans="1:9" s="2139" customFormat="1" hidden="1">
      <c r="A324" s="2140" t="s">
        <v>3470</v>
      </c>
      <c r="B324" s="2141">
        <v>5</v>
      </c>
      <c r="C324" s="2141" t="s">
        <v>3161</v>
      </c>
      <c r="D324" s="2141">
        <v>18</v>
      </c>
      <c r="E324" s="2142">
        <v>48.09</v>
      </c>
      <c r="F324" s="2142">
        <v>17800</v>
      </c>
      <c r="G324" s="2142">
        <v>856002.00000000012</v>
      </c>
      <c r="H324" s="2143"/>
      <c r="I324" s="2142">
        <v>154824</v>
      </c>
    </row>
    <row r="325" spans="1:9" s="2139" customFormat="1" hidden="1">
      <c r="A325" s="2140" t="s">
        <v>3471</v>
      </c>
      <c r="B325" s="2141">
        <v>5</v>
      </c>
      <c r="C325" s="2141" t="s">
        <v>3161</v>
      </c>
      <c r="D325" s="2141">
        <v>19</v>
      </c>
      <c r="E325" s="2142">
        <v>26.63</v>
      </c>
      <c r="F325" s="2142">
        <v>17800</v>
      </c>
      <c r="G325" s="2142">
        <v>474014</v>
      </c>
      <c r="H325" s="2143"/>
      <c r="I325" s="2142">
        <v>153542</v>
      </c>
    </row>
    <row r="326" spans="1:9" s="2139" customFormat="1" hidden="1">
      <c r="A326" s="2140" t="s">
        <v>3472</v>
      </c>
      <c r="B326" s="2141">
        <v>5</v>
      </c>
      <c r="C326" s="2141" t="s">
        <v>3161</v>
      </c>
      <c r="D326" s="2141">
        <v>20</v>
      </c>
      <c r="E326" s="2142">
        <v>23.48</v>
      </c>
      <c r="F326" s="2142">
        <v>17266.009999999998</v>
      </c>
      <c r="G326" s="2142">
        <v>405405.91479999997</v>
      </c>
      <c r="H326" s="2143">
        <v>42009</v>
      </c>
      <c r="I326" s="2142">
        <v>405406</v>
      </c>
    </row>
    <row r="327" spans="1:9" s="2139" customFormat="1" hidden="1">
      <c r="A327" s="2140" t="s">
        <v>3473</v>
      </c>
      <c r="B327" s="3560">
        <v>5</v>
      </c>
      <c r="C327" s="2141" t="s">
        <v>3161</v>
      </c>
      <c r="D327" s="3396">
        <v>26</v>
      </c>
      <c r="E327" s="2142">
        <v>47.73</v>
      </c>
      <c r="F327" s="2142">
        <v>18430.002100000002</v>
      </c>
      <c r="G327" s="2142">
        <v>879664.00023300003</v>
      </c>
      <c r="H327" s="3557">
        <v>42823</v>
      </c>
      <c r="I327" s="2142">
        <v>879664</v>
      </c>
    </row>
    <row r="328" spans="1:9" s="2139" customFormat="1" hidden="1">
      <c r="A328" s="2140" t="s">
        <v>3474</v>
      </c>
      <c r="B328" s="3560">
        <v>5</v>
      </c>
      <c r="C328" s="2141" t="s">
        <v>3161</v>
      </c>
      <c r="D328" s="3396">
        <v>27</v>
      </c>
      <c r="E328" s="2142">
        <v>47.48</v>
      </c>
      <c r="F328" s="2142">
        <v>18429.991580000002</v>
      </c>
      <c r="G328" s="2142">
        <v>875056.00021840003</v>
      </c>
      <c r="H328" s="3557">
        <v>42823</v>
      </c>
      <c r="I328" s="2142">
        <v>875056</v>
      </c>
    </row>
    <row r="329" spans="1:9" s="2139" customFormat="1" hidden="1">
      <c r="A329" s="2140" t="s">
        <v>3475</v>
      </c>
      <c r="B329" s="2141">
        <v>5</v>
      </c>
      <c r="C329" s="2141" t="s">
        <v>3161</v>
      </c>
      <c r="D329" s="2141">
        <v>31</v>
      </c>
      <c r="E329" s="2142">
        <v>47.16</v>
      </c>
      <c r="F329" s="2142">
        <v>17266</v>
      </c>
      <c r="G329" s="2142">
        <v>814264.55999999994</v>
      </c>
      <c r="H329" s="2143">
        <v>42477</v>
      </c>
      <c r="I329" s="2142">
        <v>814265</v>
      </c>
    </row>
    <row r="330" spans="1:9" s="2139" customFormat="1" hidden="1">
      <c r="A330" s="2140" t="s">
        <v>3476</v>
      </c>
      <c r="B330" s="2141">
        <v>5</v>
      </c>
      <c r="C330" s="2141" t="s">
        <v>3161</v>
      </c>
      <c r="D330" s="2141">
        <v>32</v>
      </c>
      <c r="E330" s="2142">
        <v>47.25</v>
      </c>
      <c r="F330" s="2142">
        <v>19000</v>
      </c>
      <c r="G330" s="2142">
        <v>897750</v>
      </c>
      <c r="H330" s="2143">
        <v>42012</v>
      </c>
      <c r="I330" s="2142">
        <v>197750</v>
      </c>
    </row>
    <row r="331" spans="1:9" s="2139" customFormat="1" hidden="1">
      <c r="A331" s="2140" t="s">
        <v>3477</v>
      </c>
      <c r="B331" s="2141">
        <v>5</v>
      </c>
      <c r="C331" s="2141" t="s">
        <v>3161</v>
      </c>
      <c r="D331" s="2141">
        <v>33</v>
      </c>
      <c r="E331" s="2142">
        <v>47.41</v>
      </c>
      <c r="F331" s="2142">
        <v>19000</v>
      </c>
      <c r="G331" s="2142">
        <v>900789.99999999988</v>
      </c>
      <c r="H331" s="2143">
        <v>42553</v>
      </c>
      <c r="I331" s="2142">
        <v>900790</v>
      </c>
    </row>
    <row r="332" spans="1:9" s="2139" customFormat="1" hidden="1">
      <c r="A332" s="2140" t="s">
        <v>3478</v>
      </c>
      <c r="B332" s="2141">
        <v>5</v>
      </c>
      <c r="C332" s="2141" t="s">
        <v>3161</v>
      </c>
      <c r="D332" s="2141">
        <v>35</v>
      </c>
      <c r="E332" s="2142">
        <v>47.64</v>
      </c>
      <c r="F332" s="2142">
        <v>19000</v>
      </c>
      <c r="G332" s="2142">
        <v>905160</v>
      </c>
      <c r="H332" s="2143">
        <v>42029</v>
      </c>
      <c r="I332" s="2142">
        <v>905160</v>
      </c>
    </row>
    <row r="333" spans="1:9" s="2139" customFormat="1" hidden="1">
      <c r="A333" s="2140" t="s">
        <v>3479</v>
      </c>
      <c r="B333" s="2141">
        <v>5</v>
      </c>
      <c r="C333" s="2141" t="s">
        <v>3161</v>
      </c>
      <c r="D333" s="2141">
        <v>37</v>
      </c>
      <c r="E333" s="2142">
        <v>48.31</v>
      </c>
      <c r="F333" s="2142">
        <v>19000</v>
      </c>
      <c r="G333" s="2142">
        <v>917890</v>
      </c>
      <c r="H333" s="2143">
        <v>42078</v>
      </c>
      <c r="I333" s="2142">
        <v>917890</v>
      </c>
    </row>
    <row r="334" spans="1:9" s="2139" customFormat="1" hidden="1">
      <c r="A334" s="2140" t="s">
        <v>3480</v>
      </c>
      <c r="B334" s="2141">
        <v>5</v>
      </c>
      <c r="C334" s="2141" t="s">
        <v>3161</v>
      </c>
      <c r="D334" s="2141">
        <v>38</v>
      </c>
      <c r="E334" s="2142">
        <v>52.94</v>
      </c>
      <c r="F334" s="2142">
        <v>19000</v>
      </c>
      <c r="G334" s="2142">
        <v>1005860</v>
      </c>
      <c r="H334" s="2143">
        <v>42484</v>
      </c>
      <c r="I334" s="2142">
        <v>1005860</v>
      </c>
    </row>
    <row r="335" spans="1:9" s="2139" customFormat="1" hidden="1">
      <c r="A335" s="2140" t="s">
        <v>3481</v>
      </c>
      <c r="B335" s="2141">
        <v>5</v>
      </c>
      <c r="C335" s="2141" t="s">
        <v>3161</v>
      </c>
      <c r="D335" s="2141">
        <v>41</v>
      </c>
      <c r="E335" s="2142">
        <v>38.159999999999997</v>
      </c>
      <c r="F335" s="2142">
        <v>19500</v>
      </c>
      <c r="G335" s="2142">
        <v>744119.99999999988</v>
      </c>
      <c r="H335" s="2143">
        <v>42072</v>
      </c>
      <c r="I335" s="2142">
        <v>374120</v>
      </c>
    </row>
    <row r="336" spans="1:9" s="2139" customFormat="1" hidden="1">
      <c r="A336" s="2140" t="s">
        <v>3482</v>
      </c>
      <c r="B336" s="2141">
        <v>5</v>
      </c>
      <c r="C336" s="2141" t="s">
        <v>3161</v>
      </c>
      <c r="D336" s="2141">
        <v>42</v>
      </c>
      <c r="E336" s="2142">
        <v>43.47</v>
      </c>
      <c r="F336" s="2142">
        <v>26966</v>
      </c>
      <c r="G336" s="2142">
        <v>1172212.02</v>
      </c>
      <c r="H336" s="2143">
        <v>42636</v>
      </c>
      <c r="I336" s="2142">
        <v>1172212</v>
      </c>
    </row>
    <row r="337" spans="1:9" s="2139" customFormat="1" hidden="1">
      <c r="A337" s="2140" t="s">
        <v>3483</v>
      </c>
      <c r="B337" s="2141">
        <v>5</v>
      </c>
      <c r="C337" s="2141" t="s">
        <v>3161</v>
      </c>
      <c r="D337" s="2141">
        <v>43</v>
      </c>
      <c r="E337" s="2142">
        <v>45.04</v>
      </c>
      <c r="F337" s="2142">
        <v>27800</v>
      </c>
      <c r="G337" s="2142">
        <v>1252112</v>
      </c>
      <c r="H337" s="2143">
        <v>42587</v>
      </c>
      <c r="I337" s="2142">
        <v>1252112</v>
      </c>
    </row>
    <row r="338" spans="1:9" s="2139" customFormat="1" hidden="1">
      <c r="A338" s="2140" t="s">
        <v>3484</v>
      </c>
      <c r="B338" s="2141">
        <v>5</v>
      </c>
      <c r="C338" s="2141" t="s">
        <v>3161</v>
      </c>
      <c r="D338" s="2141">
        <v>45</v>
      </c>
      <c r="E338" s="2142">
        <v>58.77</v>
      </c>
      <c r="F338" s="2142">
        <v>27800</v>
      </c>
      <c r="G338" s="2142">
        <v>1633806</v>
      </c>
      <c r="H338" s="2143">
        <v>42012</v>
      </c>
      <c r="I338" s="2142">
        <v>333806</v>
      </c>
    </row>
    <row r="339" spans="1:9" s="2139" customFormat="1" hidden="1">
      <c r="A339" s="2140" t="s">
        <v>3485</v>
      </c>
      <c r="B339" s="2141">
        <v>5</v>
      </c>
      <c r="C339" s="2141" t="s">
        <v>3161</v>
      </c>
      <c r="D339" s="2141">
        <v>46</v>
      </c>
      <c r="E339" s="2142">
        <v>36.630000000000003</v>
      </c>
      <c r="F339" s="2142">
        <v>27000</v>
      </c>
      <c r="G339" s="2142">
        <v>989010.00000000012</v>
      </c>
      <c r="H339" s="2143">
        <v>42622</v>
      </c>
      <c r="I339" s="2142">
        <v>499010</v>
      </c>
    </row>
    <row r="340" spans="1:9" s="2139" customFormat="1" hidden="1">
      <c r="A340" s="2140" t="s">
        <v>3486</v>
      </c>
      <c r="B340" s="2141">
        <v>5</v>
      </c>
      <c r="C340" s="2141" t="s">
        <v>3161</v>
      </c>
      <c r="D340" s="2141">
        <v>47</v>
      </c>
      <c r="E340" s="2142">
        <v>48.52</v>
      </c>
      <c r="F340" s="2142">
        <v>27800</v>
      </c>
      <c r="G340" s="2142">
        <v>1348856</v>
      </c>
      <c r="H340" s="2143">
        <v>42012</v>
      </c>
      <c r="I340" s="2142">
        <v>278856</v>
      </c>
    </row>
    <row r="341" spans="1:9" s="2139" customFormat="1" hidden="1">
      <c r="A341" s="2140" t="s">
        <v>3487</v>
      </c>
      <c r="B341" s="2141">
        <v>5</v>
      </c>
      <c r="C341" s="2141" t="s">
        <v>3161</v>
      </c>
      <c r="D341" s="2141">
        <v>51</v>
      </c>
      <c r="E341" s="2142">
        <v>41.76</v>
      </c>
      <c r="F341" s="2142">
        <v>27800</v>
      </c>
      <c r="G341" s="2142">
        <v>1160928</v>
      </c>
      <c r="H341" s="2143">
        <v>42587</v>
      </c>
      <c r="I341" s="2142">
        <v>1160928</v>
      </c>
    </row>
    <row r="342" spans="1:9" s="2139" customFormat="1" hidden="1">
      <c r="A342" s="2140" t="s">
        <v>3488</v>
      </c>
      <c r="B342" s="2141">
        <v>5</v>
      </c>
      <c r="C342" s="2141" t="s">
        <v>3161</v>
      </c>
      <c r="D342" s="2141">
        <v>52</v>
      </c>
      <c r="E342" s="2142">
        <v>38.46</v>
      </c>
      <c r="F342" s="2142">
        <v>27800</v>
      </c>
      <c r="G342" s="2142">
        <v>1069188</v>
      </c>
      <c r="H342" s="2143">
        <v>42587</v>
      </c>
      <c r="I342" s="2142">
        <v>1069188</v>
      </c>
    </row>
    <row r="343" spans="1:9" s="2139" customFormat="1" hidden="1">
      <c r="A343" s="2140" t="s">
        <v>3489</v>
      </c>
      <c r="B343" s="2141">
        <v>5</v>
      </c>
      <c r="C343" s="2141" t="s">
        <v>3161</v>
      </c>
      <c r="D343" s="2141">
        <v>56</v>
      </c>
      <c r="E343" s="2142">
        <v>38.46</v>
      </c>
      <c r="F343" s="2142">
        <v>18200</v>
      </c>
      <c r="G343" s="2142">
        <v>699972</v>
      </c>
      <c r="H343" s="2143">
        <v>42520</v>
      </c>
      <c r="I343" s="2142">
        <v>699972</v>
      </c>
    </row>
    <row r="344" spans="1:9" s="2139" customFormat="1" hidden="1">
      <c r="A344" s="2140" t="s">
        <v>3490</v>
      </c>
      <c r="B344" s="2141">
        <v>5</v>
      </c>
      <c r="C344" s="2141" t="s">
        <v>3161</v>
      </c>
      <c r="D344" s="2141">
        <v>57</v>
      </c>
      <c r="E344" s="2142">
        <v>38.46</v>
      </c>
      <c r="F344" s="2142">
        <v>18200</v>
      </c>
      <c r="G344" s="2142">
        <v>699972</v>
      </c>
      <c r="H344" s="2143">
        <v>42520</v>
      </c>
      <c r="I344" s="2142">
        <v>699972</v>
      </c>
    </row>
    <row r="345" spans="1:9" s="2139" customFormat="1" hidden="1">
      <c r="A345" s="2140" t="s">
        <v>3491</v>
      </c>
      <c r="B345" s="2141">
        <v>5</v>
      </c>
      <c r="C345" s="2141" t="s">
        <v>3161</v>
      </c>
      <c r="D345" s="2141">
        <v>58</v>
      </c>
      <c r="E345" s="2142">
        <v>56.04</v>
      </c>
      <c r="F345" s="2142">
        <v>21800</v>
      </c>
      <c r="G345" s="2142">
        <v>1221672</v>
      </c>
      <c r="H345" s="2143">
        <v>42520</v>
      </c>
      <c r="I345" s="2142">
        <v>1221672</v>
      </c>
    </row>
    <row r="346" spans="1:9" s="2139" customFormat="1" hidden="1">
      <c r="A346" s="2140" t="s">
        <v>3492</v>
      </c>
      <c r="B346" s="2141">
        <v>5</v>
      </c>
      <c r="C346" s="2141" t="s">
        <v>3161</v>
      </c>
      <c r="D346" s="2141">
        <v>59</v>
      </c>
      <c r="E346" s="2142">
        <v>85.16</v>
      </c>
      <c r="F346" s="2142">
        <v>18200</v>
      </c>
      <c r="G346" s="2142">
        <v>1549912</v>
      </c>
      <c r="H346" s="2143">
        <v>42520</v>
      </c>
      <c r="I346" s="2142">
        <v>1549912</v>
      </c>
    </row>
    <row r="347" spans="1:9" s="2139" customFormat="1" hidden="1">
      <c r="A347" s="2140" t="s">
        <v>3493</v>
      </c>
      <c r="B347" s="2141">
        <v>5</v>
      </c>
      <c r="C347" s="2141" t="s">
        <v>3161</v>
      </c>
      <c r="D347" s="2141">
        <v>61</v>
      </c>
      <c r="E347" s="2142">
        <v>33.85</v>
      </c>
      <c r="F347" s="2142">
        <v>17945</v>
      </c>
      <c r="G347" s="2142">
        <v>607438.25</v>
      </c>
      <c r="H347" s="2143">
        <v>42023</v>
      </c>
      <c r="I347" s="2142">
        <v>607438</v>
      </c>
    </row>
    <row r="348" spans="1:9" s="2139" customFormat="1" hidden="1">
      <c r="A348" s="2140" t="s">
        <v>3494</v>
      </c>
      <c r="B348" s="2141">
        <v>5</v>
      </c>
      <c r="C348" s="2141" t="s">
        <v>3161</v>
      </c>
      <c r="D348" s="2141">
        <v>62</v>
      </c>
      <c r="E348" s="2142">
        <v>30.77</v>
      </c>
      <c r="F348" s="2142">
        <v>17800</v>
      </c>
      <c r="G348" s="2142">
        <v>547706</v>
      </c>
      <c r="H348" s="2143">
        <v>42729</v>
      </c>
      <c r="I348" s="2142">
        <v>547706</v>
      </c>
    </row>
    <row r="349" spans="1:9" s="2139" customFormat="1" hidden="1">
      <c r="A349" s="2140" t="s">
        <v>3495</v>
      </c>
      <c r="B349" s="2141">
        <v>5</v>
      </c>
      <c r="C349" s="2141" t="s">
        <v>3161</v>
      </c>
      <c r="D349" s="2141">
        <v>63</v>
      </c>
      <c r="E349" s="2142">
        <v>32.53</v>
      </c>
      <c r="F349" s="2142">
        <v>17800</v>
      </c>
      <c r="G349" s="2142">
        <v>579034</v>
      </c>
      <c r="H349" s="2143">
        <v>42025</v>
      </c>
      <c r="I349" s="2142">
        <v>579034</v>
      </c>
    </row>
    <row r="350" spans="1:9" s="2139" customFormat="1" hidden="1">
      <c r="A350" s="2140" t="s">
        <v>3496</v>
      </c>
      <c r="B350" s="2141">
        <v>5</v>
      </c>
      <c r="C350" s="2141" t="s">
        <v>3161</v>
      </c>
      <c r="D350" s="2141">
        <v>65</v>
      </c>
      <c r="E350" s="2142">
        <v>93.41</v>
      </c>
      <c r="F350" s="2142">
        <v>19400</v>
      </c>
      <c r="G350" s="2142">
        <v>1812154</v>
      </c>
      <c r="H350" s="2143">
        <v>42618</v>
      </c>
      <c r="I350" s="2142">
        <v>1812154</v>
      </c>
    </row>
    <row r="351" spans="1:9" s="2139" customFormat="1" hidden="1">
      <c r="A351" s="2140" t="s">
        <v>3497</v>
      </c>
      <c r="B351" s="2141">
        <v>5</v>
      </c>
      <c r="C351" s="2141" t="s">
        <v>3161</v>
      </c>
      <c r="D351" s="2141">
        <v>67</v>
      </c>
      <c r="E351" s="2142">
        <v>46.26</v>
      </c>
      <c r="F351" s="2142">
        <v>22800</v>
      </c>
      <c r="G351" s="2142">
        <v>1054728</v>
      </c>
      <c r="H351" s="2143">
        <v>42084</v>
      </c>
      <c r="I351" s="2142">
        <v>1054728</v>
      </c>
    </row>
    <row r="352" spans="1:9" s="2139" customFormat="1" hidden="1">
      <c r="A352" s="2140" t="s">
        <v>3498</v>
      </c>
      <c r="B352" s="2141">
        <v>5</v>
      </c>
      <c r="C352" s="2141" t="s">
        <v>3161</v>
      </c>
      <c r="D352" s="2141">
        <v>68</v>
      </c>
      <c r="E352" s="2142">
        <v>42.6</v>
      </c>
      <c r="F352" s="2142">
        <v>23800</v>
      </c>
      <c r="G352" s="2142">
        <v>1013880</v>
      </c>
      <c r="H352" s="2143">
        <v>42084</v>
      </c>
      <c r="I352" s="2142">
        <v>1013880</v>
      </c>
    </row>
    <row r="353" spans="1:9" s="2139" customFormat="1" hidden="1">
      <c r="A353" s="2140" t="s">
        <v>3499</v>
      </c>
      <c r="B353" s="2141">
        <v>5</v>
      </c>
      <c r="C353" s="2141" t="s">
        <v>3161</v>
      </c>
      <c r="D353" s="2141">
        <v>69</v>
      </c>
      <c r="E353" s="2142">
        <v>43.97</v>
      </c>
      <c r="F353" s="2142">
        <v>23800</v>
      </c>
      <c r="G353" s="2142">
        <v>1046486</v>
      </c>
      <c r="H353" s="2143">
        <v>42084</v>
      </c>
      <c r="I353" s="2142">
        <v>1046486</v>
      </c>
    </row>
    <row r="354" spans="1:9" s="2139" customFormat="1" hidden="1">
      <c r="A354" s="2140" t="s">
        <v>3500</v>
      </c>
      <c r="B354" s="2141">
        <v>5</v>
      </c>
      <c r="C354" s="2141" t="s">
        <v>3161</v>
      </c>
      <c r="D354" s="2141">
        <v>70</v>
      </c>
      <c r="E354" s="2142">
        <v>54.02</v>
      </c>
      <c r="F354" s="2142">
        <v>23800</v>
      </c>
      <c r="G354" s="2142">
        <v>1285676</v>
      </c>
      <c r="H354" s="2143">
        <v>42084</v>
      </c>
      <c r="I354" s="2142">
        <v>645676</v>
      </c>
    </row>
    <row r="355" spans="1:9" s="2139" customFormat="1" hidden="1">
      <c r="A355" s="2140" t="s">
        <v>3501</v>
      </c>
      <c r="B355" s="3560">
        <v>5</v>
      </c>
      <c r="C355" s="2141" t="s">
        <v>3161</v>
      </c>
      <c r="D355" s="3396">
        <v>71</v>
      </c>
      <c r="E355" s="2142">
        <v>49.98</v>
      </c>
      <c r="F355" s="2142">
        <v>17800</v>
      </c>
      <c r="G355" s="2142">
        <v>889644</v>
      </c>
      <c r="H355" s="3557">
        <v>42827</v>
      </c>
      <c r="I355" s="2142">
        <v>539644</v>
      </c>
    </row>
    <row r="356" spans="1:9" s="2139" customFormat="1" hidden="1">
      <c r="A356" s="2140" t="s">
        <v>3502</v>
      </c>
      <c r="B356" s="2141">
        <v>5</v>
      </c>
      <c r="C356" s="2141" t="s">
        <v>3161</v>
      </c>
      <c r="D356" s="2141">
        <v>72</v>
      </c>
      <c r="E356" s="2142">
        <v>74.61</v>
      </c>
      <c r="F356" s="2142">
        <v>18430</v>
      </c>
      <c r="G356" s="2142">
        <v>1375062.3</v>
      </c>
      <c r="H356" s="2143">
        <v>42021</v>
      </c>
      <c r="I356" s="2142">
        <v>1375062</v>
      </c>
    </row>
    <row r="357" spans="1:9" s="2139" customFormat="1" hidden="1">
      <c r="A357" s="2140" t="s">
        <v>3503</v>
      </c>
      <c r="B357" s="2141">
        <v>5</v>
      </c>
      <c r="C357" s="2141" t="s">
        <v>3161</v>
      </c>
      <c r="D357" s="2141">
        <v>73</v>
      </c>
      <c r="E357" s="2142">
        <v>55.28</v>
      </c>
      <c r="F357" s="2142">
        <v>18000</v>
      </c>
      <c r="G357" s="2142">
        <v>995040</v>
      </c>
      <c r="H357" s="2143">
        <v>42011</v>
      </c>
      <c r="I357" s="2142">
        <v>995040</v>
      </c>
    </row>
    <row r="358" spans="1:9" s="2139" customFormat="1" hidden="1">
      <c r="A358" s="2140" t="s">
        <v>3504</v>
      </c>
      <c r="B358" s="2141">
        <v>5</v>
      </c>
      <c r="C358" s="2141" t="s">
        <v>3161</v>
      </c>
      <c r="D358" s="2141">
        <v>75</v>
      </c>
      <c r="E358" s="2142">
        <v>65.87</v>
      </c>
      <c r="F358" s="2142">
        <v>18000</v>
      </c>
      <c r="G358" s="2142">
        <v>1185660</v>
      </c>
      <c r="H358" s="2143"/>
      <c r="I358" s="2142">
        <v>332928</v>
      </c>
    </row>
    <row r="359" spans="1:9" s="2139" customFormat="1" hidden="1">
      <c r="A359" s="2140" t="s">
        <v>3505</v>
      </c>
      <c r="B359" s="2141">
        <v>5</v>
      </c>
      <c r="C359" s="2141" t="s">
        <v>3161</v>
      </c>
      <c r="D359" s="2141">
        <v>76</v>
      </c>
      <c r="E359" s="2142">
        <v>76.69</v>
      </c>
      <c r="F359" s="2142">
        <v>19000</v>
      </c>
      <c r="G359" s="2142">
        <v>1457110</v>
      </c>
      <c r="H359" s="2143"/>
      <c r="I359" s="2142">
        <v>163837</v>
      </c>
    </row>
    <row r="360" spans="1:9" s="2139" customFormat="1" hidden="1">
      <c r="A360" s="2140" t="s">
        <v>3506</v>
      </c>
      <c r="B360" s="2141">
        <v>5</v>
      </c>
      <c r="C360" s="2141" t="s">
        <v>3161</v>
      </c>
      <c r="D360" s="2141">
        <v>77</v>
      </c>
      <c r="E360" s="2142">
        <v>84.36</v>
      </c>
      <c r="F360" s="2142">
        <v>19000</v>
      </c>
      <c r="G360" s="2142">
        <v>1602840</v>
      </c>
      <c r="H360" s="2143"/>
      <c r="I360" s="2142">
        <v>194541</v>
      </c>
    </row>
    <row r="361" spans="1:9" s="2139" customFormat="1" hidden="1">
      <c r="A361" s="2140" t="s">
        <v>3507</v>
      </c>
      <c r="B361" s="2141">
        <v>5</v>
      </c>
      <c r="C361" s="2141" t="s">
        <v>3161</v>
      </c>
      <c r="D361" s="2141">
        <v>78</v>
      </c>
      <c r="E361" s="2142">
        <v>82.01</v>
      </c>
      <c r="F361" s="2142">
        <v>23800</v>
      </c>
      <c r="G361" s="2142">
        <v>1951838.0000000002</v>
      </c>
      <c r="H361" s="2143"/>
      <c r="I361" s="2142">
        <v>199706</v>
      </c>
    </row>
    <row r="362" spans="1:9" s="2139" customFormat="1" hidden="1">
      <c r="A362" s="2140" t="s">
        <v>3508</v>
      </c>
      <c r="B362" s="2141">
        <v>5</v>
      </c>
      <c r="C362" s="2141" t="s">
        <v>3161</v>
      </c>
      <c r="D362" s="2141">
        <v>79</v>
      </c>
      <c r="E362" s="2142">
        <v>72.81</v>
      </c>
      <c r="F362" s="2142">
        <v>23500</v>
      </c>
      <c r="G362" s="2142">
        <v>1711035</v>
      </c>
      <c r="H362" s="2143"/>
      <c r="I362" s="2142">
        <v>196178</v>
      </c>
    </row>
    <row r="363" spans="1:9" s="2139" customFormat="1" hidden="1">
      <c r="A363" s="2140" t="s">
        <v>3509</v>
      </c>
      <c r="B363" s="2141">
        <v>5</v>
      </c>
      <c r="C363" s="2141" t="s">
        <v>3161</v>
      </c>
      <c r="D363" s="2141">
        <v>80</v>
      </c>
      <c r="E363" s="2142">
        <v>78.819999999999993</v>
      </c>
      <c r="F363" s="2142">
        <v>23800</v>
      </c>
      <c r="G363" s="2142">
        <v>1875915.9999999998</v>
      </c>
      <c r="H363" s="2143">
        <v>42236</v>
      </c>
      <c r="I363" s="2142">
        <v>108551</v>
      </c>
    </row>
    <row r="364" spans="1:9" s="2139" customFormat="1" hidden="1">
      <c r="A364" s="2140" t="s">
        <v>3510</v>
      </c>
      <c r="B364" s="2141">
        <v>5</v>
      </c>
      <c r="C364" s="2141" t="s">
        <v>3161</v>
      </c>
      <c r="D364" s="2141">
        <v>81</v>
      </c>
      <c r="E364" s="2142">
        <v>78.819999999999993</v>
      </c>
      <c r="F364" s="2142">
        <v>22800</v>
      </c>
      <c r="G364" s="2142">
        <v>1797095.9999999998</v>
      </c>
      <c r="H364" s="2143">
        <v>42027</v>
      </c>
      <c r="I364" s="2142">
        <v>377096</v>
      </c>
    </row>
    <row r="365" spans="1:9" s="2139" customFormat="1" hidden="1">
      <c r="A365" s="2140" t="s">
        <v>3511</v>
      </c>
      <c r="B365" s="2141">
        <v>5</v>
      </c>
      <c r="C365" s="2141" t="s">
        <v>3161</v>
      </c>
      <c r="D365" s="2141">
        <v>82</v>
      </c>
      <c r="E365" s="2142">
        <v>78.47</v>
      </c>
      <c r="F365" s="2142">
        <v>17800</v>
      </c>
      <c r="G365" s="2142">
        <v>1396766</v>
      </c>
      <c r="H365" s="2143">
        <v>42027</v>
      </c>
      <c r="I365" s="2142">
        <v>296766</v>
      </c>
    </row>
    <row r="366" spans="1:9" s="2139" customFormat="1" hidden="1">
      <c r="A366" s="2140" t="s">
        <v>3512</v>
      </c>
      <c r="B366" s="2141">
        <v>5</v>
      </c>
      <c r="C366" s="2141" t="s">
        <v>3161</v>
      </c>
      <c r="D366" s="2141">
        <v>87</v>
      </c>
      <c r="E366" s="2142">
        <v>49.85</v>
      </c>
      <c r="F366" s="2142">
        <v>17460</v>
      </c>
      <c r="G366" s="2142">
        <v>870381</v>
      </c>
      <c r="H366" s="2143">
        <v>42480</v>
      </c>
      <c r="I366" s="2142">
        <v>870381</v>
      </c>
    </row>
    <row r="367" spans="1:9" s="2139" customFormat="1" hidden="1">
      <c r="A367" s="2140" t="s">
        <v>3513</v>
      </c>
      <c r="B367" s="2141">
        <v>5</v>
      </c>
      <c r="C367" s="2141" t="s">
        <v>3161</v>
      </c>
      <c r="D367" s="2141">
        <v>88</v>
      </c>
      <c r="E367" s="2142">
        <v>52.09</v>
      </c>
      <c r="F367" s="2142">
        <v>19000</v>
      </c>
      <c r="G367" s="2142">
        <v>989710.00000000012</v>
      </c>
      <c r="H367" s="2143">
        <v>42015</v>
      </c>
      <c r="I367" s="2142">
        <v>989710</v>
      </c>
    </row>
    <row r="368" spans="1:9" s="2139" customFormat="1" hidden="1">
      <c r="A368" s="2140" t="s">
        <v>3514</v>
      </c>
      <c r="B368" s="2141">
        <v>5</v>
      </c>
      <c r="C368" s="2141" t="s">
        <v>3161</v>
      </c>
      <c r="D368" s="2141">
        <v>89</v>
      </c>
      <c r="E368" s="2142">
        <v>80.88</v>
      </c>
      <c r="F368" s="2142">
        <v>23800</v>
      </c>
      <c r="G368" s="2142">
        <v>1924944</v>
      </c>
      <c r="H368" s="2143"/>
      <c r="I368" s="2142">
        <v>427068</v>
      </c>
    </row>
    <row r="369" spans="1:9" s="2139" customFormat="1" hidden="1">
      <c r="A369" s="2140" t="s">
        <v>3515</v>
      </c>
      <c r="B369" s="2141">
        <v>5</v>
      </c>
      <c r="C369" s="2141" t="s">
        <v>3161</v>
      </c>
      <c r="D369" s="2141">
        <v>90</v>
      </c>
      <c r="E369" s="2142">
        <v>76.33</v>
      </c>
      <c r="F369" s="2142">
        <v>22800</v>
      </c>
      <c r="G369" s="2142">
        <v>1740324</v>
      </c>
      <c r="H369" s="2143"/>
      <c r="I369" s="2142">
        <v>377660</v>
      </c>
    </row>
    <row r="370" spans="1:9" s="2139" customFormat="1" hidden="1">
      <c r="A370" s="2140" t="s">
        <v>3516</v>
      </c>
      <c r="B370" s="2141">
        <v>5</v>
      </c>
      <c r="C370" s="2141" t="s">
        <v>3161</v>
      </c>
      <c r="D370" s="2141">
        <v>91</v>
      </c>
      <c r="E370" s="2142">
        <v>78.11</v>
      </c>
      <c r="F370" s="2142">
        <v>22800</v>
      </c>
      <c r="G370" s="2142">
        <v>1780908</v>
      </c>
      <c r="H370" s="2143"/>
      <c r="I370" s="2142">
        <v>348020</v>
      </c>
    </row>
    <row r="371" spans="1:9" s="2139" customFormat="1" hidden="1">
      <c r="A371" s="2140" t="s">
        <v>3517</v>
      </c>
      <c r="B371" s="2141">
        <v>5</v>
      </c>
      <c r="C371" s="2141" t="s">
        <v>3161</v>
      </c>
      <c r="D371" s="2141">
        <v>93</v>
      </c>
      <c r="E371" s="2142">
        <v>74.56</v>
      </c>
      <c r="F371" s="2142">
        <v>22800</v>
      </c>
      <c r="G371" s="2142">
        <v>1699968</v>
      </c>
      <c r="H371" s="2143">
        <v>42688</v>
      </c>
      <c r="I371" s="2142">
        <v>859968</v>
      </c>
    </row>
    <row r="372" spans="1:9" s="2139" customFormat="1" hidden="1">
      <c r="A372" s="2140" t="s">
        <v>3518</v>
      </c>
      <c r="B372" s="2141">
        <v>5</v>
      </c>
      <c r="C372" s="2141" t="s">
        <v>3161</v>
      </c>
      <c r="D372" s="2141">
        <v>96</v>
      </c>
      <c r="E372" s="2142">
        <v>70.069999999999993</v>
      </c>
      <c r="F372" s="2142">
        <v>21800</v>
      </c>
      <c r="G372" s="2142">
        <v>1527525.9999999998</v>
      </c>
      <c r="H372" s="2143">
        <v>42067</v>
      </c>
      <c r="I372" s="2142">
        <v>767526</v>
      </c>
    </row>
    <row r="373" spans="1:9" s="2139" customFormat="1" hidden="1">
      <c r="A373" s="2140" t="s">
        <v>3519</v>
      </c>
      <c r="B373" s="2141">
        <v>5</v>
      </c>
      <c r="C373" s="2141" t="s">
        <v>3161</v>
      </c>
      <c r="D373" s="2141">
        <v>102</v>
      </c>
      <c r="E373" s="2142">
        <v>74.56</v>
      </c>
      <c r="F373" s="2142">
        <v>22800</v>
      </c>
      <c r="G373" s="2142">
        <v>1699968</v>
      </c>
      <c r="H373" s="2143">
        <v>42482</v>
      </c>
      <c r="I373" s="2142">
        <v>1699968</v>
      </c>
    </row>
    <row r="374" spans="1:9" s="2139" customFormat="1" hidden="1">
      <c r="A374" s="2140" t="s">
        <v>3520</v>
      </c>
      <c r="B374" s="2141">
        <v>5</v>
      </c>
      <c r="C374" s="2141" t="s">
        <v>3161</v>
      </c>
      <c r="D374" s="2141">
        <v>103</v>
      </c>
      <c r="E374" s="2142">
        <v>74.52</v>
      </c>
      <c r="F374" s="2142">
        <v>22800</v>
      </c>
      <c r="G374" s="2142">
        <v>1699056</v>
      </c>
      <c r="H374" s="2143">
        <v>42482</v>
      </c>
      <c r="I374" s="2142">
        <v>1699056</v>
      </c>
    </row>
    <row r="375" spans="1:9" s="2139" customFormat="1" hidden="1">
      <c r="A375" s="2140" t="s">
        <v>3521</v>
      </c>
      <c r="B375" s="2141">
        <v>5</v>
      </c>
      <c r="C375" s="2141" t="s">
        <v>3161</v>
      </c>
      <c r="D375" s="2141">
        <v>105</v>
      </c>
      <c r="E375" s="2142">
        <v>110.9</v>
      </c>
      <c r="F375" s="2142">
        <v>23500</v>
      </c>
      <c r="G375" s="2142">
        <v>2606150</v>
      </c>
      <c r="H375" s="2143">
        <v>42482</v>
      </c>
      <c r="I375" s="2142">
        <v>2606150</v>
      </c>
    </row>
    <row r="376" spans="1:9" s="2139" customFormat="1" hidden="1">
      <c r="A376" s="2140" t="s">
        <v>3522</v>
      </c>
      <c r="B376" s="2141">
        <v>5</v>
      </c>
      <c r="C376" s="2141" t="s">
        <v>3161</v>
      </c>
      <c r="D376" s="2141">
        <v>106</v>
      </c>
      <c r="E376" s="2142">
        <v>56.84</v>
      </c>
      <c r="F376" s="2142">
        <v>19000</v>
      </c>
      <c r="G376" s="2142">
        <v>1079960</v>
      </c>
      <c r="H376" s="2143">
        <v>42013</v>
      </c>
      <c r="I376" s="2142">
        <v>1079960</v>
      </c>
    </row>
    <row r="377" spans="1:9" s="2139" customFormat="1" hidden="1">
      <c r="A377" s="2140" t="s">
        <v>3523</v>
      </c>
      <c r="B377" s="2141">
        <v>5</v>
      </c>
      <c r="C377" s="2141" t="s">
        <v>3161</v>
      </c>
      <c r="D377" s="2141">
        <v>107</v>
      </c>
      <c r="E377" s="2142">
        <v>48.41</v>
      </c>
      <c r="F377" s="2142">
        <v>19000</v>
      </c>
      <c r="G377" s="2142">
        <v>919789.99999999988</v>
      </c>
      <c r="H377" s="2143">
        <v>42013</v>
      </c>
      <c r="I377" s="2142">
        <v>919790</v>
      </c>
    </row>
    <row r="378" spans="1:9" s="2139" customFormat="1" hidden="1">
      <c r="A378" s="2140" t="s">
        <v>3524</v>
      </c>
      <c r="B378" s="2141">
        <v>5</v>
      </c>
      <c r="C378" s="2141" t="s">
        <v>3161</v>
      </c>
      <c r="D378" s="2141">
        <v>108</v>
      </c>
      <c r="E378" s="2142">
        <v>48.64</v>
      </c>
      <c r="F378" s="2142">
        <v>19000</v>
      </c>
      <c r="G378" s="2142">
        <v>924160</v>
      </c>
      <c r="H378" s="2143">
        <v>42013</v>
      </c>
      <c r="I378" s="2142">
        <v>924160</v>
      </c>
    </row>
    <row r="379" spans="1:9" s="2139" customFormat="1" hidden="1">
      <c r="A379" s="2140" t="s">
        <v>3525</v>
      </c>
      <c r="B379" s="2141">
        <v>5</v>
      </c>
      <c r="C379" s="2141" t="s">
        <v>3161</v>
      </c>
      <c r="D379" s="2141">
        <v>109</v>
      </c>
      <c r="E379" s="2142">
        <v>48.64</v>
      </c>
      <c r="F379" s="2142">
        <v>19000</v>
      </c>
      <c r="G379" s="2142">
        <v>924160</v>
      </c>
      <c r="H379" s="2143">
        <v>42654</v>
      </c>
      <c r="I379" s="2142">
        <v>924160</v>
      </c>
    </row>
    <row r="380" spans="1:9" s="2139" customFormat="1" hidden="1">
      <c r="A380" s="2140" t="s">
        <v>3526</v>
      </c>
      <c r="B380" s="2141">
        <v>5</v>
      </c>
      <c r="C380" s="2141" t="s">
        <v>3161</v>
      </c>
      <c r="D380" s="2141">
        <v>110</v>
      </c>
      <c r="E380" s="2142">
        <v>48.64</v>
      </c>
      <c r="F380" s="2142">
        <v>17800</v>
      </c>
      <c r="G380" s="2142">
        <v>865792</v>
      </c>
      <c r="H380" s="2143">
        <v>42023</v>
      </c>
      <c r="I380" s="2142">
        <v>865792</v>
      </c>
    </row>
    <row r="381" spans="1:9" s="2139" customFormat="1" hidden="1">
      <c r="A381" s="2140" t="s">
        <v>3527</v>
      </c>
      <c r="B381" s="2141">
        <v>5</v>
      </c>
      <c r="C381" s="2141" t="s">
        <v>3161</v>
      </c>
      <c r="D381" s="2141">
        <v>111</v>
      </c>
      <c r="E381" s="2142">
        <v>48.64</v>
      </c>
      <c r="F381" s="2142">
        <v>19000</v>
      </c>
      <c r="G381" s="2142">
        <v>924160</v>
      </c>
      <c r="H381" s="2143">
        <v>42011</v>
      </c>
      <c r="I381" s="2142">
        <v>924160</v>
      </c>
    </row>
    <row r="382" spans="1:9" s="2139" customFormat="1" hidden="1">
      <c r="A382" s="2140" t="s">
        <v>3528</v>
      </c>
      <c r="B382" s="2141">
        <v>5</v>
      </c>
      <c r="C382" s="2141" t="s">
        <v>3161</v>
      </c>
      <c r="D382" s="2141">
        <v>112</v>
      </c>
      <c r="E382" s="2142">
        <v>48.64</v>
      </c>
      <c r="F382" s="2142">
        <v>19000</v>
      </c>
      <c r="G382" s="2142">
        <v>924160</v>
      </c>
      <c r="H382" s="2143">
        <v>42011</v>
      </c>
      <c r="I382" s="2142">
        <v>924160</v>
      </c>
    </row>
    <row r="383" spans="1:9" s="2139" customFormat="1" hidden="1">
      <c r="A383" s="2140" t="s">
        <v>3529</v>
      </c>
      <c r="B383" s="2141">
        <v>5</v>
      </c>
      <c r="C383" s="2141" t="s">
        <v>3161</v>
      </c>
      <c r="D383" s="2141">
        <v>113</v>
      </c>
      <c r="E383" s="2142">
        <v>52.12</v>
      </c>
      <c r="F383" s="2142">
        <v>26300</v>
      </c>
      <c r="G383" s="2142">
        <v>1370756</v>
      </c>
      <c r="H383" s="2143">
        <v>42008</v>
      </c>
      <c r="I383" s="2142">
        <v>1370756</v>
      </c>
    </row>
    <row r="384" spans="1:9" s="2139" customFormat="1" hidden="1">
      <c r="A384" s="2140" t="s">
        <v>3530</v>
      </c>
      <c r="B384" s="3560">
        <v>5</v>
      </c>
      <c r="C384" s="2141" t="s">
        <v>3161</v>
      </c>
      <c r="D384" s="3396">
        <v>115</v>
      </c>
      <c r="E384" s="2142">
        <v>42.22</v>
      </c>
      <c r="F384" s="2142">
        <v>22800</v>
      </c>
      <c r="G384" s="2142">
        <v>962616</v>
      </c>
      <c r="H384" s="3557">
        <v>42866</v>
      </c>
      <c r="I384" s="2142">
        <v>482616</v>
      </c>
    </row>
    <row r="385" spans="1:9" s="2139" customFormat="1" hidden="1">
      <c r="A385" s="2140" t="s">
        <v>3531</v>
      </c>
      <c r="B385" s="3560">
        <v>5</v>
      </c>
      <c r="C385" s="2141" t="s">
        <v>3161</v>
      </c>
      <c r="D385" s="3396">
        <v>116</v>
      </c>
      <c r="E385" s="2142">
        <v>42.22</v>
      </c>
      <c r="F385" s="2142">
        <v>23800</v>
      </c>
      <c r="G385" s="2142">
        <v>1004836</v>
      </c>
      <c r="H385" s="3557">
        <v>42866</v>
      </c>
      <c r="I385" s="2142">
        <v>504836</v>
      </c>
    </row>
    <row r="386" spans="1:9" s="2139" customFormat="1" hidden="1">
      <c r="A386" s="2140" t="s">
        <v>3532</v>
      </c>
      <c r="B386" s="2141">
        <v>5</v>
      </c>
      <c r="C386" s="2141" t="s">
        <v>3161</v>
      </c>
      <c r="D386" s="2141">
        <v>118</v>
      </c>
      <c r="E386" s="2142">
        <v>78.819999999999993</v>
      </c>
      <c r="F386" s="2142">
        <v>23500</v>
      </c>
      <c r="G386" s="2142">
        <v>1852269.9999999998</v>
      </c>
      <c r="H386" s="2143"/>
      <c r="I386" s="2142">
        <v>200902</v>
      </c>
    </row>
    <row r="387" spans="1:9" s="2139" customFormat="1" hidden="1">
      <c r="A387" s="2140" t="s">
        <v>3533</v>
      </c>
      <c r="B387" s="3560">
        <v>5</v>
      </c>
      <c r="C387" s="2141" t="s">
        <v>3161</v>
      </c>
      <c r="D387" s="3396">
        <v>119</v>
      </c>
      <c r="E387" s="2142">
        <v>35.590000000000003</v>
      </c>
      <c r="F387" s="2142">
        <v>16910.002810000002</v>
      </c>
      <c r="G387" s="2142">
        <v>601827.00000790018</v>
      </c>
      <c r="H387" s="3557">
        <v>42902</v>
      </c>
      <c r="I387" s="2142">
        <v>601827</v>
      </c>
    </row>
    <row r="388" spans="1:9" s="2139" customFormat="1" hidden="1">
      <c r="A388" s="2140" t="s">
        <v>3534</v>
      </c>
      <c r="B388" s="2141">
        <v>5</v>
      </c>
      <c r="C388" s="2141" t="s">
        <v>3161</v>
      </c>
      <c r="D388" s="2141">
        <v>122</v>
      </c>
      <c r="E388" s="2142">
        <v>52.85</v>
      </c>
      <c r="F388" s="2142">
        <v>17800</v>
      </c>
      <c r="G388" s="2142">
        <v>940730</v>
      </c>
      <c r="H388" s="2143">
        <v>42032</v>
      </c>
      <c r="I388" s="2142">
        <v>940730</v>
      </c>
    </row>
    <row r="389" spans="1:9" s="2139" customFormat="1" hidden="1">
      <c r="A389" s="2140" t="s">
        <v>3535</v>
      </c>
      <c r="B389" s="2141">
        <v>5</v>
      </c>
      <c r="C389" s="2141" t="s">
        <v>3161</v>
      </c>
      <c r="D389" s="2141">
        <v>123</v>
      </c>
      <c r="E389" s="2142">
        <v>34.81</v>
      </c>
      <c r="F389" s="2142">
        <v>17800</v>
      </c>
      <c r="G389" s="2142">
        <v>619618</v>
      </c>
      <c r="H389" s="2143"/>
      <c r="I389" s="2142">
        <v>135829</v>
      </c>
    </row>
    <row r="390" spans="1:9" s="2139" customFormat="1" hidden="1">
      <c r="A390" s="2140" t="s">
        <v>3536</v>
      </c>
      <c r="B390" s="2141">
        <v>5</v>
      </c>
      <c r="C390" s="2141" t="s">
        <v>3161</v>
      </c>
      <c r="D390" s="2141">
        <v>125</v>
      </c>
      <c r="E390" s="2142">
        <v>23.13</v>
      </c>
      <c r="F390" s="2142">
        <v>18430</v>
      </c>
      <c r="G390" s="2142">
        <v>426285.89999999997</v>
      </c>
      <c r="H390" s="2143">
        <v>42041</v>
      </c>
      <c r="I390" s="2142">
        <v>426286</v>
      </c>
    </row>
    <row r="391" spans="1:9" s="2139" customFormat="1" hidden="1">
      <c r="A391" s="2140" t="s">
        <v>3537</v>
      </c>
      <c r="B391" s="2141">
        <v>5</v>
      </c>
      <c r="C391" s="2141" t="s">
        <v>3161</v>
      </c>
      <c r="D391" s="2141">
        <v>126</v>
      </c>
      <c r="E391" s="2142">
        <v>22.49</v>
      </c>
      <c r="F391" s="2142">
        <v>18430.009999999998</v>
      </c>
      <c r="G391" s="2142">
        <v>414490.92489999993</v>
      </c>
      <c r="H391" s="2143">
        <v>42041</v>
      </c>
      <c r="I391" s="2142">
        <v>414491</v>
      </c>
    </row>
    <row r="392" spans="1:9" s="2139" customFormat="1" hidden="1">
      <c r="A392" s="2140" t="s">
        <v>3538</v>
      </c>
      <c r="B392" s="2141">
        <v>5</v>
      </c>
      <c r="C392" s="2141" t="s">
        <v>3161</v>
      </c>
      <c r="D392" s="2141">
        <v>127</v>
      </c>
      <c r="E392" s="2142">
        <v>23.13</v>
      </c>
      <c r="F392" s="2142">
        <v>18430</v>
      </c>
      <c r="G392" s="2142">
        <v>426285.89999999997</v>
      </c>
      <c r="H392" s="2143">
        <v>42041</v>
      </c>
      <c r="I392" s="2142">
        <v>426286</v>
      </c>
    </row>
    <row r="393" spans="1:9" s="2139" customFormat="1" hidden="1">
      <c r="A393" s="2140" t="s">
        <v>3539</v>
      </c>
      <c r="B393" s="3560">
        <v>5</v>
      </c>
      <c r="C393" s="2141" t="s">
        <v>3161</v>
      </c>
      <c r="D393" s="3396">
        <v>130</v>
      </c>
      <c r="E393" s="2142">
        <v>44.06</v>
      </c>
      <c r="F393" s="2142">
        <v>21800</v>
      </c>
      <c r="G393" s="2142">
        <v>960508</v>
      </c>
      <c r="H393" s="3557">
        <v>42980</v>
      </c>
      <c r="I393" s="2142">
        <v>480508</v>
      </c>
    </row>
    <row r="394" spans="1:9" s="2139" customFormat="1" hidden="1">
      <c r="A394" s="2140" t="s">
        <v>3540</v>
      </c>
      <c r="B394" s="3560">
        <v>5</v>
      </c>
      <c r="C394" s="2141" t="s">
        <v>3161</v>
      </c>
      <c r="D394" s="3396">
        <v>131</v>
      </c>
      <c r="E394" s="2142">
        <v>37.880000000000003</v>
      </c>
      <c r="F394" s="2142">
        <v>23800</v>
      </c>
      <c r="G394" s="2142">
        <v>901544.00000000012</v>
      </c>
      <c r="H394" s="3557">
        <v>42980</v>
      </c>
      <c r="I394" s="2142">
        <v>451544</v>
      </c>
    </row>
    <row r="395" spans="1:9" s="2139" customFormat="1" hidden="1">
      <c r="A395" s="2140" t="s">
        <v>3541</v>
      </c>
      <c r="B395" s="3560">
        <v>5</v>
      </c>
      <c r="C395" s="2141" t="s">
        <v>3161</v>
      </c>
      <c r="D395" s="3396">
        <v>132</v>
      </c>
      <c r="E395" s="2142">
        <v>36.74</v>
      </c>
      <c r="F395" s="2142">
        <v>23800</v>
      </c>
      <c r="G395" s="2142">
        <v>874412</v>
      </c>
      <c r="H395" s="3557">
        <v>42980</v>
      </c>
      <c r="I395" s="2142">
        <v>444412</v>
      </c>
    </row>
    <row r="396" spans="1:9" s="2139" customFormat="1" hidden="1">
      <c r="A396" s="2140" t="s">
        <v>3542</v>
      </c>
      <c r="B396" s="3560">
        <v>5</v>
      </c>
      <c r="C396" s="2141" t="s">
        <v>3161</v>
      </c>
      <c r="D396" s="3396">
        <v>133</v>
      </c>
      <c r="E396" s="2142">
        <v>36.79</v>
      </c>
      <c r="F396" s="2142">
        <v>23800</v>
      </c>
      <c r="G396" s="2142">
        <v>875602</v>
      </c>
      <c r="H396" s="3557">
        <v>42970</v>
      </c>
      <c r="I396" s="2142">
        <v>445602</v>
      </c>
    </row>
    <row r="397" spans="1:9" s="2139" customFormat="1" hidden="1">
      <c r="A397" s="2140" t="s">
        <v>3543</v>
      </c>
      <c r="B397" s="3560">
        <v>5</v>
      </c>
      <c r="C397" s="2141" t="s">
        <v>3161</v>
      </c>
      <c r="D397" s="3396">
        <v>135</v>
      </c>
      <c r="E397" s="2142">
        <v>42.2</v>
      </c>
      <c r="F397" s="2142">
        <v>23800</v>
      </c>
      <c r="G397" s="2142">
        <v>1004360.0000000001</v>
      </c>
      <c r="H397" s="3557">
        <v>42970</v>
      </c>
      <c r="I397" s="2142">
        <v>504360</v>
      </c>
    </row>
    <row r="398" spans="1:9" s="2139" customFormat="1" hidden="1">
      <c r="A398" s="2140" t="s">
        <v>3544</v>
      </c>
      <c r="B398" s="2141">
        <v>5</v>
      </c>
      <c r="C398" s="2141" t="s">
        <v>3161</v>
      </c>
      <c r="D398" s="2141">
        <v>136</v>
      </c>
      <c r="E398" s="2142">
        <v>76.59</v>
      </c>
      <c r="F398" s="2142">
        <v>23800</v>
      </c>
      <c r="G398" s="2142">
        <v>1822842</v>
      </c>
      <c r="H398" s="2143">
        <v>42475</v>
      </c>
      <c r="I398" s="2142">
        <v>1822842</v>
      </c>
    </row>
    <row r="399" spans="1:9" s="2139" customFormat="1" hidden="1">
      <c r="A399" s="2140" t="s">
        <v>3545</v>
      </c>
      <c r="B399" s="2141">
        <v>5</v>
      </c>
      <c r="C399" s="2141" t="s">
        <v>3161</v>
      </c>
      <c r="D399" s="2141">
        <v>137</v>
      </c>
      <c r="E399" s="2142">
        <v>91.01</v>
      </c>
      <c r="F399" s="2142">
        <v>22634.62</v>
      </c>
      <c r="G399" s="2142">
        <v>2059976.7662</v>
      </c>
      <c r="H399" s="2143">
        <v>42475</v>
      </c>
      <c r="I399" s="2142">
        <v>2059977</v>
      </c>
    </row>
    <row r="400" spans="1:9" s="2139" customFormat="1" hidden="1">
      <c r="A400" s="2140" t="s">
        <v>3546</v>
      </c>
      <c r="B400" s="3560">
        <v>5</v>
      </c>
      <c r="C400" s="2141" t="s">
        <v>3161</v>
      </c>
      <c r="D400" s="3396">
        <v>138</v>
      </c>
      <c r="E400" s="2142">
        <v>39.32</v>
      </c>
      <c r="F400" s="2142">
        <v>21800</v>
      </c>
      <c r="G400" s="2142">
        <v>857176</v>
      </c>
      <c r="H400" s="3557">
        <v>42793</v>
      </c>
      <c r="I400" s="2142">
        <v>437176</v>
      </c>
    </row>
    <row r="401" spans="1:9" s="2139" customFormat="1" hidden="1">
      <c r="A401" s="2140" t="s">
        <v>3547</v>
      </c>
      <c r="B401" s="2141">
        <v>5</v>
      </c>
      <c r="C401" s="2141" t="s">
        <v>3161</v>
      </c>
      <c r="D401" s="2141">
        <v>142</v>
      </c>
      <c r="E401" s="2142">
        <v>31.9</v>
      </c>
      <c r="F401" s="2142">
        <v>18500</v>
      </c>
      <c r="G401" s="2142">
        <v>590150</v>
      </c>
      <c r="H401" s="2143"/>
      <c r="I401" s="2142">
        <v>154476</v>
      </c>
    </row>
    <row r="402" spans="1:9" s="2139" customFormat="1" hidden="1">
      <c r="A402" s="2140" t="s">
        <v>3548</v>
      </c>
      <c r="B402" s="2141">
        <v>5</v>
      </c>
      <c r="C402" s="2141" t="s">
        <v>3161</v>
      </c>
      <c r="D402" s="2141">
        <v>146</v>
      </c>
      <c r="E402" s="2142">
        <v>22.19</v>
      </c>
      <c r="F402" s="2142">
        <v>19000</v>
      </c>
      <c r="G402" s="2142">
        <v>421610</v>
      </c>
      <c r="H402" s="2143">
        <v>42115</v>
      </c>
      <c r="I402" s="2142">
        <v>421610</v>
      </c>
    </row>
    <row r="403" spans="1:9" s="2139" customFormat="1" hidden="1">
      <c r="A403" s="2140" t="s">
        <v>3549</v>
      </c>
      <c r="B403" s="2141">
        <v>5</v>
      </c>
      <c r="C403" s="2141" t="s">
        <v>3161</v>
      </c>
      <c r="D403" s="2141">
        <v>147</v>
      </c>
      <c r="E403" s="2142">
        <v>78.87</v>
      </c>
      <c r="F403" s="2142">
        <v>21800</v>
      </c>
      <c r="G403" s="2142">
        <v>1719366</v>
      </c>
      <c r="H403" s="2143"/>
      <c r="I403" s="2142">
        <v>438704</v>
      </c>
    </row>
    <row r="404" spans="1:9" s="2139" customFormat="1" hidden="1">
      <c r="A404" s="2140" t="s">
        <v>3550</v>
      </c>
      <c r="B404" s="2141">
        <v>5</v>
      </c>
      <c r="C404" s="2141" t="s">
        <v>3161</v>
      </c>
      <c r="D404" s="2141">
        <v>150</v>
      </c>
      <c r="E404" s="2142">
        <v>29.83</v>
      </c>
      <c r="F404" s="2142">
        <v>19500</v>
      </c>
      <c r="G404" s="2142">
        <v>581685</v>
      </c>
      <c r="H404" s="2143"/>
      <c r="I404" s="2142">
        <v>129792</v>
      </c>
    </row>
    <row r="405" spans="1:9" s="2139" customFormat="1" hidden="1">
      <c r="A405" s="2140" t="s">
        <v>3551</v>
      </c>
      <c r="B405" s="2141">
        <v>5</v>
      </c>
      <c r="C405" s="2141" t="s">
        <v>3161</v>
      </c>
      <c r="D405" s="2141">
        <v>151</v>
      </c>
      <c r="E405" s="2142">
        <v>45.08</v>
      </c>
      <c r="F405" s="2142">
        <v>18780</v>
      </c>
      <c r="G405" s="2142">
        <v>846602.4</v>
      </c>
      <c r="H405" s="2143">
        <v>42008</v>
      </c>
      <c r="I405" s="2142">
        <v>426602</v>
      </c>
    </row>
    <row r="406" spans="1:9" s="2139" customFormat="1" hidden="1">
      <c r="A406" s="2140" t="s">
        <v>3552</v>
      </c>
      <c r="B406" s="2141">
        <v>5</v>
      </c>
      <c r="C406" s="2141" t="s">
        <v>3161</v>
      </c>
      <c r="D406" s="2141">
        <v>152</v>
      </c>
      <c r="E406" s="2142">
        <v>38.15</v>
      </c>
      <c r="F406" s="2142">
        <v>18780</v>
      </c>
      <c r="G406" s="2142">
        <v>716457</v>
      </c>
      <c r="H406" s="2143">
        <v>42008</v>
      </c>
      <c r="I406" s="2142">
        <v>366457</v>
      </c>
    </row>
    <row r="407" spans="1:9" s="2139" customFormat="1" hidden="1">
      <c r="A407" s="2140" t="s">
        <v>3553</v>
      </c>
      <c r="B407" s="2141">
        <v>5</v>
      </c>
      <c r="C407" s="2141" t="s">
        <v>3161</v>
      </c>
      <c r="D407" s="2141">
        <v>155</v>
      </c>
      <c r="E407" s="2142">
        <v>36.31</v>
      </c>
      <c r="F407" s="2142">
        <v>23500</v>
      </c>
      <c r="G407" s="2142">
        <v>853285</v>
      </c>
      <c r="H407" s="2143">
        <v>42008</v>
      </c>
      <c r="I407" s="2142">
        <v>453285</v>
      </c>
    </row>
    <row r="408" spans="1:9" s="2139" customFormat="1" hidden="1">
      <c r="A408" s="2140" t="s">
        <v>3554</v>
      </c>
      <c r="B408" s="2141">
        <v>5</v>
      </c>
      <c r="C408" s="2141" t="s">
        <v>3161</v>
      </c>
      <c r="D408" s="2141">
        <v>158</v>
      </c>
      <c r="E408" s="2142">
        <v>92.2</v>
      </c>
      <c r="F408" s="2142">
        <v>24095</v>
      </c>
      <c r="G408" s="2142">
        <v>2221559</v>
      </c>
      <c r="H408" s="2143">
        <v>42478</v>
      </c>
      <c r="I408" s="2142">
        <v>2221559</v>
      </c>
    </row>
    <row r="409" spans="1:9" s="2139" customFormat="1" hidden="1">
      <c r="A409" s="2140" t="s">
        <v>3555</v>
      </c>
      <c r="B409" s="2141">
        <v>5</v>
      </c>
      <c r="C409" s="2141" t="s">
        <v>3161</v>
      </c>
      <c r="D409" s="2141">
        <v>160</v>
      </c>
      <c r="E409" s="2142">
        <v>23.32</v>
      </c>
      <c r="F409" s="2142">
        <v>19000</v>
      </c>
      <c r="G409" s="2142">
        <v>443080</v>
      </c>
      <c r="H409" s="2143">
        <v>42026</v>
      </c>
      <c r="I409" s="2142">
        <v>443080</v>
      </c>
    </row>
    <row r="410" spans="1:9" s="2139" customFormat="1" hidden="1">
      <c r="A410" s="2140" t="s">
        <v>3556</v>
      </c>
      <c r="B410" s="2141">
        <v>5</v>
      </c>
      <c r="C410" s="2141" t="s">
        <v>3161</v>
      </c>
      <c r="D410" s="2141">
        <v>161</v>
      </c>
      <c r="E410" s="2142">
        <v>26.33</v>
      </c>
      <c r="F410" s="2142">
        <v>19000</v>
      </c>
      <c r="G410" s="2142">
        <v>500269.99999999994</v>
      </c>
      <c r="H410" s="2143">
        <v>42023</v>
      </c>
      <c r="I410" s="2142">
        <v>500270</v>
      </c>
    </row>
    <row r="411" spans="1:9" s="2139" customFormat="1" hidden="1">
      <c r="A411" s="2140" t="s">
        <v>3557</v>
      </c>
      <c r="B411" s="2141">
        <v>5</v>
      </c>
      <c r="C411" s="2141" t="s">
        <v>3161</v>
      </c>
      <c r="D411" s="2141">
        <v>162</v>
      </c>
      <c r="E411" s="2142">
        <v>26.33</v>
      </c>
      <c r="F411" s="2142">
        <v>19000</v>
      </c>
      <c r="G411" s="2142">
        <v>500269.99999999994</v>
      </c>
      <c r="H411" s="2143">
        <v>42030</v>
      </c>
      <c r="I411" s="2142">
        <v>500270</v>
      </c>
    </row>
    <row r="412" spans="1:9" s="2139" customFormat="1" hidden="1">
      <c r="A412" s="2140" t="s">
        <v>3558</v>
      </c>
      <c r="B412" s="2141">
        <v>5</v>
      </c>
      <c r="C412" s="2141" t="s">
        <v>3161</v>
      </c>
      <c r="D412" s="2141">
        <v>163</v>
      </c>
      <c r="E412" s="2142">
        <v>26.33</v>
      </c>
      <c r="F412" s="2142">
        <v>17800</v>
      </c>
      <c r="G412" s="2142">
        <v>468673.99999999994</v>
      </c>
      <c r="H412" s="2143">
        <v>42079</v>
      </c>
      <c r="I412" s="2142">
        <v>468674</v>
      </c>
    </row>
    <row r="413" spans="1:9" s="2139" customFormat="1" hidden="1">
      <c r="A413" s="2140" t="s">
        <v>3559</v>
      </c>
      <c r="B413" s="2141">
        <v>5</v>
      </c>
      <c r="C413" s="2141" t="s">
        <v>3161</v>
      </c>
      <c r="D413" s="2141">
        <v>165</v>
      </c>
      <c r="E413" s="2142">
        <v>24.08</v>
      </c>
      <c r="F413" s="2142">
        <v>17265.990000000002</v>
      </c>
      <c r="G413" s="2142">
        <v>415765.0392</v>
      </c>
      <c r="H413" s="2143">
        <v>42476</v>
      </c>
      <c r="I413" s="2142">
        <v>415765</v>
      </c>
    </row>
    <row r="414" spans="1:9" s="2139" customFormat="1" hidden="1">
      <c r="A414" s="2140" t="s">
        <v>3560</v>
      </c>
      <c r="B414" s="2141">
        <v>5</v>
      </c>
      <c r="C414" s="2141" t="s">
        <v>3168</v>
      </c>
      <c r="D414" s="2141">
        <v>1</v>
      </c>
      <c r="E414" s="2142">
        <v>74.52</v>
      </c>
      <c r="F414" s="2142">
        <v>16600</v>
      </c>
      <c r="G414" s="2142">
        <v>1237032</v>
      </c>
      <c r="H414" s="2143">
        <v>42111</v>
      </c>
      <c r="I414" s="2142">
        <v>1237032</v>
      </c>
    </row>
    <row r="415" spans="1:9" s="2139" customFormat="1" hidden="1">
      <c r="A415" s="2140" t="s">
        <v>3561</v>
      </c>
      <c r="B415" s="2141">
        <v>5</v>
      </c>
      <c r="C415" s="2141" t="s">
        <v>3168</v>
      </c>
      <c r="D415" s="2141">
        <v>2</v>
      </c>
      <c r="E415" s="2142">
        <v>67.819999999999993</v>
      </c>
      <c r="F415" s="2142">
        <v>22800</v>
      </c>
      <c r="G415" s="2142">
        <v>1546295.9999999998</v>
      </c>
      <c r="H415" s="2143">
        <v>42111</v>
      </c>
      <c r="I415" s="2142">
        <v>1546296</v>
      </c>
    </row>
    <row r="416" spans="1:9" s="2139" customFormat="1" hidden="1">
      <c r="A416" s="2140" t="s">
        <v>3562</v>
      </c>
      <c r="B416" s="2141">
        <v>5</v>
      </c>
      <c r="C416" s="2141" t="s">
        <v>3168</v>
      </c>
      <c r="D416" s="2141">
        <v>3</v>
      </c>
      <c r="E416" s="2142">
        <v>61.3</v>
      </c>
      <c r="F416" s="2142">
        <v>13800</v>
      </c>
      <c r="G416" s="2142">
        <v>845940</v>
      </c>
      <c r="H416" s="2143">
        <v>42012</v>
      </c>
      <c r="I416" s="2142">
        <v>845940</v>
      </c>
    </row>
    <row r="417" spans="1:9" s="2139" customFormat="1" hidden="1">
      <c r="A417" s="2140" t="s">
        <v>3563</v>
      </c>
      <c r="B417" s="2141">
        <v>5</v>
      </c>
      <c r="C417" s="2141" t="s">
        <v>3168</v>
      </c>
      <c r="D417" s="2141">
        <v>5</v>
      </c>
      <c r="E417" s="2142">
        <v>61.6</v>
      </c>
      <c r="F417" s="2142">
        <v>13800</v>
      </c>
      <c r="G417" s="2142">
        <v>850080</v>
      </c>
      <c r="H417" s="2143">
        <v>42517</v>
      </c>
      <c r="I417" s="2142">
        <v>850080</v>
      </c>
    </row>
    <row r="418" spans="1:9" s="2139" customFormat="1" hidden="1">
      <c r="A418" s="2140" t="s">
        <v>3564</v>
      </c>
      <c r="B418" s="2141">
        <v>5</v>
      </c>
      <c r="C418" s="2141" t="s">
        <v>3168</v>
      </c>
      <c r="D418" s="2141">
        <v>6</v>
      </c>
      <c r="E418" s="2142">
        <v>45.84</v>
      </c>
      <c r="F418" s="2142">
        <v>13800</v>
      </c>
      <c r="G418" s="2142">
        <v>632592</v>
      </c>
      <c r="H418" s="2143">
        <v>42121</v>
      </c>
      <c r="I418" s="2142">
        <v>632592</v>
      </c>
    </row>
    <row r="419" spans="1:9" s="2139" customFormat="1" hidden="1">
      <c r="A419" s="2140" t="s">
        <v>3565</v>
      </c>
      <c r="B419" s="2141">
        <v>5</v>
      </c>
      <c r="C419" s="2141" t="s">
        <v>3168</v>
      </c>
      <c r="D419" s="2141">
        <v>7</v>
      </c>
      <c r="E419" s="2142">
        <v>45.65</v>
      </c>
      <c r="F419" s="2142">
        <v>13800</v>
      </c>
      <c r="G419" s="2142">
        <v>629970</v>
      </c>
      <c r="H419" s="2143">
        <v>42540</v>
      </c>
      <c r="I419" s="2142">
        <v>629970</v>
      </c>
    </row>
    <row r="420" spans="1:9" s="2139" customFormat="1" hidden="1">
      <c r="A420" s="2140" t="s">
        <v>3566</v>
      </c>
      <c r="B420" s="2141">
        <v>5</v>
      </c>
      <c r="C420" s="2141" t="s">
        <v>3168</v>
      </c>
      <c r="D420" s="2141">
        <v>8</v>
      </c>
      <c r="E420" s="2142">
        <v>45.53</v>
      </c>
      <c r="F420" s="2142">
        <v>13800</v>
      </c>
      <c r="G420" s="2142">
        <v>628314</v>
      </c>
      <c r="H420" s="2143">
        <v>42524</v>
      </c>
      <c r="I420" s="2142">
        <v>628314</v>
      </c>
    </row>
    <row r="421" spans="1:9" s="2139" customFormat="1" hidden="1">
      <c r="A421" s="2140" t="s">
        <v>3567</v>
      </c>
      <c r="B421" s="2141">
        <v>5</v>
      </c>
      <c r="C421" s="2141" t="s">
        <v>3168</v>
      </c>
      <c r="D421" s="2141">
        <v>9</v>
      </c>
      <c r="E421" s="2142">
        <v>45.48</v>
      </c>
      <c r="F421" s="2142">
        <v>13800</v>
      </c>
      <c r="G421" s="2142">
        <v>627624</v>
      </c>
      <c r="H421" s="2143">
        <v>42524</v>
      </c>
      <c r="I421" s="2142">
        <v>627624</v>
      </c>
    </row>
    <row r="422" spans="1:9" s="2139" customFormat="1" hidden="1">
      <c r="A422" s="2140" t="s">
        <v>3568</v>
      </c>
      <c r="B422" s="2141">
        <v>5</v>
      </c>
      <c r="C422" s="2141" t="s">
        <v>3168</v>
      </c>
      <c r="D422" s="2141">
        <v>11</v>
      </c>
      <c r="E422" s="2142">
        <v>45.58</v>
      </c>
      <c r="F422" s="2142">
        <v>14065.01</v>
      </c>
      <c r="G422" s="2142">
        <v>641083.15579999995</v>
      </c>
      <c r="H422" s="2143">
        <v>42074</v>
      </c>
      <c r="I422" s="2142">
        <v>641083</v>
      </c>
    </row>
    <row r="423" spans="1:9" s="2139" customFormat="1" hidden="1">
      <c r="A423" s="2140" t="s">
        <v>3569</v>
      </c>
      <c r="B423" s="2141">
        <v>5</v>
      </c>
      <c r="C423" s="2141" t="s">
        <v>3168</v>
      </c>
      <c r="D423" s="2141">
        <v>15</v>
      </c>
      <c r="E423" s="2142">
        <v>46.26</v>
      </c>
      <c r="F423" s="2142">
        <v>13800</v>
      </c>
      <c r="G423" s="2142">
        <v>638388</v>
      </c>
      <c r="H423" s="2143">
        <v>42004</v>
      </c>
      <c r="I423" s="2142">
        <v>638388</v>
      </c>
    </row>
    <row r="424" spans="1:9" s="2139" customFormat="1" hidden="1">
      <c r="A424" s="2140" t="s">
        <v>3570</v>
      </c>
      <c r="B424" s="2141">
        <v>5</v>
      </c>
      <c r="C424" s="2141" t="s">
        <v>3168</v>
      </c>
      <c r="D424" s="2141">
        <v>16</v>
      </c>
      <c r="E424" s="2142">
        <v>46.62</v>
      </c>
      <c r="F424" s="2142">
        <v>13386</v>
      </c>
      <c r="G424" s="2142">
        <v>624055.31999999995</v>
      </c>
      <c r="H424" s="2143">
        <v>42587</v>
      </c>
      <c r="I424" s="2142">
        <v>624055</v>
      </c>
    </row>
    <row r="425" spans="1:9" s="2139" customFormat="1" hidden="1">
      <c r="A425" s="2140" t="s">
        <v>3571</v>
      </c>
      <c r="B425" s="2141">
        <v>5</v>
      </c>
      <c r="C425" s="2141" t="s">
        <v>3168</v>
      </c>
      <c r="D425" s="2141">
        <v>17</v>
      </c>
      <c r="E425" s="2142">
        <v>47.05</v>
      </c>
      <c r="F425" s="2142">
        <v>13800</v>
      </c>
      <c r="G425" s="2142">
        <v>649290</v>
      </c>
      <c r="H425" s="2143">
        <v>41998</v>
      </c>
      <c r="I425" s="2142">
        <v>649290</v>
      </c>
    </row>
    <row r="426" spans="1:9" s="2139" customFormat="1" hidden="1">
      <c r="A426" s="2140" t="s">
        <v>3572</v>
      </c>
      <c r="B426" s="2141">
        <v>5</v>
      </c>
      <c r="C426" s="2141" t="s">
        <v>3168</v>
      </c>
      <c r="D426" s="2141">
        <v>18</v>
      </c>
      <c r="E426" s="2142">
        <v>47.85</v>
      </c>
      <c r="F426" s="2142">
        <v>13800</v>
      </c>
      <c r="G426" s="2142">
        <v>660330</v>
      </c>
      <c r="H426" s="2143">
        <v>41998</v>
      </c>
      <c r="I426" s="2142">
        <v>660330</v>
      </c>
    </row>
    <row r="427" spans="1:9" s="2139" customFormat="1" hidden="1">
      <c r="A427" s="2140" t="s">
        <v>3573</v>
      </c>
      <c r="B427" s="2141">
        <v>5</v>
      </c>
      <c r="C427" s="2141" t="s">
        <v>3168</v>
      </c>
      <c r="D427" s="2141">
        <v>19</v>
      </c>
      <c r="E427" s="2142">
        <v>26.5</v>
      </c>
      <c r="F427" s="2142">
        <v>13386</v>
      </c>
      <c r="G427" s="2142">
        <v>354729</v>
      </c>
      <c r="H427" s="2143">
        <v>41998</v>
      </c>
      <c r="I427" s="2142">
        <v>354729</v>
      </c>
    </row>
    <row r="428" spans="1:9" s="2139" customFormat="1" hidden="1">
      <c r="A428" s="2140" t="s">
        <v>3574</v>
      </c>
      <c r="B428" s="2141">
        <v>5</v>
      </c>
      <c r="C428" s="2141" t="s">
        <v>3168</v>
      </c>
      <c r="D428" s="2141">
        <v>20</v>
      </c>
      <c r="E428" s="2142">
        <v>23.37</v>
      </c>
      <c r="F428" s="2142">
        <v>13386.01</v>
      </c>
      <c r="G428" s="2142">
        <v>312831.05369999999</v>
      </c>
      <c r="H428" s="2143">
        <v>42004</v>
      </c>
      <c r="I428" s="2142">
        <v>312831</v>
      </c>
    </row>
    <row r="429" spans="1:9" s="2139" customFormat="1" hidden="1">
      <c r="A429" s="2140" t="s">
        <v>3575</v>
      </c>
      <c r="B429" s="2141">
        <v>5</v>
      </c>
      <c r="C429" s="2141" t="s">
        <v>3168</v>
      </c>
      <c r="D429" s="2141">
        <v>22</v>
      </c>
      <c r="E429" s="2142">
        <v>48.66</v>
      </c>
      <c r="F429" s="2142">
        <v>13800</v>
      </c>
      <c r="G429" s="2142">
        <v>671508</v>
      </c>
      <c r="H429" s="2143">
        <v>42038</v>
      </c>
      <c r="I429" s="2142">
        <v>141508</v>
      </c>
    </row>
    <row r="430" spans="1:9" s="2139" customFormat="1" hidden="1">
      <c r="A430" s="2140" t="s">
        <v>3576</v>
      </c>
      <c r="B430" s="2141">
        <v>5</v>
      </c>
      <c r="C430" s="2141" t="s">
        <v>3168</v>
      </c>
      <c r="D430" s="2141">
        <v>23</v>
      </c>
      <c r="E430" s="2142">
        <v>48.2</v>
      </c>
      <c r="F430" s="2142">
        <v>13386</v>
      </c>
      <c r="G430" s="2142">
        <v>645205.20000000007</v>
      </c>
      <c r="H430" s="2143">
        <v>42003</v>
      </c>
      <c r="I430" s="2142">
        <v>645205</v>
      </c>
    </row>
    <row r="431" spans="1:9" s="2139" customFormat="1" hidden="1">
      <c r="A431" s="2140" t="s">
        <v>3577</v>
      </c>
      <c r="B431" s="2141">
        <v>5</v>
      </c>
      <c r="C431" s="2141" t="s">
        <v>3168</v>
      </c>
      <c r="D431" s="2141">
        <v>25</v>
      </c>
      <c r="E431" s="2142">
        <v>47.81</v>
      </c>
      <c r="F431" s="2142">
        <v>13110</v>
      </c>
      <c r="G431" s="2142">
        <v>626789.1</v>
      </c>
      <c r="H431" s="2143">
        <v>42602</v>
      </c>
      <c r="I431" s="2142">
        <v>626789</v>
      </c>
    </row>
    <row r="432" spans="1:9" s="2139" customFormat="1" hidden="1">
      <c r="A432" s="2140" t="s">
        <v>3578</v>
      </c>
      <c r="B432" s="2141">
        <v>5</v>
      </c>
      <c r="C432" s="2141" t="s">
        <v>3168</v>
      </c>
      <c r="D432" s="2141">
        <v>26</v>
      </c>
      <c r="E432" s="2142">
        <v>47.49</v>
      </c>
      <c r="F432" s="2142">
        <v>13800</v>
      </c>
      <c r="G432" s="2142">
        <v>655362</v>
      </c>
      <c r="H432" s="2143">
        <v>42003</v>
      </c>
      <c r="I432" s="2142">
        <v>655362</v>
      </c>
    </row>
    <row r="433" spans="1:9" s="2139" customFormat="1" hidden="1">
      <c r="A433" s="2140" t="s">
        <v>3579</v>
      </c>
      <c r="B433" s="2141">
        <v>5</v>
      </c>
      <c r="C433" s="2141" t="s">
        <v>3168</v>
      </c>
      <c r="D433" s="2141">
        <v>27</v>
      </c>
      <c r="E433" s="2142">
        <v>47.24</v>
      </c>
      <c r="F433" s="2142">
        <v>13386.01</v>
      </c>
      <c r="G433" s="2142">
        <v>632355.11239999998</v>
      </c>
      <c r="H433" s="2143">
        <v>42001</v>
      </c>
      <c r="I433" s="2142">
        <v>632355</v>
      </c>
    </row>
    <row r="434" spans="1:9" s="2139" customFormat="1" hidden="1">
      <c r="A434" s="2140" t="s">
        <v>3580</v>
      </c>
      <c r="B434" s="2141">
        <v>5</v>
      </c>
      <c r="C434" s="2141" t="s">
        <v>3168</v>
      </c>
      <c r="D434" s="2141">
        <v>28</v>
      </c>
      <c r="E434" s="2142">
        <v>47.06</v>
      </c>
      <c r="F434" s="2142">
        <v>13800</v>
      </c>
      <c r="G434" s="2142">
        <v>649428</v>
      </c>
      <c r="H434" s="2143">
        <v>41998</v>
      </c>
      <c r="I434" s="2142">
        <v>649428</v>
      </c>
    </row>
    <row r="435" spans="1:9" s="2139" customFormat="1" hidden="1">
      <c r="A435" s="2140" t="s">
        <v>3581</v>
      </c>
      <c r="B435" s="2141">
        <v>5</v>
      </c>
      <c r="C435" s="2141" t="s">
        <v>3168</v>
      </c>
      <c r="D435" s="2141">
        <v>29</v>
      </c>
      <c r="E435" s="2142">
        <v>46.94</v>
      </c>
      <c r="F435" s="2142">
        <v>13800</v>
      </c>
      <c r="G435" s="2142">
        <v>647772</v>
      </c>
      <c r="H435" s="2143">
        <v>42064</v>
      </c>
      <c r="I435" s="2142">
        <v>647772</v>
      </c>
    </row>
    <row r="436" spans="1:9" s="2139" customFormat="1" hidden="1">
      <c r="A436" s="2140" t="s">
        <v>3582</v>
      </c>
      <c r="B436" s="2141">
        <v>5</v>
      </c>
      <c r="C436" s="2141" t="s">
        <v>3168</v>
      </c>
      <c r="D436" s="2141">
        <v>30</v>
      </c>
      <c r="E436" s="2142">
        <v>46.9</v>
      </c>
      <c r="F436" s="2142">
        <v>13800</v>
      </c>
      <c r="G436" s="2142">
        <v>647220</v>
      </c>
      <c r="H436" s="2143">
        <v>42064</v>
      </c>
      <c r="I436" s="2142">
        <v>647220</v>
      </c>
    </row>
    <row r="437" spans="1:9" s="2139" customFormat="1" hidden="1">
      <c r="A437" s="2140" t="s">
        <v>3583</v>
      </c>
      <c r="B437" s="2141">
        <v>5</v>
      </c>
      <c r="C437" s="2141" t="s">
        <v>3168</v>
      </c>
      <c r="D437" s="2141">
        <v>31</v>
      </c>
      <c r="E437" s="2142">
        <v>46.92</v>
      </c>
      <c r="F437" s="2142">
        <v>13800</v>
      </c>
      <c r="G437" s="2142">
        <v>647496</v>
      </c>
      <c r="H437" s="2143">
        <v>42025</v>
      </c>
      <c r="I437" s="2142">
        <v>647496</v>
      </c>
    </row>
    <row r="438" spans="1:9" s="2139" customFormat="1" hidden="1">
      <c r="A438" s="2140" t="s">
        <v>3584</v>
      </c>
      <c r="B438" s="2141">
        <v>5</v>
      </c>
      <c r="C438" s="2141" t="s">
        <v>3168</v>
      </c>
      <c r="D438" s="2141">
        <v>33</v>
      </c>
      <c r="E438" s="2142">
        <v>47.17</v>
      </c>
      <c r="F438" s="2142">
        <v>14500</v>
      </c>
      <c r="G438" s="2142">
        <v>683965</v>
      </c>
      <c r="H438" s="2143">
        <v>42191</v>
      </c>
      <c r="I438" s="2142">
        <v>683965</v>
      </c>
    </row>
    <row r="439" spans="1:9" s="2139" customFormat="1" hidden="1">
      <c r="A439" s="2140" t="s">
        <v>3585</v>
      </c>
      <c r="B439" s="2141">
        <v>5</v>
      </c>
      <c r="C439" s="2141" t="s">
        <v>3168</v>
      </c>
      <c r="D439" s="2141">
        <v>35</v>
      </c>
      <c r="E439" s="2142">
        <v>47.4</v>
      </c>
      <c r="F439" s="2142">
        <v>14065</v>
      </c>
      <c r="G439" s="2142">
        <v>666681</v>
      </c>
      <c r="H439" s="2143">
        <v>42577</v>
      </c>
      <c r="I439" s="2142">
        <v>666681</v>
      </c>
    </row>
    <row r="440" spans="1:9" s="2139" customFormat="1" hidden="1">
      <c r="A440" s="2140" t="s">
        <v>3586</v>
      </c>
      <c r="B440" s="2141">
        <v>5</v>
      </c>
      <c r="C440" s="2141" t="s">
        <v>3168</v>
      </c>
      <c r="D440" s="2141">
        <v>36</v>
      </c>
      <c r="E440" s="2142">
        <v>47.7</v>
      </c>
      <c r="F440" s="2142">
        <v>14500</v>
      </c>
      <c r="G440" s="2142">
        <v>691650</v>
      </c>
      <c r="H440" s="2143">
        <v>42302</v>
      </c>
      <c r="I440" s="2142">
        <v>691650</v>
      </c>
    </row>
    <row r="441" spans="1:9" s="2139" customFormat="1" hidden="1">
      <c r="A441" s="2140" t="s">
        <v>3587</v>
      </c>
      <c r="B441" s="2141">
        <v>5</v>
      </c>
      <c r="C441" s="2141" t="s">
        <v>3168</v>
      </c>
      <c r="D441" s="2141">
        <v>37</v>
      </c>
      <c r="E441" s="2142">
        <v>48.06</v>
      </c>
      <c r="F441" s="2142">
        <v>14065</v>
      </c>
      <c r="G441" s="2142">
        <v>675963.9</v>
      </c>
      <c r="H441" s="2143">
        <v>42577</v>
      </c>
      <c r="I441" s="2142">
        <v>675964</v>
      </c>
    </row>
    <row r="442" spans="1:9" s="2139" customFormat="1" hidden="1">
      <c r="A442" s="2140" t="s">
        <v>3588</v>
      </c>
      <c r="B442" s="2141">
        <v>5</v>
      </c>
      <c r="C442" s="2141" t="s">
        <v>3168</v>
      </c>
      <c r="D442" s="2141">
        <v>40</v>
      </c>
      <c r="E442" s="2142">
        <v>76.38</v>
      </c>
      <c r="F442" s="2142">
        <v>14500</v>
      </c>
      <c r="G442" s="2142">
        <v>1107510</v>
      </c>
      <c r="H442" s="2143">
        <v>41999</v>
      </c>
      <c r="I442" s="2142">
        <v>1107510</v>
      </c>
    </row>
    <row r="443" spans="1:9" s="2139" customFormat="1" hidden="1">
      <c r="A443" s="2140" t="s">
        <v>3589</v>
      </c>
      <c r="B443" s="2141">
        <v>5</v>
      </c>
      <c r="C443" s="2141" t="s">
        <v>3168</v>
      </c>
      <c r="D443" s="2141">
        <v>42</v>
      </c>
      <c r="E443" s="2142">
        <v>44.82</v>
      </c>
      <c r="F443" s="2142">
        <v>19800</v>
      </c>
      <c r="G443" s="2142">
        <v>887436</v>
      </c>
      <c r="H443" s="2143">
        <v>42537</v>
      </c>
      <c r="I443" s="2142">
        <v>887436</v>
      </c>
    </row>
    <row r="444" spans="1:9" s="2139" customFormat="1" hidden="1">
      <c r="A444" s="2140" t="s">
        <v>3590</v>
      </c>
      <c r="B444" s="2141">
        <v>5</v>
      </c>
      <c r="C444" s="2141" t="s">
        <v>3168</v>
      </c>
      <c r="D444" s="2141">
        <v>43</v>
      </c>
      <c r="E444" s="2142">
        <v>43.26</v>
      </c>
      <c r="F444" s="2142">
        <v>18915</v>
      </c>
      <c r="G444" s="2142">
        <v>818262.89999999991</v>
      </c>
      <c r="H444" s="2143">
        <v>42104</v>
      </c>
      <c r="I444" s="2142">
        <v>818263</v>
      </c>
    </row>
    <row r="445" spans="1:9" s="2139" customFormat="1" hidden="1">
      <c r="A445" s="2140" t="s">
        <v>3591</v>
      </c>
      <c r="B445" s="2141">
        <v>5</v>
      </c>
      <c r="C445" s="2141" t="s">
        <v>3168</v>
      </c>
      <c r="D445" s="2141">
        <v>45</v>
      </c>
      <c r="E445" s="2142">
        <v>37.97</v>
      </c>
      <c r="F445" s="2142">
        <v>13800</v>
      </c>
      <c r="G445" s="2142">
        <v>523986</v>
      </c>
      <c r="H445" s="2143">
        <v>42483</v>
      </c>
      <c r="I445" s="2142">
        <v>523986</v>
      </c>
    </row>
    <row r="446" spans="1:9" s="2139" customFormat="1" hidden="1">
      <c r="A446" s="2140" t="s">
        <v>3592</v>
      </c>
      <c r="B446" s="2141">
        <v>5</v>
      </c>
      <c r="C446" s="2141" t="s">
        <v>3168</v>
      </c>
      <c r="D446" s="2141">
        <v>47</v>
      </c>
      <c r="E446" s="2142">
        <v>36.44</v>
      </c>
      <c r="F446" s="2142">
        <v>19500</v>
      </c>
      <c r="G446" s="2142">
        <v>710580</v>
      </c>
      <c r="H446" s="2143">
        <v>41999</v>
      </c>
      <c r="I446" s="2142">
        <v>710580</v>
      </c>
    </row>
    <row r="447" spans="1:9" s="2139" customFormat="1" hidden="1">
      <c r="A447" s="2140" t="s">
        <v>3593</v>
      </c>
      <c r="B447" s="2141">
        <v>5</v>
      </c>
      <c r="C447" s="2141" t="s">
        <v>3168</v>
      </c>
      <c r="D447" s="2141">
        <v>48</v>
      </c>
      <c r="E447" s="2142">
        <v>48.28</v>
      </c>
      <c r="F447" s="2142">
        <v>19800</v>
      </c>
      <c r="G447" s="2142">
        <v>955944</v>
      </c>
      <c r="H447" s="2143">
        <v>42480</v>
      </c>
      <c r="I447" s="2142">
        <v>955944</v>
      </c>
    </row>
    <row r="448" spans="1:9" s="2139" customFormat="1" hidden="1">
      <c r="A448" s="2140" t="s">
        <v>3594</v>
      </c>
      <c r="B448" s="2141">
        <v>5</v>
      </c>
      <c r="C448" s="2141" t="s">
        <v>3168</v>
      </c>
      <c r="D448" s="2141">
        <v>49</v>
      </c>
      <c r="E448" s="2142">
        <v>54.15</v>
      </c>
      <c r="F448" s="2142">
        <v>14065</v>
      </c>
      <c r="G448" s="2142">
        <v>761619.75</v>
      </c>
      <c r="H448" s="2143">
        <v>42011</v>
      </c>
      <c r="I448" s="2142">
        <v>761620</v>
      </c>
    </row>
    <row r="449" spans="1:9" s="2139" customFormat="1" hidden="1">
      <c r="A449" s="2140" t="s">
        <v>3595</v>
      </c>
      <c r="B449" s="2141">
        <v>5</v>
      </c>
      <c r="C449" s="2141" t="s">
        <v>3168</v>
      </c>
      <c r="D449" s="2141">
        <v>57</v>
      </c>
      <c r="E449" s="2142">
        <v>38.270000000000003</v>
      </c>
      <c r="F449" s="2142">
        <v>17300</v>
      </c>
      <c r="G449" s="2142">
        <v>662071</v>
      </c>
      <c r="H449" s="2143"/>
      <c r="I449" s="2142">
        <v>88213</v>
      </c>
    </row>
    <row r="450" spans="1:9" s="2139" customFormat="1" hidden="1">
      <c r="A450" s="2140" t="s">
        <v>3596</v>
      </c>
      <c r="B450" s="2141">
        <v>5</v>
      </c>
      <c r="C450" s="2141" t="s">
        <v>3168</v>
      </c>
      <c r="D450" s="2141">
        <v>59</v>
      </c>
      <c r="E450" s="2142">
        <v>55.77</v>
      </c>
      <c r="F450" s="2142">
        <v>17800</v>
      </c>
      <c r="G450" s="2142">
        <v>992706</v>
      </c>
      <c r="H450" s="2143">
        <v>42006</v>
      </c>
      <c r="I450" s="2142">
        <v>992706</v>
      </c>
    </row>
    <row r="451" spans="1:9" s="2139" customFormat="1" hidden="1">
      <c r="A451" s="2140" t="s">
        <v>3597</v>
      </c>
      <c r="B451" s="2141">
        <v>5</v>
      </c>
      <c r="C451" s="2141" t="s">
        <v>3168</v>
      </c>
      <c r="D451" s="2141">
        <v>61</v>
      </c>
      <c r="E451" s="2142">
        <v>88.43</v>
      </c>
      <c r="F451" s="2142">
        <v>14065</v>
      </c>
      <c r="G451" s="2142">
        <v>1243767.9500000002</v>
      </c>
      <c r="H451" s="2143">
        <v>42011</v>
      </c>
      <c r="I451" s="2142">
        <v>1243768</v>
      </c>
    </row>
    <row r="452" spans="1:9" s="2139" customFormat="1" hidden="1">
      <c r="A452" s="2140" t="s">
        <v>3598</v>
      </c>
      <c r="B452" s="2141">
        <v>5</v>
      </c>
      <c r="C452" s="2141" t="s">
        <v>3168</v>
      </c>
      <c r="D452" s="2141">
        <v>62</v>
      </c>
      <c r="E452" s="2142">
        <v>33.68</v>
      </c>
      <c r="F452" s="2142">
        <v>14500</v>
      </c>
      <c r="G452" s="2142">
        <v>488360</v>
      </c>
      <c r="H452" s="2143">
        <v>42025</v>
      </c>
      <c r="I452" s="2142">
        <v>488360</v>
      </c>
    </row>
    <row r="453" spans="1:9" s="2139" customFormat="1" hidden="1">
      <c r="A453" s="2140" t="s">
        <v>3599</v>
      </c>
      <c r="B453" s="2141">
        <v>5</v>
      </c>
      <c r="C453" s="2141" t="s">
        <v>3168</v>
      </c>
      <c r="D453" s="2141">
        <v>63</v>
      </c>
      <c r="E453" s="2142">
        <v>30.62</v>
      </c>
      <c r="F453" s="2142">
        <v>13800</v>
      </c>
      <c r="G453" s="2142">
        <v>422556</v>
      </c>
      <c r="H453" s="2143">
        <v>42023</v>
      </c>
      <c r="I453" s="2142">
        <v>422556</v>
      </c>
    </row>
    <row r="454" spans="1:9" s="2139" customFormat="1" hidden="1">
      <c r="A454" s="2140" t="s">
        <v>3600</v>
      </c>
      <c r="B454" s="2141">
        <v>5</v>
      </c>
      <c r="C454" s="2141" t="s">
        <v>3168</v>
      </c>
      <c r="D454" s="2141">
        <v>66</v>
      </c>
      <c r="E454" s="2142">
        <v>92.94</v>
      </c>
      <c r="F454" s="2142">
        <v>15000</v>
      </c>
      <c r="G454" s="2142">
        <v>1394100</v>
      </c>
      <c r="H454" s="2143">
        <v>42005</v>
      </c>
      <c r="I454" s="2142">
        <v>1394100</v>
      </c>
    </row>
    <row r="455" spans="1:9" s="2139" customFormat="1" hidden="1">
      <c r="A455" s="2140" t="s">
        <v>3601</v>
      </c>
      <c r="B455" s="2141">
        <v>5</v>
      </c>
      <c r="C455" s="2141" t="s">
        <v>3168</v>
      </c>
      <c r="D455" s="2141">
        <v>68</v>
      </c>
      <c r="E455" s="2142">
        <v>46.03</v>
      </c>
      <c r="F455" s="2142">
        <v>18800</v>
      </c>
      <c r="G455" s="2142">
        <v>865364</v>
      </c>
      <c r="H455" s="2143">
        <v>42482</v>
      </c>
      <c r="I455" s="2142">
        <v>865364</v>
      </c>
    </row>
    <row r="456" spans="1:9" s="2139" customFormat="1" hidden="1">
      <c r="A456" s="2140" t="s">
        <v>3602</v>
      </c>
      <c r="B456" s="2141">
        <v>5</v>
      </c>
      <c r="C456" s="2141" t="s">
        <v>3168</v>
      </c>
      <c r="D456" s="2141">
        <v>71</v>
      </c>
      <c r="E456" s="2142">
        <v>53.75</v>
      </c>
      <c r="F456" s="2142">
        <v>22800</v>
      </c>
      <c r="G456" s="2142">
        <v>1225500</v>
      </c>
      <c r="H456" s="2143">
        <v>42480</v>
      </c>
      <c r="I456" s="2142">
        <v>1225500</v>
      </c>
    </row>
    <row r="457" spans="1:9" s="2139" customFormat="1" hidden="1">
      <c r="A457" s="2140" t="s">
        <v>3603</v>
      </c>
      <c r="B457" s="2141">
        <v>5</v>
      </c>
      <c r="C457" s="2141" t="s">
        <v>3168</v>
      </c>
      <c r="D457" s="2141">
        <v>72</v>
      </c>
      <c r="E457" s="2142">
        <v>49.73</v>
      </c>
      <c r="F457" s="2142">
        <v>14500</v>
      </c>
      <c r="G457" s="2142">
        <v>721085</v>
      </c>
      <c r="H457" s="2143">
        <v>42008</v>
      </c>
      <c r="I457" s="2142">
        <v>721085</v>
      </c>
    </row>
    <row r="458" spans="1:9" s="2139" customFormat="1" hidden="1">
      <c r="A458" s="2140" t="s">
        <v>3604</v>
      </c>
      <c r="B458" s="2141">
        <v>5</v>
      </c>
      <c r="C458" s="2141" t="s">
        <v>3168</v>
      </c>
      <c r="D458" s="2141">
        <v>73</v>
      </c>
      <c r="E458" s="2142">
        <v>74.239999999999995</v>
      </c>
      <c r="F458" s="2142">
        <v>13386</v>
      </c>
      <c r="G458" s="2142">
        <v>993776.6399999999</v>
      </c>
      <c r="H458" s="2143">
        <v>42629</v>
      </c>
      <c r="I458" s="2142">
        <v>993777</v>
      </c>
    </row>
    <row r="459" spans="1:9" s="2139" customFormat="1" hidden="1">
      <c r="A459" s="2140" t="s">
        <v>3605</v>
      </c>
      <c r="B459" s="2141">
        <v>5</v>
      </c>
      <c r="C459" s="2141" t="s">
        <v>3168</v>
      </c>
      <c r="D459" s="2141">
        <v>75</v>
      </c>
      <c r="E459" s="2142">
        <v>55.01</v>
      </c>
      <c r="F459" s="2142">
        <v>14000</v>
      </c>
      <c r="G459" s="2142">
        <v>770140</v>
      </c>
      <c r="H459" s="2143">
        <v>42027</v>
      </c>
      <c r="I459" s="2142">
        <v>770140</v>
      </c>
    </row>
    <row r="460" spans="1:9" s="2139" customFormat="1" hidden="1">
      <c r="A460" s="2140" t="s">
        <v>3606</v>
      </c>
      <c r="B460" s="2141">
        <v>5</v>
      </c>
      <c r="C460" s="2141" t="s">
        <v>3168</v>
      </c>
      <c r="D460" s="2141">
        <v>76</v>
      </c>
      <c r="E460" s="2142">
        <v>65.540000000000006</v>
      </c>
      <c r="F460" s="2142">
        <v>13775.01</v>
      </c>
      <c r="G460" s="2142">
        <v>902814.15540000005</v>
      </c>
      <c r="H460" s="2143">
        <v>42677</v>
      </c>
      <c r="I460" s="2142">
        <v>902814</v>
      </c>
    </row>
    <row r="461" spans="1:9" s="2139" customFormat="1" hidden="1">
      <c r="A461" s="2140" t="s">
        <v>3607</v>
      </c>
      <c r="B461" s="2141">
        <v>5</v>
      </c>
      <c r="C461" s="2141" t="s">
        <v>3168</v>
      </c>
      <c r="D461" s="2141">
        <v>82</v>
      </c>
      <c r="E461" s="2142">
        <v>78.430000000000007</v>
      </c>
      <c r="F461" s="2142">
        <v>18800</v>
      </c>
      <c r="G461" s="2142">
        <v>1474484.0000000002</v>
      </c>
      <c r="H461" s="2143">
        <v>42023</v>
      </c>
      <c r="I461" s="2142">
        <v>1474484</v>
      </c>
    </row>
    <row r="462" spans="1:9" s="2139" customFormat="1" hidden="1">
      <c r="A462" s="2140" t="s">
        <v>3608</v>
      </c>
      <c r="B462" s="2141">
        <v>5</v>
      </c>
      <c r="C462" s="2141" t="s">
        <v>3168</v>
      </c>
      <c r="D462" s="2141">
        <v>83</v>
      </c>
      <c r="E462" s="2142">
        <v>78.08</v>
      </c>
      <c r="F462" s="2142">
        <v>14500</v>
      </c>
      <c r="G462" s="2142">
        <v>1132160</v>
      </c>
      <c r="H462" s="2143">
        <v>42012</v>
      </c>
      <c r="I462" s="2142">
        <v>1132160</v>
      </c>
    </row>
    <row r="463" spans="1:9" s="2139" customFormat="1" hidden="1">
      <c r="A463" s="2140" t="s">
        <v>3609</v>
      </c>
      <c r="B463" s="2141">
        <v>5</v>
      </c>
      <c r="C463" s="2141" t="s">
        <v>3168</v>
      </c>
      <c r="D463" s="2141">
        <v>85</v>
      </c>
      <c r="E463" s="2142">
        <v>85.05</v>
      </c>
      <c r="F463" s="2142">
        <v>14065</v>
      </c>
      <c r="G463" s="2142">
        <v>1196228.25</v>
      </c>
      <c r="H463" s="2143">
        <v>42567</v>
      </c>
      <c r="I463" s="2142">
        <v>1196228</v>
      </c>
    </row>
    <row r="464" spans="1:9" s="2139" customFormat="1" hidden="1">
      <c r="A464" s="2140" t="s">
        <v>3610</v>
      </c>
      <c r="B464" s="2141">
        <v>5</v>
      </c>
      <c r="C464" s="2141" t="s">
        <v>3168</v>
      </c>
      <c r="D464" s="2141">
        <v>87</v>
      </c>
      <c r="E464" s="2142">
        <v>76.31</v>
      </c>
      <c r="F464" s="2142">
        <v>13580</v>
      </c>
      <c r="G464" s="2142">
        <v>1036289.8</v>
      </c>
      <c r="H464" s="2143">
        <v>42518</v>
      </c>
      <c r="I464" s="2142">
        <v>1036290</v>
      </c>
    </row>
    <row r="465" spans="1:9" s="2139" customFormat="1" hidden="1">
      <c r="A465" s="2140" t="s">
        <v>3611</v>
      </c>
      <c r="B465" s="3560">
        <v>5</v>
      </c>
      <c r="C465" s="2141" t="s">
        <v>3168</v>
      </c>
      <c r="D465" s="3396">
        <v>88</v>
      </c>
      <c r="E465" s="2142">
        <v>49.6</v>
      </c>
      <c r="F465" s="2142">
        <v>13300</v>
      </c>
      <c r="G465" s="2142">
        <v>659680</v>
      </c>
      <c r="H465" s="3557">
        <v>42744</v>
      </c>
      <c r="I465" s="2142">
        <v>659680</v>
      </c>
    </row>
    <row r="466" spans="1:9" s="2139" customFormat="1" hidden="1">
      <c r="A466" s="2140" t="s">
        <v>3612</v>
      </c>
      <c r="B466" s="2141">
        <v>5</v>
      </c>
      <c r="C466" s="2141" t="s">
        <v>3168</v>
      </c>
      <c r="D466" s="2141">
        <v>89</v>
      </c>
      <c r="E466" s="2142">
        <v>51.83</v>
      </c>
      <c r="F466" s="2142">
        <v>14500</v>
      </c>
      <c r="G466" s="2142">
        <v>751535</v>
      </c>
      <c r="H466" s="2143">
        <v>42047</v>
      </c>
      <c r="I466" s="2142">
        <v>161535</v>
      </c>
    </row>
    <row r="467" spans="1:9" s="2139" customFormat="1" hidden="1">
      <c r="A467" s="2140" t="s">
        <v>3613</v>
      </c>
      <c r="B467" s="2141">
        <v>5</v>
      </c>
      <c r="C467" s="2141" t="s">
        <v>3168</v>
      </c>
      <c r="D467" s="2141">
        <v>93</v>
      </c>
      <c r="E467" s="2142">
        <v>67.12</v>
      </c>
      <c r="F467" s="2142">
        <v>18800</v>
      </c>
      <c r="G467" s="2142">
        <v>1261856</v>
      </c>
      <c r="H467" s="2143"/>
      <c r="I467" s="2142">
        <v>59558</v>
      </c>
    </row>
    <row r="468" spans="1:9" s="2139" customFormat="1" hidden="1">
      <c r="A468" s="2140" t="s">
        <v>3614</v>
      </c>
      <c r="B468" s="2141">
        <v>5</v>
      </c>
      <c r="C468" s="2141" t="s">
        <v>3168</v>
      </c>
      <c r="D468" s="2141">
        <v>97</v>
      </c>
      <c r="E468" s="2142">
        <v>69.72</v>
      </c>
      <c r="F468" s="2142">
        <v>17800</v>
      </c>
      <c r="G468" s="2142">
        <v>1241016</v>
      </c>
      <c r="H468" s="2143"/>
      <c r="I468" s="2142">
        <v>158206</v>
      </c>
    </row>
    <row r="469" spans="1:9" s="2139" customFormat="1" hidden="1">
      <c r="A469" s="2140" t="s">
        <v>3615</v>
      </c>
      <c r="B469" s="2141">
        <v>5</v>
      </c>
      <c r="C469" s="2141" t="s">
        <v>3168</v>
      </c>
      <c r="D469" s="2141">
        <v>98</v>
      </c>
      <c r="E469" s="2142">
        <v>78.599999999999994</v>
      </c>
      <c r="F469" s="2142">
        <v>19800</v>
      </c>
      <c r="G469" s="2142">
        <v>1556280</v>
      </c>
      <c r="H469" s="2143">
        <v>42002</v>
      </c>
      <c r="I469" s="2142">
        <v>1556280</v>
      </c>
    </row>
    <row r="470" spans="1:9" s="2139" customFormat="1" hidden="1">
      <c r="A470" s="2140" t="s">
        <v>3616</v>
      </c>
      <c r="B470" s="2141">
        <v>5</v>
      </c>
      <c r="C470" s="2141" t="s">
        <v>3168</v>
      </c>
      <c r="D470" s="2141">
        <v>99</v>
      </c>
      <c r="E470" s="2142">
        <v>74.19</v>
      </c>
      <c r="F470" s="2142">
        <v>19500</v>
      </c>
      <c r="G470" s="2142">
        <v>1446705</v>
      </c>
      <c r="H470" s="2143">
        <v>42002</v>
      </c>
      <c r="I470" s="2142">
        <v>1446705</v>
      </c>
    </row>
    <row r="471" spans="1:9" s="2139" customFormat="1" hidden="1">
      <c r="A471" s="2140" t="s">
        <v>3617</v>
      </c>
      <c r="B471" s="3560">
        <v>5</v>
      </c>
      <c r="C471" s="2141" t="s">
        <v>3168</v>
      </c>
      <c r="D471" s="3396">
        <v>108</v>
      </c>
      <c r="E471" s="2142">
        <v>48.17</v>
      </c>
      <c r="F471" s="2142">
        <v>14500</v>
      </c>
      <c r="G471" s="2142">
        <v>698465</v>
      </c>
      <c r="H471" s="3557">
        <v>42749</v>
      </c>
      <c r="I471" s="2142">
        <v>358465</v>
      </c>
    </row>
    <row r="472" spans="1:9" s="2139" customFormat="1" hidden="1">
      <c r="A472" s="2140" t="s">
        <v>3618</v>
      </c>
      <c r="B472" s="2141">
        <v>5</v>
      </c>
      <c r="C472" s="2141" t="s">
        <v>3168</v>
      </c>
      <c r="D472" s="2141">
        <v>109</v>
      </c>
      <c r="E472" s="2142">
        <v>48.4</v>
      </c>
      <c r="F472" s="2142">
        <v>13800</v>
      </c>
      <c r="G472" s="2142">
        <v>667920</v>
      </c>
      <c r="H472" s="2143">
        <v>42010</v>
      </c>
      <c r="I472" s="2142">
        <v>667920</v>
      </c>
    </row>
    <row r="473" spans="1:9" s="2139" customFormat="1" hidden="1">
      <c r="A473" s="2140" t="s">
        <v>3619</v>
      </c>
      <c r="B473" s="2141">
        <v>5</v>
      </c>
      <c r="C473" s="2141" t="s">
        <v>3168</v>
      </c>
      <c r="D473" s="2141">
        <v>110</v>
      </c>
      <c r="E473" s="2142">
        <v>48.4</v>
      </c>
      <c r="F473" s="2142">
        <v>14065</v>
      </c>
      <c r="G473" s="2142">
        <v>680746</v>
      </c>
      <c r="H473" s="2143">
        <v>42115</v>
      </c>
      <c r="I473" s="2142">
        <v>680746</v>
      </c>
    </row>
    <row r="474" spans="1:9" s="2139" customFormat="1" hidden="1">
      <c r="A474" s="2140" t="s">
        <v>3620</v>
      </c>
      <c r="B474" s="2141">
        <v>5</v>
      </c>
      <c r="C474" s="2141" t="s">
        <v>3168</v>
      </c>
      <c r="D474" s="2141">
        <v>112</v>
      </c>
      <c r="E474" s="2142">
        <v>48.4</v>
      </c>
      <c r="F474" s="2142">
        <v>13386</v>
      </c>
      <c r="G474" s="2142">
        <v>647882.4</v>
      </c>
      <c r="H474" s="2143">
        <v>42485</v>
      </c>
      <c r="I474" s="2142">
        <v>647882</v>
      </c>
    </row>
    <row r="475" spans="1:9" s="2139" customFormat="1" hidden="1">
      <c r="A475" s="2140" t="s">
        <v>3621</v>
      </c>
      <c r="B475" s="2141">
        <v>5</v>
      </c>
      <c r="C475" s="2141" t="s">
        <v>3168</v>
      </c>
      <c r="D475" s="2141">
        <v>113</v>
      </c>
      <c r="E475" s="2142">
        <v>48.4</v>
      </c>
      <c r="F475" s="2142">
        <v>13800</v>
      </c>
      <c r="G475" s="2142">
        <v>667920</v>
      </c>
      <c r="H475" s="2143">
        <v>42011</v>
      </c>
      <c r="I475" s="2142">
        <v>667920</v>
      </c>
    </row>
    <row r="476" spans="1:9" s="2139" customFormat="1" hidden="1">
      <c r="A476" s="2140" t="s">
        <v>3622</v>
      </c>
      <c r="B476" s="2141">
        <v>5</v>
      </c>
      <c r="C476" s="2141" t="s">
        <v>3168</v>
      </c>
      <c r="D476" s="2141">
        <v>116</v>
      </c>
      <c r="E476" s="2142">
        <v>42.01</v>
      </c>
      <c r="F476" s="2142">
        <v>18800</v>
      </c>
      <c r="G476" s="2142">
        <v>789788</v>
      </c>
      <c r="H476" s="2143">
        <v>42029</v>
      </c>
      <c r="I476" s="2142">
        <v>789788</v>
      </c>
    </row>
    <row r="477" spans="1:9" s="2139" customFormat="1" hidden="1">
      <c r="A477" s="2140" t="s">
        <v>3623</v>
      </c>
      <c r="B477" s="3560">
        <v>5</v>
      </c>
      <c r="C477" s="2141" t="s">
        <v>3168</v>
      </c>
      <c r="D477" s="3396">
        <v>117</v>
      </c>
      <c r="E477" s="2142">
        <v>42.01</v>
      </c>
      <c r="F477" s="2142">
        <v>19800</v>
      </c>
      <c r="G477" s="2142">
        <v>831798</v>
      </c>
      <c r="H477" s="3557">
        <v>42922</v>
      </c>
      <c r="I477" s="2142">
        <v>421798</v>
      </c>
    </row>
    <row r="478" spans="1:9" s="2139" customFormat="1" hidden="1">
      <c r="A478" s="2140" t="s">
        <v>3624</v>
      </c>
      <c r="B478" s="3560">
        <v>5</v>
      </c>
      <c r="C478" s="2141" t="s">
        <v>3168</v>
      </c>
      <c r="D478" s="3396">
        <v>118</v>
      </c>
      <c r="E478" s="2142">
        <v>78.430000000000007</v>
      </c>
      <c r="F478" s="2142">
        <v>19500</v>
      </c>
      <c r="G478" s="2142">
        <v>1529385.0000000002</v>
      </c>
      <c r="H478" s="3557">
        <v>42880</v>
      </c>
      <c r="I478" s="2142">
        <v>1529385</v>
      </c>
    </row>
    <row r="479" spans="1:9" s="2139" customFormat="1" hidden="1">
      <c r="A479" s="2140" t="s">
        <v>3625</v>
      </c>
      <c r="B479" s="3560">
        <v>5</v>
      </c>
      <c r="C479" s="2141" t="s">
        <v>3168</v>
      </c>
      <c r="D479" s="3396">
        <v>119</v>
      </c>
      <c r="E479" s="2142">
        <v>78.430000000000007</v>
      </c>
      <c r="F479" s="2142">
        <v>19500</v>
      </c>
      <c r="G479" s="2142">
        <v>1529385.0000000002</v>
      </c>
      <c r="H479" s="3557">
        <v>42922</v>
      </c>
      <c r="I479" s="2142">
        <v>1529385</v>
      </c>
    </row>
    <row r="480" spans="1:9" s="2139" customFormat="1" hidden="1">
      <c r="A480" s="2140" t="s">
        <v>3626</v>
      </c>
      <c r="B480" s="3560">
        <v>5</v>
      </c>
      <c r="C480" s="2141" t="s">
        <v>3168</v>
      </c>
      <c r="D480" s="3396">
        <v>120</v>
      </c>
      <c r="E480" s="2142">
        <v>35.409999999999997</v>
      </c>
      <c r="F480" s="2142">
        <v>13800</v>
      </c>
      <c r="G480" s="2142">
        <v>488657.99999999994</v>
      </c>
      <c r="H480" s="3557">
        <v>42922</v>
      </c>
      <c r="I480" s="2142">
        <v>488658</v>
      </c>
    </row>
    <row r="481" spans="1:9" s="2139" customFormat="1" hidden="1">
      <c r="A481" s="2140" t="s">
        <v>3627</v>
      </c>
      <c r="B481" s="3560">
        <v>5</v>
      </c>
      <c r="C481" s="2141" t="s">
        <v>3168</v>
      </c>
      <c r="D481" s="3396">
        <v>121</v>
      </c>
      <c r="E481" s="2142">
        <v>39.67</v>
      </c>
      <c r="F481" s="2142">
        <v>13800</v>
      </c>
      <c r="G481" s="2142">
        <v>547446</v>
      </c>
      <c r="H481" s="3557">
        <v>42922</v>
      </c>
      <c r="I481" s="2142">
        <v>547446</v>
      </c>
    </row>
    <row r="482" spans="1:9" s="2139" customFormat="1" hidden="1">
      <c r="A482" s="2140" t="s">
        <v>3628</v>
      </c>
      <c r="B482" s="3560">
        <v>5</v>
      </c>
      <c r="C482" s="2141" t="s">
        <v>3168</v>
      </c>
      <c r="D482" s="3396">
        <v>122</v>
      </c>
      <c r="E482" s="2142">
        <v>39.92</v>
      </c>
      <c r="F482" s="2142">
        <v>13385.996999999999</v>
      </c>
      <c r="G482" s="2142">
        <v>534369.00023999996</v>
      </c>
      <c r="H482" s="3557">
        <v>42749</v>
      </c>
      <c r="I482" s="2142">
        <v>534369</v>
      </c>
    </row>
    <row r="483" spans="1:9" s="2139" customFormat="1" hidden="1">
      <c r="A483" s="2140" t="s">
        <v>3629</v>
      </c>
      <c r="B483" s="2141">
        <v>5</v>
      </c>
      <c r="C483" s="2141" t="s">
        <v>3168</v>
      </c>
      <c r="D483" s="2141">
        <v>125</v>
      </c>
      <c r="E483" s="2142">
        <v>34.64</v>
      </c>
      <c r="F483" s="2142">
        <v>14000</v>
      </c>
      <c r="G483" s="2142">
        <v>484960</v>
      </c>
      <c r="H483" s="2143">
        <v>42015</v>
      </c>
      <c r="I483" s="2142">
        <v>484960</v>
      </c>
    </row>
    <row r="484" spans="1:9" s="2139" customFormat="1" hidden="1">
      <c r="A484" s="2140" t="s">
        <v>3630</v>
      </c>
      <c r="B484" s="3560">
        <v>5</v>
      </c>
      <c r="C484" s="2141" t="s">
        <v>3168</v>
      </c>
      <c r="D484" s="3396">
        <v>126</v>
      </c>
      <c r="E484" s="2142">
        <v>23.02</v>
      </c>
      <c r="F484" s="2142">
        <v>13247.979139999999</v>
      </c>
      <c r="G484" s="2142">
        <v>304969</v>
      </c>
      <c r="H484" s="3557">
        <v>42988</v>
      </c>
      <c r="I484" s="2142">
        <v>304969</v>
      </c>
    </row>
    <row r="485" spans="1:9" s="2139" customFormat="1" hidden="1">
      <c r="A485" s="2140" t="s">
        <v>3631</v>
      </c>
      <c r="B485" s="2141">
        <v>5</v>
      </c>
      <c r="C485" s="2141" t="s">
        <v>3168</v>
      </c>
      <c r="D485" s="2141">
        <v>128</v>
      </c>
      <c r="E485" s="2142">
        <v>23.01</v>
      </c>
      <c r="F485" s="2142">
        <v>13800</v>
      </c>
      <c r="G485" s="2142">
        <v>317538</v>
      </c>
      <c r="H485" s="2143">
        <v>42023</v>
      </c>
      <c r="I485" s="2142">
        <v>317538</v>
      </c>
    </row>
    <row r="486" spans="1:9" s="2139" customFormat="1" hidden="1">
      <c r="A486" s="2140" t="s">
        <v>3632</v>
      </c>
      <c r="B486" s="2141">
        <v>5</v>
      </c>
      <c r="C486" s="2141" t="s">
        <v>3168</v>
      </c>
      <c r="D486" s="2141">
        <v>129</v>
      </c>
      <c r="E486" s="2142">
        <v>21.73</v>
      </c>
      <c r="F486" s="2142">
        <v>13800</v>
      </c>
      <c r="G486" s="2142">
        <v>299874</v>
      </c>
      <c r="H486" s="2143">
        <v>42031</v>
      </c>
      <c r="I486" s="2142">
        <v>299874</v>
      </c>
    </row>
    <row r="487" spans="1:9" s="2139" customFormat="1" hidden="1">
      <c r="A487" s="2140" t="s">
        <v>3633</v>
      </c>
      <c r="B487" s="2141">
        <v>5</v>
      </c>
      <c r="C487" s="2141" t="s">
        <v>3168</v>
      </c>
      <c r="D487" s="2141">
        <v>130</v>
      </c>
      <c r="E487" s="2142">
        <v>24.93</v>
      </c>
      <c r="F487" s="2142">
        <v>14000</v>
      </c>
      <c r="G487" s="2142">
        <v>349020</v>
      </c>
      <c r="H487" s="2143">
        <v>42025</v>
      </c>
      <c r="I487" s="2142">
        <v>349020</v>
      </c>
    </row>
    <row r="488" spans="1:9" s="2139" customFormat="1" hidden="1">
      <c r="A488" s="2140" t="s">
        <v>3634</v>
      </c>
      <c r="B488" s="3560">
        <v>5</v>
      </c>
      <c r="C488" s="2141" t="s">
        <v>3168</v>
      </c>
      <c r="D488" s="3396">
        <v>132</v>
      </c>
      <c r="E488" s="2142">
        <v>37.69</v>
      </c>
      <c r="F488" s="2142">
        <v>19800</v>
      </c>
      <c r="G488" s="2142">
        <v>746262</v>
      </c>
      <c r="H488" s="3557">
        <v>42991</v>
      </c>
      <c r="I488" s="2142">
        <v>376262</v>
      </c>
    </row>
    <row r="489" spans="1:9" s="2139" customFormat="1" hidden="1">
      <c r="A489" s="2140" t="s">
        <v>3635</v>
      </c>
      <c r="B489" s="3560">
        <v>5</v>
      </c>
      <c r="C489" s="2141" t="s">
        <v>3168</v>
      </c>
      <c r="D489" s="3396">
        <v>133</v>
      </c>
      <c r="E489" s="2142">
        <v>36.56</v>
      </c>
      <c r="F489" s="2142">
        <v>19800</v>
      </c>
      <c r="G489" s="2142">
        <v>723888</v>
      </c>
      <c r="H489" s="3557">
        <v>42991</v>
      </c>
      <c r="I489" s="2142">
        <v>363888</v>
      </c>
    </row>
    <row r="490" spans="1:9" s="2139" customFormat="1" hidden="1">
      <c r="A490" s="2140" t="s">
        <v>3636</v>
      </c>
      <c r="B490" s="2141">
        <v>5</v>
      </c>
      <c r="C490" s="2141" t="s">
        <v>3168</v>
      </c>
      <c r="D490" s="2141">
        <v>135</v>
      </c>
      <c r="E490" s="2142">
        <v>36.6</v>
      </c>
      <c r="F490" s="2142">
        <v>19008</v>
      </c>
      <c r="G490" s="2142">
        <v>695692.80000000005</v>
      </c>
      <c r="H490" s="2143">
        <v>42481</v>
      </c>
      <c r="I490" s="2142">
        <v>695693</v>
      </c>
    </row>
    <row r="491" spans="1:9" s="2139" customFormat="1" hidden="1">
      <c r="A491" s="2140" t="s">
        <v>3637</v>
      </c>
      <c r="B491" s="2141">
        <v>5</v>
      </c>
      <c r="C491" s="2141" t="s">
        <v>3168</v>
      </c>
      <c r="D491" s="2141">
        <v>136</v>
      </c>
      <c r="E491" s="2142">
        <v>41.99</v>
      </c>
      <c r="F491" s="2142">
        <v>19008</v>
      </c>
      <c r="G491" s="2142">
        <v>798145.92</v>
      </c>
      <c r="H491" s="2143">
        <v>42490</v>
      </c>
      <c r="I491" s="2142">
        <v>798146</v>
      </c>
    </row>
    <row r="492" spans="1:9" s="2139" customFormat="1" hidden="1">
      <c r="A492" s="2140" t="s">
        <v>3638</v>
      </c>
      <c r="B492" s="2141">
        <v>5</v>
      </c>
      <c r="C492" s="2141" t="s">
        <v>3168</v>
      </c>
      <c r="D492" s="2141">
        <v>137</v>
      </c>
      <c r="E492" s="2142">
        <v>20.78</v>
      </c>
      <c r="F492" s="2142">
        <v>13386</v>
      </c>
      <c r="G492" s="2142">
        <v>278161.08</v>
      </c>
      <c r="H492" s="2143">
        <v>42048</v>
      </c>
      <c r="I492" s="2142">
        <v>278161</v>
      </c>
    </row>
    <row r="493" spans="1:9" s="2139" customFormat="1" hidden="1">
      <c r="A493" s="2140" t="s">
        <v>3639</v>
      </c>
      <c r="B493" s="2141">
        <v>5</v>
      </c>
      <c r="C493" s="2141" t="s">
        <v>3168</v>
      </c>
      <c r="D493" s="2141">
        <v>138</v>
      </c>
      <c r="E493" s="2142">
        <v>39.119999999999997</v>
      </c>
      <c r="F493" s="2142">
        <v>17088</v>
      </c>
      <c r="G493" s="2142">
        <v>668482.55999999994</v>
      </c>
      <c r="H493" s="2143">
        <v>42481</v>
      </c>
      <c r="I493" s="2142">
        <v>668483</v>
      </c>
    </row>
    <row r="494" spans="1:9" s="2139" customFormat="1" hidden="1">
      <c r="A494" s="2140" t="s">
        <v>3640</v>
      </c>
      <c r="B494" s="2141">
        <v>5</v>
      </c>
      <c r="C494" s="2141" t="s">
        <v>3168</v>
      </c>
      <c r="D494" s="2141">
        <v>139</v>
      </c>
      <c r="E494" s="2142">
        <v>90.56</v>
      </c>
      <c r="F494" s="2142">
        <v>17910.72</v>
      </c>
      <c r="G494" s="2142">
        <v>1621994.8032000002</v>
      </c>
      <c r="H494" s="2143">
        <v>42490</v>
      </c>
      <c r="I494" s="2142">
        <v>1621995</v>
      </c>
    </row>
    <row r="495" spans="1:9" s="2139" customFormat="1" hidden="1">
      <c r="A495" s="2140" t="s">
        <v>3641</v>
      </c>
      <c r="B495" s="2141">
        <v>5</v>
      </c>
      <c r="C495" s="2141" t="s">
        <v>3168</v>
      </c>
      <c r="D495" s="2141">
        <v>140</v>
      </c>
      <c r="E495" s="2142">
        <v>76.209999999999994</v>
      </c>
      <c r="F495" s="2142">
        <v>19206</v>
      </c>
      <c r="G495" s="2142">
        <v>1463689.2599999998</v>
      </c>
      <c r="H495" s="2143">
        <v>42227</v>
      </c>
      <c r="I495" s="2142">
        <v>1463689</v>
      </c>
    </row>
    <row r="496" spans="1:9" s="2139" customFormat="1" hidden="1">
      <c r="A496" s="2140" t="s">
        <v>3642</v>
      </c>
      <c r="B496" s="2141">
        <v>5</v>
      </c>
      <c r="C496" s="2141" t="s">
        <v>3168</v>
      </c>
      <c r="D496" s="2141">
        <v>142</v>
      </c>
      <c r="E496" s="2142">
        <v>35.01</v>
      </c>
      <c r="F496" s="2142">
        <v>14500</v>
      </c>
      <c r="G496" s="2142">
        <v>507645</v>
      </c>
      <c r="H496" s="2143">
        <v>42121</v>
      </c>
      <c r="I496" s="2142">
        <v>507645</v>
      </c>
    </row>
    <row r="497" spans="1:9" s="2139" customFormat="1" hidden="1">
      <c r="A497" s="2140" t="s">
        <v>3643</v>
      </c>
      <c r="B497" s="2141">
        <v>5</v>
      </c>
      <c r="C497" s="2141" t="s">
        <v>3168</v>
      </c>
      <c r="D497" s="2141">
        <v>143</v>
      </c>
      <c r="E497" s="2142">
        <v>31.74</v>
      </c>
      <c r="F497" s="2142">
        <v>14500</v>
      </c>
      <c r="G497" s="2142">
        <v>460230</v>
      </c>
      <c r="H497" s="2143">
        <v>42010</v>
      </c>
      <c r="I497" s="2142">
        <v>460230</v>
      </c>
    </row>
    <row r="498" spans="1:9" s="2139" customFormat="1" hidden="1">
      <c r="A498" s="2140" t="s">
        <v>3644</v>
      </c>
      <c r="B498" s="2141">
        <v>5</v>
      </c>
      <c r="C498" s="2141" t="s">
        <v>3168</v>
      </c>
      <c r="D498" s="2141">
        <v>145</v>
      </c>
      <c r="E498" s="2142">
        <v>21.78</v>
      </c>
      <c r="F498" s="2142">
        <v>13386</v>
      </c>
      <c r="G498" s="2142">
        <v>291547.08</v>
      </c>
      <c r="H498" s="2143">
        <v>42006</v>
      </c>
      <c r="I498" s="2142">
        <v>291547</v>
      </c>
    </row>
    <row r="499" spans="1:9" s="2139" customFormat="1" hidden="1">
      <c r="A499" s="2140" t="s">
        <v>3645</v>
      </c>
      <c r="B499" s="2141">
        <v>5</v>
      </c>
      <c r="C499" s="2141" t="s">
        <v>3168</v>
      </c>
      <c r="D499" s="2141">
        <v>146</v>
      </c>
      <c r="E499" s="2142">
        <v>22.08</v>
      </c>
      <c r="F499" s="2142">
        <v>13386.01</v>
      </c>
      <c r="G499" s="2142">
        <v>295563.10079999996</v>
      </c>
      <c r="H499" s="2143">
        <v>42006</v>
      </c>
      <c r="I499" s="2142">
        <v>295563</v>
      </c>
    </row>
    <row r="500" spans="1:9" s="2139" customFormat="1" hidden="1">
      <c r="A500" s="2140" t="s">
        <v>3646</v>
      </c>
      <c r="B500" s="2141">
        <v>5</v>
      </c>
      <c r="C500" s="2141" t="s">
        <v>3168</v>
      </c>
      <c r="D500" s="2141">
        <v>147</v>
      </c>
      <c r="E500" s="2142">
        <v>22.08</v>
      </c>
      <c r="F500" s="2142">
        <v>13386</v>
      </c>
      <c r="G500" s="2142">
        <v>295562.88</v>
      </c>
      <c r="H500" s="2143">
        <v>42508</v>
      </c>
      <c r="I500" s="2142">
        <v>295563</v>
      </c>
    </row>
    <row r="501" spans="1:9" s="2139" customFormat="1" hidden="1">
      <c r="A501" s="2140" t="s">
        <v>3647</v>
      </c>
      <c r="B501" s="2141">
        <v>5</v>
      </c>
      <c r="C501" s="2141" t="s">
        <v>3168</v>
      </c>
      <c r="D501" s="2141">
        <v>148</v>
      </c>
      <c r="E501" s="2142">
        <v>78.47</v>
      </c>
      <c r="F501" s="2142">
        <v>17800</v>
      </c>
      <c r="G501" s="2142">
        <v>1396766</v>
      </c>
      <c r="H501" s="2143">
        <v>42014</v>
      </c>
      <c r="I501" s="2142">
        <v>1396766</v>
      </c>
    </row>
    <row r="502" spans="1:9" s="2139" customFormat="1" hidden="1">
      <c r="A502" s="2140" t="s">
        <v>3648</v>
      </c>
      <c r="B502" s="2141">
        <v>5</v>
      </c>
      <c r="C502" s="2141" t="s">
        <v>3168</v>
      </c>
      <c r="D502" s="2141">
        <v>149</v>
      </c>
      <c r="E502" s="2142">
        <v>46.57</v>
      </c>
      <c r="F502" s="2142">
        <v>15035</v>
      </c>
      <c r="G502" s="2142">
        <v>700179.95</v>
      </c>
      <c r="H502" s="2143">
        <v>42481</v>
      </c>
      <c r="I502" s="2142">
        <v>700180</v>
      </c>
    </row>
    <row r="503" spans="1:9" s="2139" customFormat="1" hidden="1">
      <c r="A503" s="2140" t="s">
        <v>3649</v>
      </c>
      <c r="B503" s="2141">
        <v>5</v>
      </c>
      <c r="C503" s="2141" t="s">
        <v>3168</v>
      </c>
      <c r="D503" s="2141">
        <v>150</v>
      </c>
      <c r="E503" s="2142">
        <v>33.78</v>
      </c>
      <c r="F503" s="2142">
        <v>15035</v>
      </c>
      <c r="G503" s="2142">
        <v>507882.3</v>
      </c>
      <c r="H503" s="2143">
        <v>42481</v>
      </c>
      <c r="I503" s="2142">
        <v>507882</v>
      </c>
    </row>
    <row r="504" spans="1:9" s="2139" customFormat="1" hidden="1">
      <c r="A504" s="2140" t="s">
        <v>3650</v>
      </c>
      <c r="B504" s="2141">
        <v>5</v>
      </c>
      <c r="C504" s="2141" t="s">
        <v>3168</v>
      </c>
      <c r="D504" s="2141">
        <v>151</v>
      </c>
      <c r="E504" s="2142">
        <v>29.68</v>
      </c>
      <c r="F504" s="2142">
        <v>15035.01</v>
      </c>
      <c r="G504" s="2142">
        <v>446239.0968</v>
      </c>
      <c r="H504" s="2143">
        <v>42013</v>
      </c>
      <c r="I504" s="2142">
        <v>446239</v>
      </c>
    </row>
    <row r="505" spans="1:9" s="2139" customFormat="1" hidden="1">
      <c r="A505" s="2140" t="s">
        <v>3651</v>
      </c>
      <c r="B505" s="2141">
        <v>5</v>
      </c>
      <c r="C505" s="2141" t="s">
        <v>3168</v>
      </c>
      <c r="D505" s="2141">
        <v>152</v>
      </c>
      <c r="E505" s="2142">
        <v>44.86</v>
      </c>
      <c r="F505" s="2142">
        <v>15175.23</v>
      </c>
      <c r="G505" s="2142">
        <v>680760.81779999996</v>
      </c>
      <c r="H505" s="2143">
        <v>42142</v>
      </c>
      <c r="I505" s="2142">
        <v>680761</v>
      </c>
    </row>
    <row r="506" spans="1:9" s="2139" customFormat="1" hidden="1">
      <c r="A506" s="2140" t="s">
        <v>3652</v>
      </c>
      <c r="B506" s="2141">
        <v>5</v>
      </c>
      <c r="C506" s="2141" t="s">
        <v>3168</v>
      </c>
      <c r="D506" s="2141">
        <v>153</v>
      </c>
      <c r="E506" s="2142">
        <v>37.950000000000003</v>
      </c>
      <c r="F506" s="2142">
        <v>15523</v>
      </c>
      <c r="G506" s="2142">
        <v>589097.85000000009</v>
      </c>
      <c r="H506" s="2143">
        <v>42481</v>
      </c>
      <c r="I506" s="2142">
        <v>589098</v>
      </c>
    </row>
    <row r="507" spans="1:9" s="2139" customFormat="1" hidden="1">
      <c r="A507" s="2140" t="s">
        <v>3653</v>
      </c>
      <c r="B507" s="2141">
        <v>5</v>
      </c>
      <c r="C507" s="2141" t="s">
        <v>3168</v>
      </c>
      <c r="D507" s="2141">
        <v>156</v>
      </c>
      <c r="E507" s="2142">
        <v>36.130000000000003</v>
      </c>
      <c r="F507" s="2142">
        <v>18915</v>
      </c>
      <c r="G507" s="2142">
        <v>683398.95000000007</v>
      </c>
      <c r="H507" s="2143">
        <v>42479</v>
      </c>
      <c r="I507" s="2142">
        <v>683399</v>
      </c>
    </row>
    <row r="508" spans="1:9" s="2139" customFormat="1" hidden="1">
      <c r="A508" s="2140" t="s">
        <v>3654</v>
      </c>
      <c r="B508" s="2141">
        <v>5</v>
      </c>
      <c r="C508" s="2141" t="s">
        <v>3168</v>
      </c>
      <c r="D508" s="2141">
        <v>157</v>
      </c>
      <c r="E508" s="2142">
        <v>35.479999999999997</v>
      </c>
      <c r="F508" s="2142">
        <v>19800</v>
      </c>
      <c r="G508" s="2142">
        <v>702503.99999999988</v>
      </c>
      <c r="H508" s="2143">
        <v>42544</v>
      </c>
      <c r="I508" s="2142">
        <v>352504</v>
      </c>
    </row>
    <row r="509" spans="1:9" s="2139" customFormat="1" hidden="1">
      <c r="A509" s="2140" t="s">
        <v>3655</v>
      </c>
      <c r="B509" s="2141">
        <v>5</v>
      </c>
      <c r="C509" s="2141" t="s">
        <v>3168</v>
      </c>
      <c r="D509" s="2141">
        <v>161</v>
      </c>
      <c r="E509" s="2142">
        <v>23.21</v>
      </c>
      <c r="F509" s="2142">
        <v>14500</v>
      </c>
      <c r="G509" s="2142">
        <v>336545</v>
      </c>
      <c r="H509" s="2143">
        <v>42484</v>
      </c>
      <c r="I509" s="2142">
        <v>336545</v>
      </c>
    </row>
    <row r="510" spans="1:9" s="2139" customFormat="1" hidden="1">
      <c r="A510" s="2140" t="s">
        <v>3656</v>
      </c>
      <c r="B510" s="2141">
        <v>5</v>
      </c>
      <c r="C510" s="2141" t="s">
        <v>3168</v>
      </c>
      <c r="D510" s="2141">
        <v>162</v>
      </c>
      <c r="E510" s="2142">
        <v>26.2</v>
      </c>
      <c r="F510" s="2142">
        <v>14500</v>
      </c>
      <c r="G510" s="2142">
        <v>379900</v>
      </c>
      <c r="H510" s="2143">
        <v>42027</v>
      </c>
      <c r="I510" s="2142">
        <v>379900</v>
      </c>
    </row>
    <row r="511" spans="1:9" s="2139" customFormat="1" hidden="1">
      <c r="A511" s="2140" t="s">
        <v>3657</v>
      </c>
      <c r="B511" s="2141">
        <v>5</v>
      </c>
      <c r="C511" s="2141" t="s">
        <v>3168</v>
      </c>
      <c r="D511" s="2141">
        <v>165</v>
      </c>
      <c r="E511" s="2142">
        <v>26.2</v>
      </c>
      <c r="F511" s="2142">
        <v>13385.99</v>
      </c>
      <c r="G511" s="2142">
        <v>350712.93799999997</v>
      </c>
      <c r="H511" s="2143">
        <v>42016</v>
      </c>
      <c r="I511" s="2142">
        <v>350713</v>
      </c>
    </row>
    <row r="512" spans="1:9" s="2139" customFormat="1" hidden="1">
      <c r="A512" s="2140" t="s">
        <v>3658</v>
      </c>
      <c r="B512" s="2141">
        <v>5</v>
      </c>
      <c r="C512" s="2141" t="s">
        <v>3168</v>
      </c>
      <c r="D512" s="2141">
        <v>166</v>
      </c>
      <c r="E512" s="2142">
        <v>23.96</v>
      </c>
      <c r="F512" s="2142">
        <v>13800</v>
      </c>
      <c r="G512" s="2142">
        <v>330648</v>
      </c>
      <c r="H512" s="2143">
        <v>42041</v>
      </c>
      <c r="I512" s="2142">
        <v>330648</v>
      </c>
    </row>
    <row r="513" spans="1:9" s="2139" customFormat="1" hidden="1">
      <c r="A513" s="2140" t="s">
        <v>3659</v>
      </c>
      <c r="B513" s="2141">
        <v>5</v>
      </c>
      <c r="C513" s="2141" t="s">
        <v>3168</v>
      </c>
      <c r="D513" s="2141">
        <v>172</v>
      </c>
      <c r="E513" s="2142">
        <v>56.61</v>
      </c>
      <c r="F513" s="2142">
        <v>14500</v>
      </c>
      <c r="G513" s="2142">
        <v>820845</v>
      </c>
      <c r="H513" s="2143">
        <v>42026</v>
      </c>
      <c r="I513" s="2142">
        <v>820845</v>
      </c>
    </row>
    <row r="514" spans="1:9" s="2139" customFormat="1" hidden="1">
      <c r="A514" s="2140" t="s">
        <v>3660</v>
      </c>
      <c r="B514" s="2141">
        <v>5</v>
      </c>
      <c r="C514" s="2141" t="s">
        <v>3168</v>
      </c>
      <c r="D514" s="2141">
        <v>177</v>
      </c>
      <c r="E514" s="2142">
        <v>50.93</v>
      </c>
      <c r="F514" s="2142">
        <v>14500</v>
      </c>
      <c r="G514" s="2142">
        <v>738485</v>
      </c>
      <c r="H514" s="2143">
        <v>42493</v>
      </c>
      <c r="I514" s="2142">
        <v>738485</v>
      </c>
    </row>
    <row r="515" spans="1:9" s="2139" customFormat="1" hidden="1">
      <c r="A515" s="2140" t="s">
        <v>3661</v>
      </c>
      <c r="B515" s="2141">
        <v>5</v>
      </c>
      <c r="C515" s="2141" t="s">
        <v>3168</v>
      </c>
      <c r="D515" s="2141">
        <v>178</v>
      </c>
      <c r="E515" s="2142">
        <v>50.93</v>
      </c>
      <c r="F515" s="2142">
        <v>14500</v>
      </c>
      <c r="G515" s="2142">
        <v>738485</v>
      </c>
      <c r="H515" s="2143">
        <v>42020</v>
      </c>
      <c r="I515" s="2142">
        <v>378485</v>
      </c>
    </row>
    <row r="516" spans="1:9" s="2139" customFormat="1" hidden="1">
      <c r="A516" s="2140" t="s">
        <v>3662</v>
      </c>
      <c r="B516" s="2141">
        <v>5</v>
      </c>
      <c r="C516" s="2141" t="s">
        <v>3168</v>
      </c>
      <c r="D516" s="2141">
        <v>179</v>
      </c>
      <c r="E516" s="2142">
        <v>50.93</v>
      </c>
      <c r="F516" s="2142">
        <v>14500</v>
      </c>
      <c r="G516" s="2142">
        <v>738485</v>
      </c>
      <c r="H516" s="2143">
        <v>42017</v>
      </c>
      <c r="I516" s="2142">
        <v>378485</v>
      </c>
    </row>
    <row r="517" spans="1:9" s="2139" customFormat="1" hidden="1">
      <c r="A517" s="2140" t="s">
        <v>3663</v>
      </c>
      <c r="B517" s="2141">
        <v>5</v>
      </c>
      <c r="C517" s="2141" t="s">
        <v>3168</v>
      </c>
      <c r="D517" s="2141">
        <v>180</v>
      </c>
      <c r="E517" s="2142">
        <v>81.489999999999995</v>
      </c>
      <c r="F517" s="2142">
        <v>14500</v>
      </c>
      <c r="G517" s="2142">
        <v>1181605</v>
      </c>
      <c r="H517" s="2143">
        <v>42172</v>
      </c>
      <c r="I517" s="2142">
        <v>591605</v>
      </c>
    </row>
    <row r="518" spans="1:9" s="2139" customFormat="1" hidden="1">
      <c r="A518" s="2140" t="s">
        <v>3664</v>
      </c>
      <c r="B518" s="2141">
        <v>5</v>
      </c>
      <c r="C518" s="2141" t="s">
        <v>3168</v>
      </c>
      <c r="D518" s="2141">
        <v>181</v>
      </c>
      <c r="E518" s="2142">
        <v>108.65</v>
      </c>
      <c r="F518" s="2142">
        <v>14500</v>
      </c>
      <c r="G518" s="2142">
        <v>1575425</v>
      </c>
      <c r="H518" s="2143">
        <v>42172</v>
      </c>
      <c r="I518" s="2142">
        <v>795425</v>
      </c>
    </row>
    <row r="519" spans="1:9" s="2139" customFormat="1" hidden="1">
      <c r="A519" s="2140" t="s">
        <v>3665</v>
      </c>
      <c r="B519" s="2141">
        <v>5</v>
      </c>
      <c r="C519" s="2141" t="s">
        <v>3142</v>
      </c>
      <c r="D519" s="2141">
        <v>1</v>
      </c>
      <c r="E519" s="2142">
        <v>69.7</v>
      </c>
      <c r="F519" s="2142">
        <v>20270</v>
      </c>
      <c r="G519" s="2142">
        <v>1412819</v>
      </c>
      <c r="H519" s="2143"/>
      <c r="I519" s="2142">
        <v>50000</v>
      </c>
    </row>
    <row r="520" spans="1:9" s="2139" customFormat="1" hidden="1">
      <c r="A520" s="2140" t="s">
        <v>3666</v>
      </c>
      <c r="B520" s="2141">
        <v>5</v>
      </c>
      <c r="C520" s="2141" t="s">
        <v>3142</v>
      </c>
      <c r="D520" s="2141">
        <v>2</v>
      </c>
      <c r="E520" s="2142">
        <v>63.76</v>
      </c>
      <c r="F520" s="2142">
        <v>17563</v>
      </c>
      <c r="G520" s="2142">
        <v>1119816.8799999999</v>
      </c>
      <c r="H520" s="2143"/>
      <c r="I520" s="2142">
        <v>50000</v>
      </c>
    </row>
    <row r="521" spans="1:9" s="2139" customFormat="1" hidden="1">
      <c r="A521" s="2140" t="s">
        <v>3667</v>
      </c>
      <c r="B521" s="2141">
        <v>5</v>
      </c>
      <c r="C521" s="2141" t="s">
        <v>3142</v>
      </c>
      <c r="D521" s="2141">
        <v>3</v>
      </c>
      <c r="E521" s="2142">
        <v>72.209999999999994</v>
      </c>
      <c r="F521" s="2142">
        <v>17563</v>
      </c>
      <c r="G521" s="2142">
        <v>1268224.23</v>
      </c>
      <c r="H521" s="2143"/>
      <c r="I521" s="2142">
        <v>105027</v>
      </c>
    </row>
    <row r="522" spans="1:9" s="2139" customFormat="1" hidden="1">
      <c r="A522" s="2140" t="s">
        <v>3668</v>
      </c>
      <c r="B522" s="2141">
        <v>5</v>
      </c>
      <c r="C522" s="2141" t="s">
        <v>3142</v>
      </c>
      <c r="D522" s="2141">
        <v>5</v>
      </c>
      <c r="E522" s="2142">
        <v>53.02</v>
      </c>
      <c r="F522" s="2142">
        <v>17563</v>
      </c>
      <c r="G522" s="2142">
        <v>931190.26</v>
      </c>
      <c r="H522" s="2143"/>
      <c r="I522" s="2142">
        <v>77119</v>
      </c>
    </row>
    <row r="523" spans="1:9" s="2139" customFormat="1" hidden="1">
      <c r="A523" s="2140" t="s">
        <v>3669</v>
      </c>
      <c r="B523" s="2141">
        <v>5</v>
      </c>
      <c r="C523" s="2141" t="s">
        <v>3142</v>
      </c>
      <c r="D523" s="2141">
        <v>6</v>
      </c>
      <c r="E523" s="2142">
        <v>53.02</v>
      </c>
      <c r="F523" s="2142">
        <v>17563</v>
      </c>
      <c r="G523" s="2142">
        <v>931190.26</v>
      </c>
      <c r="H523" s="2143"/>
      <c r="I523" s="2142">
        <v>77119</v>
      </c>
    </row>
    <row r="524" spans="1:9" s="2139" customFormat="1" hidden="1">
      <c r="A524" s="2140" t="s">
        <v>3670</v>
      </c>
      <c r="B524" s="2141">
        <v>5</v>
      </c>
      <c r="C524" s="2141" t="s">
        <v>3142</v>
      </c>
      <c r="D524" s="2141">
        <v>7</v>
      </c>
      <c r="E524" s="2142">
        <v>52.78</v>
      </c>
      <c r="F524" s="2142">
        <v>17563</v>
      </c>
      <c r="G524" s="2142">
        <v>926975.14</v>
      </c>
      <c r="H524" s="2143"/>
      <c r="I524" s="2142">
        <v>77119</v>
      </c>
    </row>
    <row r="525" spans="1:9" s="2139" customFormat="1" hidden="1">
      <c r="A525" s="2140" t="s">
        <v>3671</v>
      </c>
      <c r="B525" s="3560">
        <v>5</v>
      </c>
      <c r="C525" s="2141" t="s">
        <v>3142</v>
      </c>
      <c r="D525" s="3396">
        <v>9</v>
      </c>
      <c r="E525" s="2142">
        <v>54.89</v>
      </c>
      <c r="F525" s="2142">
        <v>20631.991255000001</v>
      </c>
      <c r="G525" s="2142">
        <v>1132489.9999869501</v>
      </c>
      <c r="H525" s="3557">
        <v>42794</v>
      </c>
      <c r="I525" s="2142">
        <v>572490</v>
      </c>
    </row>
    <row r="526" spans="1:9" s="2139" customFormat="1" hidden="1">
      <c r="A526" s="2140" t="s">
        <v>3672</v>
      </c>
      <c r="B526" s="2141">
        <v>5</v>
      </c>
      <c r="C526" s="2141" t="s">
        <v>3142</v>
      </c>
      <c r="D526" s="2141">
        <v>17</v>
      </c>
      <c r="E526" s="2142">
        <v>92.06</v>
      </c>
      <c r="F526" s="2142">
        <v>18593</v>
      </c>
      <c r="G526" s="2142">
        <v>1711671.58</v>
      </c>
      <c r="H526" s="2143"/>
      <c r="I526" s="2142">
        <v>140191</v>
      </c>
    </row>
    <row r="527" spans="1:9" s="2139" customFormat="1" hidden="1">
      <c r="A527" s="2140" t="s">
        <v>3673</v>
      </c>
      <c r="B527" s="2141">
        <v>5</v>
      </c>
      <c r="C527" s="2141" t="s">
        <v>3142</v>
      </c>
      <c r="D527" s="2141">
        <v>18</v>
      </c>
      <c r="E527" s="2142">
        <v>92.06</v>
      </c>
      <c r="F527" s="2142">
        <v>18593</v>
      </c>
      <c r="G527" s="2142">
        <v>1711671.58</v>
      </c>
      <c r="H527" s="2143"/>
      <c r="I527" s="2142">
        <v>140191</v>
      </c>
    </row>
    <row r="528" spans="1:9" s="2139" customFormat="1" hidden="1">
      <c r="A528" s="2140" t="s">
        <v>3674</v>
      </c>
      <c r="B528" s="2141">
        <v>5</v>
      </c>
      <c r="C528" s="2141" t="s">
        <v>3142</v>
      </c>
      <c r="D528" s="2141">
        <v>19</v>
      </c>
      <c r="E528" s="2142">
        <v>16.12</v>
      </c>
      <c r="F528" s="2142">
        <v>17563</v>
      </c>
      <c r="G528" s="2142">
        <v>283115.56</v>
      </c>
      <c r="H528" s="2143"/>
      <c r="I528" s="2142">
        <v>22604</v>
      </c>
    </row>
    <row r="529" spans="1:9" s="2139" customFormat="1" hidden="1">
      <c r="A529" s="2140" t="s">
        <v>3675</v>
      </c>
      <c r="B529" s="2141">
        <v>5</v>
      </c>
      <c r="C529" s="2141" t="s">
        <v>3142</v>
      </c>
      <c r="D529" s="2141">
        <v>20</v>
      </c>
      <c r="E529" s="2142">
        <v>18.07</v>
      </c>
      <c r="F529" s="2142">
        <v>18983</v>
      </c>
      <c r="G529" s="2142">
        <v>343022.81</v>
      </c>
      <c r="H529" s="2143"/>
      <c r="I529" s="2142">
        <v>28095</v>
      </c>
    </row>
    <row r="530" spans="1:9" s="2139" customFormat="1" hidden="1">
      <c r="A530" s="2140" t="s">
        <v>3676</v>
      </c>
      <c r="B530" s="2141">
        <v>5</v>
      </c>
      <c r="C530" s="2141" t="s">
        <v>3142</v>
      </c>
      <c r="D530" s="2141">
        <v>21</v>
      </c>
      <c r="E530" s="2142">
        <v>32.159999999999997</v>
      </c>
      <c r="F530" s="2142">
        <v>18983</v>
      </c>
      <c r="G530" s="2142">
        <v>610493.27999999991</v>
      </c>
      <c r="H530" s="2143"/>
      <c r="I530" s="2142">
        <v>50000</v>
      </c>
    </row>
    <row r="531" spans="1:9" s="2139" customFormat="1" hidden="1">
      <c r="A531" s="2140" t="s">
        <v>3677</v>
      </c>
      <c r="B531" s="2141">
        <v>5</v>
      </c>
      <c r="C531" s="2141" t="s">
        <v>3142</v>
      </c>
      <c r="D531" s="2141">
        <v>22</v>
      </c>
      <c r="E531" s="2142">
        <v>78.91</v>
      </c>
      <c r="F531" s="2142">
        <v>18593</v>
      </c>
      <c r="G531" s="2142">
        <v>1467173.63</v>
      </c>
      <c r="H531" s="2143"/>
      <c r="I531" s="2142">
        <v>50000</v>
      </c>
    </row>
    <row r="532" spans="1:9" s="2139" customFormat="1" hidden="1">
      <c r="A532" s="2140" t="s">
        <v>3678</v>
      </c>
      <c r="B532" s="2141">
        <v>5</v>
      </c>
      <c r="C532" s="2141" t="s">
        <v>3142</v>
      </c>
      <c r="D532" s="2141">
        <v>23</v>
      </c>
      <c r="E532" s="2142">
        <v>70.14</v>
      </c>
      <c r="F532" s="2142">
        <v>18593</v>
      </c>
      <c r="G532" s="2142">
        <v>1304113.02</v>
      </c>
      <c r="H532" s="2143"/>
      <c r="I532" s="2142">
        <v>50000</v>
      </c>
    </row>
    <row r="533" spans="1:9" s="2139" customFormat="1" hidden="1">
      <c r="A533" s="2140" t="s">
        <v>3679</v>
      </c>
      <c r="B533" s="2141">
        <v>5</v>
      </c>
      <c r="C533" s="2141" t="s">
        <v>3142</v>
      </c>
      <c r="D533" s="2141">
        <v>25</v>
      </c>
      <c r="E533" s="2142">
        <v>52.61</v>
      </c>
      <c r="F533" s="2142">
        <v>17983</v>
      </c>
      <c r="G533" s="2142">
        <v>946085.63</v>
      </c>
      <c r="H533" s="2143"/>
      <c r="I533" s="2142">
        <v>50000</v>
      </c>
    </row>
    <row r="534" spans="1:9" s="2139" customFormat="1" hidden="1">
      <c r="A534" s="2140" t="s">
        <v>3680</v>
      </c>
      <c r="B534" s="2141">
        <v>5</v>
      </c>
      <c r="C534" s="2141" t="s">
        <v>3142</v>
      </c>
      <c r="D534" s="2141">
        <v>26</v>
      </c>
      <c r="E534" s="2142">
        <v>73.8</v>
      </c>
      <c r="F534" s="2142">
        <v>17983</v>
      </c>
      <c r="G534" s="2142">
        <v>1327145.3999999999</v>
      </c>
      <c r="H534" s="2143"/>
      <c r="I534" s="2142">
        <v>50000</v>
      </c>
    </row>
    <row r="535" spans="1:9" s="2139" customFormat="1" hidden="1">
      <c r="A535" s="2140" t="s">
        <v>3681</v>
      </c>
      <c r="B535" s="2141">
        <v>5</v>
      </c>
      <c r="C535" s="2141" t="s">
        <v>3142</v>
      </c>
      <c r="D535" s="2141">
        <v>28</v>
      </c>
      <c r="E535" s="2142">
        <v>88.9</v>
      </c>
      <c r="F535" s="2142">
        <v>18593</v>
      </c>
      <c r="G535" s="2142">
        <v>1652917.7000000002</v>
      </c>
      <c r="H535" s="2143"/>
      <c r="I535" s="2142">
        <v>100000</v>
      </c>
    </row>
    <row r="536" spans="1:9" s="2139" customFormat="1" hidden="1">
      <c r="A536" s="2140" t="s">
        <v>3682</v>
      </c>
      <c r="B536" s="2141">
        <v>5</v>
      </c>
      <c r="C536" s="2141" t="s">
        <v>3142</v>
      </c>
      <c r="D536" s="2141">
        <v>29</v>
      </c>
      <c r="E536" s="2142">
        <v>35.93</v>
      </c>
      <c r="F536" s="2142">
        <v>18983</v>
      </c>
      <c r="G536" s="2142">
        <v>682059.19</v>
      </c>
      <c r="H536" s="2143"/>
      <c r="I536" s="2142">
        <v>50000</v>
      </c>
    </row>
    <row r="537" spans="1:9" s="2139" customFormat="1" hidden="1">
      <c r="A537" s="2140" t="s">
        <v>3683</v>
      </c>
      <c r="B537" s="2141">
        <v>5</v>
      </c>
      <c r="C537" s="2141" t="s">
        <v>3142</v>
      </c>
      <c r="D537" s="2141">
        <v>31</v>
      </c>
      <c r="E537" s="2142">
        <v>41.47</v>
      </c>
      <c r="F537" s="2142">
        <v>14988</v>
      </c>
      <c r="G537" s="2142">
        <v>621552.36</v>
      </c>
      <c r="H537" s="2143"/>
      <c r="I537" s="2142">
        <v>50929</v>
      </c>
    </row>
    <row r="538" spans="1:9" s="2139" customFormat="1" hidden="1">
      <c r="A538" s="2140" t="s">
        <v>3684</v>
      </c>
      <c r="B538" s="2141">
        <v>5</v>
      </c>
      <c r="C538" s="2141" t="s">
        <v>3142</v>
      </c>
      <c r="D538" s="2141">
        <v>41</v>
      </c>
      <c r="E538" s="2142">
        <v>58.52</v>
      </c>
      <c r="F538" s="2142">
        <v>18983</v>
      </c>
      <c r="G538" s="2142">
        <v>1110885.1600000001</v>
      </c>
      <c r="H538" s="2143"/>
      <c r="I538" s="2142">
        <v>50000</v>
      </c>
    </row>
    <row r="539" spans="1:9" s="2139" customFormat="1" hidden="1">
      <c r="A539" s="2140" t="s">
        <v>3685</v>
      </c>
      <c r="B539" s="3560">
        <v>5</v>
      </c>
      <c r="C539" s="2141" t="s">
        <v>3142</v>
      </c>
      <c r="D539" s="3396">
        <v>52</v>
      </c>
      <c r="E539" s="2142">
        <v>59.31</v>
      </c>
      <c r="F539" s="2142">
        <v>14569.21261</v>
      </c>
      <c r="G539" s="2142">
        <v>864099.99989910005</v>
      </c>
      <c r="H539" s="3557">
        <v>42789</v>
      </c>
      <c r="I539" s="2142">
        <v>434100</v>
      </c>
    </row>
    <row r="540" spans="1:9" s="2139" customFormat="1" hidden="1">
      <c r="A540" s="2140" t="s">
        <v>3686</v>
      </c>
      <c r="B540" s="2141">
        <v>5</v>
      </c>
      <c r="C540" s="2141" t="s">
        <v>3142</v>
      </c>
      <c r="D540" s="2141">
        <v>59</v>
      </c>
      <c r="E540" s="2142">
        <v>61.93</v>
      </c>
      <c r="F540" s="2142">
        <v>20270</v>
      </c>
      <c r="G540" s="2142">
        <v>1255321.1000000001</v>
      </c>
      <c r="H540" s="2143"/>
      <c r="I540" s="2142">
        <v>50000</v>
      </c>
    </row>
    <row r="541" spans="1:9" s="2139" customFormat="1" hidden="1">
      <c r="A541" s="2140" t="s">
        <v>3687</v>
      </c>
      <c r="B541" s="2141">
        <v>5</v>
      </c>
      <c r="C541" s="2141" t="s">
        <v>3142</v>
      </c>
      <c r="D541" s="2141">
        <v>60</v>
      </c>
      <c r="E541" s="2142">
        <v>100.61</v>
      </c>
      <c r="F541" s="2142">
        <v>18593</v>
      </c>
      <c r="G541" s="2142">
        <v>1870641.73</v>
      </c>
      <c r="H541" s="2143"/>
      <c r="I541" s="2142">
        <v>50000</v>
      </c>
    </row>
    <row r="542" spans="1:9" s="2139" customFormat="1" hidden="1">
      <c r="A542" s="2140" t="s">
        <v>3688</v>
      </c>
      <c r="B542" s="2141">
        <v>5</v>
      </c>
      <c r="C542" s="2141" t="s">
        <v>3142</v>
      </c>
      <c r="D542" s="2141">
        <v>73</v>
      </c>
      <c r="E542" s="2142">
        <v>65.349999999999994</v>
      </c>
      <c r="F542" s="2142">
        <v>18983</v>
      </c>
      <c r="G542" s="2142">
        <v>1240539.0499999998</v>
      </c>
      <c r="H542" s="2143"/>
      <c r="I542" s="2142">
        <v>50000</v>
      </c>
    </row>
    <row r="543" spans="1:9" s="2139" customFormat="1" hidden="1">
      <c r="A543" s="2140" t="s">
        <v>3689</v>
      </c>
      <c r="B543" s="2141">
        <v>5</v>
      </c>
      <c r="C543" s="2141" t="s">
        <v>3142</v>
      </c>
      <c r="D543" s="2141">
        <v>75</v>
      </c>
      <c r="E543" s="2142">
        <v>59.93</v>
      </c>
      <c r="F543" s="2142">
        <v>16983</v>
      </c>
      <c r="G543" s="2142">
        <v>1017791.19</v>
      </c>
      <c r="H543" s="2143"/>
      <c r="I543" s="2142">
        <v>50000</v>
      </c>
    </row>
    <row r="544" spans="1:9" s="2139" customFormat="1" hidden="1">
      <c r="A544" s="2140" t="s">
        <v>3690</v>
      </c>
      <c r="B544" s="2141">
        <v>5</v>
      </c>
      <c r="C544" s="2141" t="s">
        <v>3142</v>
      </c>
      <c r="D544" s="2141">
        <v>82</v>
      </c>
      <c r="E544" s="2142">
        <v>58.52</v>
      </c>
      <c r="F544" s="2142">
        <v>18983</v>
      </c>
      <c r="G544" s="2142">
        <v>1110885.1600000001</v>
      </c>
      <c r="H544" s="2143"/>
      <c r="I544" s="2142">
        <v>50000</v>
      </c>
    </row>
    <row r="545" spans="1:9" s="2139" customFormat="1" hidden="1">
      <c r="A545" s="2140" t="s">
        <v>3691</v>
      </c>
      <c r="B545" s="2141">
        <v>5</v>
      </c>
      <c r="C545" s="2141" t="s">
        <v>3142</v>
      </c>
      <c r="D545" s="2141">
        <v>85</v>
      </c>
      <c r="E545" s="2142">
        <v>72</v>
      </c>
      <c r="F545" s="2142">
        <v>18983</v>
      </c>
      <c r="G545" s="2142">
        <v>1366776</v>
      </c>
      <c r="H545" s="2143"/>
      <c r="I545" s="2142">
        <v>50000</v>
      </c>
    </row>
    <row r="546" spans="1:9" s="2139" customFormat="1" hidden="1">
      <c r="A546" s="2140" t="s">
        <v>3692</v>
      </c>
      <c r="B546" s="2141">
        <v>5</v>
      </c>
      <c r="C546" s="2141" t="s">
        <v>3142</v>
      </c>
      <c r="D546" s="2141">
        <v>86</v>
      </c>
      <c r="E546" s="2142">
        <v>62.88</v>
      </c>
      <c r="F546" s="2142">
        <v>14988</v>
      </c>
      <c r="G546" s="2142">
        <v>942445.44000000006</v>
      </c>
      <c r="H546" s="2143"/>
      <c r="I546" s="2142">
        <v>50000</v>
      </c>
    </row>
    <row r="547" spans="1:9" s="2139" customFormat="1" hidden="1">
      <c r="A547" s="2140" t="s">
        <v>3693</v>
      </c>
      <c r="B547" s="2141">
        <v>5</v>
      </c>
      <c r="C547" s="2141" t="s">
        <v>3142</v>
      </c>
      <c r="D547" s="2141">
        <v>93</v>
      </c>
      <c r="E547" s="2142">
        <v>98.16</v>
      </c>
      <c r="F547" s="2142">
        <v>18593</v>
      </c>
      <c r="G547" s="2142">
        <v>1825088.88</v>
      </c>
      <c r="H547" s="2143"/>
      <c r="I547" s="2142">
        <v>100000</v>
      </c>
    </row>
    <row r="548" spans="1:9" s="2139" customFormat="1" hidden="1">
      <c r="A548" s="2140" t="s">
        <v>3694</v>
      </c>
      <c r="B548" s="2141">
        <v>5</v>
      </c>
      <c r="C548" s="2141" t="s">
        <v>3142</v>
      </c>
      <c r="D548" s="2141">
        <v>96</v>
      </c>
      <c r="E548" s="2142">
        <v>103.49</v>
      </c>
      <c r="F548" s="2142">
        <v>18593</v>
      </c>
      <c r="G548" s="2142">
        <v>1924189.5699999998</v>
      </c>
      <c r="H548" s="2143"/>
      <c r="I548" s="2142">
        <v>157966</v>
      </c>
    </row>
    <row r="549" spans="1:9" s="2139" customFormat="1" hidden="1">
      <c r="A549" s="2140" t="s">
        <v>3695</v>
      </c>
      <c r="B549" s="2141">
        <v>5</v>
      </c>
      <c r="C549" s="2141" t="s">
        <v>3142</v>
      </c>
      <c r="D549" s="2141">
        <v>97</v>
      </c>
      <c r="E549" s="2142">
        <v>58.3</v>
      </c>
      <c r="F549" s="2142">
        <v>20270</v>
      </c>
      <c r="G549" s="2142">
        <v>1181741</v>
      </c>
      <c r="H549" s="2143"/>
      <c r="I549" s="2142">
        <v>97154</v>
      </c>
    </row>
    <row r="550" spans="1:9" s="2139" customFormat="1" hidden="1">
      <c r="A550" s="2140" t="s">
        <v>3696</v>
      </c>
      <c r="B550" s="3560">
        <v>5</v>
      </c>
      <c r="C550" s="2141" t="s">
        <v>3142</v>
      </c>
      <c r="D550" s="3396">
        <v>98</v>
      </c>
      <c r="E550" s="2142">
        <v>51.12</v>
      </c>
      <c r="F550" s="2142">
        <v>16602.210490000001</v>
      </c>
      <c r="G550" s="2142">
        <v>848705.00024880003</v>
      </c>
      <c r="H550" s="3557">
        <v>42839</v>
      </c>
      <c r="I550" s="2142">
        <v>428705</v>
      </c>
    </row>
    <row r="551" spans="1:9" s="2139" customFormat="1" hidden="1">
      <c r="A551" s="2140" t="s">
        <v>3697</v>
      </c>
      <c r="B551" s="3560">
        <v>5</v>
      </c>
      <c r="C551" s="2141" t="s">
        <v>3142</v>
      </c>
      <c r="D551" s="3396">
        <v>102</v>
      </c>
      <c r="E551" s="2142">
        <v>66.180000000000007</v>
      </c>
      <c r="F551" s="2142">
        <v>14450.060439999999</v>
      </c>
      <c r="G551" s="2142">
        <v>956304.99991920008</v>
      </c>
      <c r="H551" s="3557">
        <v>42758</v>
      </c>
      <c r="I551" s="2142">
        <v>486305</v>
      </c>
    </row>
    <row r="552" spans="1:9" s="2139" customFormat="1" hidden="1">
      <c r="A552" s="2140" t="s">
        <v>3698</v>
      </c>
      <c r="B552" s="2141">
        <v>5</v>
      </c>
      <c r="C552" s="2141" t="s">
        <v>3142</v>
      </c>
      <c r="D552" s="2141">
        <v>103</v>
      </c>
      <c r="E552" s="2142">
        <v>39.119999999999997</v>
      </c>
      <c r="F552" s="2142">
        <v>14528.07</v>
      </c>
      <c r="G552" s="2142">
        <v>568338.0983999999</v>
      </c>
      <c r="H552" s="2143">
        <v>42307</v>
      </c>
      <c r="I552" s="2142">
        <v>368338</v>
      </c>
    </row>
    <row r="553" spans="1:9" s="2139" customFormat="1" hidden="1">
      <c r="A553" s="2140" t="s">
        <v>3699</v>
      </c>
      <c r="B553" s="2141">
        <v>5</v>
      </c>
      <c r="C553" s="2141" t="s">
        <v>3142</v>
      </c>
      <c r="D553" s="2141">
        <v>105</v>
      </c>
      <c r="E553" s="2142">
        <v>52.78</v>
      </c>
      <c r="F553" s="2142">
        <v>14611.42</v>
      </c>
      <c r="G553" s="2142">
        <v>771190.7476</v>
      </c>
      <c r="H553" s="2143">
        <v>42300</v>
      </c>
      <c r="I553" s="2142">
        <v>771191</v>
      </c>
    </row>
    <row r="554" spans="1:9" s="2139" customFormat="1" hidden="1">
      <c r="A554" s="2140" t="s">
        <v>3700</v>
      </c>
      <c r="B554" s="2141">
        <v>5</v>
      </c>
      <c r="C554" s="2141" t="s">
        <v>3142</v>
      </c>
      <c r="D554" s="2141">
        <v>106</v>
      </c>
      <c r="E554" s="2142">
        <v>52.78</v>
      </c>
      <c r="F554" s="2142">
        <v>14611.42</v>
      </c>
      <c r="G554" s="2142">
        <v>771190.7476</v>
      </c>
      <c r="H554" s="2143">
        <v>42307</v>
      </c>
      <c r="I554" s="2142">
        <v>391191</v>
      </c>
    </row>
    <row r="555" spans="1:9" s="2139" customFormat="1" hidden="1">
      <c r="A555" s="2140" t="s">
        <v>3701</v>
      </c>
      <c r="B555" s="2141">
        <v>5</v>
      </c>
      <c r="C555" s="2141" t="s">
        <v>3142</v>
      </c>
      <c r="D555" s="2141">
        <v>107</v>
      </c>
      <c r="E555" s="2142">
        <v>55.55</v>
      </c>
      <c r="F555" s="2142">
        <v>14493.03</v>
      </c>
      <c r="G555" s="2142">
        <v>805087.81649999996</v>
      </c>
      <c r="H555" s="2143">
        <v>42307</v>
      </c>
      <c r="I555" s="2142">
        <v>405088</v>
      </c>
    </row>
    <row r="556" spans="1:9" s="2139" customFormat="1" hidden="1">
      <c r="A556" s="2140" t="s">
        <v>3702</v>
      </c>
      <c r="B556" s="2141">
        <v>5</v>
      </c>
      <c r="C556" s="2141" t="s">
        <v>3142</v>
      </c>
      <c r="D556" s="2141">
        <v>118</v>
      </c>
      <c r="E556" s="2142">
        <v>105.99</v>
      </c>
      <c r="F556" s="2142">
        <v>18983</v>
      </c>
      <c r="G556" s="2142">
        <v>2012008.17</v>
      </c>
      <c r="H556" s="2143"/>
      <c r="I556" s="2142">
        <v>166671</v>
      </c>
    </row>
    <row r="557" spans="1:9" s="2139" customFormat="1" hidden="1">
      <c r="A557" s="2140" t="s">
        <v>3703</v>
      </c>
      <c r="B557" s="2141">
        <v>5</v>
      </c>
      <c r="C557" s="2141" t="s">
        <v>3142</v>
      </c>
      <c r="D557" s="2141">
        <v>122</v>
      </c>
      <c r="E557" s="2142">
        <v>75.08</v>
      </c>
      <c r="F557" s="2142">
        <v>18983</v>
      </c>
      <c r="G557" s="2142">
        <v>1425243.64</v>
      </c>
      <c r="H557" s="2143"/>
      <c r="I557" s="2142">
        <v>50000</v>
      </c>
    </row>
    <row r="558" spans="1:9" s="2139" customFormat="1" hidden="1">
      <c r="A558" s="2140" t="s">
        <v>3704</v>
      </c>
      <c r="B558" s="2141">
        <v>5</v>
      </c>
      <c r="C558" s="2141" t="s">
        <v>3142</v>
      </c>
      <c r="D558" s="2141">
        <v>123</v>
      </c>
      <c r="E558" s="2142">
        <v>57.93</v>
      </c>
      <c r="F558" s="2142">
        <v>18593</v>
      </c>
      <c r="G558" s="2142">
        <v>1077092.49</v>
      </c>
      <c r="H558" s="2143"/>
      <c r="I558" s="2142">
        <v>50000</v>
      </c>
    </row>
    <row r="559" spans="1:9" s="2139" customFormat="1" hidden="1">
      <c r="A559" s="2140" t="s">
        <v>3705</v>
      </c>
      <c r="B559" s="2141">
        <v>5</v>
      </c>
      <c r="C559" s="2141" t="s">
        <v>3142</v>
      </c>
      <c r="D559" s="2141">
        <v>126</v>
      </c>
      <c r="E559" s="2142">
        <v>101.63</v>
      </c>
      <c r="F559" s="2142">
        <v>18593</v>
      </c>
      <c r="G559" s="2142">
        <v>1889606.5899999999</v>
      </c>
      <c r="H559" s="2143"/>
      <c r="I559" s="2142">
        <v>100000</v>
      </c>
    </row>
    <row r="560" spans="1:9" s="2139" customFormat="1" hidden="1">
      <c r="A560" s="2140" t="s">
        <v>3706</v>
      </c>
      <c r="B560" s="2141">
        <v>5</v>
      </c>
      <c r="C560" s="2141" t="s">
        <v>3142</v>
      </c>
      <c r="D560" s="2141">
        <v>128</v>
      </c>
      <c r="E560" s="2142">
        <v>32.159999999999997</v>
      </c>
      <c r="F560" s="2142">
        <v>20270</v>
      </c>
      <c r="G560" s="2142">
        <v>651883.19999999995</v>
      </c>
      <c r="H560" s="2143"/>
      <c r="I560" s="2142">
        <v>50000</v>
      </c>
    </row>
    <row r="561" spans="1:9" s="2139" customFormat="1" hidden="1">
      <c r="A561" s="2140" t="s">
        <v>3707</v>
      </c>
      <c r="B561" s="2141">
        <v>5</v>
      </c>
      <c r="C561" s="2141" t="s">
        <v>3142</v>
      </c>
      <c r="D561" s="2141">
        <v>129</v>
      </c>
      <c r="E561" s="2142">
        <v>32.159999999999997</v>
      </c>
      <c r="F561" s="2142">
        <v>20270</v>
      </c>
      <c r="G561" s="2142">
        <v>651883.19999999995</v>
      </c>
      <c r="H561" s="2143"/>
      <c r="I561" s="2142">
        <v>50000</v>
      </c>
    </row>
    <row r="562" spans="1:9" s="2139" customFormat="1" hidden="1">
      <c r="A562" s="2140" t="s">
        <v>3708</v>
      </c>
      <c r="B562" s="2141">
        <v>5</v>
      </c>
      <c r="C562" s="2141" t="s">
        <v>3142</v>
      </c>
      <c r="D562" s="2141">
        <v>130</v>
      </c>
      <c r="E562" s="2142">
        <v>28.1</v>
      </c>
      <c r="F562" s="2142">
        <v>20270</v>
      </c>
      <c r="G562" s="2142">
        <v>569587</v>
      </c>
      <c r="H562" s="2143"/>
      <c r="I562" s="2142">
        <v>50000</v>
      </c>
    </row>
    <row r="563" spans="1:9" s="2139" customFormat="1" hidden="1">
      <c r="A563" s="2140" t="s">
        <v>3709</v>
      </c>
      <c r="B563" s="2141">
        <v>5</v>
      </c>
      <c r="C563" s="2141" t="s">
        <v>3142</v>
      </c>
      <c r="D563" s="2141">
        <v>131</v>
      </c>
      <c r="E563" s="2142">
        <v>103.24</v>
      </c>
      <c r="F563" s="2142">
        <v>18593</v>
      </c>
      <c r="G563" s="2142">
        <v>1919541.3199999998</v>
      </c>
      <c r="H563" s="2143"/>
      <c r="I563" s="2142">
        <v>50000</v>
      </c>
    </row>
    <row r="564" spans="1:9" s="2139" customFormat="1" hidden="1">
      <c r="A564" s="2140" t="s">
        <v>3710</v>
      </c>
      <c r="B564" s="2141">
        <v>5</v>
      </c>
      <c r="C564" s="2141" t="s">
        <v>3142</v>
      </c>
      <c r="D564" s="2141">
        <v>142</v>
      </c>
      <c r="E564" s="2142">
        <v>71.27</v>
      </c>
      <c r="F564" s="2142">
        <v>18983</v>
      </c>
      <c r="G564" s="2142">
        <v>1352918.41</v>
      </c>
      <c r="H564" s="2143"/>
      <c r="I564" s="2142">
        <v>50000</v>
      </c>
    </row>
    <row r="565" spans="1:9" s="2139" customFormat="1" hidden="1">
      <c r="A565" s="2140" t="s">
        <v>3711</v>
      </c>
      <c r="B565" s="2141">
        <v>5</v>
      </c>
      <c r="C565" s="2141" t="s">
        <v>3142</v>
      </c>
      <c r="D565" s="2141">
        <v>143</v>
      </c>
      <c r="E565" s="2142">
        <v>62.64</v>
      </c>
      <c r="F565" s="2142">
        <v>14988</v>
      </c>
      <c r="G565" s="2142">
        <v>938848.32000000007</v>
      </c>
      <c r="H565" s="2143"/>
      <c r="I565" s="2142">
        <v>50000</v>
      </c>
    </row>
    <row r="566" spans="1:9" s="2139" customFormat="1" hidden="1">
      <c r="A566" s="2140" t="s">
        <v>3712</v>
      </c>
      <c r="B566" s="2141">
        <v>5</v>
      </c>
      <c r="C566" s="2141" t="s">
        <v>3142</v>
      </c>
      <c r="D566" s="2141">
        <v>146</v>
      </c>
      <c r="E566" s="2142">
        <v>63.18</v>
      </c>
      <c r="F566" s="2142">
        <v>18983</v>
      </c>
      <c r="G566" s="2142">
        <v>1199345.94</v>
      </c>
      <c r="H566" s="2143"/>
      <c r="I566" s="2142">
        <v>50000</v>
      </c>
    </row>
    <row r="567" spans="1:9" s="2139" customFormat="1" hidden="1">
      <c r="A567" s="2140" t="s">
        <v>3713</v>
      </c>
      <c r="B567" s="2141">
        <v>5</v>
      </c>
      <c r="C567" s="2141" t="s">
        <v>3142</v>
      </c>
      <c r="D567" s="2141">
        <v>147</v>
      </c>
      <c r="E567" s="2142">
        <v>54.26</v>
      </c>
      <c r="F567" s="2142">
        <v>14473</v>
      </c>
      <c r="G567" s="2142">
        <v>785304.98</v>
      </c>
      <c r="H567" s="2143"/>
      <c r="I567" s="2142">
        <v>50000</v>
      </c>
    </row>
    <row r="568" spans="1:9" s="2139" customFormat="1" hidden="1">
      <c r="A568" s="2140" t="s">
        <v>3714</v>
      </c>
      <c r="B568" s="2141">
        <v>5</v>
      </c>
      <c r="C568" s="2141" t="s">
        <v>3142</v>
      </c>
      <c r="D568" s="2141">
        <v>148</v>
      </c>
      <c r="E568" s="2142">
        <v>53.67</v>
      </c>
      <c r="F568" s="2142">
        <v>14473</v>
      </c>
      <c r="G568" s="2142">
        <v>776765.91</v>
      </c>
      <c r="H568" s="2143"/>
      <c r="I568" s="2142">
        <v>50000</v>
      </c>
    </row>
    <row r="569" spans="1:9" s="2139" customFormat="1" hidden="1">
      <c r="A569" s="2140" t="s">
        <v>3715</v>
      </c>
      <c r="B569" s="3560">
        <v>5</v>
      </c>
      <c r="C569" s="2141" t="s">
        <v>3151</v>
      </c>
      <c r="D569" s="3396">
        <v>1</v>
      </c>
      <c r="E569" s="2142">
        <v>115.23</v>
      </c>
      <c r="F569" s="2142">
        <v>13946.663200000001</v>
      </c>
      <c r="G569" s="2142">
        <v>1607074.0005360001</v>
      </c>
      <c r="H569" s="3557">
        <v>42902</v>
      </c>
      <c r="I569" s="2142">
        <v>1607074</v>
      </c>
    </row>
    <row r="570" spans="1:9" s="2139" customFormat="1" hidden="1">
      <c r="A570" s="2140" t="s">
        <v>3716</v>
      </c>
      <c r="B570" s="3560">
        <v>5</v>
      </c>
      <c r="C570" s="2141" t="s">
        <v>3151</v>
      </c>
      <c r="D570" s="3396">
        <v>18</v>
      </c>
      <c r="E570" s="2142">
        <v>83.76</v>
      </c>
      <c r="F570" s="2142">
        <v>15079.620349999999</v>
      </c>
      <c r="G570" s="2142">
        <v>1263069.000516</v>
      </c>
      <c r="H570" s="3557">
        <v>42902</v>
      </c>
      <c r="I570" s="2142">
        <v>1263069</v>
      </c>
    </row>
    <row r="571" spans="1:9" s="2139" customFormat="1" hidden="1">
      <c r="A571" s="2140" t="s">
        <v>3717</v>
      </c>
      <c r="B571" s="3560">
        <v>5</v>
      </c>
      <c r="C571" s="2141" t="s">
        <v>3151</v>
      </c>
      <c r="D571" s="3396">
        <v>19</v>
      </c>
      <c r="E571" s="2142">
        <v>62.82</v>
      </c>
      <c r="F571" s="2142">
        <v>13946.65712</v>
      </c>
      <c r="G571" s="2142">
        <v>876129.00027840002</v>
      </c>
      <c r="H571" s="3557">
        <v>42902</v>
      </c>
      <c r="I571" s="2142">
        <v>876129</v>
      </c>
    </row>
    <row r="572" spans="1:9" s="2139" customFormat="1" hidden="1">
      <c r="A572" s="2140" t="s">
        <v>3718</v>
      </c>
      <c r="B572" s="2141">
        <v>5</v>
      </c>
      <c r="C572" s="2141" t="s">
        <v>3151</v>
      </c>
      <c r="D572" s="2141">
        <v>31</v>
      </c>
      <c r="E572" s="2142">
        <v>77.34</v>
      </c>
      <c r="F572" s="2142">
        <v>16380</v>
      </c>
      <c r="G572" s="2142">
        <v>1266829.2</v>
      </c>
      <c r="H572" s="2143"/>
      <c r="I572" s="2142">
        <v>50000</v>
      </c>
    </row>
    <row r="573" spans="1:9" s="2139" customFormat="1" hidden="1">
      <c r="A573" s="2140" t="s">
        <v>3719</v>
      </c>
      <c r="B573" s="2141">
        <v>5</v>
      </c>
      <c r="C573" s="2141" t="s">
        <v>3151</v>
      </c>
      <c r="D573" s="2141">
        <v>42</v>
      </c>
      <c r="E573" s="2142">
        <v>54.82</v>
      </c>
      <c r="F573" s="2142">
        <v>14034.51</v>
      </c>
      <c r="G573" s="2142">
        <v>769371.8382</v>
      </c>
      <c r="H573" s="2143">
        <v>42467</v>
      </c>
      <c r="I573" s="2142">
        <v>389372</v>
      </c>
    </row>
    <row r="574" spans="1:9" s="2139" customFormat="1" hidden="1">
      <c r="A574" s="2140" t="s">
        <v>3720</v>
      </c>
      <c r="B574" s="2141">
        <v>5</v>
      </c>
      <c r="C574" s="2141" t="s">
        <v>3151</v>
      </c>
      <c r="D574" s="2141">
        <v>43</v>
      </c>
      <c r="E574" s="2142">
        <v>36.549999999999997</v>
      </c>
      <c r="F574" s="2142">
        <v>14036.06</v>
      </c>
      <c r="G574" s="2142">
        <v>513017.99299999996</v>
      </c>
      <c r="H574" s="2143">
        <v>42467</v>
      </c>
      <c r="I574" s="2142">
        <v>263018</v>
      </c>
    </row>
    <row r="575" spans="1:9" s="2139" customFormat="1" hidden="1">
      <c r="A575" s="2140" t="s">
        <v>3721</v>
      </c>
      <c r="B575" s="2141">
        <v>5</v>
      </c>
      <c r="C575" s="2141" t="s">
        <v>3151</v>
      </c>
      <c r="D575" s="2141">
        <v>45</v>
      </c>
      <c r="E575" s="2142">
        <v>37.880000000000003</v>
      </c>
      <c r="F575" s="2142">
        <v>14788.7</v>
      </c>
      <c r="G575" s="2142">
        <v>560195.95600000012</v>
      </c>
      <c r="H575" s="2143">
        <v>42467</v>
      </c>
      <c r="I575" s="2142">
        <v>280196</v>
      </c>
    </row>
    <row r="576" spans="1:9" s="2139" customFormat="1" hidden="1">
      <c r="A576" s="2140" t="s">
        <v>3722</v>
      </c>
      <c r="B576" s="2141">
        <v>5</v>
      </c>
      <c r="C576" s="2141" t="s">
        <v>3151</v>
      </c>
      <c r="D576" s="2141">
        <v>51</v>
      </c>
      <c r="E576" s="2142">
        <v>55.66</v>
      </c>
      <c r="F576" s="2142">
        <v>11220.75</v>
      </c>
      <c r="G576" s="2142">
        <v>624546.94499999995</v>
      </c>
      <c r="H576" s="2143">
        <v>42467</v>
      </c>
      <c r="I576" s="2142">
        <v>624547</v>
      </c>
    </row>
    <row r="577" spans="1:9" s="2139" customFormat="1" hidden="1">
      <c r="A577" s="2140" t="s">
        <v>3723</v>
      </c>
      <c r="B577" s="2141">
        <v>5</v>
      </c>
      <c r="C577" s="2141" t="s">
        <v>3151</v>
      </c>
      <c r="D577" s="2141">
        <v>52</v>
      </c>
      <c r="E577" s="2142">
        <v>61.92</v>
      </c>
      <c r="F577" s="2142">
        <v>12232.14</v>
      </c>
      <c r="G577" s="2142">
        <v>757414.10879999993</v>
      </c>
      <c r="H577" s="2143">
        <v>42467</v>
      </c>
      <c r="I577" s="2142">
        <v>757414</v>
      </c>
    </row>
    <row r="578" spans="1:9" s="2139" customFormat="1" hidden="1">
      <c r="A578" s="2140" t="s">
        <v>3724</v>
      </c>
      <c r="B578" s="2141">
        <v>5</v>
      </c>
      <c r="C578" s="2141" t="s">
        <v>3151</v>
      </c>
      <c r="D578" s="2141">
        <v>53</v>
      </c>
      <c r="E578" s="2142">
        <v>115.7</v>
      </c>
      <c r="F578" s="2142">
        <v>13965.99827</v>
      </c>
      <c r="G578" s="2142">
        <v>1615865.9998389999</v>
      </c>
      <c r="H578" s="2143"/>
      <c r="I578" s="2142">
        <v>146573</v>
      </c>
    </row>
    <row r="579" spans="1:9" s="2139" customFormat="1" hidden="1">
      <c r="A579" s="2140" t="s">
        <v>3725</v>
      </c>
      <c r="B579" s="2141">
        <v>5</v>
      </c>
      <c r="C579" s="2141" t="s">
        <v>3151</v>
      </c>
      <c r="D579" s="2141">
        <v>57</v>
      </c>
      <c r="E579" s="2142">
        <v>69.849999999999994</v>
      </c>
      <c r="F579" s="2142">
        <v>12232.08</v>
      </c>
      <c r="G579" s="2142">
        <v>854410.78799999994</v>
      </c>
      <c r="H579" s="2143">
        <v>42467</v>
      </c>
      <c r="I579" s="2142">
        <v>854411</v>
      </c>
    </row>
    <row r="580" spans="1:9" s="2139" customFormat="1" hidden="1">
      <c r="A580" s="2140" t="s">
        <v>3726</v>
      </c>
      <c r="B580" s="2141">
        <v>5</v>
      </c>
      <c r="C580" s="2141" t="s">
        <v>3151</v>
      </c>
      <c r="D580" s="2141">
        <v>58</v>
      </c>
      <c r="E580" s="2142">
        <v>57.55</v>
      </c>
      <c r="F580" s="2142">
        <v>11186.52</v>
      </c>
      <c r="G580" s="2142">
        <v>643784.22600000002</v>
      </c>
      <c r="H580" s="2143">
        <v>42467</v>
      </c>
      <c r="I580" s="2142">
        <v>323784</v>
      </c>
    </row>
    <row r="581" spans="1:9" s="2139" customFormat="1" hidden="1">
      <c r="A581" s="2140" t="s">
        <v>3727</v>
      </c>
      <c r="B581" s="2141">
        <v>5</v>
      </c>
      <c r="C581" s="2141" t="s">
        <v>3151</v>
      </c>
      <c r="D581" s="2141">
        <v>59</v>
      </c>
      <c r="E581" s="2142">
        <v>21.35</v>
      </c>
      <c r="F581" s="2142">
        <v>13965.99532</v>
      </c>
      <c r="G581" s="2142">
        <v>298174.00008200004</v>
      </c>
      <c r="H581" s="2143"/>
      <c r="I581" s="2142">
        <v>26940</v>
      </c>
    </row>
    <row r="582" spans="1:9" s="2139" customFormat="1" hidden="1">
      <c r="A582" s="2140" t="s">
        <v>3728</v>
      </c>
      <c r="B582" s="2141">
        <v>5</v>
      </c>
      <c r="C582" s="2141" t="s">
        <v>3151</v>
      </c>
      <c r="D582" s="2141">
        <v>60</v>
      </c>
      <c r="E582" s="2142">
        <v>43.55</v>
      </c>
      <c r="F582" s="2142">
        <v>12612.7</v>
      </c>
      <c r="G582" s="2142">
        <v>549283.08499999996</v>
      </c>
      <c r="H582" s="2143">
        <v>42479</v>
      </c>
      <c r="I582" s="2142">
        <v>279283</v>
      </c>
    </row>
    <row r="583" spans="1:9" s="2139" customFormat="1" hidden="1">
      <c r="A583" s="2140" t="s">
        <v>3729</v>
      </c>
      <c r="B583" s="2141">
        <v>5</v>
      </c>
      <c r="C583" s="2141" t="s">
        <v>3151</v>
      </c>
      <c r="D583" s="2141">
        <v>61</v>
      </c>
      <c r="E583" s="2142">
        <v>25.42</v>
      </c>
      <c r="F583" s="2142">
        <v>9765.0300000000007</v>
      </c>
      <c r="G583" s="2142">
        <v>248227.06260000003</v>
      </c>
      <c r="H583" s="2143">
        <v>42479</v>
      </c>
      <c r="I583" s="2142">
        <v>128227</v>
      </c>
    </row>
    <row r="584" spans="1:9" s="2139" customFormat="1" hidden="1">
      <c r="A584" s="2140" t="s">
        <v>3730</v>
      </c>
      <c r="B584" s="2141">
        <v>5</v>
      </c>
      <c r="C584" s="2141" t="s">
        <v>3151</v>
      </c>
      <c r="D584" s="2141">
        <v>62</v>
      </c>
      <c r="E584" s="2142">
        <v>66.569999999999993</v>
      </c>
      <c r="F584" s="2142">
        <v>10944.12</v>
      </c>
      <c r="G584" s="2142">
        <v>728550.06839999999</v>
      </c>
      <c r="H584" s="2143">
        <v>42467</v>
      </c>
      <c r="I584" s="2142">
        <v>728550</v>
      </c>
    </row>
    <row r="585" spans="1:9" s="2139" customFormat="1" hidden="1">
      <c r="A585" s="2140" t="s">
        <v>3731</v>
      </c>
      <c r="B585" s="2141">
        <v>5</v>
      </c>
      <c r="C585" s="2141" t="s">
        <v>3151</v>
      </c>
      <c r="D585" s="2141">
        <v>63</v>
      </c>
      <c r="E585" s="2142">
        <v>76.459999999999994</v>
      </c>
      <c r="F585" s="2142">
        <v>13965.9953</v>
      </c>
      <c r="G585" s="2142">
        <v>1067840.000638</v>
      </c>
      <c r="H585" s="2143"/>
      <c r="I585" s="2142">
        <v>96924</v>
      </c>
    </row>
    <row r="586" spans="1:9" s="2139" customFormat="1" hidden="1">
      <c r="A586" s="2140" t="s">
        <v>3732</v>
      </c>
      <c r="B586" s="2141">
        <v>5</v>
      </c>
      <c r="C586" s="2141" t="s">
        <v>3151</v>
      </c>
      <c r="D586" s="2141">
        <v>70</v>
      </c>
      <c r="E586" s="2142">
        <v>63.14</v>
      </c>
      <c r="F586" s="2142">
        <v>12390</v>
      </c>
      <c r="G586" s="2142">
        <v>782304.6</v>
      </c>
      <c r="H586" s="2143"/>
      <c r="I586" s="2142">
        <v>50000</v>
      </c>
    </row>
    <row r="587" spans="1:9" s="2139" customFormat="1" hidden="1">
      <c r="A587" s="2140" t="s">
        <v>3733</v>
      </c>
      <c r="B587" s="2141">
        <v>5</v>
      </c>
      <c r="C587" s="2141" t="s">
        <v>3151</v>
      </c>
      <c r="D587" s="2141">
        <v>107</v>
      </c>
      <c r="E587" s="2142">
        <v>76.209999999999994</v>
      </c>
      <c r="F587" s="2142">
        <v>16380</v>
      </c>
      <c r="G587" s="2142">
        <v>1248319.7999999998</v>
      </c>
      <c r="H587" s="2143"/>
      <c r="I587" s="2142">
        <v>50000</v>
      </c>
    </row>
    <row r="588" spans="1:9" s="2139" customFormat="1" hidden="1">
      <c r="A588" s="2140" t="s">
        <v>3734</v>
      </c>
      <c r="B588" s="2141">
        <v>5</v>
      </c>
      <c r="C588" s="2141" t="s">
        <v>3151</v>
      </c>
      <c r="D588" s="2141">
        <v>126</v>
      </c>
      <c r="E588" s="2142">
        <v>45.76</v>
      </c>
      <c r="F588" s="2142">
        <v>11815.996499999999</v>
      </c>
      <c r="G588" s="2142">
        <v>540699.99983999995</v>
      </c>
      <c r="H588" s="2143"/>
      <c r="I588" s="2142">
        <v>48812</v>
      </c>
    </row>
    <row r="589" spans="1:9" s="2139" customFormat="1" hidden="1">
      <c r="A589" s="2140" t="s">
        <v>3735</v>
      </c>
      <c r="B589" s="2141">
        <v>5</v>
      </c>
      <c r="C589" s="2141" t="s">
        <v>3151</v>
      </c>
      <c r="D589" s="2141">
        <v>195</v>
      </c>
      <c r="E589" s="2142">
        <v>96.57</v>
      </c>
      <c r="F589" s="2142">
        <v>10816</v>
      </c>
      <c r="G589" s="2142">
        <v>1044501.1199999999</v>
      </c>
      <c r="H589" s="2143"/>
      <c r="I589" s="2142">
        <v>50000</v>
      </c>
    </row>
    <row r="590" spans="1:9" s="2139" customFormat="1" hidden="1">
      <c r="A590" s="2140" t="s">
        <v>3736</v>
      </c>
      <c r="B590" s="2141">
        <v>5</v>
      </c>
      <c r="C590" s="2141" t="s">
        <v>3151</v>
      </c>
      <c r="D590" s="2141">
        <v>315</v>
      </c>
      <c r="E590" s="2142">
        <v>54.24</v>
      </c>
      <c r="F590" s="2142">
        <v>13300</v>
      </c>
      <c r="G590" s="2142">
        <v>721392</v>
      </c>
      <c r="H590" s="2143"/>
      <c r="I590" s="2142">
        <v>50000</v>
      </c>
    </row>
    <row r="591" spans="1:9" s="2139" customFormat="1" hidden="1">
      <c r="A591" s="2140" t="s">
        <v>3737</v>
      </c>
      <c r="B591" s="2141">
        <v>5</v>
      </c>
      <c r="C591" s="2141" t="s">
        <v>3151</v>
      </c>
      <c r="D591" s="2141">
        <v>316</v>
      </c>
      <c r="E591" s="2142">
        <v>51.8</v>
      </c>
      <c r="F591" s="2142">
        <v>11800</v>
      </c>
      <c r="G591" s="2142">
        <v>611240</v>
      </c>
      <c r="H591" s="2143"/>
      <c r="I591" s="2142">
        <v>50000</v>
      </c>
    </row>
    <row r="592" spans="1:9" s="2139" customFormat="1" hidden="1">
      <c r="A592" s="2140" t="s">
        <v>3738</v>
      </c>
      <c r="B592" s="2141">
        <v>5</v>
      </c>
      <c r="C592" s="2141" t="s">
        <v>3151</v>
      </c>
      <c r="D592" s="2141">
        <v>317</v>
      </c>
      <c r="E592" s="2142">
        <v>34.75</v>
      </c>
      <c r="F592" s="2142">
        <v>11800</v>
      </c>
      <c r="G592" s="2142">
        <v>410050</v>
      </c>
      <c r="H592" s="2143"/>
      <c r="I592" s="2142">
        <v>50000</v>
      </c>
    </row>
    <row r="593" spans="1:9" s="2139" customFormat="1" hidden="1">
      <c r="A593" s="2140" t="s">
        <v>3739</v>
      </c>
      <c r="B593" s="2141">
        <v>5</v>
      </c>
      <c r="C593" s="2141" t="s">
        <v>3151</v>
      </c>
      <c r="D593" s="2141">
        <v>318</v>
      </c>
      <c r="E593" s="2142">
        <v>19.57</v>
      </c>
      <c r="F593" s="2142">
        <v>12300</v>
      </c>
      <c r="G593" s="2142">
        <v>240711</v>
      </c>
      <c r="H593" s="2143"/>
      <c r="I593" s="2142">
        <v>50000</v>
      </c>
    </row>
    <row r="594" spans="1:9" s="2139" customFormat="1" hidden="1">
      <c r="A594" s="2140" t="s">
        <v>3740</v>
      </c>
      <c r="B594" s="2141">
        <v>5</v>
      </c>
      <c r="C594" s="2141" t="s">
        <v>3151</v>
      </c>
      <c r="D594" s="2141">
        <v>339</v>
      </c>
      <c r="E594" s="2142">
        <v>18.850000000000001</v>
      </c>
      <c r="F594" s="2142">
        <v>11300</v>
      </c>
      <c r="G594" s="2142">
        <v>213005.00000000003</v>
      </c>
      <c r="H594" s="2143"/>
      <c r="I594" s="2142">
        <v>50000</v>
      </c>
    </row>
    <row r="595" spans="1:9" s="2139" customFormat="1" hidden="1">
      <c r="A595" s="2140" t="s">
        <v>3741</v>
      </c>
      <c r="B595" s="2141">
        <v>5</v>
      </c>
      <c r="C595" s="2141" t="s">
        <v>3151</v>
      </c>
      <c r="D595" s="2141">
        <v>340</v>
      </c>
      <c r="E595" s="2142">
        <v>31.19</v>
      </c>
      <c r="F595" s="2142">
        <v>10800</v>
      </c>
      <c r="G595" s="2142">
        <v>336852</v>
      </c>
      <c r="H595" s="2143"/>
      <c r="I595" s="2142">
        <v>50000</v>
      </c>
    </row>
    <row r="596" spans="1:9" s="2139" customFormat="1" hidden="1">
      <c r="A596" s="2140" t="s">
        <v>3742</v>
      </c>
      <c r="B596" s="2141">
        <v>5</v>
      </c>
      <c r="C596" s="2141" t="s">
        <v>3151</v>
      </c>
      <c r="D596" s="2141">
        <v>341</v>
      </c>
      <c r="E596" s="2142">
        <v>46.51</v>
      </c>
      <c r="F596" s="2142">
        <v>10800</v>
      </c>
      <c r="G596" s="2142">
        <v>502308</v>
      </c>
      <c r="H596" s="2143"/>
      <c r="I596" s="2142">
        <v>50000</v>
      </c>
    </row>
    <row r="597" spans="1:9" s="2139" customFormat="1" hidden="1">
      <c r="A597" s="2140" t="s">
        <v>3743</v>
      </c>
      <c r="B597" s="2141">
        <v>5</v>
      </c>
      <c r="C597" s="2141" t="s">
        <v>3151</v>
      </c>
      <c r="D597" s="2141">
        <v>342</v>
      </c>
      <c r="E597" s="2142">
        <v>49.17</v>
      </c>
      <c r="F597" s="2142">
        <v>13300</v>
      </c>
      <c r="G597" s="2142">
        <v>653961</v>
      </c>
      <c r="H597" s="2143"/>
      <c r="I597" s="2142">
        <v>50000</v>
      </c>
    </row>
    <row r="598" spans="1:9" s="2139" customFormat="1" hidden="1">
      <c r="A598" s="2140" t="s">
        <v>6766</v>
      </c>
      <c r="B598" s="3560">
        <v>12</v>
      </c>
      <c r="C598" s="2141" t="s">
        <v>3261</v>
      </c>
      <c r="D598" s="3396">
        <v>85</v>
      </c>
      <c r="E598" s="2142">
        <v>36.43</v>
      </c>
      <c r="F598" s="2142">
        <v>35860</v>
      </c>
      <c r="G598" s="2142">
        <v>1306380</v>
      </c>
      <c r="H598" s="3557">
        <v>43006</v>
      </c>
      <c r="I598" s="2142">
        <v>1306380</v>
      </c>
    </row>
    <row r="599" spans="1:9" s="2139" customFormat="1" hidden="1">
      <c r="A599" s="2140" t="s">
        <v>4367</v>
      </c>
      <c r="B599" s="3560" t="s">
        <v>3055</v>
      </c>
      <c r="C599" s="2141" t="s">
        <v>3261</v>
      </c>
      <c r="D599" s="3396">
        <v>59</v>
      </c>
      <c r="E599" s="2142">
        <v>34.89</v>
      </c>
      <c r="F599" s="2142">
        <v>25800</v>
      </c>
      <c r="G599" s="2142">
        <v>900162</v>
      </c>
      <c r="H599" s="3557">
        <v>43003</v>
      </c>
      <c r="I599" s="2142">
        <v>900162</v>
      </c>
    </row>
    <row r="600" spans="1:9" s="2139" customFormat="1" hidden="1">
      <c r="A600" s="2140" t="s">
        <v>4368</v>
      </c>
      <c r="B600" s="3560" t="s">
        <v>3055</v>
      </c>
      <c r="C600" s="2141" t="s">
        <v>3261</v>
      </c>
      <c r="D600" s="3396">
        <v>60</v>
      </c>
      <c r="E600" s="2142">
        <v>34.89</v>
      </c>
      <c r="F600" s="2142">
        <v>25800</v>
      </c>
      <c r="G600" s="2142">
        <v>900162</v>
      </c>
      <c r="H600" s="3557">
        <v>43003</v>
      </c>
      <c r="I600" s="2142">
        <v>900162</v>
      </c>
    </row>
    <row r="601" spans="1:9" s="2139" customFormat="1" hidden="1">
      <c r="A601" s="2140" t="s">
        <v>5028</v>
      </c>
      <c r="B601" s="3560" t="s">
        <v>3056</v>
      </c>
      <c r="C601" s="2141" t="s">
        <v>3261</v>
      </c>
      <c r="D601" s="3396">
        <v>8</v>
      </c>
      <c r="E601" s="2142">
        <v>57.35</v>
      </c>
      <c r="F601" s="2142">
        <v>35800</v>
      </c>
      <c r="G601" s="2142">
        <v>2053130</v>
      </c>
      <c r="H601" s="3557">
        <v>43003</v>
      </c>
      <c r="I601" s="2142">
        <v>2053130</v>
      </c>
    </row>
    <row r="602" spans="1:9" s="2139" customFormat="1" hidden="1">
      <c r="A602" s="2140" t="s">
        <v>5040</v>
      </c>
      <c r="B602" s="3560" t="s">
        <v>3056</v>
      </c>
      <c r="C602" s="2141" t="s">
        <v>3261</v>
      </c>
      <c r="D602" s="3396">
        <v>26</v>
      </c>
      <c r="E602" s="2142">
        <v>35.479999999999997</v>
      </c>
      <c r="F602" s="2142">
        <v>25025.99</v>
      </c>
      <c r="G602" s="2142">
        <v>887922</v>
      </c>
      <c r="H602" s="3557">
        <v>43003</v>
      </c>
      <c r="I602" s="2142">
        <v>887922</v>
      </c>
    </row>
    <row r="603" spans="1:9" s="2139" customFormat="1" hidden="1">
      <c r="A603" s="2140" t="s">
        <v>3748</v>
      </c>
      <c r="B603" s="3560" t="s">
        <v>3054</v>
      </c>
      <c r="C603" s="2141" t="s">
        <v>3261</v>
      </c>
      <c r="D603" s="3396">
        <v>29</v>
      </c>
      <c r="E603" s="2142">
        <v>30.37</v>
      </c>
      <c r="F603" s="2142">
        <v>25800</v>
      </c>
      <c r="G603" s="2142">
        <v>783546</v>
      </c>
      <c r="H603" s="3557">
        <v>43002</v>
      </c>
      <c r="I603" s="2142">
        <v>783546</v>
      </c>
    </row>
    <row r="604" spans="1:9" s="2139" customFormat="1" hidden="1">
      <c r="A604" s="2140" t="s">
        <v>3766</v>
      </c>
      <c r="B604" s="3560" t="s">
        <v>3054</v>
      </c>
      <c r="C604" s="2141" t="s">
        <v>3261</v>
      </c>
      <c r="D604" s="3396">
        <v>50</v>
      </c>
      <c r="E604" s="2142">
        <v>52.82</v>
      </c>
      <c r="F604" s="2142">
        <v>25800</v>
      </c>
      <c r="G604" s="2142">
        <v>1362756</v>
      </c>
      <c r="H604" s="3557">
        <v>43002</v>
      </c>
      <c r="I604" s="2142">
        <v>1362756</v>
      </c>
    </row>
    <row r="605" spans="1:9" s="2139" customFormat="1" hidden="1">
      <c r="A605" s="2140" t="s">
        <v>3767</v>
      </c>
      <c r="B605" s="3560" t="s">
        <v>3054</v>
      </c>
      <c r="C605" s="2141" t="s">
        <v>3261</v>
      </c>
      <c r="D605" s="3396">
        <v>51</v>
      </c>
      <c r="E605" s="2142">
        <v>53.04</v>
      </c>
      <c r="F605" s="2142">
        <v>25800</v>
      </c>
      <c r="G605" s="2142">
        <v>1368432</v>
      </c>
      <c r="H605" s="3557">
        <v>43002</v>
      </c>
      <c r="I605" s="2142">
        <v>1368432</v>
      </c>
    </row>
    <row r="606" spans="1:9" s="2139" customFormat="1" hidden="1">
      <c r="A606" s="2140" t="s">
        <v>4392</v>
      </c>
      <c r="B606" s="3560" t="s">
        <v>3055</v>
      </c>
      <c r="C606" s="2141" t="s">
        <v>3261</v>
      </c>
      <c r="D606" s="3396">
        <v>98</v>
      </c>
      <c r="E606" s="2142">
        <v>42.47</v>
      </c>
      <c r="F606" s="2142">
        <v>25800</v>
      </c>
      <c r="G606" s="2142">
        <v>1095726</v>
      </c>
      <c r="H606" s="3557">
        <v>43002</v>
      </c>
      <c r="I606" s="2142">
        <v>1095726</v>
      </c>
    </row>
    <row r="607" spans="1:9" s="2139" customFormat="1" hidden="1">
      <c r="A607" s="2140" t="s">
        <v>6768</v>
      </c>
      <c r="B607" s="3560">
        <v>12</v>
      </c>
      <c r="C607" s="2141" t="s">
        <v>3261</v>
      </c>
      <c r="D607" s="3396">
        <v>88</v>
      </c>
      <c r="E607" s="2142">
        <v>41.99</v>
      </c>
      <c r="F607" s="2142">
        <v>35860</v>
      </c>
      <c r="G607" s="2142">
        <v>1505761</v>
      </c>
      <c r="H607" s="3557">
        <v>43002</v>
      </c>
      <c r="I607" s="2142">
        <v>1505761</v>
      </c>
    </row>
    <row r="608" spans="1:9" s="3568" customFormat="1" hidden="1">
      <c r="A608" s="3562" t="s">
        <v>6545</v>
      </c>
      <c r="B608" s="3563">
        <v>11</v>
      </c>
      <c r="C608" s="3564" t="s">
        <v>3261</v>
      </c>
      <c r="D608" s="3565">
        <v>11</v>
      </c>
      <c r="E608" s="3566">
        <v>46.39</v>
      </c>
      <c r="F608" s="3566">
        <v>42544.2</v>
      </c>
      <c r="G608" s="3566">
        <v>1973625</v>
      </c>
      <c r="H608" s="3567">
        <v>43001</v>
      </c>
      <c r="I608" s="3566">
        <v>1973616</v>
      </c>
    </row>
    <row r="609" spans="1:9" s="2139" customFormat="1" hidden="1">
      <c r="A609" s="2140" t="s">
        <v>6573</v>
      </c>
      <c r="B609" s="3560">
        <v>11</v>
      </c>
      <c r="C609" s="2141" t="s">
        <v>3261</v>
      </c>
      <c r="D609" s="3396">
        <v>137</v>
      </c>
      <c r="E609" s="2142">
        <v>43.21</v>
      </c>
      <c r="F609" s="2142">
        <v>31800</v>
      </c>
      <c r="G609" s="2142">
        <v>1374078</v>
      </c>
      <c r="H609" s="3557">
        <v>43001</v>
      </c>
      <c r="I609" s="2142">
        <v>1374078</v>
      </c>
    </row>
    <row r="610" spans="1:9" s="2139" customFormat="1" hidden="1">
      <c r="A610" s="2140" t="s">
        <v>4347</v>
      </c>
      <c r="B610" s="3560" t="s">
        <v>3055</v>
      </c>
      <c r="C610" s="2141" t="s">
        <v>3261</v>
      </c>
      <c r="D610" s="3396">
        <v>35</v>
      </c>
      <c r="E610" s="2142">
        <v>34.89</v>
      </c>
      <c r="F610" s="2142">
        <v>25800</v>
      </c>
      <c r="G610" s="2142">
        <v>900162</v>
      </c>
      <c r="H610" s="3557">
        <v>43000</v>
      </c>
      <c r="I610" s="2142">
        <v>900162</v>
      </c>
    </row>
    <row r="611" spans="1:9" s="2139" customFormat="1" hidden="1">
      <c r="A611" s="2140" t="s">
        <v>3800</v>
      </c>
      <c r="B611" s="3560" t="s">
        <v>3054</v>
      </c>
      <c r="C611" s="2141" t="s">
        <v>3261</v>
      </c>
      <c r="D611" s="3396">
        <v>172</v>
      </c>
      <c r="E611" s="2142">
        <v>45.42</v>
      </c>
      <c r="F611" s="2142">
        <v>26300</v>
      </c>
      <c r="G611" s="2142">
        <v>1194546</v>
      </c>
      <c r="H611" s="3557">
        <v>42999</v>
      </c>
      <c r="I611" s="2142">
        <v>1194546</v>
      </c>
    </row>
    <row r="612" spans="1:9" s="2139" customFormat="1" hidden="1">
      <c r="A612" s="2140" t="s">
        <v>4326</v>
      </c>
      <c r="B612" s="3560" t="s">
        <v>3055</v>
      </c>
      <c r="C612" s="2141" t="s">
        <v>3261</v>
      </c>
      <c r="D612" s="3396">
        <v>10</v>
      </c>
      <c r="E612" s="2142">
        <v>158.46</v>
      </c>
      <c r="F612" s="2142">
        <v>35211</v>
      </c>
      <c r="G612" s="2142">
        <v>5579535</v>
      </c>
      <c r="H612" s="3557">
        <v>42999</v>
      </c>
      <c r="I612" s="2142">
        <v>5579535</v>
      </c>
    </row>
    <row r="613" spans="1:9" s="2139" customFormat="1" hidden="1">
      <c r="A613" s="2140" t="s">
        <v>4328</v>
      </c>
      <c r="B613" s="3560" t="s">
        <v>3055</v>
      </c>
      <c r="C613" s="2141" t="s">
        <v>3261</v>
      </c>
      <c r="D613" s="3396">
        <v>12</v>
      </c>
      <c r="E613" s="2142">
        <v>94.75</v>
      </c>
      <c r="F613" s="2142">
        <v>35211</v>
      </c>
      <c r="G613" s="2142">
        <v>3336242</v>
      </c>
      <c r="H613" s="3557">
        <v>42999</v>
      </c>
      <c r="I613" s="2142">
        <v>3336242</v>
      </c>
    </row>
    <row r="614" spans="1:9" s="2139" customFormat="1" hidden="1">
      <c r="A614" s="2140" t="s">
        <v>4335</v>
      </c>
      <c r="B614" s="3560" t="s">
        <v>3055</v>
      </c>
      <c r="C614" s="2141" t="s">
        <v>3261</v>
      </c>
      <c r="D614" s="3396">
        <v>21</v>
      </c>
      <c r="E614" s="2142">
        <v>132.79</v>
      </c>
      <c r="F614" s="2142">
        <v>34726</v>
      </c>
      <c r="G614" s="2142">
        <v>4611266</v>
      </c>
      <c r="H614" s="3557">
        <v>42999</v>
      </c>
      <c r="I614" s="2142">
        <v>4611266</v>
      </c>
    </row>
    <row r="615" spans="1:9" s="2139" customFormat="1">
      <c r="A615" s="2140" t="s">
        <v>5688</v>
      </c>
      <c r="B615" s="3560" t="s">
        <v>3057</v>
      </c>
      <c r="C615" s="2141" t="s">
        <v>3261</v>
      </c>
      <c r="D615" s="3396">
        <v>31</v>
      </c>
      <c r="E615" s="2142">
        <v>38.86</v>
      </c>
      <c r="F615" s="2142">
        <v>25800</v>
      </c>
      <c r="G615" s="2142">
        <v>1002588</v>
      </c>
      <c r="H615" s="3557">
        <v>42998</v>
      </c>
      <c r="I615" s="2142">
        <v>1002588</v>
      </c>
    </row>
    <row r="616" spans="1:9" s="2139" customFormat="1">
      <c r="A616" s="2140" t="s">
        <v>5690</v>
      </c>
      <c r="B616" s="3560" t="s">
        <v>3057</v>
      </c>
      <c r="C616" s="2141" t="s">
        <v>3261</v>
      </c>
      <c r="D616" s="3396">
        <v>35</v>
      </c>
      <c r="E616" s="2142">
        <v>53.61</v>
      </c>
      <c r="F616" s="2142">
        <v>25800</v>
      </c>
      <c r="G616" s="2142">
        <v>1383138</v>
      </c>
      <c r="H616" s="3557">
        <v>42998</v>
      </c>
      <c r="I616" s="2142">
        <v>1383138</v>
      </c>
    </row>
    <row r="617" spans="1:9" s="2139" customFormat="1">
      <c r="A617" s="2140" t="s">
        <v>5691</v>
      </c>
      <c r="B617" s="3560" t="s">
        <v>3057</v>
      </c>
      <c r="C617" s="2141" t="s">
        <v>3261</v>
      </c>
      <c r="D617" s="3396">
        <v>36</v>
      </c>
      <c r="E617" s="2142">
        <v>42.49</v>
      </c>
      <c r="F617" s="2142">
        <v>26300</v>
      </c>
      <c r="G617" s="2142">
        <v>1117487</v>
      </c>
      <c r="H617" s="3557">
        <v>42998</v>
      </c>
      <c r="I617" s="2142">
        <v>1117487</v>
      </c>
    </row>
    <row r="618" spans="1:9" s="2139" customFormat="1">
      <c r="A618" s="2140" t="s">
        <v>5706</v>
      </c>
      <c r="B618" s="3560" t="s">
        <v>3057</v>
      </c>
      <c r="C618" s="2141" t="s">
        <v>3261</v>
      </c>
      <c r="D618" s="3396">
        <v>72</v>
      </c>
      <c r="E618" s="2142">
        <v>118.73</v>
      </c>
      <c r="F618" s="2142">
        <v>31816</v>
      </c>
      <c r="G618" s="2142">
        <v>3777514</v>
      </c>
      <c r="H618" s="3557">
        <v>42998</v>
      </c>
      <c r="I618" s="2142">
        <v>3777514</v>
      </c>
    </row>
    <row r="619" spans="1:9" s="2139" customFormat="1" hidden="1">
      <c r="A619" s="2140" t="s">
        <v>6551</v>
      </c>
      <c r="B619" s="3560">
        <v>11</v>
      </c>
      <c r="C619" s="2141" t="s">
        <v>3261</v>
      </c>
      <c r="D619" s="3396">
        <v>40</v>
      </c>
      <c r="E619" s="2142">
        <v>45.46</v>
      </c>
      <c r="F619" s="2142">
        <v>48285.63</v>
      </c>
      <c r="G619" s="2142">
        <v>2195065</v>
      </c>
      <c r="H619" s="3557">
        <v>42998</v>
      </c>
      <c r="I619" s="2142">
        <v>2195065</v>
      </c>
    </row>
    <row r="620" spans="1:9" s="2139" customFormat="1" hidden="1">
      <c r="A620" s="2140" t="s">
        <v>6742</v>
      </c>
      <c r="B620" s="3560">
        <v>12</v>
      </c>
      <c r="C620" s="2141" t="s">
        <v>3261</v>
      </c>
      <c r="D620" s="3396">
        <v>41</v>
      </c>
      <c r="E620" s="2142">
        <v>30.67</v>
      </c>
      <c r="F620" s="2142">
        <v>34060</v>
      </c>
      <c r="G620" s="2142">
        <v>1044620</v>
      </c>
      <c r="H620" s="3557">
        <v>42998</v>
      </c>
      <c r="I620" s="2142">
        <v>1044620</v>
      </c>
    </row>
    <row r="621" spans="1:9" s="2139" customFormat="1">
      <c r="A621" s="2140" t="s">
        <v>5710</v>
      </c>
      <c r="B621" s="3560" t="s">
        <v>3057</v>
      </c>
      <c r="C621" s="2141" t="s">
        <v>3261</v>
      </c>
      <c r="D621" s="3396">
        <v>87</v>
      </c>
      <c r="E621" s="2142">
        <v>59.47</v>
      </c>
      <c r="F621" s="2142">
        <v>26300</v>
      </c>
      <c r="G621" s="2142">
        <v>1564061</v>
      </c>
      <c r="H621" s="3557">
        <v>42995</v>
      </c>
      <c r="I621" s="2142">
        <v>1564061</v>
      </c>
    </row>
    <row r="622" spans="1:9" s="2139" customFormat="1" hidden="1">
      <c r="A622" s="2140" t="s">
        <v>3787</v>
      </c>
      <c r="B622" s="3560" t="s">
        <v>3054</v>
      </c>
      <c r="C622" s="2141" t="s">
        <v>3261</v>
      </c>
      <c r="D622" s="3396">
        <v>131</v>
      </c>
      <c r="E622" s="2142">
        <v>36.44</v>
      </c>
      <c r="F622" s="2142">
        <v>35744.53</v>
      </c>
      <c r="G622" s="2142">
        <v>1302530</v>
      </c>
      <c r="H622" s="3557">
        <v>42994</v>
      </c>
      <c r="I622" s="2142">
        <v>1302530</v>
      </c>
    </row>
    <row r="623" spans="1:9" s="2139" customFormat="1">
      <c r="A623" s="2140" t="s">
        <v>5709</v>
      </c>
      <c r="B623" s="3560" t="s">
        <v>3057</v>
      </c>
      <c r="C623" s="2141" t="s">
        <v>3261</v>
      </c>
      <c r="D623" s="3396">
        <v>82</v>
      </c>
      <c r="E623" s="2142">
        <v>76.91</v>
      </c>
      <c r="F623" s="2142">
        <v>26300</v>
      </c>
      <c r="G623" s="2142">
        <v>2022733</v>
      </c>
      <c r="H623" s="3557">
        <v>42993</v>
      </c>
      <c r="I623" s="2142">
        <v>2022733</v>
      </c>
    </row>
    <row r="624" spans="1:9" s="2139" customFormat="1">
      <c r="A624" s="2140" t="s">
        <v>5727</v>
      </c>
      <c r="B624" s="3560" t="s">
        <v>3057</v>
      </c>
      <c r="C624" s="2141" t="s">
        <v>3261</v>
      </c>
      <c r="D624" s="3396">
        <v>127</v>
      </c>
      <c r="E624" s="2142">
        <v>57.63</v>
      </c>
      <c r="F624" s="2142">
        <v>26300</v>
      </c>
      <c r="G624" s="2142">
        <v>1515669</v>
      </c>
      <c r="H624" s="3557">
        <v>42993</v>
      </c>
      <c r="I624" s="2142">
        <v>1515669</v>
      </c>
    </row>
    <row r="625" spans="1:9" s="2139" customFormat="1" hidden="1">
      <c r="A625" s="2140" t="s">
        <v>6560</v>
      </c>
      <c r="B625" s="3560">
        <v>11</v>
      </c>
      <c r="C625" s="2141" t="s">
        <v>3261</v>
      </c>
      <c r="D625" s="3396">
        <v>62</v>
      </c>
      <c r="E625" s="2142">
        <v>41.38</v>
      </c>
      <c r="F625" s="2142">
        <v>37570</v>
      </c>
      <c r="G625" s="2142">
        <v>1554647</v>
      </c>
      <c r="H625" s="3557">
        <v>42993</v>
      </c>
      <c r="I625" s="2142">
        <v>1554647</v>
      </c>
    </row>
    <row r="626" spans="1:9" s="2139" customFormat="1" hidden="1">
      <c r="A626" s="2140" t="s">
        <v>6747</v>
      </c>
      <c r="B626" s="3560">
        <v>12</v>
      </c>
      <c r="C626" s="2141" t="s">
        <v>3261</v>
      </c>
      <c r="D626" s="3396">
        <v>51</v>
      </c>
      <c r="E626" s="2142">
        <v>35.94</v>
      </c>
      <c r="F626" s="2142">
        <v>37860</v>
      </c>
      <c r="G626" s="2142">
        <v>1360688</v>
      </c>
      <c r="H626" s="3557">
        <v>42993</v>
      </c>
      <c r="I626" s="2142">
        <v>1360688</v>
      </c>
    </row>
    <row r="627" spans="1:9" s="2139" customFormat="1" hidden="1">
      <c r="A627" s="2140" t="s">
        <v>4330</v>
      </c>
      <c r="B627" s="3560" t="s">
        <v>3055</v>
      </c>
      <c r="C627" s="2141" t="s">
        <v>3261</v>
      </c>
      <c r="D627" s="3396">
        <v>16</v>
      </c>
      <c r="E627" s="2142">
        <v>62.45</v>
      </c>
      <c r="F627" s="2142">
        <v>25800</v>
      </c>
      <c r="G627" s="2142">
        <v>1611210</v>
      </c>
      <c r="H627" s="3557">
        <v>42992</v>
      </c>
      <c r="I627" s="2142">
        <v>1611210</v>
      </c>
    </row>
    <row r="628" spans="1:9" s="2139" customFormat="1" hidden="1">
      <c r="A628" s="2140" t="s">
        <v>6739</v>
      </c>
      <c r="B628" s="3560">
        <v>12</v>
      </c>
      <c r="C628" s="2141" t="s">
        <v>3261</v>
      </c>
      <c r="D628" s="3396">
        <v>37</v>
      </c>
      <c r="E628" s="2142">
        <v>51.88</v>
      </c>
      <c r="F628" s="2142">
        <v>32167.02</v>
      </c>
      <c r="G628" s="2142">
        <v>1668825</v>
      </c>
      <c r="H628" s="3557">
        <v>42992</v>
      </c>
      <c r="I628" s="2142">
        <v>1668825</v>
      </c>
    </row>
    <row r="629" spans="1:9" s="2139" customFormat="1" hidden="1">
      <c r="A629" s="2140" t="s">
        <v>3782</v>
      </c>
      <c r="B629" s="3560" t="s">
        <v>3054</v>
      </c>
      <c r="C629" s="2141" t="s">
        <v>3261</v>
      </c>
      <c r="D629" s="3396">
        <v>120</v>
      </c>
      <c r="E629" s="2142">
        <v>43.06</v>
      </c>
      <c r="F629" s="2142">
        <v>26000</v>
      </c>
      <c r="G629" s="2142">
        <v>1119560</v>
      </c>
      <c r="H629" s="3557">
        <v>42991</v>
      </c>
      <c r="I629" s="2142">
        <v>1119560</v>
      </c>
    </row>
    <row r="630" spans="1:9" s="2139" customFormat="1" hidden="1">
      <c r="A630" s="2140" t="s">
        <v>3783</v>
      </c>
      <c r="B630" s="3560" t="s">
        <v>3054</v>
      </c>
      <c r="C630" s="2141" t="s">
        <v>3261</v>
      </c>
      <c r="D630" s="3396">
        <v>121</v>
      </c>
      <c r="E630" s="2142">
        <v>43.53</v>
      </c>
      <c r="F630" s="2142">
        <v>26000</v>
      </c>
      <c r="G630" s="2142">
        <v>1131780</v>
      </c>
      <c r="H630" s="3557">
        <v>42991</v>
      </c>
      <c r="I630" s="2142">
        <v>1131780</v>
      </c>
    </row>
    <row r="631" spans="1:9" s="2139" customFormat="1" hidden="1">
      <c r="A631" s="2140" t="s">
        <v>4376</v>
      </c>
      <c r="B631" s="3560" t="s">
        <v>3055</v>
      </c>
      <c r="C631" s="2141" t="s">
        <v>3261</v>
      </c>
      <c r="D631" s="3396">
        <v>69</v>
      </c>
      <c r="E631" s="2142">
        <v>59.78</v>
      </c>
      <c r="F631" s="2142">
        <v>33300</v>
      </c>
      <c r="G631" s="2142">
        <v>1990674</v>
      </c>
      <c r="H631" s="3557">
        <v>42991</v>
      </c>
      <c r="I631" s="2142">
        <v>1990674</v>
      </c>
    </row>
    <row r="632" spans="1:9" s="2139" customFormat="1" hidden="1">
      <c r="A632" s="2140" t="s">
        <v>3760</v>
      </c>
      <c r="B632" s="3560" t="s">
        <v>3054</v>
      </c>
      <c r="C632" s="2141" t="s">
        <v>3261</v>
      </c>
      <c r="D632" s="3396">
        <v>42</v>
      </c>
      <c r="E632" s="2142">
        <v>52.78</v>
      </c>
      <c r="F632" s="2142">
        <v>25800</v>
      </c>
      <c r="G632" s="2142">
        <v>1361724</v>
      </c>
      <c r="H632" s="3557">
        <v>42990</v>
      </c>
      <c r="I632" s="2142">
        <v>1361724</v>
      </c>
    </row>
    <row r="633" spans="1:9" s="2139" customFormat="1" hidden="1">
      <c r="A633" s="2140" t="s">
        <v>3761</v>
      </c>
      <c r="B633" s="3560" t="s">
        <v>3054</v>
      </c>
      <c r="C633" s="2141" t="s">
        <v>3261</v>
      </c>
      <c r="D633" s="3396">
        <v>43</v>
      </c>
      <c r="E633" s="2142">
        <v>53.25</v>
      </c>
      <c r="F633" s="2142">
        <v>25800</v>
      </c>
      <c r="G633" s="2142">
        <v>1373850</v>
      </c>
      <c r="H633" s="3557">
        <v>42990</v>
      </c>
      <c r="I633" s="2142">
        <v>1373850</v>
      </c>
    </row>
    <row r="634" spans="1:9" s="2139" customFormat="1" hidden="1">
      <c r="A634" s="2140" t="s">
        <v>3770</v>
      </c>
      <c r="B634" s="3560" t="s">
        <v>3054</v>
      </c>
      <c r="C634" s="2141" t="s">
        <v>3261</v>
      </c>
      <c r="D634" s="3396">
        <v>58</v>
      </c>
      <c r="E634" s="2142">
        <v>59.78</v>
      </c>
      <c r="F634" s="2142">
        <v>25996</v>
      </c>
      <c r="G634" s="2142">
        <v>1554041</v>
      </c>
      <c r="H634" s="3557">
        <v>42990</v>
      </c>
      <c r="I634" s="2142">
        <v>1554041</v>
      </c>
    </row>
    <row r="635" spans="1:9" s="2139" customFormat="1" hidden="1">
      <c r="A635" s="2140" t="s">
        <v>4357</v>
      </c>
      <c r="B635" s="3560" t="s">
        <v>3055</v>
      </c>
      <c r="C635" s="2141" t="s">
        <v>3261</v>
      </c>
      <c r="D635" s="3396">
        <v>47</v>
      </c>
      <c r="E635" s="2142">
        <v>99.48</v>
      </c>
      <c r="F635" s="2142">
        <v>33300</v>
      </c>
      <c r="G635" s="2142">
        <v>3312684</v>
      </c>
      <c r="H635" s="3557">
        <v>42989</v>
      </c>
      <c r="I635" s="2142">
        <v>3312684</v>
      </c>
    </row>
    <row r="636" spans="1:9" s="2139" customFormat="1">
      <c r="A636" s="2140" t="s">
        <v>5726</v>
      </c>
      <c r="B636" s="3560" t="s">
        <v>3057</v>
      </c>
      <c r="C636" s="2141" t="s">
        <v>3261</v>
      </c>
      <c r="D636" s="3396">
        <v>126</v>
      </c>
      <c r="E636" s="2142">
        <v>32.47</v>
      </c>
      <c r="F636" s="2142">
        <v>25511</v>
      </c>
      <c r="G636" s="2142">
        <v>828342</v>
      </c>
      <c r="H636" s="3557">
        <v>42989</v>
      </c>
      <c r="I636" s="2142">
        <v>828342</v>
      </c>
    </row>
    <row r="637" spans="1:9" s="2139" customFormat="1">
      <c r="A637" s="2140" t="s">
        <v>5729</v>
      </c>
      <c r="B637" s="3560" t="s">
        <v>3057</v>
      </c>
      <c r="C637" s="2141" t="s">
        <v>3261</v>
      </c>
      <c r="D637" s="3396">
        <v>136</v>
      </c>
      <c r="E637" s="2142">
        <v>8.3000000000000007</v>
      </c>
      <c r="F637" s="2142">
        <v>28380</v>
      </c>
      <c r="G637" s="2142">
        <v>235554.00000000003</v>
      </c>
      <c r="H637" s="3557">
        <v>42989</v>
      </c>
      <c r="I637" s="2142">
        <v>235554</v>
      </c>
    </row>
    <row r="638" spans="1:9" s="2139" customFormat="1" hidden="1">
      <c r="A638" s="2140" t="s">
        <v>4400</v>
      </c>
      <c r="B638" s="3560" t="s">
        <v>3055</v>
      </c>
      <c r="C638" s="2141" t="s">
        <v>3261</v>
      </c>
      <c r="D638" s="3396">
        <v>113</v>
      </c>
      <c r="E638" s="2142">
        <v>33.869999999999997</v>
      </c>
      <c r="F638" s="2142">
        <v>25800</v>
      </c>
      <c r="G638" s="2142">
        <v>873845.99999999988</v>
      </c>
      <c r="H638" s="3557">
        <v>42988</v>
      </c>
      <c r="I638" s="2142">
        <v>873846</v>
      </c>
    </row>
    <row r="639" spans="1:9" s="2139" customFormat="1" hidden="1">
      <c r="A639" s="2140" t="s">
        <v>6547</v>
      </c>
      <c r="B639" s="3560">
        <v>11</v>
      </c>
      <c r="C639" s="2141" t="s">
        <v>3261</v>
      </c>
      <c r="D639" s="3396">
        <v>19</v>
      </c>
      <c r="E639" s="2142">
        <v>44.09</v>
      </c>
      <c r="F639" s="2142">
        <v>36590.879999999997</v>
      </c>
      <c r="G639" s="2142">
        <v>1613292</v>
      </c>
      <c r="H639" s="3557">
        <v>42987</v>
      </c>
      <c r="I639" s="2142">
        <v>1613292</v>
      </c>
    </row>
    <row r="640" spans="1:9" s="2139" customFormat="1" hidden="1">
      <c r="A640" s="2140" t="s">
        <v>6548</v>
      </c>
      <c r="B640" s="3560">
        <v>11</v>
      </c>
      <c r="C640" s="2141" t="s">
        <v>3261</v>
      </c>
      <c r="D640" s="3396">
        <v>20</v>
      </c>
      <c r="E640" s="2142">
        <v>46.18</v>
      </c>
      <c r="F640" s="2142">
        <v>37193.629999999997</v>
      </c>
      <c r="G640" s="2142">
        <v>1717602</v>
      </c>
      <c r="H640" s="3557">
        <v>42987</v>
      </c>
      <c r="I640" s="2142">
        <v>1717602</v>
      </c>
    </row>
    <row r="641" spans="1:9" s="2139" customFormat="1" hidden="1">
      <c r="A641" s="2140" t="s">
        <v>6549</v>
      </c>
      <c r="B641" s="3560">
        <v>11</v>
      </c>
      <c r="C641" s="2141" t="s">
        <v>3261</v>
      </c>
      <c r="D641" s="3396">
        <v>22</v>
      </c>
      <c r="E641" s="2142">
        <v>45.27</v>
      </c>
      <c r="F641" s="2142">
        <v>37860</v>
      </c>
      <c r="G641" s="2142">
        <v>1713922</v>
      </c>
      <c r="H641" s="3557">
        <v>42987</v>
      </c>
      <c r="I641" s="2142">
        <v>1713922</v>
      </c>
    </row>
    <row r="642" spans="1:9" s="2139" customFormat="1" hidden="1">
      <c r="A642" s="2140" t="s">
        <v>4346</v>
      </c>
      <c r="B642" s="3560" t="s">
        <v>3055</v>
      </c>
      <c r="C642" s="2141" t="s">
        <v>3261</v>
      </c>
      <c r="D642" s="3396">
        <v>33</v>
      </c>
      <c r="E642" s="2142">
        <v>34.89</v>
      </c>
      <c r="F642" s="2142">
        <v>25800</v>
      </c>
      <c r="G642" s="2142">
        <v>900162</v>
      </c>
      <c r="H642" s="3557">
        <v>42986</v>
      </c>
      <c r="I642" s="2142">
        <v>900162</v>
      </c>
    </row>
    <row r="643" spans="1:9" s="2139" customFormat="1">
      <c r="A643" s="2140" t="s">
        <v>5703</v>
      </c>
      <c r="B643" s="3560" t="s">
        <v>3057</v>
      </c>
      <c r="C643" s="2141" t="s">
        <v>3261</v>
      </c>
      <c r="D643" s="3396">
        <v>68</v>
      </c>
      <c r="E643" s="2142">
        <v>54.79</v>
      </c>
      <c r="F643" s="2142">
        <v>25800</v>
      </c>
      <c r="G643" s="2142">
        <v>1413582</v>
      </c>
      <c r="H643" s="3557">
        <v>42986</v>
      </c>
      <c r="I643" s="2142">
        <v>1413582</v>
      </c>
    </row>
    <row r="644" spans="1:9" s="2139" customFormat="1" hidden="1">
      <c r="A644" s="2140" t="s">
        <v>5061</v>
      </c>
      <c r="B644" s="3560" t="s">
        <v>3056</v>
      </c>
      <c r="C644" s="2141" t="s">
        <v>3261</v>
      </c>
      <c r="D644" s="3396">
        <v>75</v>
      </c>
      <c r="E644" s="2142">
        <v>40.15</v>
      </c>
      <c r="F644" s="2142">
        <v>35910</v>
      </c>
      <c r="G644" s="2142">
        <v>1441787</v>
      </c>
      <c r="H644" s="3557">
        <v>42985</v>
      </c>
      <c r="I644" s="2142">
        <v>1441787</v>
      </c>
    </row>
    <row r="645" spans="1:9" s="2139" customFormat="1">
      <c r="A645" s="2140" t="s">
        <v>5716</v>
      </c>
      <c r="B645" s="3560" t="s">
        <v>3057</v>
      </c>
      <c r="C645" s="2141" t="s">
        <v>3261</v>
      </c>
      <c r="D645" s="3396">
        <v>108</v>
      </c>
      <c r="E645" s="2142">
        <v>66.569999999999993</v>
      </c>
      <c r="F645" s="2142">
        <v>25996.01</v>
      </c>
      <c r="G645" s="2142">
        <v>1730554</v>
      </c>
      <c r="H645" s="3557">
        <v>42985</v>
      </c>
      <c r="I645" s="2142">
        <v>1730554</v>
      </c>
    </row>
    <row r="646" spans="1:9" s="2139" customFormat="1">
      <c r="A646" s="2140" t="s">
        <v>5717</v>
      </c>
      <c r="B646" s="3560" t="s">
        <v>3057</v>
      </c>
      <c r="C646" s="2141" t="s">
        <v>3261</v>
      </c>
      <c r="D646" s="3396">
        <v>109</v>
      </c>
      <c r="E646" s="2142">
        <v>40.54</v>
      </c>
      <c r="F646" s="2142">
        <v>25996.01</v>
      </c>
      <c r="G646" s="2142">
        <v>1053878</v>
      </c>
      <c r="H646" s="3557">
        <v>42985</v>
      </c>
      <c r="I646" s="2142">
        <v>1053878</v>
      </c>
    </row>
    <row r="647" spans="1:9" s="2139" customFormat="1" hidden="1">
      <c r="A647" s="2140" t="s">
        <v>5050</v>
      </c>
      <c r="B647" s="3560" t="s">
        <v>3056</v>
      </c>
      <c r="C647" s="2141" t="s">
        <v>3261</v>
      </c>
      <c r="D647" s="3396">
        <v>45</v>
      </c>
      <c r="E647" s="2142">
        <v>79.45</v>
      </c>
      <c r="F647" s="2142">
        <v>33300</v>
      </c>
      <c r="G647" s="2142">
        <v>2645685</v>
      </c>
      <c r="H647" s="3557">
        <v>42984</v>
      </c>
      <c r="I647" s="2142">
        <v>2645685</v>
      </c>
    </row>
    <row r="648" spans="1:9" s="2139" customFormat="1" hidden="1">
      <c r="A648" s="2140" t="s">
        <v>6748</v>
      </c>
      <c r="B648" s="3560">
        <v>12</v>
      </c>
      <c r="C648" s="2141" t="s">
        <v>3261</v>
      </c>
      <c r="D648" s="3396">
        <v>53</v>
      </c>
      <c r="E648" s="2142">
        <v>62.76</v>
      </c>
      <c r="F648" s="2142">
        <v>35890</v>
      </c>
      <c r="G648" s="2142">
        <v>2252456</v>
      </c>
      <c r="H648" s="3557">
        <v>42984</v>
      </c>
      <c r="I648" s="2142">
        <v>2252456</v>
      </c>
    </row>
    <row r="649" spans="1:9" s="2139" customFormat="1" hidden="1">
      <c r="A649" s="2140" t="s">
        <v>3776</v>
      </c>
      <c r="B649" s="3560" t="s">
        <v>3054</v>
      </c>
      <c r="C649" s="2141" t="s">
        <v>3261</v>
      </c>
      <c r="D649" s="3396">
        <v>81</v>
      </c>
      <c r="E649" s="2142">
        <v>99.64</v>
      </c>
      <c r="F649" s="2142">
        <v>33300</v>
      </c>
      <c r="G649" s="2142">
        <v>3318012</v>
      </c>
      <c r="H649" s="3557">
        <v>42982</v>
      </c>
      <c r="I649" s="2142">
        <v>3318012</v>
      </c>
    </row>
    <row r="650" spans="1:9" s="2139" customFormat="1" hidden="1">
      <c r="A650" s="2140" t="s">
        <v>3804</v>
      </c>
      <c r="B650" s="3560" t="s">
        <v>3054</v>
      </c>
      <c r="C650" s="2141" t="s">
        <v>3261</v>
      </c>
      <c r="D650" s="3396">
        <v>177</v>
      </c>
      <c r="E650" s="2142">
        <v>63.29</v>
      </c>
      <c r="F650" s="2142">
        <v>32800</v>
      </c>
      <c r="G650" s="2142">
        <v>2075912</v>
      </c>
      <c r="H650" s="3557">
        <v>42982</v>
      </c>
      <c r="I650" s="2142">
        <v>2075912</v>
      </c>
    </row>
    <row r="651" spans="1:9" s="2139" customFormat="1" hidden="1">
      <c r="A651" s="2140" t="s">
        <v>3805</v>
      </c>
      <c r="B651" s="3560" t="s">
        <v>3054</v>
      </c>
      <c r="C651" s="2141" t="s">
        <v>3261</v>
      </c>
      <c r="D651" s="3396">
        <v>178</v>
      </c>
      <c r="E651" s="2142">
        <v>83.71</v>
      </c>
      <c r="F651" s="2142">
        <v>32800</v>
      </c>
      <c r="G651" s="2142">
        <v>2745688</v>
      </c>
      <c r="H651" s="3557">
        <v>42982</v>
      </c>
      <c r="I651" s="2142">
        <v>2745688</v>
      </c>
    </row>
    <row r="652" spans="1:9" s="2139" customFormat="1" hidden="1">
      <c r="A652" s="2140" t="s">
        <v>3784</v>
      </c>
      <c r="B652" s="3560" t="s">
        <v>3054</v>
      </c>
      <c r="C652" s="2141" t="s">
        <v>3261</v>
      </c>
      <c r="D652" s="3396">
        <v>126</v>
      </c>
      <c r="E652" s="2142">
        <v>22.96</v>
      </c>
      <c r="F652" s="2142">
        <v>36300</v>
      </c>
      <c r="G652" s="2142">
        <v>833448</v>
      </c>
      <c r="H652" s="3557">
        <v>42980</v>
      </c>
      <c r="I652" s="2142">
        <v>833448</v>
      </c>
    </row>
    <row r="653" spans="1:9" s="2139" customFormat="1" hidden="1">
      <c r="A653" s="2140" t="s">
        <v>5051</v>
      </c>
      <c r="B653" s="3560" t="s">
        <v>3056</v>
      </c>
      <c r="C653" s="2141" t="s">
        <v>3261</v>
      </c>
      <c r="D653" s="3396">
        <v>46</v>
      </c>
      <c r="E653" s="2142">
        <v>62.96</v>
      </c>
      <c r="F653" s="2142">
        <v>26800</v>
      </c>
      <c r="G653" s="2142">
        <v>1687328</v>
      </c>
      <c r="H653" s="3557">
        <v>42980</v>
      </c>
      <c r="I653" s="2142">
        <v>1687328</v>
      </c>
    </row>
    <row r="654" spans="1:9" s="2139" customFormat="1" hidden="1">
      <c r="A654" s="2140" t="s">
        <v>5088</v>
      </c>
      <c r="B654" s="3560" t="s">
        <v>3056</v>
      </c>
      <c r="C654" s="2141" t="s">
        <v>3261</v>
      </c>
      <c r="D654" s="3396">
        <v>140</v>
      </c>
      <c r="E654" s="2142">
        <v>118</v>
      </c>
      <c r="F654" s="2142">
        <v>35800</v>
      </c>
      <c r="G654" s="2142">
        <v>4224400</v>
      </c>
      <c r="H654" s="3557">
        <v>42980</v>
      </c>
      <c r="I654" s="2142">
        <v>4224400</v>
      </c>
    </row>
    <row r="655" spans="1:9" s="2139" customFormat="1" hidden="1">
      <c r="A655" s="2140" t="s">
        <v>5089</v>
      </c>
      <c r="B655" s="3560" t="s">
        <v>3056</v>
      </c>
      <c r="C655" s="2141" t="s">
        <v>3261</v>
      </c>
      <c r="D655" s="3396">
        <v>141</v>
      </c>
      <c r="E655" s="2142">
        <v>51.55</v>
      </c>
      <c r="F655" s="2142">
        <v>36300</v>
      </c>
      <c r="G655" s="2142">
        <v>1871265</v>
      </c>
      <c r="H655" s="3557">
        <v>42980</v>
      </c>
      <c r="I655" s="2142">
        <v>1871265</v>
      </c>
    </row>
    <row r="656" spans="1:9" s="3568" customFormat="1">
      <c r="A656" s="3562" t="s">
        <v>5682</v>
      </c>
      <c r="B656" s="3563" t="s">
        <v>3057</v>
      </c>
      <c r="C656" s="3564" t="s">
        <v>3261</v>
      </c>
      <c r="D656" s="3565">
        <v>12</v>
      </c>
      <c r="E656" s="3566">
        <v>131.61000000000001</v>
      </c>
      <c r="F656" s="3566">
        <v>37934</v>
      </c>
      <c r="G656" s="3566">
        <v>4992494</v>
      </c>
      <c r="H656" s="3567">
        <v>42980</v>
      </c>
      <c r="I656" s="3566">
        <v>4992494</v>
      </c>
    </row>
    <row r="657" spans="1:9" s="2139" customFormat="1">
      <c r="A657" s="2140" t="s">
        <v>5712</v>
      </c>
      <c r="B657" s="3560" t="s">
        <v>3057</v>
      </c>
      <c r="C657" s="2141" t="s">
        <v>3261</v>
      </c>
      <c r="D657" s="3396">
        <v>103</v>
      </c>
      <c r="E657" s="2142">
        <v>96.91</v>
      </c>
      <c r="F657" s="2142">
        <v>27300</v>
      </c>
      <c r="G657" s="2142">
        <v>2645643</v>
      </c>
      <c r="H657" s="3557">
        <v>42980</v>
      </c>
      <c r="I657" s="2142">
        <v>2645643</v>
      </c>
    </row>
    <row r="658" spans="1:9" s="2139" customFormat="1">
      <c r="A658" s="2140" t="s">
        <v>5728</v>
      </c>
      <c r="B658" s="3560" t="s">
        <v>3057</v>
      </c>
      <c r="C658" s="2141" t="s">
        <v>3261</v>
      </c>
      <c r="D658" s="3396">
        <v>135</v>
      </c>
      <c r="E658" s="2142">
        <v>8.3000000000000007</v>
      </c>
      <c r="F658" s="2142">
        <v>28380</v>
      </c>
      <c r="G658" s="2142">
        <v>235554.00000000003</v>
      </c>
      <c r="H658" s="3557">
        <v>42980</v>
      </c>
      <c r="I658" s="2142">
        <v>235554</v>
      </c>
    </row>
    <row r="659" spans="1:9" s="2139" customFormat="1" hidden="1">
      <c r="A659" s="2140" t="s">
        <v>4386</v>
      </c>
      <c r="B659" s="3560" t="s">
        <v>3055</v>
      </c>
      <c r="C659" s="2141" t="s">
        <v>3261</v>
      </c>
      <c r="D659" s="3396">
        <v>87</v>
      </c>
      <c r="E659" s="2142">
        <v>136.09</v>
      </c>
      <c r="F659" s="2142">
        <v>37682.870000000003</v>
      </c>
      <c r="G659" s="2142">
        <v>5128262</v>
      </c>
      <c r="H659" s="3557">
        <v>42979</v>
      </c>
      <c r="I659" s="2142">
        <v>5128262</v>
      </c>
    </row>
    <row r="660" spans="1:9" s="2139" customFormat="1" hidden="1">
      <c r="A660" s="2140" t="s">
        <v>3806</v>
      </c>
      <c r="B660" s="3560" t="s">
        <v>3054</v>
      </c>
      <c r="C660" s="2141" t="s">
        <v>3261</v>
      </c>
      <c r="D660" s="3396">
        <v>182</v>
      </c>
      <c r="E660" s="2142">
        <v>16.18</v>
      </c>
      <c r="F660" s="2142">
        <v>32495.031055900618</v>
      </c>
      <c r="G660" s="2142">
        <v>525770</v>
      </c>
      <c r="H660" s="3557">
        <v>42978</v>
      </c>
      <c r="I660" s="2142">
        <v>525770</v>
      </c>
    </row>
    <row r="661" spans="1:9" s="2139" customFormat="1" hidden="1">
      <c r="A661" s="2140" t="s">
        <v>4333</v>
      </c>
      <c r="B661" s="3560" t="s">
        <v>3055</v>
      </c>
      <c r="C661" s="2141" t="s">
        <v>3261</v>
      </c>
      <c r="D661" s="3396">
        <v>19</v>
      </c>
      <c r="E661" s="2142">
        <v>29.56</v>
      </c>
      <c r="F661" s="2142">
        <v>35210.986394557825</v>
      </c>
      <c r="G661" s="2142">
        <v>1040837</v>
      </c>
      <c r="H661" s="3557">
        <v>42978</v>
      </c>
      <c r="I661" s="2142">
        <v>1040837</v>
      </c>
    </row>
    <row r="662" spans="1:9" s="2139" customFormat="1" hidden="1">
      <c r="A662" s="2140" t="s">
        <v>5080</v>
      </c>
      <c r="B662" s="3560" t="s">
        <v>3056</v>
      </c>
      <c r="C662" s="2141" t="s">
        <v>3261</v>
      </c>
      <c r="D662" s="3396">
        <v>127</v>
      </c>
      <c r="E662" s="2142">
        <v>57.12</v>
      </c>
      <c r="F662" s="2142">
        <v>29900</v>
      </c>
      <c r="G662" s="2142">
        <v>1707888</v>
      </c>
      <c r="H662" s="3557">
        <v>42978</v>
      </c>
      <c r="I662" s="2142">
        <v>1707888</v>
      </c>
    </row>
    <row r="663" spans="1:9" s="2139" customFormat="1" hidden="1">
      <c r="A663" s="2140" t="s">
        <v>5244</v>
      </c>
      <c r="B663" s="3560" t="s">
        <v>3056</v>
      </c>
      <c r="C663" s="2141" t="s">
        <v>3161</v>
      </c>
      <c r="D663" s="3396">
        <v>226</v>
      </c>
      <c r="E663" s="2142">
        <v>47.97</v>
      </c>
      <c r="F663" s="2142">
        <v>20085</v>
      </c>
      <c r="G663" s="2142">
        <v>963477</v>
      </c>
      <c r="H663" s="3557">
        <v>43007</v>
      </c>
      <c r="I663" s="2142">
        <v>963477</v>
      </c>
    </row>
    <row r="664" spans="1:9" s="2139" customFormat="1" hidden="1">
      <c r="A664" s="2140" t="s">
        <v>5761</v>
      </c>
      <c r="B664" s="3560" t="s">
        <v>3057</v>
      </c>
      <c r="C664" s="2141" t="s">
        <v>3161</v>
      </c>
      <c r="D664" s="3396">
        <v>49</v>
      </c>
      <c r="E664" s="2142">
        <v>27</v>
      </c>
      <c r="F664" s="2142">
        <v>18483.36</v>
      </c>
      <c r="G664" s="2142">
        <v>499051</v>
      </c>
      <c r="H664" s="3557">
        <v>43007</v>
      </c>
      <c r="I664" s="2142">
        <v>499051</v>
      </c>
    </row>
    <row r="665" spans="1:9" s="2139" customFormat="1" hidden="1">
      <c r="A665" s="2140" t="s">
        <v>5888</v>
      </c>
      <c r="B665" s="3560" t="s">
        <v>3057</v>
      </c>
      <c r="C665" s="2141" t="s">
        <v>3161</v>
      </c>
      <c r="D665" s="3396">
        <v>236</v>
      </c>
      <c r="E665" s="2142">
        <v>62.11</v>
      </c>
      <c r="F665" s="2142">
        <v>28119</v>
      </c>
      <c r="G665" s="2142">
        <v>1746471</v>
      </c>
      <c r="H665" s="3557">
        <v>43007</v>
      </c>
      <c r="I665" s="2142">
        <v>1746471</v>
      </c>
    </row>
    <row r="666" spans="1:9" s="2139" customFormat="1" hidden="1">
      <c r="A666" s="2140" t="s">
        <v>3885</v>
      </c>
      <c r="B666" s="3560" t="s">
        <v>3054</v>
      </c>
      <c r="C666" s="2141" t="s">
        <v>3161</v>
      </c>
      <c r="D666" s="3396">
        <v>142</v>
      </c>
      <c r="E666" s="2142">
        <v>64.59</v>
      </c>
      <c r="F666" s="2142">
        <v>17363</v>
      </c>
      <c r="G666" s="2142">
        <v>1121476</v>
      </c>
      <c r="H666" s="3557">
        <v>43006</v>
      </c>
      <c r="I666" s="2142">
        <v>1121476</v>
      </c>
    </row>
    <row r="667" spans="1:9" s="2139" customFormat="1" hidden="1">
      <c r="A667" s="2140" t="s">
        <v>4538</v>
      </c>
      <c r="B667" s="3560" t="s">
        <v>3055</v>
      </c>
      <c r="C667" s="2141" t="s">
        <v>3161</v>
      </c>
      <c r="D667" s="3396">
        <v>155</v>
      </c>
      <c r="E667" s="2142">
        <v>39.770000000000003</v>
      </c>
      <c r="F667" s="2142">
        <v>25394.61</v>
      </c>
      <c r="G667" s="2142">
        <v>1009944</v>
      </c>
      <c r="H667" s="3557">
        <v>43005</v>
      </c>
      <c r="I667" s="2142">
        <v>1009944</v>
      </c>
    </row>
    <row r="668" spans="1:9" s="2139" customFormat="1" hidden="1">
      <c r="A668" s="2140" t="s">
        <v>4549</v>
      </c>
      <c r="B668" s="3560" t="s">
        <v>3055</v>
      </c>
      <c r="C668" s="2141" t="s">
        <v>3161</v>
      </c>
      <c r="D668" s="3396">
        <v>167</v>
      </c>
      <c r="E668" s="2142">
        <v>66.87</v>
      </c>
      <c r="F668" s="2142">
        <v>23800</v>
      </c>
      <c r="G668" s="2142">
        <v>1591506</v>
      </c>
      <c r="H668" s="3557">
        <v>43006</v>
      </c>
      <c r="I668" s="2142">
        <v>1591506</v>
      </c>
    </row>
    <row r="669" spans="1:9" s="2139" customFormat="1" hidden="1">
      <c r="A669" s="2140" t="s">
        <v>5239</v>
      </c>
      <c r="B669" s="3560" t="s">
        <v>3056</v>
      </c>
      <c r="C669" s="2141" t="s">
        <v>3161</v>
      </c>
      <c r="D669" s="3396">
        <v>219</v>
      </c>
      <c r="E669" s="2142">
        <v>47.96</v>
      </c>
      <c r="F669" s="2142">
        <v>20085.009999999998</v>
      </c>
      <c r="G669" s="2142">
        <v>963277</v>
      </c>
      <c r="H669" s="3557">
        <v>43006</v>
      </c>
      <c r="I669" s="2142">
        <v>963277</v>
      </c>
    </row>
    <row r="670" spans="1:9" s="2139" customFormat="1" hidden="1">
      <c r="A670" s="2140" t="s">
        <v>5884</v>
      </c>
      <c r="B670" s="3560" t="s">
        <v>3057</v>
      </c>
      <c r="C670" s="2141" t="s">
        <v>3161</v>
      </c>
      <c r="D670" s="3396">
        <v>231</v>
      </c>
      <c r="E670" s="2142">
        <v>48.82</v>
      </c>
      <c r="F670" s="2142">
        <v>19570</v>
      </c>
      <c r="G670" s="2142">
        <v>955407</v>
      </c>
      <c r="H670" s="3557">
        <v>43006</v>
      </c>
      <c r="I670" s="2142">
        <v>955407</v>
      </c>
    </row>
    <row r="671" spans="1:9" s="2139" customFormat="1" hidden="1">
      <c r="A671" s="2140" t="s">
        <v>5885</v>
      </c>
      <c r="B671" s="3560" t="s">
        <v>3057</v>
      </c>
      <c r="C671" s="2141" t="s">
        <v>3161</v>
      </c>
      <c r="D671" s="3396">
        <v>232</v>
      </c>
      <c r="E671" s="2142">
        <v>48.82</v>
      </c>
      <c r="F671" s="2142">
        <v>20600</v>
      </c>
      <c r="G671" s="2142">
        <v>1005692</v>
      </c>
      <c r="H671" s="3557">
        <v>43006</v>
      </c>
      <c r="I671" s="2142">
        <v>1005692</v>
      </c>
    </row>
    <row r="672" spans="1:9" s="2139" customFormat="1" hidden="1">
      <c r="A672" s="2140" t="s">
        <v>4435</v>
      </c>
      <c r="B672" s="3560" t="s">
        <v>3055</v>
      </c>
      <c r="C672" s="2141" t="s">
        <v>3161</v>
      </c>
      <c r="D672" s="3396">
        <v>2</v>
      </c>
      <c r="E672" s="2142">
        <v>43.29</v>
      </c>
      <c r="F672" s="2142">
        <v>22610.00231</v>
      </c>
      <c r="G672" s="2142">
        <v>978786.9999999</v>
      </c>
      <c r="H672" s="3557">
        <v>42880</v>
      </c>
      <c r="I672" s="2142">
        <v>498787</v>
      </c>
    </row>
    <row r="673" spans="1:9" s="2139" customFormat="1" hidden="1">
      <c r="A673" s="2140" t="s">
        <v>5772</v>
      </c>
      <c r="B673" s="3560" t="s">
        <v>3057</v>
      </c>
      <c r="C673" s="2141" t="s">
        <v>3161</v>
      </c>
      <c r="D673" s="3396">
        <v>73</v>
      </c>
      <c r="E673" s="2142">
        <v>57.63</v>
      </c>
      <c r="F673" s="2142">
        <v>18982.900000000001</v>
      </c>
      <c r="G673" s="2142">
        <v>1093985</v>
      </c>
      <c r="H673" s="3557">
        <v>43005</v>
      </c>
      <c r="I673" s="2142">
        <v>1093985</v>
      </c>
    </row>
    <row r="674" spans="1:9" s="2139" customFormat="1" hidden="1">
      <c r="A674" s="2140" t="s">
        <v>5784</v>
      </c>
      <c r="B674" s="3560" t="s">
        <v>3057</v>
      </c>
      <c r="C674" s="2141" t="s">
        <v>3161</v>
      </c>
      <c r="D674" s="3396">
        <v>96</v>
      </c>
      <c r="E674" s="2142">
        <v>46.15</v>
      </c>
      <c r="F674" s="2142">
        <v>19570</v>
      </c>
      <c r="G674" s="2142">
        <v>903156</v>
      </c>
      <c r="H674" s="3557">
        <v>43005</v>
      </c>
      <c r="I674" s="2142">
        <v>903156</v>
      </c>
    </row>
    <row r="675" spans="1:9" s="2139" customFormat="1" hidden="1">
      <c r="A675" s="2140" t="s">
        <v>5856</v>
      </c>
      <c r="B675" s="3560" t="s">
        <v>3057</v>
      </c>
      <c r="C675" s="2141" t="s">
        <v>3161</v>
      </c>
      <c r="D675" s="3396">
        <v>186</v>
      </c>
      <c r="E675" s="2142">
        <v>93.78</v>
      </c>
      <c r="F675" s="2142">
        <v>21115</v>
      </c>
      <c r="G675" s="2142">
        <v>1980165</v>
      </c>
      <c r="H675" s="3557">
        <v>43005</v>
      </c>
      <c r="I675" s="2142">
        <v>1980165</v>
      </c>
    </row>
    <row r="676" spans="1:9" s="2139" customFormat="1" hidden="1">
      <c r="A676" s="2140" t="s">
        <v>4553</v>
      </c>
      <c r="B676" s="3560" t="s">
        <v>3055</v>
      </c>
      <c r="C676" s="2141" t="s">
        <v>3161</v>
      </c>
      <c r="D676" s="3396">
        <v>173</v>
      </c>
      <c r="E676" s="2142">
        <v>85.01</v>
      </c>
      <c r="F676" s="2142">
        <v>22329</v>
      </c>
      <c r="G676" s="2142">
        <v>1898188.29</v>
      </c>
      <c r="H676" s="3557">
        <v>42935</v>
      </c>
      <c r="I676" s="2142">
        <v>398188</v>
      </c>
    </row>
    <row r="677" spans="1:9" s="2139" customFormat="1" hidden="1">
      <c r="A677" s="2140" t="s">
        <v>5159</v>
      </c>
      <c r="B677" s="3560" t="s">
        <v>3056</v>
      </c>
      <c r="C677" s="2141" t="s">
        <v>3161</v>
      </c>
      <c r="D677" s="3396">
        <v>112</v>
      </c>
      <c r="E677" s="2142">
        <v>42.42</v>
      </c>
      <c r="F677" s="2142">
        <v>20600</v>
      </c>
      <c r="G677" s="2142">
        <v>873852</v>
      </c>
      <c r="H677" s="3557">
        <v>43004</v>
      </c>
      <c r="I677" s="2142">
        <v>873852</v>
      </c>
    </row>
    <row r="678" spans="1:9" s="2139" customFormat="1" hidden="1">
      <c r="A678" s="2140" t="s">
        <v>5741</v>
      </c>
      <c r="B678" s="3560" t="s">
        <v>3057</v>
      </c>
      <c r="C678" s="2141" t="s">
        <v>3161</v>
      </c>
      <c r="D678" s="3396">
        <v>10</v>
      </c>
      <c r="E678" s="2142">
        <v>42.27</v>
      </c>
      <c r="F678" s="2142">
        <v>20600</v>
      </c>
      <c r="G678" s="2142">
        <v>870762.00000000012</v>
      </c>
      <c r="H678" s="3557">
        <v>43004</v>
      </c>
      <c r="I678" s="2142">
        <v>870762</v>
      </c>
    </row>
    <row r="679" spans="1:9" s="2139" customFormat="1" hidden="1">
      <c r="A679" s="2140" t="s">
        <v>5783</v>
      </c>
      <c r="B679" s="3560" t="s">
        <v>3057</v>
      </c>
      <c r="C679" s="2141" t="s">
        <v>3161</v>
      </c>
      <c r="D679" s="3396">
        <v>95</v>
      </c>
      <c r="E679" s="2142">
        <v>46.23</v>
      </c>
      <c r="F679" s="2142">
        <v>19570</v>
      </c>
      <c r="G679" s="2142">
        <v>904721</v>
      </c>
      <c r="H679" s="3557">
        <v>43002</v>
      </c>
      <c r="I679" s="2142">
        <v>904721</v>
      </c>
    </row>
    <row r="680" spans="1:9" s="2139" customFormat="1" hidden="1">
      <c r="A680" s="2140" t="s">
        <v>3956</v>
      </c>
      <c r="B680" s="3560" t="s">
        <v>3054</v>
      </c>
      <c r="C680" s="2141" t="s">
        <v>3161</v>
      </c>
      <c r="D680" s="3396">
        <v>230</v>
      </c>
      <c r="E680" s="2142">
        <v>41.23</v>
      </c>
      <c r="F680" s="2142">
        <v>19800</v>
      </c>
      <c r="G680" s="2142">
        <v>816353.99999999988</v>
      </c>
      <c r="H680" s="3557">
        <v>43001</v>
      </c>
      <c r="I680" s="2142">
        <v>816354</v>
      </c>
    </row>
    <row r="681" spans="1:9" s="2139" customFormat="1" hidden="1">
      <c r="A681" s="2140" t="s">
        <v>4577</v>
      </c>
      <c r="B681" s="3560" t="s">
        <v>3055</v>
      </c>
      <c r="C681" s="2141" t="s">
        <v>3161</v>
      </c>
      <c r="D681" s="3396">
        <v>207</v>
      </c>
      <c r="E681" s="2142">
        <v>67.41</v>
      </c>
      <c r="F681" s="2142">
        <v>21829.001629999999</v>
      </c>
      <c r="G681" s="2142">
        <v>1471492.9998782999</v>
      </c>
      <c r="H681" s="3557">
        <v>42782</v>
      </c>
      <c r="I681" s="2142">
        <v>1471493</v>
      </c>
    </row>
    <row r="682" spans="1:9" s="2139" customFormat="1" hidden="1">
      <c r="A682" s="2140" t="s">
        <v>5192</v>
      </c>
      <c r="B682" s="3560" t="s">
        <v>3056</v>
      </c>
      <c r="C682" s="2141" t="s">
        <v>3161</v>
      </c>
      <c r="D682" s="3396">
        <v>159</v>
      </c>
      <c r="E682" s="2142">
        <v>29.95</v>
      </c>
      <c r="F682" s="2142">
        <v>25277.23</v>
      </c>
      <c r="G682" s="2142">
        <v>757053</v>
      </c>
      <c r="H682" s="3557">
        <v>43001</v>
      </c>
      <c r="I682" s="2142">
        <v>757053</v>
      </c>
    </row>
    <row r="683" spans="1:9" s="2139" customFormat="1" hidden="1">
      <c r="A683" s="2140" t="s">
        <v>5742</v>
      </c>
      <c r="B683" s="3560" t="s">
        <v>3057</v>
      </c>
      <c r="C683" s="2141" t="s">
        <v>3161</v>
      </c>
      <c r="D683" s="3396">
        <v>11</v>
      </c>
      <c r="E683" s="2142">
        <v>42.27</v>
      </c>
      <c r="F683" s="2142">
        <v>20600</v>
      </c>
      <c r="G683" s="2142">
        <v>870762.00000000012</v>
      </c>
      <c r="H683" s="3557">
        <v>43001</v>
      </c>
      <c r="I683" s="2142">
        <v>870762</v>
      </c>
    </row>
    <row r="684" spans="1:9" s="2139" customFormat="1" hidden="1">
      <c r="A684" s="2140" t="s">
        <v>5829</v>
      </c>
      <c r="B684" s="3560" t="s">
        <v>3057</v>
      </c>
      <c r="C684" s="2141" t="s">
        <v>3161</v>
      </c>
      <c r="D684" s="3396">
        <v>149</v>
      </c>
      <c r="E684" s="2142">
        <v>37.380000000000003</v>
      </c>
      <c r="F684" s="2142">
        <v>18982.900000000001</v>
      </c>
      <c r="G684" s="2142">
        <v>709581</v>
      </c>
      <c r="H684" s="3557">
        <v>43001</v>
      </c>
      <c r="I684" s="2142">
        <v>709581</v>
      </c>
    </row>
    <row r="685" spans="1:9" s="2139" customFormat="1" hidden="1">
      <c r="A685" s="2140" t="s">
        <v>5837</v>
      </c>
      <c r="B685" s="3560" t="s">
        <v>3057</v>
      </c>
      <c r="C685" s="2141" t="s">
        <v>3161</v>
      </c>
      <c r="D685" s="3396">
        <v>161</v>
      </c>
      <c r="E685" s="2142">
        <v>68.86</v>
      </c>
      <c r="F685" s="2142">
        <v>28119</v>
      </c>
      <c r="G685" s="2142">
        <v>1936274</v>
      </c>
      <c r="H685" s="3557">
        <v>43001</v>
      </c>
      <c r="I685" s="2142">
        <v>1936274</v>
      </c>
    </row>
    <row r="686" spans="1:9" s="2139" customFormat="1" hidden="1">
      <c r="A686" s="2140" t="s">
        <v>5838</v>
      </c>
      <c r="B686" s="3560" t="s">
        <v>3057</v>
      </c>
      <c r="C686" s="2141" t="s">
        <v>3161</v>
      </c>
      <c r="D686" s="3396">
        <v>162</v>
      </c>
      <c r="E686" s="2142">
        <v>47.73</v>
      </c>
      <c r="F686" s="2142">
        <v>21630</v>
      </c>
      <c r="G686" s="2142">
        <v>1032400</v>
      </c>
      <c r="H686" s="3557">
        <v>43001</v>
      </c>
      <c r="I686" s="2142">
        <v>1032400</v>
      </c>
    </row>
    <row r="687" spans="1:9" s="2139" customFormat="1" hidden="1">
      <c r="A687" s="2140" t="s">
        <v>3883</v>
      </c>
      <c r="B687" s="3560" t="s">
        <v>3054</v>
      </c>
      <c r="C687" s="2141" t="s">
        <v>3161</v>
      </c>
      <c r="D687" s="3396">
        <v>130</v>
      </c>
      <c r="E687" s="2142">
        <v>65.260000000000005</v>
      </c>
      <c r="F687" s="2142">
        <v>17600</v>
      </c>
      <c r="G687" s="2142">
        <v>1148576</v>
      </c>
      <c r="H687" s="3557">
        <v>43000</v>
      </c>
      <c r="I687" s="2142">
        <v>1148576</v>
      </c>
    </row>
    <row r="688" spans="1:9" s="2139" customFormat="1" hidden="1">
      <c r="A688" s="2140" t="s">
        <v>5181</v>
      </c>
      <c r="B688" s="3560" t="s">
        <v>3056</v>
      </c>
      <c r="C688" s="2141" t="s">
        <v>3161</v>
      </c>
      <c r="D688" s="3396">
        <v>146</v>
      </c>
      <c r="E688" s="2142">
        <v>46.44</v>
      </c>
      <c r="F688" s="2142">
        <v>20481.54</v>
      </c>
      <c r="G688" s="2142">
        <v>951163</v>
      </c>
      <c r="H688" s="3557">
        <v>43000</v>
      </c>
      <c r="I688" s="2142">
        <v>951163</v>
      </c>
    </row>
    <row r="689" spans="1:9" s="2139" customFormat="1" hidden="1">
      <c r="A689" s="2140" t="s">
        <v>5245</v>
      </c>
      <c r="B689" s="3560" t="s">
        <v>3056</v>
      </c>
      <c r="C689" s="2141" t="s">
        <v>3161</v>
      </c>
      <c r="D689" s="3396">
        <v>227</v>
      </c>
      <c r="E689" s="2142">
        <v>47.97</v>
      </c>
      <c r="F689" s="2142">
        <v>19080.75</v>
      </c>
      <c r="G689" s="2142">
        <v>915304</v>
      </c>
      <c r="H689" s="3557">
        <v>43000</v>
      </c>
      <c r="I689" s="2142">
        <v>915304</v>
      </c>
    </row>
    <row r="690" spans="1:9" s="2139" customFormat="1" hidden="1">
      <c r="A690" s="2140" t="s">
        <v>5246</v>
      </c>
      <c r="B690" s="3560" t="s">
        <v>3056</v>
      </c>
      <c r="C690" s="2141" t="s">
        <v>3161</v>
      </c>
      <c r="D690" s="3396">
        <v>228</v>
      </c>
      <c r="E690" s="2142">
        <v>47.97</v>
      </c>
      <c r="F690" s="2142">
        <v>19080.75</v>
      </c>
      <c r="G690" s="2142">
        <v>915304</v>
      </c>
      <c r="H690" s="3557">
        <v>43000</v>
      </c>
      <c r="I690" s="2142">
        <v>915304</v>
      </c>
    </row>
    <row r="691" spans="1:9" s="2139" customFormat="1" hidden="1">
      <c r="A691" s="2140" t="s">
        <v>5803</v>
      </c>
      <c r="B691" s="3560" t="s">
        <v>3057</v>
      </c>
      <c r="C691" s="2141" t="s">
        <v>3161</v>
      </c>
      <c r="D691" s="3396">
        <v>117</v>
      </c>
      <c r="E691" s="2142">
        <v>66.84</v>
      </c>
      <c r="F691" s="2142">
        <v>27604</v>
      </c>
      <c r="G691" s="2142">
        <v>1845051</v>
      </c>
      <c r="H691" s="3557">
        <v>43000</v>
      </c>
      <c r="I691" s="2142">
        <v>1845051</v>
      </c>
    </row>
    <row r="692" spans="1:9" s="2139" customFormat="1" hidden="1">
      <c r="A692" s="2140" t="s">
        <v>5830</v>
      </c>
      <c r="B692" s="3560" t="s">
        <v>3057</v>
      </c>
      <c r="C692" s="2141" t="s">
        <v>3161</v>
      </c>
      <c r="D692" s="3396">
        <v>150</v>
      </c>
      <c r="E692" s="2142">
        <v>32.67</v>
      </c>
      <c r="F692" s="2142">
        <v>20481.560000000001</v>
      </c>
      <c r="G692" s="2142">
        <v>669133</v>
      </c>
      <c r="H692" s="3557">
        <v>43000</v>
      </c>
      <c r="I692" s="2142">
        <v>669133</v>
      </c>
    </row>
    <row r="693" spans="1:9" s="2139" customFormat="1" hidden="1">
      <c r="A693" s="2140" t="s">
        <v>5848</v>
      </c>
      <c r="B693" s="3560" t="s">
        <v>3057</v>
      </c>
      <c r="C693" s="2141" t="s">
        <v>3161</v>
      </c>
      <c r="D693" s="3396">
        <v>176</v>
      </c>
      <c r="E693" s="2142">
        <v>67.38</v>
      </c>
      <c r="F693" s="2142">
        <v>27604</v>
      </c>
      <c r="G693" s="2142">
        <v>1859958</v>
      </c>
      <c r="H693" s="3557">
        <v>43000</v>
      </c>
      <c r="I693" s="2142">
        <v>1859958</v>
      </c>
    </row>
    <row r="694" spans="1:9" s="2139" customFormat="1" hidden="1">
      <c r="A694" s="2140" t="s">
        <v>4516</v>
      </c>
      <c r="B694" s="3560" t="s">
        <v>3055</v>
      </c>
      <c r="C694" s="2141" t="s">
        <v>3161</v>
      </c>
      <c r="D694" s="3396">
        <v>120</v>
      </c>
      <c r="E694" s="2142">
        <v>80</v>
      </c>
      <c r="F694" s="2142">
        <v>21829</v>
      </c>
      <c r="G694" s="2142">
        <v>1746320</v>
      </c>
      <c r="H694" s="3557">
        <v>42963</v>
      </c>
      <c r="I694" s="2142">
        <v>1746320</v>
      </c>
    </row>
    <row r="695" spans="1:9" s="2139" customFormat="1" hidden="1">
      <c r="A695" s="2140" t="s">
        <v>4508</v>
      </c>
      <c r="B695" s="3560" t="s">
        <v>3055</v>
      </c>
      <c r="C695" s="2141" t="s">
        <v>3161</v>
      </c>
      <c r="D695" s="3396">
        <v>109</v>
      </c>
      <c r="E695" s="2142">
        <v>75.19</v>
      </c>
      <c r="F695" s="2142">
        <v>21829</v>
      </c>
      <c r="G695" s="2142">
        <v>1641322.51</v>
      </c>
      <c r="H695" s="3557">
        <v>42782</v>
      </c>
      <c r="I695" s="2142">
        <v>1641323</v>
      </c>
    </row>
    <row r="696" spans="1:9" s="2139" customFormat="1" hidden="1">
      <c r="A696" s="2140" t="s">
        <v>5174</v>
      </c>
      <c r="B696" s="3560" t="s">
        <v>3056</v>
      </c>
      <c r="C696" s="2141" t="s">
        <v>3161</v>
      </c>
      <c r="D696" s="3396">
        <v>132</v>
      </c>
      <c r="E696" s="2142">
        <v>83.55</v>
      </c>
      <c r="F696" s="2142">
        <v>20085</v>
      </c>
      <c r="G696" s="2142">
        <v>1678102</v>
      </c>
      <c r="H696" s="3557">
        <v>42999</v>
      </c>
      <c r="I696" s="2142">
        <v>1678102</v>
      </c>
    </row>
    <row r="697" spans="1:9" s="2139" customFormat="1" hidden="1">
      <c r="A697" s="2140" t="s">
        <v>5887</v>
      </c>
      <c r="B697" s="3560" t="s">
        <v>3057</v>
      </c>
      <c r="C697" s="2141" t="s">
        <v>3161</v>
      </c>
      <c r="D697" s="3396">
        <v>235</v>
      </c>
      <c r="E697" s="2142">
        <v>73.22</v>
      </c>
      <c r="F697" s="2142">
        <v>20600</v>
      </c>
      <c r="G697" s="2142">
        <v>1508332</v>
      </c>
      <c r="H697" s="3557">
        <v>42999</v>
      </c>
      <c r="I697" s="2142">
        <v>1508332</v>
      </c>
    </row>
    <row r="698" spans="1:9" s="2139" customFormat="1" hidden="1">
      <c r="A698" s="2140" t="s">
        <v>3959</v>
      </c>
      <c r="B698" s="3560" t="s">
        <v>3054</v>
      </c>
      <c r="C698" s="2141" t="s">
        <v>3161</v>
      </c>
      <c r="D698" s="3396">
        <v>236</v>
      </c>
      <c r="E698" s="2142">
        <v>42.78</v>
      </c>
      <c r="F698" s="2142">
        <v>17600</v>
      </c>
      <c r="G698" s="2142">
        <v>752928</v>
      </c>
      <c r="H698" s="3557">
        <v>42998</v>
      </c>
      <c r="I698" s="2142">
        <v>752928</v>
      </c>
    </row>
    <row r="699" spans="1:9" s="2139" customFormat="1" hidden="1">
      <c r="A699" s="2140" t="s">
        <v>4543</v>
      </c>
      <c r="B699" s="3560" t="s">
        <v>3055</v>
      </c>
      <c r="C699" s="2141" t="s">
        <v>3161</v>
      </c>
      <c r="D699" s="3396">
        <v>160</v>
      </c>
      <c r="E699" s="2142">
        <v>52.76</v>
      </c>
      <c r="F699" s="2142">
        <v>21800</v>
      </c>
      <c r="G699" s="2142">
        <v>1150168</v>
      </c>
      <c r="H699" s="3557">
        <v>43004</v>
      </c>
      <c r="I699" s="2142">
        <v>1150168</v>
      </c>
    </row>
    <row r="700" spans="1:9" s="2139" customFormat="1" hidden="1">
      <c r="A700" s="2140" t="s">
        <v>5220</v>
      </c>
      <c r="B700" s="3560" t="s">
        <v>3056</v>
      </c>
      <c r="C700" s="2141" t="s">
        <v>3161</v>
      </c>
      <c r="D700" s="3396">
        <v>196</v>
      </c>
      <c r="E700" s="2142">
        <v>84.9</v>
      </c>
      <c r="F700" s="2142">
        <v>27604</v>
      </c>
      <c r="G700" s="2142">
        <v>2343580</v>
      </c>
      <c r="H700" s="3557">
        <v>42998</v>
      </c>
      <c r="I700" s="2142">
        <v>2343580</v>
      </c>
    </row>
    <row r="701" spans="1:9" s="2139" customFormat="1" hidden="1">
      <c r="A701" s="2140" t="s">
        <v>5778</v>
      </c>
      <c r="B701" s="3560" t="s">
        <v>3057</v>
      </c>
      <c r="C701" s="2141" t="s">
        <v>3161</v>
      </c>
      <c r="D701" s="3396">
        <v>85</v>
      </c>
      <c r="E701" s="2142">
        <v>51.52</v>
      </c>
      <c r="F701" s="2142">
        <v>19482.46</v>
      </c>
      <c r="G701" s="2142">
        <v>1003736</v>
      </c>
      <c r="H701" s="3557">
        <v>42998</v>
      </c>
      <c r="I701" s="2142">
        <v>1003736</v>
      </c>
    </row>
    <row r="702" spans="1:9" s="2139" customFormat="1" hidden="1">
      <c r="A702" s="2140" t="s">
        <v>5881</v>
      </c>
      <c r="B702" s="3560" t="s">
        <v>3057</v>
      </c>
      <c r="C702" s="2141" t="s">
        <v>3161</v>
      </c>
      <c r="D702" s="3396">
        <v>228</v>
      </c>
      <c r="E702" s="2142">
        <v>48.82</v>
      </c>
      <c r="F702" s="2142">
        <v>19570</v>
      </c>
      <c r="G702" s="2142">
        <v>955407</v>
      </c>
      <c r="H702" s="3557">
        <v>42998</v>
      </c>
      <c r="I702" s="2142">
        <v>955407</v>
      </c>
    </row>
    <row r="703" spans="1:9" s="2139" customFormat="1" hidden="1">
      <c r="A703" s="2140" t="s">
        <v>5886</v>
      </c>
      <c r="B703" s="3560" t="s">
        <v>3057</v>
      </c>
      <c r="C703" s="2141" t="s">
        <v>3161</v>
      </c>
      <c r="D703" s="3396">
        <v>233</v>
      </c>
      <c r="E703" s="2142">
        <v>48.82</v>
      </c>
      <c r="F703" s="2142">
        <v>20600</v>
      </c>
      <c r="G703" s="2142">
        <v>1005692</v>
      </c>
      <c r="H703" s="3557">
        <v>42998</v>
      </c>
      <c r="I703" s="2142">
        <v>1005692</v>
      </c>
    </row>
    <row r="704" spans="1:9" s="2139" customFormat="1" hidden="1">
      <c r="A704" s="2140" t="s">
        <v>3830</v>
      </c>
      <c r="B704" s="3560" t="s">
        <v>3054</v>
      </c>
      <c r="C704" s="2141" t="s">
        <v>3161</v>
      </c>
      <c r="D704" s="3396">
        <v>33</v>
      </c>
      <c r="E704" s="2142">
        <v>68.89</v>
      </c>
      <c r="F704" s="2142">
        <v>23086</v>
      </c>
      <c r="G704" s="2142">
        <v>1590395</v>
      </c>
      <c r="H704" s="3557">
        <v>42997</v>
      </c>
      <c r="I704" s="2142">
        <v>1590395</v>
      </c>
    </row>
    <row r="705" spans="1:9" s="2139" customFormat="1" hidden="1">
      <c r="A705" s="2140" t="s">
        <v>3838</v>
      </c>
      <c r="B705" s="3560" t="s">
        <v>3054</v>
      </c>
      <c r="C705" s="2141" t="s">
        <v>3161</v>
      </c>
      <c r="D705" s="3396">
        <v>47</v>
      </c>
      <c r="E705" s="2142">
        <v>48.03</v>
      </c>
      <c r="F705" s="2142">
        <v>16781</v>
      </c>
      <c r="G705" s="2142">
        <v>805991</v>
      </c>
      <c r="H705" s="3557">
        <v>42997</v>
      </c>
      <c r="I705" s="2142">
        <v>805991</v>
      </c>
    </row>
    <row r="706" spans="1:9" s="2139" customFormat="1" hidden="1">
      <c r="A706" s="2140" t="s">
        <v>5228</v>
      </c>
      <c r="B706" s="3560" t="s">
        <v>3056</v>
      </c>
      <c r="C706" s="2141" t="s">
        <v>3161</v>
      </c>
      <c r="D706" s="3396">
        <v>206</v>
      </c>
      <c r="E706" s="2142">
        <v>47.97</v>
      </c>
      <c r="F706" s="2142">
        <v>20085</v>
      </c>
      <c r="G706" s="2142">
        <v>963477</v>
      </c>
      <c r="H706" s="3557">
        <v>42997</v>
      </c>
      <c r="I706" s="2142">
        <v>963477</v>
      </c>
    </row>
    <row r="707" spans="1:9" s="2139" customFormat="1" hidden="1">
      <c r="A707" s="2140" t="s">
        <v>5857</v>
      </c>
      <c r="B707" s="3560" t="s">
        <v>3057</v>
      </c>
      <c r="C707" s="2141" t="s">
        <v>3161</v>
      </c>
      <c r="D707" s="3396">
        <v>187</v>
      </c>
      <c r="E707" s="2142">
        <v>42.17</v>
      </c>
      <c r="F707" s="2142">
        <v>17484.25</v>
      </c>
      <c r="G707" s="2142">
        <v>737311</v>
      </c>
      <c r="H707" s="3557">
        <v>42997</v>
      </c>
      <c r="I707" s="2142">
        <v>737311</v>
      </c>
    </row>
    <row r="708" spans="1:9" s="2139" customFormat="1" hidden="1">
      <c r="A708" s="2140" t="s">
        <v>3955</v>
      </c>
      <c r="B708" s="3560" t="s">
        <v>3054</v>
      </c>
      <c r="C708" s="2141" t="s">
        <v>3161</v>
      </c>
      <c r="D708" s="3396">
        <v>229</v>
      </c>
      <c r="E708" s="2142">
        <v>39.96</v>
      </c>
      <c r="F708" s="2142">
        <v>19206.009999999998</v>
      </c>
      <c r="G708" s="2142">
        <v>767472</v>
      </c>
      <c r="H708" s="3557">
        <v>42996</v>
      </c>
      <c r="I708" s="2142">
        <v>767472</v>
      </c>
    </row>
    <row r="709" spans="1:9" s="2139" customFormat="1" hidden="1">
      <c r="A709" s="2140" t="s">
        <v>4437</v>
      </c>
      <c r="B709" s="3560" t="s">
        <v>3055</v>
      </c>
      <c r="C709" s="2141" t="s">
        <v>3161</v>
      </c>
      <c r="D709" s="3396">
        <v>6</v>
      </c>
      <c r="E709" s="2142">
        <v>38.96</v>
      </c>
      <c r="F709" s="2142">
        <v>21300</v>
      </c>
      <c r="G709" s="2142">
        <v>829848</v>
      </c>
      <c r="H709" s="3557">
        <v>43006</v>
      </c>
      <c r="I709" s="2142">
        <v>829848</v>
      </c>
    </row>
    <row r="710" spans="1:9" s="2139" customFormat="1" hidden="1">
      <c r="A710" s="2140" t="s">
        <v>3957</v>
      </c>
      <c r="B710" s="3560" t="s">
        <v>3054</v>
      </c>
      <c r="C710" s="2141" t="s">
        <v>3161</v>
      </c>
      <c r="D710" s="3396">
        <v>231</v>
      </c>
      <c r="E710" s="2142">
        <v>41.85</v>
      </c>
      <c r="F710" s="2142">
        <v>19206.009999999998</v>
      </c>
      <c r="G710" s="2142">
        <v>803771</v>
      </c>
      <c r="H710" s="3557">
        <v>42995</v>
      </c>
      <c r="I710" s="2142">
        <v>803771</v>
      </c>
    </row>
    <row r="711" spans="1:9" s="2139" customFormat="1" hidden="1">
      <c r="A711" s="2140" t="s">
        <v>4546</v>
      </c>
      <c r="B711" s="3560" t="s">
        <v>3055</v>
      </c>
      <c r="C711" s="2141" t="s">
        <v>3161</v>
      </c>
      <c r="D711" s="3396">
        <v>163</v>
      </c>
      <c r="E711" s="2142">
        <v>40.229999999999997</v>
      </c>
      <c r="F711" s="2142">
        <v>21300</v>
      </c>
      <c r="G711" s="2142">
        <v>856898.99999999988</v>
      </c>
      <c r="H711" s="3557">
        <v>43001</v>
      </c>
      <c r="I711" s="2142">
        <v>856899</v>
      </c>
    </row>
    <row r="712" spans="1:9" s="2139" customFormat="1" hidden="1">
      <c r="A712" s="2140" t="s">
        <v>5173</v>
      </c>
      <c r="B712" s="3560" t="s">
        <v>3056</v>
      </c>
      <c r="C712" s="2141" t="s">
        <v>3161</v>
      </c>
      <c r="D712" s="3396">
        <v>131</v>
      </c>
      <c r="E712" s="2142">
        <v>35.58</v>
      </c>
      <c r="F712" s="2142">
        <v>19679</v>
      </c>
      <c r="G712" s="2142">
        <v>700178</v>
      </c>
      <c r="H712" s="3557">
        <v>42995</v>
      </c>
      <c r="I712" s="2142">
        <v>700178</v>
      </c>
    </row>
    <row r="713" spans="1:9" s="2139" customFormat="1" hidden="1">
      <c r="A713" s="2140" t="s">
        <v>5202</v>
      </c>
      <c r="B713" s="3560" t="s">
        <v>3056</v>
      </c>
      <c r="C713" s="2141" t="s">
        <v>3161</v>
      </c>
      <c r="D713" s="3396">
        <v>172</v>
      </c>
      <c r="E713" s="2142">
        <v>52.24</v>
      </c>
      <c r="F713" s="2142">
        <v>16789</v>
      </c>
      <c r="G713" s="2142">
        <v>877057</v>
      </c>
      <c r="H713" s="3557">
        <v>42995</v>
      </c>
      <c r="I713" s="2142">
        <v>877057</v>
      </c>
    </row>
    <row r="714" spans="1:9" s="2139" customFormat="1" hidden="1">
      <c r="A714" s="2140" t="s">
        <v>5205</v>
      </c>
      <c r="B714" s="3560" t="s">
        <v>3056</v>
      </c>
      <c r="C714" s="2141" t="s">
        <v>3161</v>
      </c>
      <c r="D714" s="3396">
        <v>176</v>
      </c>
      <c r="E714" s="2142">
        <v>34.49</v>
      </c>
      <c r="F714" s="2142">
        <v>21115</v>
      </c>
      <c r="G714" s="2142">
        <v>728256</v>
      </c>
      <c r="H714" s="3557">
        <v>42995</v>
      </c>
      <c r="I714" s="2142">
        <v>728256</v>
      </c>
    </row>
    <row r="715" spans="1:9" s="2139" customFormat="1" hidden="1">
      <c r="A715" s="2140" t="s">
        <v>5776</v>
      </c>
      <c r="B715" s="3560" t="s">
        <v>3057</v>
      </c>
      <c r="C715" s="2141" t="s">
        <v>3161</v>
      </c>
      <c r="D715" s="3396">
        <v>79</v>
      </c>
      <c r="E715" s="2142">
        <v>19</v>
      </c>
      <c r="F715" s="2142">
        <v>20481.57</v>
      </c>
      <c r="G715" s="2142">
        <v>389150</v>
      </c>
      <c r="H715" s="3557">
        <v>42995</v>
      </c>
      <c r="I715" s="2142">
        <v>389150</v>
      </c>
    </row>
    <row r="716" spans="1:9" s="2139" customFormat="1" hidden="1">
      <c r="A716" s="2140" t="s">
        <v>5782</v>
      </c>
      <c r="B716" s="3560" t="s">
        <v>3057</v>
      </c>
      <c r="C716" s="2141" t="s">
        <v>3161</v>
      </c>
      <c r="D716" s="3396">
        <v>91</v>
      </c>
      <c r="E716" s="2142">
        <v>11.86</v>
      </c>
      <c r="F716" s="2142">
        <v>19570</v>
      </c>
      <c r="G716" s="2142">
        <v>232100</v>
      </c>
      <c r="H716" s="3557">
        <v>42995</v>
      </c>
      <c r="I716" s="2142">
        <v>232100</v>
      </c>
    </row>
    <row r="717" spans="1:9" s="2139" customFormat="1" hidden="1">
      <c r="A717" s="2140" t="s">
        <v>5765</v>
      </c>
      <c r="B717" s="3560" t="s">
        <v>3057</v>
      </c>
      <c r="C717" s="2141" t="s">
        <v>3161</v>
      </c>
      <c r="D717" s="3396">
        <v>58</v>
      </c>
      <c r="E717" s="2142">
        <v>23.91</v>
      </c>
      <c r="F717" s="2142">
        <v>19055</v>
      </c>
      <c r="G717" s="2142">
        <v>455605</v>
      </c>
      <c r="H717" s="3557">
        <v>42994</v>
      </c>
      <c r="I717" s="2142">
        <v>455605</v>
      </c>
    </row>
    <row r="718" spans="1:9" s="2139" customFormat="1" hidden="1">
      <c r="A718" s="2140" t="s">
        <v>5827</v>
      </c>
      <c r="B718" s="3560" t="s">
        <v>3057</v>
      </c>
      <c r="C718" s="2141" t="s">
        <v>3161</v>
      </c>
      <c r="D718" s="3396">
        <v>147</v>
      </c>
      <c r="E718" s="2142">
        <v>47.21</v>
      </c>
      <c r="F718" s="2142">
        <v>19570</v>
      </c>
      <c r="G718" s="2142">
        <v>923900</v>
      </c>
      <c r="H718" s="3557">
        <v>42994</v>
      </c>
      <c r="I718" s="2142">
        <v>923900</v>
      </c>
    </row>
    <row r="719" spans="1:9" s="2139" customFormat="1" hidden="1">
      <c r="A719" s="2140" t="s">
        <v>3858</v>
      </c>
      <c r="B719" s="3560" t="s">
        <v>3054</v>
      </c>
      <c r="C719" s="2141" t="s">
        <v>3161</v>
      </c>
      <c r="D719" s="3396">
        <v>75</v>
      </c>
      <c r="E719" s="2142">
        <v>58.79</v>
      </c>
      <c r="F719" s="2142">
        <v>17800</v>
      </c>
      <c r="G719" s="2142">
        <v>1046462</v>
      </c>
      <c r="H719" s="3557">
        <v>42993</v>
      </c>
      <c r="I719" s="2142">
        <v>1046462</v>
      </c>
    </row>
    <row r="720" spans="1:9" s="2139" customFormat="1" hidden="1">
      <c r="A720" s="2140" t="s">
        <v>5099</v>
      </c>
      <c r="B720" s="3560" t="s">
        <v>3056</v>
      </c>
      <c r="C720" s="2141" t="s">
        <v>3161</v>
      </c>
      <c r="D720" s="3396">
        <v>10</v>
      </c>
      <c r="E720" s="2142">
        <v>44.6</v>
      </c>
      <c r="F720" s="2142">
        <v>18540</v>
      </c>
      <c r="G720" s="2142">
        <v>826884</v>
      </c>
      <c r="H720" s="3557">
        <v>42993</v>
      </c>
      <c r="I720" s="2142">
        <v>826884</v>
      </c>
    </row>
    <row r="721" spans="1:9" s="2139" customFormat="1" hidden="1">
      <c r="A721" s="2140" t="s">
        <v>5229</v>
      </c>
      <c r="B721" s="3560" t="s">
        <v>3056</v>
      </c>
      <c r="C721" s="2141" t="s">
        <v>3161</v>
      </c>
      <c r="D721" s="3396">
        <v>208</v>
      </c>
      <c r="E721" s="2142">
        <v>47.97</v>
      </c>
      <c r="F721" s="2142">
        <v>20085</v>
      </c>
      <c r="G721" s="2142">
        <v>963477</v>
      </c>
      <c r="H721" s="3557">
        <v>42993</v>
      </c>
      <c r="I721" s="2142">
        <v>963477</v>
      </c>
    </row>
    <row r="722" spans="1:9" s="2139" customFormat="1" hidden="1">
      <c r="A722" s="2140" t="s">
        <v>3901</v>
      </c>
      <c r="B722" s="3560" t="s">
        <v>3054</v>
      </c>
      <c r="C722" s="2141" t="s">
        <v>3161</v>
      </c>
      <c r="D722" s="3396">
        <v>169</v>
      </c>
      <c r="E722" s="2142">
        <v>73.180000000000007</v>
      </c>
      <c r="F722" s="2142">
        <v>19800</v>
      </c>
      <c r="G722" s="2142">
        <v>1448964.0000000002</v>
      </c>
      <c r="H722" s="3557">
        <v>42992</v>
      </c>
      <c r="I722" s="2142">
        <v>1448964</v>
      </c>
    </row>
    <row r="723" spans="1:9" s="2139" customFormat="1" hidden="1">
      <c r="A723" s="2140" t="s">
        <v>3924</v>
      </c>
      <c r="B723" s="3560" t="s">
        <v>3054</v>
      </c>
      <c r="C723" s="2141" t="s">
        <v>3161</v>
      </c>
      <c r="D723" s="3396">
        <v>195</v>
      </c>
      <c r="E723" s="2142">
        <v>45.11</v>
      </c>
      <c r="F723" s="2142">
        <v>19800</v>
      </c>
      <c r="G723" s="2142">
        <v>893178</v>
      </c>
      <c r="H723" s="3557">
        <v>42992</v>
      </c>
      <c r="I723" s="2142">
        <v>893178</v>
      </c>
    </row>
    <row r="724" spans="1:9" s="2139" customFormat="1" hidden="1">
      <c r="A724" s="2140" t="s">
        <v>5212</v>
      </c>
      <c r="B724" s="3560" t="s">
        <v>3056</v>
      </c>
      <c r="C724" s="2141" t="s">
        <v>3161</v>
      </c>
      <c r="D724" s="3396">
        <v>187</v>
      </c>
      <c r="E724" s="2142">
        <v>106.55</v>
      </c>
      <c r="F724" s="2142">
        <v>27275.43</v>
      </c>
      <c r="G724" s="2142">
        <v>2906197</v>
      </c>
      <c r="H724" s="3557">
        <v>42992</v>
      </c>
      <c r="I724" s="2142">
        <v>2906197</v>
      </c>
    </row>
    <row r="725" spans="1:9" s="2139" customFormat="1" hidden="1">
      <c r="A725" s="2140" t="s">
        <v>5255</v>
      </c>
      <c r="B725" s="3560" t="s">
        <v>3056</v>
      </c>
      <c r="C725" s="2141" t="s">
        <v>3161</v>
      </c>
      <c r="D725" s="3396">
        <v>238</v>
      </c>
      <c r="E725" s="2142">
        <v>47.97</v>
      </c>
      <c r="F725" s="2142">
        <v>20600</v>
      </c>
      <c r="G725" s="2142">
        <v>988182</v>
      </c>
      <c r="H725" s="3557">
        <v>42992</v>
      </c>
      <c r="I725" s="2142">
        <v>988182</v>
      </c>
    </row>
    <row r="726" spans="1:9" s="2139" customFormat="1" hidden="1">
      <c r="A726" s="2140" t="s">
        <v>5786</v>
      </c>
      <c r="B726" s="3560" t="s">
        <v>3057</v>
      </c>
      <c r="C726" s="2141" t="s">
        <v>3161</v>
      </c>
      <c r="D726" s="3396">
        <v>98</v>
      </c>
      <c r="E726" s="2142">
        <v>48.9</v>
      </c>
      <c r="F726" s="2142">
        <v>21115</v>
      </c>
      <c r="G726" s="2142">
        <v>1032523</v>
      </c>
      <c r="H726" s="3557">
        <v>42992</v>
      </c>
      <c r="I726" s="2142">
        <v>1032523</v>
      </c>
    </row>
    <row r="727" spans="1:9" s="2139" customFormat="1" hidden="1">
      <c r="A727" s="2140" t="s">
        <v>5834</v>
      </c>
      <c r="B727" s="3560" t="s">
        <v>3057</v>
      </c>
      <c r="C727" s="2141" t="s">
        <v>3161</v>
      </c>
      <c r="D727" s="3396">
        <v>157</v>
      </c>
      <c r="E727" s="2142">
        <v>47.18</v>
      </c>
      <c r="F727" s="2142">
        <v>19570</v>
      </c>
      <c r="G727" s="2142">
        <v>923313</v>
      </c>
      <c r="H727" s="3557">
        <v>42992</v>
      </c>
      <c r="I727" s="2142">
        <v>923313</v>
      </c>
    </row>
    <row r="728" spans="1:9" s="2139" customFormat="1" hidden="1">
      <c r="A728" s="2140" t="s">
        <v>3823</v>
      </c>
      <c r="B728" s="3560" t="s">
        <v>3054</v>
      </c>
      <c r="C728" s="2141" t="s">
        <v>3161</v>
      </c>
      <c r="D728" s="3396">
        <v>26</v>
      </c>
      <c r="E728" s="2142">
        <v>41.22</v>
      </c>
      <c r="F728" s="2142">
        <v>23377</v>
      </c>
      <c r="G728" s="2142">
        <v>963600</v>
      </c>
      <c r="H728" s="3557">
        <v>42991</v>
      </c>
      <c r="I728" s="2142">
        <v>963600</v>
      </c>
    </row>
    <row r="729" spans="1:9" s="2139" customFormat="1" hidden="1">
      <c r="A729" s="2140" t="s">
        <v>4596</v>
      </c>
      <c r="B729" s="3560" t="s">
        <v>3055</v>
      </c>
      <c r="C729" s="2141" t="s">
        <v>3161</v>
      </c>
      <c r="D729" s="3396">
        <v>232</v>
      </c>
      <c r="E729" s="2142">
        <v>38.96</v>
      </c>
      <c r="F729" s="2142">
        <v>21300</v>
      </c>
      <c r="G729" s="2142">
        <v>829848</v>
      </c>
      <c r="H729" s="3557">
        <v>42999</v>
      </c>
      <c r="I729" s="2142">
        <v>829848</v>
      </c>
    </row>
    <row r="730" spans="1:9" s="2139" customFormat="1" hidden="1">
      <c r="A730" s="2140" t="s">
        <v>4597</v>
      </c>
      <c r="B730" s="3560" t="s">
        <v>3055</v>
      </c>
      <c r="C730" s="2141" t="s">
        <v>3161</v>
      </c>
      <c r="D730" s="3396">
        <v>233</v>
      </c>
      <c r="E730" s="2142">
        <v>39</v>
      </c>
      <c r="F730" s="2142">
        <v>21300</v>
      </c>
      <c r="G730" s="2142">
        <v>830700</v>
      </c>
      <c r="H730" s="3557">
        <v>42999</v>
      </c>
      <c r="I730" s="2142">
        <v>830700</v>
      </c>
    </row>
    <row r="731" spans="1:9" s="2139" customFormat="1" hidden="1">
      <c r="A731" s="2140" t="s">
        <v>4449</v>
      </c>
      <c r="B731" s="3560" t="s">
        <v>3055</v>
      </c>
      <c r="C731" s="2141" t="s">
        <v>3161</v>
      </c>
      <c r="D731" s="3396">
        <v>19</v>
      </c>
      <c r="E731" s="2142">
        <v>38.96</v>
      </c>
      <c r="F731" s="2142">
        <v>21300</v>
      </c>
      <c r="G731" s="2142">
        <v>829848</v>
      </c>
      <c r="H731" s="3557">
        <v>42991</v>
      </c>
      <c r="I731" s="2142">
        <v>829848</v>
      </c>
    </row>
    <row r="732" spans="1:9" s="2139" customFormat="1" hidden="1">
      <c r="A732" s="2140" t="s">
        <v>4450</v>
      </c>
      <c r="B732" s="3560" t="s">
        <v>3055</v>
      </c>
      <c r="C732" s="2141" t="s">
        <v>3161</v>
      </c>
      <c r="D732" s="3396">
        <v>20</v>
      </c>
      <c r="E732" s="2142">
        <v>38.96</v>
      </c>
      <c r="F732" s="2142">
        <v>21300</v>
      </c>
      <c r="G732" s="2142">
        <v>829848</v>
      </c>
      <c r="H732" s="3557">
        <v>42991</v>
      </c>
      <c r="I732" s="2142">
        <v>829848</v>
      </c>
    </row>
    <row r="733" spans="1:9" s="2139" customFormat="1" hidden="1">
      <c r="A733" s="2140" t="s">
        <v>4592</v>
      </c>
      <c r="B733" s="3560" t="s">
        <v>3055</v>
      </c>
      <c r="C733" s="2141" t="s">
        <v>3161</v>
      </c>
      <c r="D733" s="3396">
        <v>223</v>
      </c>
      <c r="E733" s="2142">
        <v>38.39</v>
      </c>
      <c r="F733" s="2142">
        <v>21300</v>
      </c>
      <c r="G733" s="2142">
        <v>817707</v>
      </c>
      <c r="H733" s="3557">
        <v>42989</v>
      </c>
      <c r="I733" s="2142">
        <v>817707</v>
      </c>
    </row>
    <row r="734" spans="1:9" s="2139" customFormat="1" hidden="1">
      <c r="A734" s="2140" t="s">
        <v>5139</v>
      </c>
      <c r="B734" s="3560" t="s">
        <v>3056</v>
      </c>
      <c r="C734" s="2141" t="s">
        <v>3161</v>
      </c>
      <c r="D734" s="3396">
        <v>83</v>
      </c>
      <c r="E734" s="2142">
        <v>42.8</v>
      </c>
      <c r="F734" s="2142">
        <v>21115</v>
      </c>
      <c r="G734" s="2142">
        <v>903721.99999999988</v>
      </c>
      <c r="H734" s="3557">
        <v>42991</v>
      </c>
      <c r="I734" s="2142">
        <v>903722</v>
      </c>
    </row>
    <row r="735" spans="1:9" s="2139" customFormat="1" hidden="1">
      <c r="A735" s="2140" t="s">
        <v>5210</v>
      </c>
      <c r="B735" s="3560" t="s">
        <v>3056</v>
      </c>
      <c r="C735" s="2141" t="s">
        <v>3161</v>
      </c>
      <c r="D735" s="3396">
        <v>185</v>
      </c>
      <c r="E735" s="2142">
        <v>41.8</v>
      </c>
      <c r="F735" s="2142">
        <v>19055</v>
      </c>
      <c r="G735" s="2142">
        <v>796499</v>
      </c>
      <c r="H735" s="3557">
        <v>42991</v>
      </c>
      <c r="I735" s="2142">
        <v>796499</v>
      </c>
    </row>
    <row r="736" spans="1:9" s="2139" customFormat="1" hidden="1">
      <c r="A736" s="2140" t="s">
        <v>5748</v>
      </c>
      <c r="B736" s="3560" t="s">
        <v>3057</v>
      </c>
      <c r="C736" s="2141" t="s">
        <v>3161</v>
      </c>
      <c r="D736" s="3396">
        <v>19</v>
      </c>
      <c r="E736" s="2142">
        <v>42.27</v>
      </c>
      <c r="F736" s="2142">
        <v>18025</v>
      </c>
      <c r="G736" s="2142">
        <v>761917</v>
      </c>
      <c r="H736" s="3557">
        <v>42991</v>
      </c>
      <c r="I736" s="2142">
        <v>761917</v>
      </c>
    </row>
    <row r="737" spans="1:9" s="2139" customFormat="1" hidden="1">
      <c r="A737" s="2140" t="s">
        <v>5819</v>
      </c>
      <c r="B737" s="3560" t="s">
        <v>3057</v>
      </c>
      <c r="C737" s="2141" t="s">
        <v>3161</v>
      </c>
      <c r="D737" s="3396">
        <v>137</v>
      </c>
      <c r="E737" s="2142">
        <v>70.66</v>
      </c>
      <c r="F737" s="2142">
        <v>24720</v>
      </c>
      <c r="G737" s="2142">
        <v>1746715</v>
      </c>
      <c r="H737" s="3557">
        <v>42991</v>
      </c>
      <c r="I737" s="2142">
        <v>1746715</v>
      </c>
    </row>
    <row r="738" spans="1:9" s="2139" customFormat="1" hidden="1">
      <c r="A738" s="2140" t="s">
        <v>5197</v>
      </c>
      <c r="B738" s="3560" t="s">
        <v>3056</v>
      </c>
      <c r="C738" s="2141" t="s">
        <v>3161</v>
      </c>
      <c r="D738" s="3396">
        <v>165</v>
      </c>
      <c r="E738" s="2142">
        <v>70.78</v>
      </c>
      <c r="F738" s="2142">
        <v>16789</v>
      </c>
      <c r="G738" s="2142">
        <v>1188325</v>
      </c>
      <c r="H738" s="3557">
        <v>42990</v>
      </c>
      <c r="I738" s="2142">
        <v>1188325</v>
      </c>
    </row>
    <row r="739" spans="1:9" s="2139" customFormat="1" hidden="1">
      <c r="A739" s="2140" t="s">
        <v>5199</v>
      </c>
      <c r="B739" s="3560" t="s">
        <v>3056</v>
      </c>
      <c r="C739" s="2141" t="s">
        <v>3161</v>
      </c>
      <c r="D739" s="3396">
        <v>168</v>
      </c>
      <c r="E739" s="2142">
        <v>75.930000000000007</v>
      </c>
      <c r="F739" s="2142">
        <v>16789</v>
      </c>
      <c r="G739" s="2142">
        <v>1274789</v>
      </c>
      <c r="H739" s="3557">
        <v>42990</v>
      </c>
      <c r="I739" s="2142">
        <v>1274789</v>
      </c>
    </row>
    <row r="740" spans="1:9" s="2139" customFormat="1" hidden="1">
      <c r="A740" s="2140" t="s">
        <v>5200</v>
      </c>
      <c r="B740" s="3560" t="s">
        <v>3056</v>
      </c>
      <c r="C740" s="2141" t="s">
        <v>3161</v>
      </c>
      <c r="D740" s="3396">
        <v>169</v>
      </c>
      <c r="E740" s="2142">
        <v>108.7</v>
      </c>
      <c r="F740" s="2142">
        <v>20085</v>
      </c>
      <c r="G740" s="2142">
        <v>2183240</v>
      </c>
      <c r="H740" s="3557">
        <v>42990</v>
      </c>
      <c r="I740" s="2142">
        <v>2183240</v>
      </c>
    </row>
    <row r="741" spans="1:9" s="2139" customFormat="1" hidden="1">
      <c r="A741" s="2140" t="s">
        <v>5201</v>
      </c>
      <c r="B741" s="3560" t="s">
        <v>3056</v>
      </c>
      <c r="C741" s="2141" t="s">
        <v>3161</v>
      </c>
      <c r="D741" s="3396">
        <v>170</v>
      </c>
      <c r="E741" s="2142">
        <v>145.22</v>
      </c>
      <c r="F741" s="2142">
        <v>20600</v>
      </c>
      <c r="G741" s="2142">
        <v>2991532</v>
      </c>
      <c r="H741" s="3557">
        <v>42990</v>
      </c>
      <c r="I741" s="2142">
        <v>2991532</v>
      </c>
    </row>
    <row r="742" spans="1:9" s="2139" customFormat="1" hidden="1">
      <c r="A742" s="2140" t="s">
        <v>5203</v>
      </c>
      <c r="B742" s="3560" t="s">
        <v>3056</v>
      </c>
      <c r="C742" s="2141" t="s">
        <v>3161</v>
      </c>
      <c r="D742" s="3396">
        <v>173</v>
      </c>
      <c r="E742" s="2142">
        <v>46.4</v>
      </c>
      <c r="F742" s="2142">
        <v>20085</v>
      </c>
      <c r="G742" s="2142">
        <v>931944</v>
      </c>
      <c r="H742" s="3557">
        <v>42990</v>
      </c>
      <c r="I742" s="2142">
        <v>931944</v>
      </c>
    </row>
    <row r="743" spans="1:9" s="2139" customFormat="1" hidden="1">
      <c r="A743" s="2140" t="s">
        <v>5208</v>
      </c>
      <c r="B743" s="3560" t="s">
        <v>3056</v>
      </c>
      <c r="C743" s="2141" t="s">
        <v>3161</v>
      </c>
      <c r="D743" s="3396">
        <v>182</v>
      </c>
      <c r="E743" s="2142">
        <v>41.14</v>
      </c>
      <c r="F743" s="2142">
        <v>15785.78</v>
      </c>
      <c r="G743" s="2142">
        <v>649427</v>
      </c>
      <c r="H743" s="3557">
        <v>42990</v>
      </c>
      <c r="I743" s="2142">
        <v>649427</v>
      </c>
    </row>
    <row r="744" spans="1:9" s="2139" customFormat="1" hidden="1">
      <c r="A744" s="2140" t="s">
        <v>5247</v>
      </c>
      <c r="B744" s="3560" t="s">
        <v>3056</v>
      </c>
      <c r="C744" s="2141" t="s">
        <v>3161</v>
      </c>
      <c r="D744" s="3396">
        <v>229</v>
      </c>
      <c r="E744" s="2142">
        <v>47.97</v>
      </c>
      <c r="F744" s="2142">
        <v>20085</v>
      </c>
      <c r="G744" s="2142">
        <v>963477</v>
      </c>
      <c r="H744" s="3557">
        <v>42990</v>
      </c>
      <c r="I744" s="2142">
        <v>963477</v>
      </c>
    </row>
    <row r="745" spans="1:9" s="2139" customFormat="1" hidden="1">
      <c r="A745" s="2140" t="s">
        <v>5832</v>
      </c>
      <c r="B745" s="3560" t="s">
        <v>3057</v>
      </c>
      <c r="C745" s="2141" t="s">
        <v>3161</v>
      </c>
      <c r="D745" s="3396">
        <v>155</v>
      </c>
      <c r="E745" s="2142">
        <v>35</v>
      </c>
      <c r="F745" s="2142">
        <v>20600</v>
      </c>
      <c r="G745" s="2142">
        <v>721000</v>
      </c>
      <c r="H745" s="3557">
        <v>42990</v>
      </c>
      <c r="I745" s="2142">
        <v>721000</v>
      </c>
    </row>
    <row r="746" spans="1:9" s="2139" customFormat="1" hidden="1">
      <c r="A746" s="2140" t="s">
        <v>5847</v>
      </c>
      <c r="B746" s="3560" t="s">
        <v>3057</v>
      </c>
      <c r="C746" s="2141" t="s">
        <v>3161</v>
      </c>
      <c r="D746" s="3396">
        <v>175</v>
      </c>
      <c r="E746" s="2142">
        <v>47.72</v>
      </c>
      <c r="F746" s="2142">
        <v>21630</v>
      </c>
      <c r="G746" s="2142">
        <v>1032184</v>
      </c>
      <c r="H746" s="3557">
        <v>42990</v>
      </c>
      <c r="I746" s="2142">
        <v>1032184</v>
      </c>
    </row>
    <row r="747" spans="1:9" s="2139" customFormat="1" hidden="1">
      <c r="A747" s="2140" t="s">
        <v>4595</v>
      </c>
      <c r="B747" s="3560" t="s">
        <v>3055</v>
      </c>
      <c r="C747" s="2141" t="s">
        <v>3161</v>
      </c>
      <c r="D747" s="3396">
        <v>231</v>
      </c>
      <c r="E747" s="2142">
        <v>38.4</v>
      </c>
      <c r="F747" s="2142">
        <v>21300</v>
      </c>
      <c r="G747" s="2142">
        <v>817920</v>
      </c>
      <c r="H747" s="3557">
        <v>42985</v>
      </c>
      <c r="I747" s="2142">
        <v>817920</v>
      </c>
    </row>
    <row r="748" spans="1:9" s="2139" customFormat="1" hidden="1">
      <c r="A748" s="2140" t="s">
        <v>5111</v>
      </c>
      <c r="B748" s="3560" t="s">
        <v>3056</v>
      </c>
      <c r="C748" s="2141" t="s">
        <v>3161</v>
      </c>
      <c r="D748" s="3396">
        <v>33</v>
      </c>
      <c r="E748" s="2142">
        <v>73.55</v>
      </c>
      <c r="F748" s="2142">
        <v>26775.87</v>
      </c>
      <c r="G748" s="2142">
        <v>1969365</v>
      </c>
      <c r="H748" s="3557">
        <v>42989</v>
      </c>
      <c r="I748" s="2142">
        <v>1969365</v>
      </c>
    </row>
    <row r="749" spans="1:9" s="2139" customFormat="1" hidden="1">
      <c r="A749" s="2140" t="s">
        <v>5128</v>
      </c>
      <c r="B749" s="3560" t="s">
        <v>3056</v>
      </c>
      <c r="C749" s="2141" t="s">
        <v>3161</v>
      </c>
      <c r="D749" s="3396">
        <v>67</v>
      </c>
      <c r="E749" s="2142">
        <v>75.53</v>
      </c>
      <c r="F749" s="2142">
        <v>26713.06</v>
      </c>
      <c r="G749" s="2142">
        <v>2017637</v>
      </c>
      <c r="H749" s="3557">
        <v>42989</v>
      </c>
      <c r="I749" s="2142">
        <v>2017637</v>
      </c>
    </row>
    <row r="750" spans="1:9" s="2139" customFormat="1" hidden="1">
      <c r="A750" s="2140" t="s">
        <v>5135</v>
      </c>
      <c r="B750" s="3560" t="s">
        <v>3056</v>
      </c>
      <c r="C750" s="2141" t="s">
        <v>3161</v>
      </c>
      <c r="D750" s="3396">
        <v>77</v>
      </c>
      <c r="E750" s="2142">
        <v>146.38</v>
      </c>
      <c r="F750" s="2142">
        <v>25935</v>
      </c>
      <c r="G750" s="2142">
        <v>3796365</v>
      </c>
      <c r="H750" s="3557">
        <v>42989</v>
      </c>
      <c r="I750" s="2142">
        <v>1219017</v>
      </c>
    </row>
    <row r="751" spans="1:9" s="2139" customFormat="1" hidden="1">
      <c r="A751" s="2140" t="s">
        <v>5137</v>
      </c>
      <c r="B751" s="3560" t="s">
        <v>3056</v>
      </c>
      <c r="C751" s="2141" t="s">
        <v>3161</v>
      </c>
      <c r="D751" s="3396">
        <v>81</v>
      </c>
      <c r="E751" s="2142">
        <v>42.75</v>
      </c>
      <c r="F751" s="2142">
        <v>20059</v>
      </c>
      <c r="G751" s="2142">
        <v>857522</v>
      </c>
      <c r="H751" s="3557">
        <v>42989</v>
      </c>
      <c r="I751" s="2142">
        <v>857522</v>
      </c>
    </row>
    <row r="752" spans="1:9" s="2139" customFormat="1" hidden="1">
      <c r="A752" s="2140" t="s">
        <v>5138</v>
      </c>
      <c r="B752" s="3560" t="s">
        <v>3056</v>
      </c>
      <c r="C752" s="2141" t="s">
        <v>3161</v>
      </c>
      <c r="D752" s="3396">
        <v>82</v>
      </c>
      <c r="E752" s="2142">
        <v>48.86</v>
      </c>
      <c r="F752" s="2142">
        <v>20059</v>
      </c>
      <c r="G752" s="2142">
        <v>980083</v>
      </c>
      <c r="H752" s="3557">
        <v>42989</v>
      </c>
      <c r="I752" s="2142">
        <v>980083</v>
      </c>
    </row>
    <row r="753" spans="1:9" s="2139" customFormat="1" hidden="1">
      <c r="A753" s="2140" t="s">
        <v>5147</v>
      </c>
      <c r="B753" s="3560" t="s">
        <v>3056</v>
      </c>
      <c r="C753" s="2141" t="s">
        <v>3161</v>
      </c>
      <c r="D753" s="3396">
        <v>99</v>
      </c>
      <c r="E753" s="2142">
        <v>68.39</v>
      </c>
      <c r="F753" s="2142">
        <v>27604</v>
      </c>
      <c r="G753" s="2142">
        <v>1887838</v>
      </c>
      <c r="H753" s="3557">
        <v>42989</v>
      </c>
      <c r="I753" s="2142">
        <v>1887838</v>
      </c>
    </row>
    <row r="754" spans="1:9" s="2139" customFormat="1" hidden="1">
      <c r="A754" s="2140" t="s">
        <v>5160</v>
      </c>
      <c r="B754" s="3560" t="s">
        <v>3056</v>
      </c>
      <c r="C754" s="2141" t="s">
        <v>3161</v>
      </c>
      <c r="D754" s="3396">
        <v>113</v>
      </c>
      <c r="E754" s="2142">
        <v>74.06</v>
      </c>
      <c r="F754" s="2142">
        <v>21115</v>
      </c>
      <c r="G754" s="2142">
        <v>1563777</v>
      </c>
      <c r="H754" s="3557">
        <v>42989</v>
      </c>
      <c r="I754" s="2142">
        <v>1563777</v>
      </c>
    </row>
    <row r="755" spans="1:9" s="2139" customFormat="1" hidden="1">
      <c r="A755" s="2140" t="s">
        <v>5183</v>
      </c>
      <c r="B755" s="3560" t="s">
        <v>3056</v>
      </c>
      <c r="C755" s="2141" t="s">
        <v>3161</v>
      </c>
      <c r="D755" s="3396">
        <v>148</v>
      </c>
      <c r="E755" s="2142">
        <v>28.76</v>
      </c>
      <c r="F755" s="2142">
        <v>19570</v>
      </c>
      <c r="G755" s="2142">
        <v>562833</v>
      </c>
      <c r="H755" s="3557">
        <v>42989</v>
      </c>
      <c r="I755" s="2142">
        <v>562833</v>
      </c>
    </row>
    <row r="756" spans="1:9" s="2139" customFormat="1" hidden="1">
      <c r="A756" s="2140" t="s">
        <v>5190</v>
      </c>
      <c r="B756" s="3560" t="s">
        <v>3056</v>
      </c>
      <c r="C756" s="2141" t="s">
        <v>3161</v>
      </c>
      <c r="D756" s="3396">
        <v>157</v>
      </c>
      <c r="E756" s="2142">
        <v>48.8</v>
      </c>
      <c r="F756" s="2142">
        <v>28119</v>
      </c>
      <c r="G756" s="2142">
        <v>1372207</v>
      </c>
      <c r="H756" s="3557">
        <v>42989</v>
      </c>
      <c r="I756" s="2142">
        <v>1372207</v>
      </c>
    </row>
    <row r="757" spans="1:9" s="2139" customFormat="1" hidden="1">
      <c r="A757" s="2140" t="s">
        <v>5217</v>
      </c>
      <c r="B757" s="3560" t="s">
        <v>3056</v>
      </c>
      <c r="C757" s="2141" t="s">
        <v>3161</v>
      </c>
      <c r="D757" s="3396">
        <v>192</v>
      </c>
      <c r="E757" s="2142">
        <v>48.57</v>
      </c>
      <c r="F757" s="2142">
        <v>26775.89</v>
      </c>
      <c r="G757" s="2142">
        <v>1300505</v>
      </c>
      <c r="H757" s="3557">
        <v>42989</v>
      </c>
      <c r="I757" s="2142">
        <v>1300505</v>
      </c>
    </row>
    <row r="758" spans="1:9" s="2139" customFormat="1" hidden="1">
      <c r="A758" s="2140" t="s">
        <v>5735</v>
      </c>
      <c r="B758" s="3560" t="s">
        <v>3057</v>
      </c>
      <c r="C758" s="2141" t="s">
        <v>3161</v>
      </c>
      <c r="D758" s="3396">
        <v>1</v>
      </c>
      <c r="E758" s="2142">
        <v>66</v>
      </c>
      <c r="F758" s="2142">
        <v>28119</v>
      </c>
      <c r="G758" s="2142">
        <v>1855854</v>
      </c>
      <c r="H758" s="3557">
        <v>42989</v>
      </c>
      <c r="I758" s="2142">
        <v>1855854</v>
      </c>
    </row>
    <row r="759" spans="1:9" s="2139" customFormat="1" hidden="1">
      <c r="A759" s="2140" t="s">
        <v>5740</v>
      </c>
      <c r="B759" s="3560" t="s">
        <v>3057</v>
      </c>
      <c r="C759" s="2141" t="s">
        <v>3161</v>
      </c>
      <c r="D759" s="3396">
        <v>9</v>
      </c>
      <c r="E759" s="2142">
        <v>42.27</v>
      </c>
      <c r="F759" s="2142">
        <v>20600</v>
      </c>
      <c r="G759" s="2142">
        <v>870762.00000000012</v>
      </c>
      <c r="H759" s="3557">
        <v>42989</v>
      </c>
      <c r="I759" s="2142">
        <v>870762</v>
      </c>
    </row>
    <row r="760" spans="1:9" s="2139" customFormat="1" hidden="1">
      <c r="A760" s="2140" t="s">
        <v>5750</v>
      </c>
      <c r="B760" s="3560" t="s">
        <v>3057</v>
      </c>
      <c r="C760" s="2141" t="s">
        <v>3161</v>
      </c>
      <c r="D760" s="3396">
        <v>21</v>
      </c>
      <c r="E760" s="2142">
        <v>42.27</v>
      </c>
      <c r="F760" s="2142">
        <v>18025</v>
      </c>
      <c r="G760" s="2142">
        <v>761917</v>
      </c>
      <c r="H760" s="3557">
        <v>42989</v>
      </c>
      <c r="I760" s="2142">
        <v>761917</v>
      </c>
    </row>
    <row r="761" spans="1:9" s="2139" customFormat="1" hidden="1">
      <c r="A761" s="2140" t="s">
        <v>5777</v>
      </c>
      <c r="B761" s="3560" t="s">
        <v>3057</v>
      </c>
      <c r="C761" s="2141" t="s">
        <v>3161</v>
      </c>
      <c r="D761" s="3396">
        <v>80</v>
      </c>
      <c r="E761" s="2142">
        <v>19.2</v>
      </c>
      <c r="F761" s="2142">
        <v>18591.509999999998</v>
      </c>
      <c r="G761" s="2142">
        <v>356957</v>
      </c>
      <c r="H761" s="3557">
        <v>42989</v>
      </c>
      <c r="I761" s="2142">
        <v>356957</v>
      </c>
    </row>
    <row r="762" spans="1:9" s="2139" customFormat="1" hidden="1">
      <c r="A762" s="2140" t="s">
        <v>5785</v>
      </c>
      <c r="B762" s="3560" t="s">
        <v>3057</v>
      </c>
      <c r="C762" s="2141" t="s">
        <v>3161</v>
      </c>
      <c r="D762" s="3396">
        <v>97</v>
      </c>
      <c r="E762" s="2142">
        <v>46.15</v>
      </c>
      <c r="F762" s="2142">
        <v>19570</v>
      </c>
      <c r="G762" s="2142">
        <v>903156</v>
      </c>
      <c r="H762" s="3557">
        <v>42989</v>
      </c>
      <c r="I762" s="2142">
        <v>903156</v>
      </c>
    </row>
    <row r="763" spans="1:9" s="2139" customFormat="1" hidden="1">
      <c r="A763" s="2140" t="s">
        <v>5250</v>
      </c>
      <c r="B763" s="3560" t="s">
        <v>3056</v>
      </c>
      <c r="C763" s="2141" t="s">
        <v>3161</v>
      </c>
      <c r="D763" s="3396">
        <v>232</v>
      </c>
      <c r="E763" s="2142">
        <v>47.97</v>
      </c>
      <c r="F763" s="2142">
        <v>20085</v>
      </c>
      <c r="G763" s="2142">
        <v>963478</v>
      </c>
      <c r="H763" s="3557">
        <v>42988</v>
      </c>
      <c r="I763" s="2142">
        <v>963478</v>
      </c>
    </row>
    <row r="764" spans="1:9" s="2139" customFormat="1" hidden="1">
      <c r="A764" s="2140" t="s">
        <v>3840</v>
      </c>
      <c r="B764" s="3560" t="s">
        <v>3054</v>
      </c>
      <c r="C764" s="2141" t="s">
        <v>3161</v>
      </c>
      <c r="D764" s="3396">
        <v>49</v>
      </c>
      <c r="E764" s="2142">
        <v>47.45</v>
      </c>
      <c r="F764" s="2142">
        <v>16781.009999999998</v>
      </c>
      <c r="G764" s="2142">
        <v>796259</v>
      </c>
      <c r="H764" s="3557">
        <v>42987</v>
      </c>
      <c r="I764" s="2142">
        <v>796259</v>
      </c>
    </row>
    <row r="765" spans="1:9" s="2139" customFormat="1" hidden="1">
      <c r="A765" s="2140" t="s">
        <v>3841</v>
      </c>
      <c r="B765" s="3560" t="s">
        <v>3054</v>
      </c>
      <c r="C765" s="2141" t="s">
        <v>3161</v>
      </c>
      <c r="D765" s="3396">
        <v>50</v>
      </c>
      <c r="E765" s="2142">
        <v>48.02</v>
      </c>
      <c r="F765" s="2142">
        <v>16781</v>
      </c>
      <c r="G765" s="2142">
        <v>805824</v>
      </c>
      <c r="H765" s="3557">
        <v>42987</v>
      </c>
      <c r="I765" s="2142">
        <v>805824</v>
      </c>
    </row>
    <row r="766" spans="1:9" s="2139" customFormat="1" hidden="1">
      <c r="A766" s="2140" t="s">
        <v>3898</v>
      </c>
      <c r="B766" s="3560" t="s">
        <v>3054</v>
      </c>
      <c r="C766" s="2141" t="s">
        <v>3161</v>
      </c>
      <c r="D766" s="3396">
        <v>165</v>
      </c>
      <c r="E766" s="2142">
        <v>103.28</v>
      </c>
      <c r="F766" s="2142">
        <v>28119.00474</v>
      </c>
      <c r="G766" s="2142">
        <v>2904130</v>
      </c>
      <c r="H766" s="3557">
        <v>42987</v>
      </c>
      <c r="I766" s="2142">
        <v>2904130</v>
      </c>
    </row>
    <row r="767" spans="1:9" s="2139" customFormat="1" hidden="1">
      <c r="A767" s="2140" t="s">
        <v>4594</v>
      </c>
      <c r="B767" s="3560" t="s">
        <v>3055</v>
      </c>
      <c r="C767" s="2141" t="s">
        <v>3161</v>
      </c>
      <c r="D767" s="3396">
        <v>230</v>
      </c>
      <c r="E767" s="2142">
        <v>39.49</v>
      </c>
      <c r="F767" s="2142">
        <v>21300</v>
      </c>
      <c r="G767" s="2142">
        <v>841137</v>
      </c>
      <c r="H767" s="3557">
        <v>42978</v>
      </c>
      <c r="I767" s="2142">
        <v>841137</v>
      </c>
    </row>
    <row r="768" spans="1:9" s="2139" customFormat="1" hidden="1">
      <c r="A768" s="2140" t="s">
        <v>4520</v>
      </c>
      <c r="B768" s="3560" t="s">
        <v>3055</v>
      </c>
      <c r="C768" s="2141" t="s">
        <v>3161</v>
      </c>
      <c r="D768" s="3396">
        <v>125</v>
      </c>
      <c r="E768" s="2142">
        <v>67.400000000000006</v>
      </c>
      <c r="F768" s="2142">
        <v>21174.139500000001</v>
      </c>
      <c r="G768" s="2142">
        <v>1427137.0023000003</v>
      </c>
      <c r="H768" s="3557">
        <v>42893</v>
      </c>
      <c r="I768" s="2142">
        <v>717137</v>
      </c>
    </row>
    <row r="769" spans="1:9" s="2139" customFormat="1" hidden="1">
      <c r="A769" s="2140" t="s">
        <v>5146</v>
      </c>
      <c r="B769" s="3560" t="s">
        <v>3056</v>
      </c>
      <c r="C769" s="2141" t="s">
        <v>3161</v>
      </c>
      <c r="D769" s="3396">
        <v>98</v>
      </c>
      <c r="E769" s="2142">
        <v>67.64</v>
      </c>
      <c r="F769" s="2142">
        <v>26223.8</v>
      </c>
      <c r="G769" s="2142">
        <v>1773778</v>
      </c>
      <c r="H769" s="3557">
        <v>42987</v>
      </c>
      <c r="I769" s="2142">
        <v>1773778</v>
      </c>
    </row>
    <row r="770" spans="1:9" s="2139" customFormat="1" hidden="1">
      <c r="A770" s="2140" t="s">
        <v>5182</v>
      </c>
      <c r="B770" s="3560" t="s">
        <v>3056</v>
      </c>
      <c r="C770" s="2141" t="s">
        <v>3161</v>
      </c>
      <c r="D770" s="3396">
        <v>147</v>
      </c>
      <c r="E770" s="2142">
        <v>30.29</v>
      </c>
      <c r="F770" s="2142">
        <v>23175</v>
      </c>
      <c r="G770" s="2142">
        <v>701971</v>
      </c>
      <c r="H770" s="3557">
        <v>42987</v>
      </c>
      <c r="I770" s="2142">
        <v>701971</v>
      </c>
    </row>
    <row r="771" spans="1:9" s="2139" customFormat="1" hidden="1">
      <c r="A771" s="2140" t="s">
        <v>5737</v>
      </c>
      <c r="B771" s="3560" t="s">
        <v>3057</v>
      </c>
      <c r="C771" s="2141" t="s">
        <v>3161</v>
      </c>
      <c r="D771" s="3396">
        <v>3</v>
      </c>
      <c r="E771" s="2142">
        <v>37.42</v>
      </c>
      <c r="F771" s="2142">
        <v>19982</v>
      </c>
      <c r="G771" s="2142">
        <v>747726</v>
      </c>
      <c r="H771" s="3557">
        <v>42987</v>
      </c>
      <c r="I771" s="2142">
        <v>747726</v>
      </c>
    </row>
    <row r="772" spans="1:9" s="2139" customFormat="1" hidden="1">
      <c r="A772" s="2140" t="s">
        <v>5806</v>
      </c>
      <c r="B772" s="3560" t="s">
        <v>3057</v>
      </c>
      <c r="C772" s="2141" t="s">
        <v>3161</v>
      </c>
      <c r="D772" s="3396">
        <v>120</v>
      </c>
      <c r="E772" s="2142">
        <v>70.69</v>
      </c>
      <c r="F772" s="2142">
        <v>27604</v>
      </c>
      <c r="G772" s="2142">
        <v>1951327</v>
      </c>
      <c r="H772" s="3557">
        <v>42987</v>
      </c>
      <c r="I772" s="2142">
        <v>1951327</v>
      </c>
    </row>
    <row r="773" spans="1:9" s="2139" customFormat="1" hidden="1">
      <c r="A773" s="2140" t="s">
        <v>5818</v>
      </c>
      <c r="B773" s="3560" t="s">
        <v>3057</v>
      </c>
      <c r="C773" s="2141" t="s">
        <v>3161</v>
      </c>
      <c r="D773" s="3396">
        <v>136</v>
      </c>
      <c r="E773" s="2142">
        <v>79.650000000000006</v>
      </c>
      <c r="F773" s="2142">
        <v>24720</v>
      </c>
      <c r="G773" s="2142">
        <v>1968948.0000000002</v>
      </c>
      <c r="H773" s="3557">
        <v>42987</v>
      </c>
      <c r="I773" s="2142">
        <v>1968948</v>
      </c>
    </row>
    <row r="774" spans="1:9" s="2139" customFormat="1" hidden="1">
      <c r="A774" s="2140" t="s">
        <v>5826</v>
      </c>
      <c r="B774" s="3560" t="s">
        <v>3057</v>
      </c>
      <c r="C774" s="2141" t="s">
        <v>3161</v>
      </c>
      <c r="D774" s="3396">
        <v>145</v>
      </c>
      <c r="E774" s="2142">
        <v>41.58</v>
      </c>
      <c r="F774" s="2142">
        <v>18982.91</v>
      </c>
      <c r="G774" s="2142">
        <v>789309</v>
      </c>
      <c r="H774" s="3557">
        <v>42987</v>
      </c>
      <c r="I774" s="2142">
        <v>789309</v>
      </c>
    </row>
    <row r="775" spans="1:9" s="2139" customFormat="1" hidden="1">
      <c r="A775" s="2140" t="s">
        <v>5835</v>
      </c>
      <c r="B775" s="3560" t="s">
        <v>3057</v>
      </c>
      <c r="C775" s="2141" t="s">
        <v>3161</v>
      </c>
      <c r="D775" s="3396">
        <v>159</v>
      </c>
      <c r="E775" s="2142">
        <v>45.97</v>
      </c>
      <c r="F775" s="2142">
        <v>18982.91</v>
      </c>
      <c r="G775" s="2142">
        <v>872644</v>
      </c>
      <c r="H775" s="3557">
        <v>42987</v>
      </c>
      <c r="I775" s="2142">
        <v>872644</v>
      </c>
    </row>
    <row r="776" spans="1:9" s="2139" customFormat="1" hidden="1">
      <c r="A776" s="2140" t="s">
        <v>5839</v>
      </c>
      <c r="B776" s="3560" t="s">
        <v>3057</v>
      </c>
      <c r="C776" s="2141" t="s">
        <v>3161</v>
      </c>
      <c r="D776" s="3396">
        <v>163</v>
      </c>
      <c r="E776" s="2142">
        <v>39.28</v>
      </c>
      <c r="F776" s="2142">
        <v>20085</v>
      </c>
      <c r="G776" s="2142">
        <v>788939</v>
      </c>
      <c r="H776" s="3557">
        <v>42987</v>
      </c>
      <c r="I776" s="2142">
        <v>788939</v>
      </c>
    </row>
    <row r="777" spans="1:9" s="2139" customFormat="1" hidden="1">
      <c r="A777" s="2140" t="s">
        <v>5225</v>
      </c>
      <c r="B777" s="3560" t="s">
        <v>3056</v>
      </c>
      <c r="C777" s="2141" t="s">
        <v>3161</v>
      </c>
      <c r="D777" s="3396">
        <v>202</v>
      </c>
      <c r="E777" s="2142">
        <v>47.96</v>
      </c>
      <c r="F777" s="2142">
        <v>20600</v>
      </c>
      <c r="G777" s="2142">
        <v>987976</v>
      </c>
      <c r="H777" s="3557">
        <v>42986</v>
      </c>
      <c r="I777" s="2142">
        <v>987976</v>
      </c>
    </row>
    <row r="778" spans="1:9" s="2139" customFormat="1" hidden="1">
      <c r="A778" s="2140" t="s">
        <v>5233</v>
      </c>
      <c r="B778" s="3560" t="s">
        <v>3056</v>
      </c>
      <c r="C778" s="2141" t="s">
        <v>3161</v>
      </c>
      <c r="D778" s="3396">
        <v>212</v>
      </c>
      <c r="E778" s="2142">
        <v>47.97</v>
      </c>
      <c r="F778" s="2142">
        <v>20085</v>
      </c>
      <c r="G778" s="2142">
        <v>963477</v>
      </c>
      <c r="H778" s="3557">
        <v>42986</v>
      </c>
      <c r="I778" s="2142">
        <v>963477</v>
      </c>
    </row>
    <row r="779" spans="1:9" s="2139" customFormat="1" hidden="1">
      <c r="A779" s="2140" t="s">
        <v>5234</v>
      </c>
      <c r="B779" s="3560" t="s">
        <v>3056</v>
      </c>
      <c r="C779" s="2141" t="s">
        <v>3161</v>
      </c>
      <c r="D779" s="3396">
        <v>213</v>
      </c>
      <c r="E779" s="2142">
        <v>47.97</v>
      </c>
      <c r="F779" s="2142">
        <v>20085</v>
      </c>
      <c r="G779" s="2142">
        <v>963477</v>
      </c>
      <c r="H779" s="3557">
        <v>42986</v>
      </c>
      <c r="I779" s="2142">
        <v>963477</v>
      </c>
    </row>
    <row r="780" spans="1:9" s="2139" customFormat="1" hidden="1">
      <c r="A780" s="2140" t="s">
        <v>5235</v>
      </c>
      <c r="B780" s="3560" t="s">
        <v>3056</v>
      </c>
      <c r="C780" s="2141" t="s">
        <v>3161</v>
      </c>
      <c r="D780" s="3396">
        <v>215</v>
      </c>
      <c r="E780" s="2142">
        <v>47.97</v>
      </c>
      <c r="F780" s="2142">
        <v>20085.009999999998</v>
      </c>
      <c r="G780" s="2142">
        <v>963478</v>
      </c>
      <c r="H780" s="3557">
        <v>42986</v>
      </c>
      <c r="I780" s="2142">
        <v>963478</v>
      </c>
    </row>
    <row r="781" spans="1:9" s="2139" customFormat="1" hidden="1">
      <c r="A781" s="2140" t="s">
        <v>5236</v>
      </c>
      <c r="B781" s="3560" t="s">
        <v>3056</v>
      </c>
      <c r="C781" s="2141" t="s">
        <v>3161</v>
      </c>
      <c r="D781" s="3396">
        <v>216</v>
      </c>
      <c r="E781" s="2142">
        <v>47.97</v>
      </c>
      <c r="F781" s="2142">
        <v>20085.009999999998</v>
      </c>
      <c r="G781" s="2142">
        <v>963478</v>
      </c>
      <c r="H781" s="3557">
        <v>42986</v>
      </c>
      <c r="I781" s="2142">
        <v>963478</v>
      </c>
    </row>
    <row r="782" spans="1:9" s="2139" customFormat="1" hidden="1">
      <c r="A782" s="2140" t="s">
        <v>5745</v>
      </c>
      <c r="B782" s="3560" t="s">
        <v>3057</v>
      </c>
      <c r="C782" s="2141" t="s">
        <v>3161</v>
      </c>
      <c r="D782" s="3396">
        <v>16</v>
      </c>
      <c r="E782" s="2142">
        <v>42.27</v>
      </c>
      <c r="F782" s="2142">
        <v>19570</v>
      </c>
      <c r="G782" s="2142">
        <v>827224</v>
      </c>
      <c r="H782" s="3557">
        <v>42986</v>
      </c>
      <c r="I782" s="2142">
        <v>827224</v>
      </c>
    </row>
    <row r="783" spans="1:9" s="2139" customFormat="1" hidden="1">
      <c r="A783" s="2140" t="s">
        <v>5828</v>
      </c>
      <c r="B783" s="3560" t="s">
        <v>3057</v>
      </c>
      <c r="C783" s="2141" t="s">
        <v>3161</v>
      </c>
      <c r="D783" s="3396">
        <v>148</v>
      </c>
      <c r="E783" s="2142">
        <v>17.88</v>
      </c>
      <c r="F783" s="2142">
        <v>19482.400000000001</v>
      </c>
      <c r="G783" s="2142">
        <v>348345</v>
      </c>
      <c r="H783" s="3557">
        <v>42986</v>
      </c>
      <c r="I783" s="2142">
        <v>348345</v>
      </c>
    </row>
    <row r="784" spans="1:9" s="2139" customFormat="1" hidden="1">
      <c r="A784" s="2140" t="s">
        <v>5862</v>
      </c>
      <c r="B784" s="3560" t="s">
        <v>3057</v>
      </c>
      <c r="C784" s="2141" t="s">
        <v>3161</v>
      </c>
      <c r="D784" s="3396">
        <v>193</v>
      </c>
      <c r="E784" s="2142">
        <v>87.7</v>
      </c>
      <c r="F784" s="2142">
        <v>19055</v>
      </c>
      <c r="G784" s="2142">
        <v>1671124</v>
      </c>
      <c r="H784" s="3557">
        <v>42986</v>
      </c>
      <c r="I784" s="2142">
        <v>1671124</v>
      </c>
    </row>
    <row r="785" spans="1:9" s="2139" customFormat="1" hidden="1">
      <c r="A785" s="2140" t="s">
        <v>3810</v>
      </c>
      <c r="B785" s="3560" t="s">
        <v>3054</v>
      </c>
      <c r="C785" s="2141" t="s">
        <v>3161</v>
      </c>
      <c r="D785" s="3396">
        <v>11</v>
      </c>
      <c r="E785" s="2142">
        <v>45.46</v>
      </c>
      <c r="F785" s="2142">
        <v>17072</v>
      </c>
      <c r="G785" s="2142">
        <v>776093</v>
      </c>
      <c r="H785" s="3557">
        <v>42985</v>
      </c>
      <c r="I785" s="2142">
        <v>776093</v>
      </c>
    </row>
    <row r="786" spans="1:9" s="2139" customFormat="1" hidden="1">
      <c r="A786" s="2140" t="s">
        <v>3811</v>
      </c>
      <c r="B786" s="3560" t="s">
        <v>3054</v>
      </c>
      <c r="C786" s="2141" t="s">
        <v>3161</v>
      </c>
      <c r="D786" s="3396">
        <v>12</v>
      </c>
      <c r="E786" s="2142">
        <v>46.08</v>
      </c>
      <c r="F786" s="2142">
        <v>17072</v>
      </c>
      <c r="G786" s="2142">
        <v>786678</v>
      </c>
      <c r="H786" s="3557">
        <v>42985</v>
      </c>
      <c r="I786" s="2142">
        <v>786678</v>
      </c>
    </row>
    <row r="787" spans="1:9" s="2139" customFormat="1" hidden="1">
      <c r="A787" s="2140" t="s">
        <v>3815</v>
      </c>
      <c r="B787" s="3560" t="s">
        <v>3054</v>
      </c>
      <c r="C787" s="2141" t="s">
        <v>3161</v>
      </c>
      <c r="D787" s="3396">
        <v>17</v>
      </c>
      <c r="E787" s="2142">
        <v>46.09</v>
      </c>
      <c r="F787" s="2142">
        <v>17072</v>
      </c>
      <c r="G787" s="2142">
        <v>786848</v>
      </c>
      <c r="H787" s="3557">
        <v>42985</v>
      </c>
      <c r="I787" s="2142">
        <v>786848</v>
      </c>
    </row>
    <row r="788" spans="1:9" s="2139" customFormat="1" hidden="1">
      <c r="A788" s="2140" t="s">
        <v>3960</v>
      </c>
      <c r="B788" s="3560" t="s">
        <v>3054</v>
      </c>
      <c r="C788" s="2141" t="s">
        <v>3161</v>
      </c>
      <c r="D788" s="3396">
        <v>237</v>
      </c>
      <c r="E788" s="2142">
        <v>43.39</v>
      </c>
      <c r="F788" s="2142">
        <v>21296</v>
      </c>
      <c r="G788" s="2142">
        <v>924033</v>
      </c>
      <c r="H788" s="3557">
        <v>42985</v>
      </c>
      <c r="I788" s="2142">
        <v>924033</v>
      </c>
    </row>
    <row r="789" spans="1:9" s="2139" customFormat="1" hidden="1">
      <c r="A789" s="2140" t="s">
        <v>4510</v>
      </c>
      <c r="B789" s="3560" t="s">
        <v>3055</v>
      </c>
      <c r="C789" s="2141" t="s">
        <v>3161</v>
      </c>
      <c r="D789" s="3396">
        <v>111</v>
      </c>
      <c r="E789" s="2142">
        <v>68.239999999999995</v>
      </c>
      <c r="F789" s="2142">
        <v>21174.13110426749</v>
      </c>
      <c r="G789" s="2142">
        <v>1444923</v>
      </c>
      <c r="H789" s="3557">
        <v>42978</v>
      </c>
      <c r="I789" s="2142">
        <v>1444923</v>
      </c>
    </row>
    <row r="790" spans="1:9" s="2139" customFormat="1" hidden="1">
      <c r="A790" s="2140" t="s">
        <v>5156</v>
      </c>
      <c r="B790" s="3560" t="s">
        <v>3056</v>
      </c>
      <c r="C790" s="2141" t="s">
        <v>3161</v>
      </c>
      <c r="D790" s="3396">
        <v>109</v>
      </c>
      <c r="E790" s="2142">
        <v>68.459999999999994</v>
      </c>
      <c r="F790" s="2142">
        <v>27604</v>
      </c>
      <c r="G790" s="2142">
        <v>1889770</v>
      </c>
      <c r="H790" s="3557">
        <v>42985</v>
      </c>
      <c r="I790" s="2142">
        <v>1889770</v>
      </c>
    </row>
    <row r="791" spans="1:9" s="2139" customFormat="1" hidden="1">
      <c r="A791" s="2140" t="s">
        <v>5810</v>
      </c>
      <c r="B791" s="3560" t="s">
        <v>3057</v>
      </c>
      <c r="C791" s="2141" t="s">
        <v>3161</v>
      </c>
      <c r="D791" s="3396">
        <v>125</v>
      </c>
      <c r="E791" s="2142">
        <v>63.55</v>
      </c>
      <c r="F791" s="2142">
        <v>21115.01</v>
      </c>
      <c r="G791" s="2142">
        <v>1341858</v>
      </c>
      <c r="H791" s="3557">
        <v>42985</v>
      </c>
      <c r="I791" s="2142">
        <v>1341858</v>
      </c>
    </row>
    <row r="792" spans="1:9" s="2139" customFormat="1" hidden="1">
      <c r="A792" s="2140" t="s">
        <v>5811</v>
      </c>
      <c r="B792" s="3560" t="s">
        <v>3057</v>
      </c>
      <c r="C792" s="2141" t="s">
        <v>3161</v>
      </c>
      <c r="D792" s="3396">
        <v>126</v>
      </c>
      <c r="E792" s="2142">
        <v>46.14</v>
      </c>
      <c r="F792" s="2142">
        <v>19570</v>
      </c>
      <c r="G792" s="2142">
        <v>902960</v>
      </c>
      <c r="H792" s="3557">
        <v>42985</v>
      </c>
      <c r="I792" s="2142">
        <v>902960</v>
      </c>
    </row>
    <row r="793" spans="1:9" s="2139" customFormat="1" hidden="1">
      <c r="A793" s="2140" t="s">
        <v>5812</v>
      </c>
      <c r="B793" s="3560" t="s">
        <v>3057</v>
      </c>
      <c r="C793" s="2141" t="s">
        <v>3161</v>
      </c>
      <c r="D793" s="3396">
        <v>127</v>
      </c>
      <c r="E793" s="2142">
        <v>46.14</v>
      </c>
      <c r="F793" s="2142">
        <v>18982.89</v>
      </c>
      <c r="G793" s="2142">
        <v>875871</v>
      </c>
      <c r="H793" s="3557">
        <v>42985</v>
      </c>
      <c r="I793" s="2142">
        <v>875871</v>
      </c>
    </row>
    <row r="794" spans="1:9" s="2139" customFormat="1" hidden="1">
      <c r="A794" s="2140" t="s">
        <v>3845</v>
      </c>
      <c r="B794" s="3560" t="s">
        <v>3054</v>
      </c>
      <c r="C794" s="2141" t="s">
        <v>3161</v>
      </c>
      <c r="D794" s="3396">
        <v>58</v>
      </c>
      <c r="E794" s="2142">
        <v>27.68</v>
      </c>
      <c r="F794" s="2142">
        <v>17072</v>
      </c>
      <c r="G794" s="2142">
        <v>472553</v>
      </c>
      <c r="H794" s="3557">
        <v>42984</v>
      </c>
      <c r="I794" s="2142">
        <v>472553</v>
      </c>
    </row>
    <row r="795" spans="1:9" s="2139" customFormat="1" hidden="1">
      <c r="A795" s="2140" t="s">
        <v>3859</v>
      </c>
      <c r="B795" s="3560" t="s">
        <v>3054</v>
      </c>
      <c r="C795" s="2141" t="s">
        <v>3161</v>
      </c>
      <c r="D795" s="3396">
        <v>76</v>
      </c>
      <c r="E795" s="2142">
        <v>40.85</v>
      </c>
      <c r="F795" s="2142">
        <v>17266</v>
      </c>
      <c r="G795" s="2142">
        <v>705316</v>
      </c>
      <c r="H795" s="3557">
        <v>42984</v>
      </c>
      <c r="I795" s="2142">
        <v>705316</v>
      </c>
    </row>
    <row r="796" spans="1:9" s="2139" customFormat="1" hidden="1">
      <c r="A796" s="2140" t="s">
        <v>5186</v>
      </c>
      <c r="B796" s="3560" t="s">
        <v>3056</v>
      </c>
      <c r="C796" s="2141" t="s">
        <v>3161</v>
      </c>
      <c r="D796" s="3396">
        <v>152</v>
      </c>
      <c r="E796" s="2142">
        <v>94.61</v>
      </c>
      <c r="F796" s="2142">
        <v>28119.00433357996</v>
      </c>
      <c r="G796" s="2142">
        <v>2660339</v>
      </c>
      <c r="H796" s="3557">
        <v>42984</v>
      </c>
      <c r="I796" s="2142">
        <v>2660339</v>
      </c>
    </row>
    <row r="797" spans="1:9" s="2139" customFormat="1" hidden="1">
      <c r="A797" s="2140" t="s">
        <v>3816</v>
      </c>
      <c r="B797" s="3560" t="s">
        <v>3054</v>
      </c>
      <c r="C797" s="2141" t="s">
        <v>3161</v>
      </c>
      <c r="D797" s="3396">
        <v>18</v>
      </c>
      <c r="E797" s="2142">
        <v>46.09</v>
      </c>
      <c r="F797" s="2142">
        <v>17072</v>
      </c>
      <c r="G797" s="2142">
        <v>786848</v>
      </c>
      <c r="H797" s="3557">
        <v>42980</v>
      </c>
      <c r="I797" s="2142">
        <v>786848</v>
      </c>
    </row>
    <row r="798" spans="1:9" s="2139" customFormat="1" hidden="1">
      <c r="A798" s="2140" t="s">
        <v>5797</v>
      </c>
      <c r="B798" s="3560" t="s">
        <v>3057</v>
      </c>
      <c r="C798" s="2141" t="s">
        <v>3161</v>
      </c>
      <c r="D798" s="3396">
        <v>110</v>
      </c>
      <c r="E798" s="2142">
        <v>120.34</v>
      </c>
      <c r="F798" s="2142">
        <v>28119</v>
      </c>
      <c r="G798" s="2142">
        <v>3383840</v>
      </c>
      <c r="H798" s="3557">
        <v>42980</v>
      </c>
      <c r="I798" s="2142">
        <v>3383840</v>
      </c>
    </row>
    <row r="799" spans="1:9" s="2139" customFormat="1" hidden="1">
      <c r="A799" s="2140" t="s">
        <v>5851</v>
      </c>
      <c r="B799" s="3560" t="s">
        <v>3057</v>
      </c>
      <c r="C799" s="2141" t="s">
        <v>3161</v>
      </c>
      <c r="D799" s="3396">
        <v>179</v>
      </c>
      <c r="E799" s="2142">
        <v>27.77</v>
      </c>
      <c r="F799" s="2142">
        <v>18540</v>
      </c>
      <c r="G799" s="2142">
        <v>514856</v>
      </c>
      <c r="H799" s="3557">
        <v>42980</v>
      </c>
      <c r="I799" s="2142">
        <v>514856</v>
      </c>
    </row>
    <row r="800" spans="1:9" s="2139" customFormat="1" hidden="1">
      <c r="A800" s="2140" t="s">
        <v>5852</v>
      </c>
      <c r="B800" s="3560" t="s">
        <v>3057</v>
      </c>
      <c r="C800" s="2141" t="s">
        <v>3161</v>
      </c>
      <c r="D800" s="3396">
        <v>180</v>
      </c>
      <c r="E800" s="2142">
        <v>27</v>
      </c>
      <c r="F800" s="2142">
        <v>18540</v>
      </c>
      <c r="G800" s="2142">
        <v>500580</v>
      </c>
      <c r="H800" s="3557">
        <v>42980</v>
      </c>
      <c r="I800" s="2142">
        <v>500580</v>
      </c>
    </row>
    <row r="801" spans="1:9" s="2139" customFormat="1" hidden="1">
      <c r="A801" s="2140" t="s">
        <v>5123</v>
      </c>
      <c r="B801" s="3560" t="s">
        <v>3056</v>
      </c>
      <c r="C801" s="2141" t="s">
        <v>3161</v>
      </c>
      <c r="D801" s="3396">
        <v>60</v>
      </c>
      <c r="E801" s="2142">
        <v>38.840000000000003</v>
      </c>
      <c r="F801" s="2142">
        <v>16285.31</v>
      </c>
      <c r="G801" s="2142">
        <v>632521</v>
      </c>
      <c r="H801" s="3557">
        <v>42979</v>
      </c>
      <c r="I801" s="2142">
        <v>632521</v>
      </c>
    </row>
    <row r="802" spans="1:9" s="2139" customFormat="1" hidden="1">
      <c r="A802" s="2140" t="s">
        <v>5150</v>
      </c>
      <c r="B802" s="3560" t="s">
        <v>3056</v>
      </c>
      <c r="C802" s="2141" t="s">
        <v>3161</v>
      </c>
      <c r="D802" s="3396">
        <v>102</v>
      </c>
      <c r="E802" s="2142">
        <v>116.41</v>
      </c>
      <c r="F802" s="2142">
        <v>28119</v>
      </c>
      <c r="G802" s="2142">
        <v>3273333</v>
      </c>
      <c r="H802" s="3557">
        <v>42979</v>
      </c>
      <c r="I802" s="2142">
        <v>3273333</v>
      </c>
    </row>
    <row r="803" spans="1:9" s="2139" customFormat="1" hidden="1">
      <c r="A803" s="2140" t="s">
        <v>5256</v>
      </c>
      <c r="B803" s="3560" t="s">
        <v>3056</v>
      </c>
      <c r="C803" s="2141" t="s">
        <v>3161</v>
      </c>
      <c r="D803" s="3396">
        <v>239</v>
      </c>
      <c r="E803" s="2142">
        <v>47.97</v>
      </c>
      <c r="F803" s="2142">
        <v>20600</v>
      </c>
      <c r="G803" s="2142">
        <v>988182</v>
      </c>
      <c r="H803" s="3557">
        <v>42979</v>
      </c>
      <c r="I803" s="2142">
        <v>988182</v>
      </c>
    </row>
    <row r="804" spans="1:9" s="2139" customFormat="1" hidden="1">
      <c r="A804" s="2140" t="s">
        <v>5814</v>
      </c>
      <c r="B804" s="3560" t="s">
        <v>3057</v>
      </c>
      <c r="C804" s="2141" t="s">
        <v>3161</v>
      </c>
      <c r="D804" s="3396">
        <v>129</v>
      </c>
      <c r="E804" s="2142">
        <v>44.4</v>
      </c>
      <c r="F804" s="2142">
        <v>19570</v>
      </c>
      <c r="G804" s="2142">
        <v>868908</v>
      </c>
      <c r="H804" s="3557">
        <v>42979</v>
      </c>
      <c r="I804" s="2142">
        <v>868908</v>
      </c>
    </row>
    <row r="805" spans="1:9" s="2139" customFormat="1" hidden="1">
      <c r="A805" s="2140" t="s">
        <v>5820</v>
      </c>
      <c r="B805" s="3560" t="s">
        <v>3057</v>
      </c>
      <c r="C805" s="2141" t="s">
        <v>3161</v>
      </c>
      <c r="D805" s="3396">
        <v>138</v>
      </c>
      <c r="E805" s="2142">
        <v>39.6</v>
      </c>
      <c r="F805" s="2142">
        <v>24205</v>
      </c>
      <c r="G805" s="2142">
        <v>958518</v>
      </c>
      <c r="H805" s="3557">
        <v>42979</v>
      </c>
      <c r="I805" s="2142">
        <v>958518</v>
      </c>
    </row>
    <row r="806" spans="1:9" s="2139" customFormat="1" hidden="1">
      <c r="A806" s="2140" t="s">
        <v>3812</v>
      </c>
      <c r="B806" s="3560" t="s">
        <v>3054</v>
      </c>
      <c r="C806" s="2141" t="s">
        <v>3161</v>
      </c>
      <c r="D806" s="3396">
        <v>13</v>
      </c>
      <c r="E806" s="2142">
        <v>46.09</v>
      </c>
      <c r="F806" s="2142">
        <v>17071.998256700805</v>
      </c>
      <c r="G806" s="2142">
        <v>786848</v>
      </c>
      <c r="H806" s="3557">
        <v>42978</v>
      </c>
      <c r="I806" s="2142">
        <v>786848</v>
      </c>
    </row>
    <row r="807" spans="1:9" s="2139" customFormat="1" hidden="1">
      <c r="A807" s="2140" t="s">
        <v>3813</v>
      </c>
      <c r="B807" s="3560" t="s">
        <v>3054</v>
      </c>
      <c r="C807" s="2141" t="s">
        <v>3161</v>
      </c>
      <c r="D807" s="3396">
        <v>15</v>
      </c>
      <c r="E807" s="2142">
        <v>46.7</v>
      </c>
      <c r="F807" s="2142">
        <v>17072.005988023953</v>
      </c>
      <c r="G807" s="2142">
        <v>797262</v>
      </c>
      <c r="H807" s="3557">
        <v>42978</v>
      </c>
      <c r="I807" s="2142">
        <v>797262</v>
      </c>
    </row>
    <row r="808" spans="1:9" s="2139" customFormat="1" hidden="1">
      <c r="A808" s="2140" t="s">
        <v>3814</v>
      </c>
      <c r="B808" s="3560" t="s">
        <v>3054</v>
      </c>
      <c r="C808" s="2141" t="s">
        <v>3161</v>
      </c>
      <c r="D808" s="3396">
        <v>16</v>
      </c>
      <c r="E808" s="2142">
        <v>45.46</v>
      </c>
      <c r="F808" s="2142">
        <v>17071.998237497246</v>
      </c>
      <c r="G808" s="2142">
        <v>776093</v>
      </c>
      <c r="H808" s="3557">
        <v>42978</v>
      </c>
      <c r="I808" s="2142">
        <v>776093</v>
      </c>
    </row>
    <row r="809" spans="1:9" s="2139" customFormat="1" hidden="1">
      <c r="A809" s="2140" t="s">
        <v>4434</v>
      </c>
      <c r="B809" s="3560" t="s">
        <v>3055</v>
      </c>
      <c r="C809" s="2141" t="s">
        <v>3161</v>
      </c>
      <c r="D809" s="3396">
        <v>1</v>
      </c>
      <c r="E809" s="2142">
        <v>36.799999999999997</v>
      </c>
      <c r="F809" s="2142">
        <v>20737.554349999999</v>
      </c>
      <c r="G809" s="2142">
        <v>763142.00007999991</v>
      </c>
      <c r="H809" s="3557">
        <v>42880</v>
      </c>
      <c r="I809" s="2142">
        <v>383142</v>
      </c>
    </row>
    <row r="810" spans="1:9" s="2139" customFormat="1" hidden="1">
      <c r="A810" s="2140" t="s">
        <v>4579</v>
      </c>
      <c r="B810" s="3560" t="s">
        <v>3055</v>
      </c>
      <c r="C810" s="2141" t="s">
        <v>3161</v>
      </c>
      <c r="D810" s="3396">
        <v>209</v>
      </c>
      <c r="E810" s="2142">
        <v>67.459999999999994</v>
      </c>
      <c r="F810" s="2142">
        <v>20737.548180000002</v>
      </c>
      <c r="G810" s="2142">
        <v>1398955.0002228001</v>
      </c>
      <c r="H810" s="3557">
        <v>42933</v>
      </c>
      <c r="I810" s="2142">
        <v>1398955</v>
      </c>
    </row>
    <row r="811" spans="1:9" s="2139" customFormat="1" hidden="1">
      <c r="A811" s="2140" t="s">
        <v>4578</v>
      </c>
      <c r="B811" s="3560" t="s">
        <v>3055</v>
      </c>
      <c r="C811" s="2141" t="s">
        <v>3161</v>
      </c>
      <c r="D811" s="3396">
        <v>208</v>
      </c>
      <c r="E811" s="2142">
        <v>67.459999999999994</v>
      </c>
      <c r="F811" s="2142">
        <v>20737.548177000001</v>
      </c>
      <c r="G811" s="2142">
        <v>1398955.0000204199</v>
      </c>
      <c r="H811" s="3557">
        <v>42933</v>
      </c>
      <c r="I811" s="2142">
        <v>1398955</v>
      </c>
    </row>
    <row r="812" spans="1:9" s="2139" customFormat="1" hidden="1">
      <c r="A812" s="2140" t="s">
        <v>5774</v>
      </c>
      <c r="B812" s="3560" t="s">
        <v>3057</v>
      </c>
      <c r="C812" s="2141" t="s">
        <v>3161</v>
      </c>
      <c r="D812" s="3396">
        <v>76</v>
      </c>
      <c r="E812" s="2142">
        <v>31.45</v>
      </c>
      <c r="F812" s="2142">
        <v>21980.193861066236</v>
      </c>
      <c r="G812" s="2142">
        <v>691278</v>
      </c>
      <c r="H812" s="3557">
        <v>42978</v>
      </c>
      <c r="I812" s="2142">
        <v>691278</v>
      </c>
    </row>
    <row r="813" spans="1:9" s="2139" customFormat="1" hidden="1">
      <c r="A813" s="2140" t="s">
        <v>5211</v>
      </c>
      <c r="B813" s="3560" t="s">
        <v>3056</v>
      </c>
      <c r="C813" s="2141" t="s">
        <v>3161</v>
      </c>
      <c r="D813" s="3396">
        <v>186</v>
      </c>
      <c r="E813" s="2142">
        <v>85.9</v>
      </c>
      <c r="F813" s="2142">
        <v>26058.997429305913</v>
      </c>
      <c r="G813" s="2142">
        <v>2238468</v>
      </c>
      <c r="H813" s="3557">
        <v>42971</v>
      </c>
      <c r="I813" s="2142">
        <v>1120129</v>
      </c>
    </row>
    <row r="814" spans="1:9" s="2139" customFormat="1" hidden="1">
      <c r="A814" s="2140" t="s">
        <v>4448</v>
      </c>
      <c r="B814" s="3560" t="s">
        <v>3055</v>
      </c>
      <c r="C814" s="2141" t="s">
        <v>3161</v>
      </c>
      <c r="D814" s="3396">
        <v>18</v>
      </c>
      <c r="E814" s="2142">
        <v>38.950000000000003</v>
      </c>
      <c r="F814" s="2142">
        <v>20661.001284000002</v>
      </c>
      <c r="G814" s="2142">
        <v>804746.00001180009</v>
      </c>
      <c r="H814" s="3557">
        <v>42942</v>
      </c>
      <c r="I814" s="2142">
        <v>404746</v>
      </c>
    </row>
    <row r="815" spans="1:9" s="2139" customFormat="1" hidden="1">
      <c r="A815" s="2140" t="s">
        <v>3978</v>
      </c>
      <c r="B815" s="3560" t="s">
        <v>3054</v>
      </c>
      <c r="C815" s="2141" t="s">
        <v>3168</v>
      </c>
      <c r="D815" s="3396">
        <v>47</v>
      </c>
      <c r="E815" s="2142">
        <v>48.03</v>
      </c>
      <c r="F815" s="2142">
        <v>13386</v>
      </c>
      <c r="G815" s="2142">
        <v>642930</v>
      </c>
      <c r="H815" s="3557">
        <v>43006</v>
      </c>
      <c r="I815" s="2142">
        <v>642930</v>
      </c>
    </row>
    <row r="816" spans="1:9" s="2139" customFormat="1" hidden="1">
      <c r="A816" s="2140" t="s">
        <v>4718</v>
      </c>
      <c r="B816" s="3560" t="s">
        <v>3055</v>
      </c>
      <c r="C816" s="2141" t="s">
        <v>3168</v>
      </c>
      <c r="D816" s="3396">
        <v>202</v>
      </c>
      <c r="E816" s="2142">
        <v>67.2</v>
      </c>
      <c r="F816" s="2142">
        <v>21900</v>
      </c>
      <c r="G816" s="2142">
        <v>1471680</v>
      </c>
      <c r="H816" s="3557">
        <v>42979</v>
      </c>
      <c r="I816" s="2142">
        <v>1471680</v>
      </c>
    </row>
    <row r="817" spans="1:9" s="2139" customFormat="1" hidden="1">
      <c r="A817" s="2140" t="s">
        <v>4728</v>
      </c>
      <c r="B817" s="3560" t="s">
        <v>3055</v>
      </c>
      <c r="C817" s="2141" t="s">
        <v>3168</v>
      </c>
      <c r="D817" s="3396">
        <v>213</v>
      </c>
      <c r="E817" s="2142">
        <v>36.86</v>
      </c>
      <c r="F817" s="2142">
        <v>20726.91</v>
      </c>
      <c r="G817" s="2142">
        <v>763994</v>
      </c>
      <c r="H817" s="3557">
        <v>42986</v>
      </c>
      <c r="I817" s="2142">
        <v>763994</v>
      </c>
    </row>
    <row r="818" spans="1:9" s="2139" customFormat="1" hidden="1">
      <c r="A818" s="2140" t="s">
        <v>4717</v>
      </c>
      <c r="B818" s="3560" t="s">
        <v>3055</v>
      </c>
      <c r="C818" s="2141" t="s">
        <v>3168</v>
      </c>
      <c r="D818" s="3396">
        <v>201</v>
      </c>
      <c r="E818" s="2142">
        <v>72</v>
      </c>
      <c r="F818" s="2142">
        <v>20058.3</v>
      </c>
      <c r="G818" s="2142">
        <v>1444198</v>
      </c>
      <c r="H818" s="3557">
        <v>42986</v>
      </c>
      <c r="I818" s="2142">
        <v>1444198</v>
      </c>
    </row>
    <row r="819" spans="1:9" s="2139" customFormat="1" hidden="1">
      <c r="A819" s="2140" t="s">
        <v>4720</v>
      </c>
      <c r="B819" s="3560" t="s">
        <v>3055</v>
      </c>
      <c r="C819" s="2141" t="s">
        <v>3168</v>
      </c>
      <c r="D819" s="3396">
        <v>205</v>
      </c>
      <c r="E819" s="2142">
        <v>68</v>
      </c>
      <c r="F819" s="2142">
        <v>18236</v>
      </c>
      <c r="G819" s="2142">
        <v>1240048</v>
      </c>
      <c r="H819" s="3557">
        <v>43003</v>
      </c>
      <c r="I819" s="2142">
        <v>1240048</v>
      </c>
    </row>
    <row r="820" spans="1:9" s="2139" customFormat="1" hidden="1">
      <c r="A820" s="2140" t="s">
        <v>4697</v>
      </c>
      <c r="B820" s="3560" t="s">
        <v>3055</v>
      </c>
      <c r="C820" s="2141" t="s">
        <v>3168</v>
      </c>
      <c r="D820" s="3396">
        <v>171</v>
      </c>
      <c r="E820" s="2142">
        <v>84.75</v>
      </c>
      <c r="F820" s="2142">
        <v>17020</v>
      </c>
      <c r="G820" s="2142">
        <v>1442445</v>
      </c>
      <c r="H820" s="3557">
        <v>42915</v>
      </c>
      <c r="I820" s="2142">
        <v>722445</v>
      </c>
    </row>
    <row r="821" spans="1:9" s="2139" customFormat="1" hidden="1">
      <c r="A821" s="2140" t="s">
        <v>4741</v>
      </c>
      <c r="B821" s="3560" t="s">
        <v>3055</v>
      </c>
      <c r="C821" s="2141" t="s">
        <v>3168</v>
      </c>
      <c r="D821" s="3396">
        <v>235</v>
      </c>
      <c r="E821" s="2142">
        <v>38.770000000000003</v>
      </c>
      <c r="F821" s="2142">
        <v>16537</v>
      </c>
      <c r="G821" s="2142">
        <v>641139</v>
      </c>
      <c r="H821" s="3557">
        <v>42999</v>
      </c>
      <c r="I821" s="2142">
        <v>641139</v>
      </c>
    </row>
    <row r="822" spans="1:9" s="2139" customFormat="1" hidden="1">
      <c r="A822" s="2140" t="s">
        <v>4039</v>
      </c>
      <c r="B822" s="3560" t="s">
        <v>3054</v>
      </c>
      <c r="C822" s="2141" t="s">
        <v>3168</v>
      </c>
      <c r="D822" s="3396">
        <v>200</v>
      </c>
      <c r="E822" s="2142">
        <v>44.66</v>
      </c>
      <c r="F822" s="2142">
        <v>13800</v>
      </c>
      <c r="G822" s="2142">
        <v>616308</v>
      </c>
      <c r="H822" s="3557">
        <v>42998</v>
      </c>
      <c r="I822" s="2142">
        <v>616308</v>
      </c>
    </row>
    <row r="823" spans="1:9" s="2139" customFormat="1" hidden="1">
      <c r="A823" s="2140" t="s">
        <v>4052</v>
      </c>
      <c r="B823" s="3560" t="s">
        <v>3054</v>
      </c>
      <c r="C823" s="2141" t="s">
        <v>3168</v>
      </c>
      <c r="D823" s="3396">
        <v>226</v>
      </c>
      <c r="E823" s="2142">
        <v>36.15</v>
      </c>
      <c r="F823" s="2142">
        <v>13800</v>
      </c>
      <c r="G823" s="2142">
        <v>498870</v>
      </c>
      <c r="H823" s="3557">
        <v>42998</v>
      </c>
      <c r="I823" s="2142">
        <v>498870</v>
      </c>
    </row>
    <row r="824" spans="1:9" s="2139" customFormat="1" hidden="1">
      <c r="A824" s="2140" t="s">
        <v>4053</v>
      </c>
      <c r="B824" s="3560" t="s">
        <v>3054</v>
      </c>
      <c r="C824" s="2141" t="s">
        <v>3168</v>
      </c>
      <c r="D824" s="3396">
        <v>227</v>
      </c>
      <c r="E824" s="2142">
        <v>37.43</v>
      </c>
      <c r="F824" s="2142">
        <v>13800</v>
      </c>
      <c r="G824" s="2142">
        <v>516534</v>
      </c>
      <c r="H824" s="3557">
        <v>42998</v>
      </c>
      <c r="I824" s="2142">
        <v>516534</v>
      </c>
    </row>
    <row r="825" spans="1:9" s="2139" customFormat="1" hidden="1">
      <c r="A825" s="2140" t="s">
        <v>4054</v>
      </c>
      <c r="B825" s="3560" t="s">
        <v>3054</v>
      </c>
      <c r="C825" s="2141" t="s">
        <v>3168</v>
      </c>
      <c r="D825" s="3396">
        <v>228</v>
      </c>
      <c r="E825" s="2142">
        <v>38.700000000000003</v>
      </c>
      <c r="F825" s="2142">
        <v>13800</v>
      </c>
      <c r="G825" s="2142">
        <v>534060</v>
      </c>
      <c r="H825" s="3557">
        <v>42998</v>
      </c>
      <c r="I825" s="2142">
        <v>534060</v>
      </c>
    </row>
    <row r="826" spans="1:9" s="2139" customFormat="1" hidden="1">
      <c r="A826" s="2140" t="s">
        <v>4055</v>
      </c>
      <c r="B826" s="3560" t="s">
        <v>3054</v>
      </c>
      <c r="C826" s="2141" t="s">
        <v>3168</v>
      </c>
      <c r="D826" s="3396">
        <v>229</v>
      </c>
      <c r="E826" s="2142">
        <v>39.97</v>
      </c>
      <c r="F826" s="2142">
        <v>13800</v>
      </c>
      <c r="G826" s="2142">
        <v>551586</v>
      </c>
      <c r="H826" s="3557">
        <v>42998</v>
      </c>
      <c r="I826" s="2142">
        <v>551586</v>
      </c>
    </row>
    <row r="827" spans="1:9" s="2139" customFormat="1" hidden="1">
      <c r="A827" s="2140" t="s">
        <v>4056</v>
      </c>
      <c r="B827" s="3560" t="s">
        <v>3054</v>
      </c>
      <c r="C827" s="2141" t="s">
        <v>3168</v>
      </c>
      <c r="D827" s="3396">
        <v>230</v>
      </c>
      <c r="E827" s="2142">
        <v>41.83</v>
      </c>
      <c r="F827" s="2142">
        <v>13386.01</v>
      </c>
      <c r="G827" s="2142">
        <v>559936</v>
      </c>
      <c r="H827" s="3557">
        <v>42998</v>
      </c>
      <c r="I827" s="2142">
        <v>559936</v>
      </c>
    </row>
    <row r="828" spans="1:9" s="2139" customFormat="1" hidden="1">
      <c r="A828" s="2140" t="s">
        <v>4057</v>
      </c>
      <c r="B828" s="3560" t="s">
        <v>3054</v>
      </c>
      <c r="C828" s="2141" t="s">
        <v>3168</v>
      </c>
      <c r="D828" s="3396">
        <v>231</v>
      </c>
      <c r="E828" s="2142">
        <v>42.47</v>
      </c>
      <c r="F828" s="2142">
        <v>13386</v>
      </c>
      <c r="G828" s="2142">
        <v>568503</v>
      </c>
      <c r="H828" s="3557">
        <v>42998</v>
      </c>
      <c r="I828" s="2142">
        <v>568503</v>
      </c>
    </row>
    <row r="829" spans="1:9" s="2139" customFormat="1" hidden="1">
      <c r="A829" s="2140" t="s">
        <v>5269</v>
      </c>
      <c r="B829" s="3560" t="s">
        <v>3056</v>
      </c>
      <c r="C829" s="2141" t="s">
        <v>3168</v>
      </c>
      <c r="D829" s="3396">
        <v>15</v>
      </c>
      <c r="E829" s="2142">
        <v>64.61</v>
      </c>
      <c r="F829" s="2142">
        <v>21900</v>
      </c>
      <c r="G829" s="2142">
        <v>1414959</v>
      </c>
      <c r="H829" s="3557">
        <v>42997</v>
      </c>
      <c r="I829" s="2142">
        <v>434959</v>
      </c>
    </row>
    <row r="830" spans="1:9" s="2139" customFormat="1" hidden="1">
      <c r="A830" s="2140" t="s">
        <v>4744</v>
      </c>
      <c r="B830" s="3560" t="s">
        <v>3055</v>
      </c>
      <c r="C830" s="2141" t="s">
        <v>3168</v>
      </c>
      <c r="D830" s="3396">
        <v>240</v>
      </c>
      <c r="E830" s="2142">
        <v>38.85</v>
      </c>
      <c r="F830" s="2142">
        <v>16537</v>
      </c>
      <c r="G830" s="2142">
        <v>642462</v>
      </c>
      <c r="H830" s="3557">
        <v>42992</v>
      </c>
      <c r="I830" s="2142">
        <v>642462</v>
      </c>
    </row>
    <row r="831" spans="1:9" s="2139" customFormat="1" hidden="1">
      <c r="A831" s="2140" t="s">
        <v>4058</v>
      </c>
      <c r="B831" s="3560" t="s">
        <v>3054</v>
      </c>
      <c r="C831" s="2141" t="s">
        <v>3168</v>
      </c>
      <c r="D831" s="3396">
        <v>239</v>
      </c>
      <c r="E831" s="2142">
        <v>42.78</v>
      </c>
      <c r="F831" s="2142">
        <v>13386</v>
      </c>
      <c r="G831" s="2142">
        <v>572653</v>
      </c>
      <c r="H831" s="3557">
        <v>42993</v>
      </c>
      <c r="I831" s="2142">
        <v>572653</v>
      </c>
    </row>
    <row r="832" spans="1:9" s="2139" customFormat="1" hidden="1">
      <c r="A832" s="2140" t="s">
        <v>4742</v>
      </c>
      <c r="B832" s="3560" t="s">
        <v>3055</v>
      </c>
      <c r="C832" s="2141" t="s">
        <v>3168</v>
      </c>
      <c r="D832" s="3396">
        <v>236</v>
      </c>
      <c r="E832" s="2142">
        <v>38.799999999999997</v>
      </c>
      <c r="F832" s="2142">
        <v>16537</v>
      </c>
      <c r="G832" s="2142">
        <v>641636</v>
      </c>
      <c r="H832" s="3557">
        <v>42986</v>
      </c>
      <c r="I832" s="2142">
        <v>641636</v>
      </c>
    </row>
    <row r="833" spans="1:9" s="2139" customFormat="1" hidden="1">
      <c r="A833" s="2140" t="s">
        <v>4648</v>
      </c>
      <c r="B833" s="3560" t="s">
        <v>3055</v>
      </c>
      <c r="C833" s="2141" t="s">
        <v>3168</v>
      </c>
      <c r="D833" s="3396">
        <v>97</v>
      </c>
      <c r="E833" s="2142">
        <v>15.38</v>
      </c>
      <c r="F833" s="2142">
        <v>16537</v>
      </c>
      <c r="G833" s="2142">
        <v>254339</v>
      </c>
      <c r="H833" s="3557">
        <v>42985</v>
      </c>
      <c r="I833" s="2142">
        <v>254339</v>
      </c>
    </row>
    <row r="834" spans="1:9" s="2139" customFormat="1" hidden="1">
      <c r="A834" s="2140" t="s">
        <v>5262</v>
      </c>
      <c r="B834" s="3560" t="s">
        <v>3056</v>
      </c>
      <c r="C834" s="2141" t="s">
        <v>3168</v>
      </c>
      <c r="D834" s="3396">
        <v>7</v>
      </c>
      <c r="E834" s="2142">
        <v>71.23</v>
      </c>
      <c r="F834" s="2142">
        <v>20111.97</v>
      </c>
      <c r="G834" s="2142">
        <v>1432576</v>
      </c>
      <c r="H834" s="3557">
        <v>42992</v>
      </c>
      <c r="I834" s="2142">
        <v>1432576</v>
      </c>
    </row>
    <row r="835" spans="1:9" s="2139" customFormat="1" hidden="1">
      <c r="A835" s="2140" t="s">
        <v>3989</v>
      </c>
      <c r="B835" s="3560" t="s">
        <v>3054</v>
      </c>
      <c r="C835" s="2141" t="s">
        <v>3168</v>
      </c>
      <c r="D835" s="3396">
        <v>59</v>
      </c>
      <c r="E835" s="2142">
        <v>31.32</v>
      </c>
      <c r="F835" s="2142">
        <v>13800</v>
      </c>
      <c r="G835" s="2142">
        <v>432216</v>
      </c>
      <c r="H835" s="3557">
        <v>42991</v>
      </c>
      <c r="I835" s="2142">
        <v>432216</v>
      </c>
    </row>
    <row r="836" spans="1:9" s="2139" customFormat="1" hidden="1">
      <c r="A836" s="2140" t="s">
        <v>4714</v>
      </c>
      <c r="B836" s="3560" t="s">
        <v>3055</v>
      </c>
      <c r="C836" s="2141" t="s">
        <v>3168</v>
      </c>
      <c r="D836" s="3396">
        <v>198</v>
      </c>
      <c r="E836" s="2142">
        <v>7.92</v>
      </c>
      <c r="F836" s="2142">
        <v>16215</v>
      </c>
      <c r="G836" s="2142">
        <v>128423</v>
      </c>
      <c r="H836" s="3557">
        <v>42980</v>
      </c>
      <c r="I836" s="2142">
        <v>128423</v>
      </c>
    </row>
    <row r="837" spans="1:9" s="2139" customFormat="1" hidden="1">
      <c r="A837" s="2140" t="s">
        <v>4736</v>
      </c>
      <c r="B837" s="3560" t="s">
        <v>3055</v>
      </c>
      <c r="C837" s="2141" t="s">
        <v>3168</v>
      </c>
      <c r="D837" s="3396">
        <v>229</v>
      </c>
      <c r="E837" s="2142">
        <v>38.83</v>
      </c>
      <c r="F837" s="2142">
        <v>16169.01</v>
      </c>
      <c r="G837" s="2142">
        <v>627843</v>
      </c>
      <c r="H837" s="3557">
        <v>42988</v>
      </c>
      <c r="I837" s="2142">
        <v>627843</v>
      </c>
    </row>
    <row r="838" spans="1:9" s="2139" customFormat="1" hidden="1">
      <c r="A838" s="2140" t="s">
        <v>4016</v>
      </c>
      <c r="B838" s="3560" t="s">
        <v>3054</v>
      </c>
      <c r="C838" s="2141" t="s">
        <v>3168</v>
      </c>
      <c r="D838" s="3396">
        <v>170</v>
      </c>
      <c r="E838" s="2142">
        <v>80.510000000000005</v>
      </c>
      <c r="F838" s="2142">
        <v>18527</v>
      </c>
      <c r="G838" s="2142">
        <v>1491609</v>
      </c>
      <c r="H838" s="3557">
        <v>42990</v>
      </c>
      <c r="I838" s="2142">
        <v>1491609</v>
      </c>
    </row>
    <row r="839" spans="1:9" s="2139" customFormat="1" hidden="1">
      <c r="A839" s="2140" t="s">
        <v>4035</v>
      </c>
      <c r="B839" s="3560" t="s">
        <v>3054</v>
      </c>
      <c r="C839" s="2141" t="s">
        <v>3168</v>
      </c>
      <c r="D839" s="3396">
        <v>193</v>
      </c>
      <c r="E839" s="2142">
        <v>49.63</v>
      </c>
      <c r="F839" s="2142">
        <v>13386</v>
      </c>
      <c r="G839" s="2142">
        <v>664347</v>
      </c>
      <c r="H839" s="3557">
        <v>42990</v>
      </c>
      <c r="I839" s="2142">
        <v>664347</v>
      </c>
    </row>
    <row r="840" spans="1:9" s="2139" customFormat="1" hidden="1">
      <c r="A840" s="2140" t="s">
        <v>4036</v>
      </c>
      <c r="B840" s="3560" t="s">
        <v>3054</v>
      </c>
      <c r="C840" s="2141" t="s">
        <v>3168</v>
      </c>
      <c r="D840" s="3396">
        <v>195</v>
      </c>
      <c r="E840" s="2142">
        <v>45.11</v>
      </c>
      <c r="F840" s="2142">
        <v>13386</v>
      </c>
      <c r="G840" s="2142">
        <v>603842</v>
      </c>
      <c r="H840" s="3557">
        <v>42990</v>
      </c>
      <c r="I840" s="2142">
        <v>603842</v>
      </c>
    </row>
    <row r="841" spans="1:9" s="2139" customFormat="1" hidden="1">
      <c r="A841" s="2140" t="s">
        <v>4037</v>
      </c>
      <c r="B841" s="3560" t="s">
        <v>3054</v>
      </c>
      <c r="C841" s="2141" t="s">
        <v>3168</v>
      </c>
      <c r="D841" s="3396">
        <v>196</v>
      </c>
      <c r="E841" s="2142">
        <v>41.54</v>
      </c>
      <c r="F841" s="2142">
        <v>13386</v>
      </c>
      <c r="G841" s="2142">
        <v>556054</v>
      </c>
      <c r="H841" s="3557">
        <v>42990</v>
      </c>
      <c r="I841" s="2142">
        <v>556054</v>
      </c>
    </row>
    <row r="842" spans="1:9" s="2139" customFormat="1" hidden="1">
      <c r="A842" s="2140" t="s">
        <v>4038</v>
      </c>
      <c r="B842" s="3560" t="s">
        <v>3054</v>
      </c>
      <c r="C842" s="2141" t="s">
        <v>3168</v>
      </c>
      <c r="D842" s="3396">
        <v>197</v>
      </c>
      <c r="E842" s="2142">
        <v>51.31</v>
      </c>
      <c r="F842" s="2142">
        <v>13677</v>
      </c>
      <c r="G842" s="2142">
        <v>701767</v>
      </c>
      <c r="H842" s="3557">
        <v>42990</v>
      </c>
      <c r="I842" s="2142">
        <v>701767</v>
      </c>
    </row>
    <row r="843" spans="1:9" s="2139" customFormat="1" hidden="1">
      <c r="A843" s="2140" t="s">
        <v>4048</v>
      </c>
      <c r="B843" s="3560" t="s">
        <v>3054</v>
      </c>
      <c r="C843" s="2141" t="s">
        <v>3168</v>
      </c>
      <c r="D843" s="3396">
        <v>219</v>
      </c>
      <c r="E843" s="2142">
        <v>35.93</v>
      </c>
      <c r="F843" s="2142">
        <v>18527</v>
      </c>
      <c r="G843" s="2142">
        <v>665675</v>
      </c>
      <c r="H843" s="3557">
        <v>42990</v>
      </c>
      <c r="I843" s="2142">
        <v>665675</v>
      </c>
    </row>
    <row r="844" spans="1:9" s="2139" customFormat="1" hidden="1">
      <c r="A844" s="2140" t="s">
        <v>4735</v>
      </c>
      <c r="B844" s="3560" t="s">
        <v>3055</v>
      </c>
      <c r="C844" s="2141" t="s">
        <v>3168</v>
      </c>
      <c r="D844" s="3396">
        <v>228</v>
      </c>
      <c r="E844" s="2142">
        <v>38.81</v>
      </c>
      <c r="F844" s="2142">
        <v>16168.98</v>
      </c>
      <c r="G844" s="2142">
        <v>627518</v>
      </c>
      <c r="H844" s="3557">
        <v>43002</v>
      </c>
      <c r="I844" s="2142">
        <v>627518</v>
      </c>
    </row>
    <row r="845" spans="1:9" s="2139" customFormat="1" hidden="1">
      <c r="A845" s="2140" t="s">
        <v>5258</v>
      </c>
      <c r="B845" s="3560" t="s">
        <v>3056</v>
      </c>
      <c r="C845" s="2141" t="s">
        <v>3168</v>
      </c>
      <c r="D845" s="3396">
        <v>2</v>
      </c>
      <c r="E845" s="2142">
        <v>21</v>
      </c>
      <c r="F845" s="2142">
        <v>19931</v>
      </c>
      <c r="G845" s="2142">
        <v>418551</v>
      </c>
      <c r="H845" s="3557">
        <v>42989</v>
      </c>
      <c r="I845" s="2142">
        <v>418551</v>
      </c>
    </row>
    <row r="846" spans="1:9" s="2139" customFormat="1" hidden="1">
      <c r="A846" s="2140" t="s">
        <v>5274</v>
      </c>
      <c r="B846" s="3560" t="s">
        <v>3056</v>
      </c>
      <c r="C846" s="2141" t="s">
        <v>3168</v>
      </c>
      <c r="D846" s="3396">
        <v>22</v>
      </c>
      <c r="E846" s="2142">
        <v>28.71</v>
      </c>
      <c r="F846" s="2142">
        <v>14300</v>
      </c>
      <c r="G846" s="2142">
        <v>410553</v>
      </c>
      <c r="H846" s="3557">
        <v>42989</v>
      </c>
      <c r="I846" s="2142">
        <v>410553</v>
      </c>
    </row>
    <row r="847" spans="1:9" s="2139" customFormat="1" hidden="1">
      <c r="A847" s="2140" t="s">
        <v>4046</v>
      </c>
      <c r="B847" s="3560" t="s">
        <v>3054</v>
      </c>
      <c r="C847" s="2141" t="s">
        <v>3168</v>
      </c>
      <c r="D847" s="3396">
        <v>209</v>
      </c>
      <c r="E847" s="2142">
        <v>50.32</v>
      </c>
      <c r="F847" s="2142">
        <v>18800</v>
      </c>
      <c r="G847" s="2142">
        <v>946016</v>
      </c>
      <c r="H847" s="3557">
        <v>42988</v>
      </c>
      <c r="I847" s="2142">
        <v>946016</v>
      </c>
    </row>
    <row r="848" spans="1:9" s="2139" customFormat="1" hidden="1">
      <c r="A848" s="2140" t="s">
        <v>4734</v>
      </c>
      <c r="B848" s="3560" t="s">
        <v>3055</v>
      </c>
      <c r="C848" s="2141" t="s">
        <v>3168</v>
      </c>
      <c r="D848" s="3396">
        <v>226</v>
      </c>
      <c r="E848" s="2142">
        <v>38.81</v>
      </c>
      <c r="F848" s="2142">
        <v>16040.9</v>
      </c>
      <c r="G848" s="2142">
        <v>622547</v>
      </c>
      <c r="H848" s="3557">
        <v>42999</v>
      </c>
      <c r="I848" s="2142">
        <v>622547</v>
      </c>
    </row>
    <row r="849" spans="1:9" s="2139" customFormat="1" hidden="1">
      <c r="A849" s="2140" t="s">
        <v>4729</v>
      </c>
      <c r="B849" s="3560" t="s">
        <v>3055</v>
      </c>
      <c r="C849" s="2141" t="s">
        <v>3168</v>
      </c>
      <c r="D849" s="3396">
        <v>216</v>
      </c>
      <c r="E849" s="2142">
        <v>36.69</v>
      </c>
      <c r="F849" s="2142">
        <v>16040.9</v>
      </c>
      <c r="G849" s="2142">
        <v>588540</v>
      </c>
      <c r="H849" s="3557">
        <v>42980</v>
      </c>
      <c r="I849" s="2142">
        <v>588540</v>
      </c>
    </row>
    <row r="850" spans="1:9" s="2139" customFormat="1" hidden="1">
      <c r="A850" s="2140" t="s">
        <v>3962</v>
      </c>
      <c r="B850" s="3560" t="s">
        <v>3054</v>
      </c>
      <c r="C850" s="2141" t="s">
        <v>3168</v>
      </c>
      <c r="D850" s="3396">
        <v>12</v>
      </c>
      <c r="E850" s="2142">
        <v>46.09</v>
      </c>
      <c r="F850" s="2142">
        <v>13386</v>
      </c>
      <c r="G850" s="2142">
        <v>616961</v>
      </c>
      <c r="H850" s="3557">
        <v>42987</v>
      </c>
      <c r="I850" s="2142">
        <v>616961</v>
      </c>
    </row>
    <row r="851" spans="1:9" s="2139" customFormat="1" hidden="1">
      <c r="A851" s="2140" t="s">
        <v>5292</v>
      </c>
      <c r="B851" s="3560" t="s">
        <v>3056</v>
      </c>
      <c r="C851" s="2141" t="s">
        <v>3168</v>
      </c>
      <c r="D851" s="3396">
        <v>145</v>
      </c>
      <c r="E851" s="2142">
        <v>49.97</v>
      </c>
      <c r="F851" s="2142">
        <v>14724.59</v>
      </c>
      <c r="G851" s="2142">
        <v>735788</v>
      </c>
      <c r="H851" s="3557">
        <v>42987</v>
      </c>
      <c r="I851" s="2142">
        <v>735788</v>
      </c>
    </row>
    <row r="852" spans="1:9" s="2139" customFormat="1" hidden="1">
      <c r="A852" s="2140" t="s">
        <v>4733</v>
      </c>
      <c r="B852" s="3560" t="s">
        <v>3055</v>
      </c>
      <c r="C852" s="2141" t="s">
        <v>3168</v>
      </c>
      <c r="D852" s="3396">
        <v>225</v>
      </c>
      <c r="E852" s="2142">
        <v>38.799999999999997</v>
      </c>
      <c r="F852" s="2142">
        <v>16040.89</v>
      </c>
      <c r="G852" s="2142">
        <v>622387</v>
      </c>
      <c r="H852" s="3557">
        <v>42999</v>
      </c>
      <c r="I852" s="2142">
        <v>622387</v>
      </c>
    </row>
    <row r="853" spans="1:9" s="2139" customFormat="1" hidden="1">
      <c r="A853" s="2140" t="s">
        <v>4743</v>
      </c>
      <c r="B853" s="3560" t="s">
        <v>3055</v>
      </c>
      <c r="C853" s="2141" t="s">
        <v>3168</v>
      </c>
      <c r="D853" s="3396">
        <v>239</v>
      </c>
      <c r="E853" s="2142">
        <v>38.79</v>
      </c>
      <c r="F853" s="2142">
        <v>16040.89</v>
      </c>
      <c r="G853" s="2142">
        <v>622226</v>
      </c>
      <c r="H853" s="3557">
        <v>42989</v>
      </c>
      <c r="I853" s="2142">
        <v>622226</v>
      </c>
    </row>
    <row r="854" spans="1:9" s="2139" customFormat="1" hidden="1">
      <c r="A854" s="2140" t="s">
        <v>4731</v>
      </c>
      <c r="B854" s="3560" t="s">
        <v>3055</v>
      </c>
      <c r="C854" s="2141" t="s">
        <v>3168</v>
      </c>
      <c r="D854" s="3396">
        <v>219</v>
      </c>
      <c r="E854" s="2142">
        <v>38.79</v>
      </c>
      <c r="F854" s="2142">
        <v>15710.16</v>
      </c>
      <c r="G854" s="2142">
        <v>609397</v>
      </c>
      <c r="H854" s="3557">
        <v>42985</v>
      </c>
      <c r="I854" s="2142">
        <v>609397</v>
      </c>
    </row>
    <row r="855" spans="1:9" s="2139" customFormat="1" hidden="1">
      <c r="A855" s="2140" t="s">
        <v>4737</v>
      </c>
      <c r="B855" s="3560" t="s">
        <v>3055</v>
      </c>
      <c r="C855" s="2141" t="s">
        <v>3168</v>
      </c>
      <c r="D855" s="3396">
        <v>230</v>
      </c>
      <c r="E855" s="2142">
        <v>38.79</v>
      </c>
      <c r="F855" s="2142">
        <v>15710.15</v>
      </c>
      <c r="G855" s="2142">
        <v>609397</v>
      </c>
      <c r="H855" s="3557">
        <v>42988</v>
      </c>
      <c r="I855" s="2142">
        <v>609397</v>
      </c>
    </row>
    <row r="856" spans="1:9" s="2139" customFormat="1" hidden="1">
      <c r="A856" s="2140" t="s">
        <v>4730</v>
      </c>
      <c r="B856" s="3560" t="s">
        <v>3055</v>
      </c>
      <c r="C856" s="2141" t="s">
        <v>3168</v>
      </c>
      <c r="D856" s="3396">
        <v>218</v>
      </c>
      <c r="E856" s="2142">
        <v>38.83</v>
      </c>
      <c r="F856" s="2142">
        <v>15710.14</v>
      </c>
      <c r="G856" s="2142">
        <v>610025</v>
      </c>
      <c r="H856" s="3557">
        <v>43002</v>
      </c>
      <c r="I856" s="2142">
        <v>610025</v>
      </c>
    </row>
    <row r="857" spans="1:9" s="2139" customFormat="1" hidden="1">
      <c r="A857" s="2140" t="s">
        <v>4708</v>
      </c>
      <c r="B857" s="3560" t="s">
        <v>3055</v>
      </c>
      <c r="C857" s="2141" t="s">
        <v>3168</v>
      </c>
      <c r="D857" s="3396">
        <v>190</v>
      </c>
      <c r="E857" s="2142">
        <v>26.92</v>
      </c>
      <c r="F857" s="2142">
        <v>15379.41</v>
      </c>
      <c r="G857" s="2142">
        <v>414014</v>
      </c>
      <c r="H857" s="3557">
        <v>42986</v>
      </c>
      <c r="I857" s="2142">
        <v>414014</v>
      </c>
    </row>
    <row r="858" spans="1:9" s="2139" customFormat="1" hidden="1">
      <c r="A858" s="2140" t="s">
        <v>4685</v>
      </c>
      <c r="B858" s="3560" t="s">
        <v>3055</v>
      </c>
      <c r="C858" s="2141" t="s">
        <v>3168</v>
      </c>
      <c r="D858" s="3396">
        <v>153</v>
      </c>
      <c r="E858" s="2142">
        <v>63.14</v>
      </c>
      <c r="F858" s="2142">
        <v>14800</v>
      </c>
      <c r="G858" s="2142">
        <v>934472</v>
      </c>
      <c r="H858" s="3557">
        <v>42986</v>
      </c>
      <c r="I858" s="2142">
        <v>934472</v>
      </c>
    </row>
    <row r="859" spans="1:9" s="2139" customFormat="1" hidden="1">
      <c r="A859" s="2140" t="s">
        <v>4640</v>
      </c>
      <c r="B859" s="3560" t="s">
        <v>3055</v>
      </c>
      <c r="C859" s="2141" t="s">
        <v>3168</v>
      </c>
      <c r="D859" s="3396">
        <v>85</v>
      </c>
      <c r="E859" s="2142">
        <v>48.41</v>
      </c>
      <c r="F859" s="2142">
        <v>14300</v>
      </c>
      <c r="G859" s="2142">
        <v>692263</v>
      </c>
      <c r="H859" s="3557">
        <v>42984</v>
      </c>
      <c r="I859" s="2142">
        <v>692263</v>
      </c>
    </row>
    <row r="860" spans="1:9" s="2139" customFormat="1" hidden="1">
      <c r="A860" s="2140" t="s">
        <v>4639</v>
      </c>
      <c r="B860" s="3560" t="s">
        <v>3055</v>
      </c>
      <c r="C860" s="2141" t="s">
        <v>3168</v>
      </c>
      <c r="D860" s="3396">
        <v>83</v>
      </c>
      <c r="E860" s="2142">
        <v>24.35</v>
      </c>
      <c r="F860" s="2142">
        <v>14100</v>
      </c>
      <c r="G860" s="2142">
        <v>343335</v>
      </c>
      <c r="H860" s="3557">
        <v>42984</v>
      </c>
      <c r="I860" s="2142">
        <v>343335</v>
      </c>
    </row>
    <row r="861" spans="1:9" s="2139" customFormat="1" hidden="1">
      <c r="A861" s="2140" t="s">
        <v>4642</v>
      </c>
      <c r="B861" s="3560" t="s">
        <v>3055</v>
      </c>
      <c r="C861" s="2141" t="s">
        <v>3168</v>
      </c>
      <c r="D861" s="3396">
        <v>87</v>
      </c>
      <c r="E861" s="2142">
        <v>40.880000000000003</v>
      </c>
      <c r="F861" s="2142">
        <v>14100</v>
      </c>
      <c r="G861" s="2142">
        <v>576408</v>
      </c>
      <c r="H861" s="3557">
        <v>42979</v>
      </c>
      <c r="I861" s="2142">
        <v>576408</v>
      </c>
    </row>
    <row r="862" spans="1:9" s="2139" customFormat="1" hidden="1">
      <c r="A862" s="2140" t="s">
        <v>3961</v>
      </c>
      <c r="B862" s="3560" t="s">
        <v>3054</v>
      </c>
      <c r="C862" s="2141" t="s">
        <v>3168</v>
      </c>
      <c r="D862" s="3396">
        <v>11</v>
      </c>
      <c r="E862" s="2142">
        <v>45.46</v>
      </c>
      <c r="F862" s="2142">
        <v>13386</v>
      </c>
      <c r="G862" s="2142">
        <v>608528</v>
      </c>
      <c r="H862" s="3557">
        <v>42980</v>
      </c>
      <c r="I862" s="2142">
        <v>608528</v>
      </c>
    </row>
    <row r="863" spans="1:9" s="2139" customFormat="1" hidden="1">
      <c r="A863" s="2140" t="s">
        <v>3963</v>
      </c>
      <c r="B863" s="3560" t="s">
        <v>3054</v>
      </c>
      <c r="C863" s="2141" t="s">
        <v>3168</v>
      </c>
      <c r="D863" s="3396">
        <v>13</v>
      </c>
      <c r="E863" s="2142">
        <v>46.1</v>
      </c>
      <c r="F863" s="2142">
        <v>13386</v>
      </c>
      <c r="G863" s="2142">
        <v>617095</v>
      </c>
      <c r="H863" s="3557">
        <v>42980</v>
      </c>
      <c r="I863" s="2142">
        <v>617095</v>
      </c>
    </row>
    <row r="864" spans="1:9" s="2139" customFormat="1" hidden="1">
      <c r="A864" s="2140" t="s">
        <v>4705</v>
      </c>
      <c r="B864" s="3560" t="s">
        <v>3055</v>
      </c>
      <c r="C864" s="2141" t="s">
        <v>3168</v>
      </c>
      <c r="D864" s="3396">
        <v>187</v>
      </c>
      <c r="E864" s="2142">
        <v>45.48</v>
      </c>
      <c r="F864" s="2142">
        <v>13948.6</v>
      </c>
      <c r="G864" s="2142">
        <v>634382</v>
      </c>
      <c r="H864" s="3557">
        <v>42993</v>
      </c>
      <c r="I864" s="2142">
        <v>634382</v>
      </c>
    </row>
    <row r="865" spans="1:9" s="2139" customFormat="1" hidden="1">
      <c r="A865" s="2140" t="s">
        <v>4684</v>
      </c>
      <c r="B865" s="3560" t="s">
        <v>3055</v>
      </c>
      <c r="C865" s="2141" t="s">
        <v>3168</v>
      </c>
      <c r="D865" s="3396">
        <v>152</v>
      </c>
      <c r="E865" s="2142">
        <v>57.82</v>
      </c>
      <c r="F865" s="2142">
        <v>13677.01</v>
      </c>
      <c r="G865" s="2142">
        <v>790804</v>
      </c>
      <c r="H865" s="3557">
        <v>42986</v>
      </c>
      <c r="I865" s="2142">
        <v>790804</v>
      </c>
    </row>
    <row r="866" spans="1:9" s="2139" customFormat="1" hidden="1">
      <c r="A866" s="2140" t="s">
        <v>5283</v>
      </c>
      <c r="B866" s="3560" t="s">
        <v>3056</v>
      </c>
      <c r="C866" s="2141" t="s">
        <v>3168</v>
      </c>
      <c r="D866" s="3396">
        <v>50</v>
      </c>
      <c r="E866" s="2142">
        <v>37.119999999999997</v>
      </c>
      <c r="F866" s="2142">
        <v>13871</v>
      </c>
      <c r="G866" s="2142">
        <v>514892</v>
      </c>
      <c r="H866" s="3557">
        <v>42980</v>
      </c>
      <c r="I866" s="2142">
        <v>514892</v>
      </c>
    </row>
    <row r="867" spans="1:9" s="2139" customFormat="1" hidden="1">
      <c r="A867" s="2140" t="s">
        <v>5285</v>
      </c>
      <c r="B867" s="3560" t="s">
        <v>3056</v>
      </c>
      <c r="C867" s="2141" t="s">
        <v>3168</v>
      </c>
      <c r="D867" s="3396">
        <v>55</v>
      </c>
      <c r="E867" s="2142">
        <v>29.02</v>
      </c>
      <c r="F867" s="2142">
        <v>13870.99</v>
      </c>
      <c r="G867" s="2142">
        <v>402536</v>
      </c>
      <c r="H867" s="3557">
        <v>42980</v>
      </c>
      <c r="I867" s="2142">
        <v>402536</v>
      </c>
    </row>
    <row r="868" spans="1:9" s="2139" customFormat="1" hidden="1">
      <c r="A868" s="2140" t="s">
        <v>3964</v>
      </c>
      <c r="B868" s="3560" t="s">
        <v>3054</v>
      </c>
      <c r="C868" s="2141" t="s">
        <v>3168</v>
      </c>
      <c r="D868" s="3396">
        <v>17</v>
      </c>
      <c r="E868" s="2142">
        <v>46.09</v>
      </c>
      <c r="F868" s="2142">
        <v>13800</v>
      </c>
      <c r="G868" s="2142">
        <v>636042</v>
      </c>
      <c r="H868" s="3557">
        <v>42979</v>
      </c>
      <c r="I868" s="2142">
        <v>636042</v>
      </c>
    </row>
    <row r="869" spans="1:9" s="2139" customFormat="1" hidden="1">
      <c r="A869" s="2140" t="s">
        <v>4049</v>
      </c>
      <c r="B869" s="3560" t="s">
        <v>3054</v>
      </c>
      <c r="C869" s="2141" t="s">
        <v>3168</v>
      </c>
      <c r="D869" s="3396">
        <v>222</v>
      </c>
      <c r="E869" s="2142">
        <v>32.33</v>
      </c>
      <c r="F869" s="2142">
        <v>14080</v>
      </c>
      <c r="G869" s="2142">
        <v>455206</v>
      </c>
      <c r="H869" s="3557">
        <v>42979</v>
      </c>
      <c r="I869" s="2142">
        <v>455206</v>
      </c>
    </row>
    <row r="870" spans="1:9" s="2139" customFormat="1" hidden="1">
      <c r="A870" s="2140" t="s">
        <v>4050</v>
      </c>
      <c r="B870" s="3560" t="s">
        <v>3054</v>
      </c>
      <c r="C870" s="2141" t="s">
        <v>3168</v>
      </c>
      <c r="D870" s="3396">
        <v>223</v>
      </c>
      <c r="E870" s="2142">
        <v>33.6</v>
      </c>
      <c r="F870" s="2142">
        <v>14080</v>
      </c>
      <c r="G870" s="2142">
        <v>473088</v>
      </c>
      <c r="H870" s="3557">
        <v>42979</v>
      </c>
      <c r="I870" s="2142">
        <v>473088</v>
      </c>
    </row>
    <row r="871" spans="1:9" s="2139" customFormat="1" hidden="1">
      <c r="A871" s="2140" t="s">
        <v>4051</v>
      </c>
      <c r="B871" s="3560" t="s">
        <v>3054</v>
      </c>
      <c r="C871" s="2141" t="s">
        <v>3168</v>
      </c>
      <c r="D871" s="3396">
        <v>225</v>
      </c>
      <c r="E871" s="2142">
        <v>34.869999999999997</v>
      </c>
      <c r="F871" s="2142">
        <v>14080</v>
      </c>
      <c r="G871" s="2142">
        <v>490970</v>
      </c>
      <c r="H871" s="3557">
        <v>42979</v>
      </c>
      <c r="I871" s="2142">
        <v>490970</v>
      </c>
    </row>
    <row r="872" spans="1:9" s="2139" customFormat="1" hidden="1">
      <c r="A872" s="2140" t="s">
        <v>4703</v>
      </c>
      <c r="B872" s="3560" t="s">
        <v>3055</v>
      </c>
      <c r="C872" s="2141" t="s">
        <v>3168</v>
      </c>
      <c r="D872" s="3396">
        <v>180</v>
      </c>
      <c r="E872" s="2142">
        <v>47.05</v>
      </c>
      <c r="F872" s="2142">
        <v>13677</v>
      </c>
      <c r="G872" s="2142">
        <v>643503</v>
      </c>
      <c r="H872" s="3557">
        <v>42995</v>
      </c>
      <c r="I872" s="2142">
        <v>643503</v>
      </c>
    </row>
    <row r="873" spans="1:9" s="2139" customFormat="1" hidden="1">
      <c r="A873" s="2140" t="s">
        <v>4644</v>
      </c>
      <c r="B873" s="3560" t="s">
        <v>3055</v>
      </c>
      <c r="C873" s="2141" t="s">
        <v>3168</v>
      </c>
      <c r="D873" s="3396">
        <v>89</v>
      </c>
      <c r="E873" s="2142">
        <v>43.76</v>
      </c>
      <c r="F873" s="2142">
        <v>13677</v>
      </c>
      <c r="G873" s="2142">
        <v>598506</v>
      </c>
      <c r="H873" s="3557">
        <v>42991</v>
      </c>
      <c r="I873" s="2142">
        <v>598506</v>
      </c>
    </row>
    <row r="874" spans="1:9" s="2139" customFormat="1" hidden="1">
      <c r="A874" s="2140" t="s">
        <v>5270</v>
      </c>
      <c r="B874" s="3560" t="s">
        <v>3056</v>
      </c>
      <c r="C874" s="2141" t="s">
        <v>3168</v>
      </c>
      <c r="D874" s="3396">
        <v>16</v>
      </c>
      <c r="E874" s="2142">
        <v>71.23</v>
      </c>
      <c r="F874" s="2142">
        <v>21900</v>
      </c>
      <c r="G874" s="2142">
        <v>1559937</v>
      </c>
      <c r="H874" s="3557">
        <v>42921</v>
      </c>
      <c r="I874" s="2142">
        <v>789937</v>
      </c>
    </row>
    <row r="875" spans="1:9" s="2139" customFormat="1" hidden="1">
      <c r="A875" s="2140" t="s">
        <v>4645</v>
      </c>
      <c r="B875" s="3560" t="s">
        <v>3055</v>
      </c>
      <c r="C875" s="2141" t="s">
        <v>3168</v>
      </c>
      <c r="D875" s="3396">
        <v>90</v>
      </c>
      <c r="E875" s="2142">
        <v>48.13</v>
      </c>
      <c r="F875" s="2142">
        <v>13677</v>
      </c>
      <c r="G875" s="2142">
        <v>658274</v>
      </c>
      <c r="H875" s="3557">
        <v>42991</v>
      </c>
      <c r="I875" s="2142">
        <v>658274</v>
      </c>
    </row>
    <row r="876" spans="1:9" s="2139" customFormat="1" hidden="1">
      <c r="A876" s="2140" t="s">
        <v>5260</v>
      </c>
      <c r="B876" s="3560" t="s">
        <v>3056</v>
      </c>
      <c r="C876" s="2141" t="s">
        <v>3168</v>
      </c>
      <c r="D876" s="3396">
        <v>5</v>
      </c>
      <c r="E876" s="2142">
        <v>71.23</v>
      </c>
      <c r="F876" s="2142">
        <v>21900</v>
      </c>
      <c r="G876" s="2142">
        <v>1559937</v>
      </c>
      <c r="H876" s="3557">
        <v>42857</v>
      </c>
      <c r="I876" s="2142">
        <v>789937</v>
      </c>
    </row>
    <row r="877" spans="1:9" s="2139" customFormat="1" hidden="1">
      <c r="A877" s="2140" t="s">
        <v>4001</v>
      </c>
      <c r="B877" s="3560" t="s">
        <v>3054</v>
      </c>
      <c r="C877" s="2141" t="s">
        <v>3168</v>
      </c>
      <c r="D877" s="3396">
        <v>73</v>
      </c>
      <c r="E877" s="2142">
        <v>40.85</v>
      </c>
      <c r="F877" s="2142">
        <v>14500</v>
      </c>
      <c r="G877" s="2142">
        <v>592325</v>
      </c>
      <c r="H877" s="3557">
        <v>42844</v>
      </c>
      <c r="I877" s="2142">
        <v>592325</v>
      </c>
    </row>
    <row r="878" spans="1:9" s="2139" customFormat="1" hidden="1">
      <c r="A878" s="2140" t="s">
        <v>5287</v>
      </c>
      <c r="B878" s="3560" t="s">
        <v>3056</v>
      </c>
      <c r="C878" s="2141" t="s">
        <v>3168</v>
      </c>
      <c r="D878" s="3396">
        <v>57</v>
      </c>
      <c r="E878" s="2142">
        <v>19.86</v>
      </c>
      <c r="F878" s="2142">
        <v>16040.854271356786</v>
      </c>
      <c r="G878" s="2142">
        <v>318571</v>
      </c>
      <c r="H878" s="3557">
        <v>42770</v>
      </c>
      <c r="I878" s="2142">
        <v>318571</v>
      </c>
    </row>
    <row r="879" spans="1:9" s="2139" customFormat="1" hidden="1">
      <c r="A879" s="2140" t="s">
        <v>5288</v>
      </c>
      <c r="B879" s="2141" t="s">
        <v>3056</v>
      </c>
      <c r="C879" s="2141" t="s">
        <v>3168</v>
      </c>
      <c r="D879" s="2141">
        <v>58</v>
      </c>
      <c r="E879" s="2142">
        <v>19.25</v>
      </c>
      <c r="F879" s="2142">
        <v>14346.34</v>
      </c>
      <c r="G879" s="2142">
        <v>276167.04499999998</v>
      </c>
      <c r="H879" s="2143">
        <v>42719</v>
      </c>
      <c r="I879" s="2142">
        <v>276167</v>
      </c>
    </row>
    <row r="880" spans="1:9" s="2139" customFormat="1" hidden="1">
      <c r="A880" s="2140" t="s">
        <v>4015</v>
      </c>
      <c r="B880" s="2141" t="s">
        <v>3054</v>
      </c>
      <c r="C880" s="2141" t="s">
        <v>3168</v>
      </c>
      <c r="D880" s="2141">
        <v>165</v>
      </c>
      <c r="E880" s="2142">
        <v>103.13</v>
      </c>
      <c r="F880" s="2142">
        <v>19380</v>
      </c>
      <c r="G880" s="2142">
        <v>1998659.4</v>
      </c>
      <c r="H880" s="2143">
        <v>42639</v>
      </c>
      <c r="I880" s="2142">
        <v>50000</v>
      </c>
    </row>
    <row r="881" spans="1:9" s="2139" customFormat="1" hidden="1">
      <c r="A881" s="2140" t="s">
        <v>4606</v>
      </c>
      <c r="B881" s="2141" t="s">
        <v>3055</v>
      </c>
      <c r="C881" s="2141" t="s">
        <v>3168</v>
      </c>
      <c r="D881" s="3396">
        <v>27</v>
      </c>
      <c r="E881" s="2142">
        <v>69.72</v>
      </c>
      <c r="F881" s="2142">
        <v>19380</v>
      </c>
      <c r="G881" s="2142">
        <v>1351173.6</v>
      </c>
      <c r="H881" s="3557">
        <v>42639</v>
      </c>
      <c r="I881" s="2142">
        <v>50000</v>
      </c>
    </row>
    <row r="882" spans="1:9" s="2139" customFormat="1" hidden="1">
      <c r="A882" s="2140" t="s">
        <v>4607</v>
      </c>
      <c r="B882" s="2141" t="s">
        <v>3055</v>
      </c>
      <c r="C882" s="2141" t="s">
        <v>3168</v>
      </c>
      <c r="D882" s="3396">
        <v>29</v>
      </c>
      <c r="E882" s="2142">
        <v>81.67</v>
      </c>
      <c r="F882" s="2142">
        <v>19080</v>
      </c>
      <c r="G882" s="2142">
        <v>1558263.6</v>
      </c>
      <c r="H882" s="3557">
        <v>42639</v>
      </c>
      <c r="I882" s="2142">
        <v>50000</v>
      </c>
    </row>
    <row r="883" spans="1:9" s="2139" customFormat="1" hidden="1">
      <c r="A883" s="2140" t="s">
        <v>4608</v>
      </c>
      <c r="B883" s="2141" t="s">
        <v>3055</v>
      </c>
      <c r="C883" s="2141" t="s">
        <v>3168</v>
      </c>
      <c r="D883" s="3396">
        <v>30</v>
      </c>
      <c r="E883" s="2142">
        <v>72.03</v>
      </c>
      <c r="F883" s="2142">
        <v>19080</v>
      </c>
      <c r="G883" s="2142">
        <v>1374332.4</v>
      </c>
      <c r="H883" s="3557">
        <v>42639</v>
      </c>
      <c r="I883" s="2142">
        <v>50000</v>
      </c>
    </row>
    <row r="884" spans="1:9" s="2139" customFormat="1" hidden="1">
      <c r="A884" s="2140" t="s">
        <v>4609</v>
      </c>
      <c r="B884" s="2141" t="s">
        <v>3055</v>
      </c>
      <c r="C884" s="2141" t="s">
        <v>3168</v>
      </c>
      <c r="D884" s="3396">
        <v>31</v>
      </c>
      <c r="E884" s="2142">
        <v>77.52</v>
      </c>
      <c r="F884" s="2142">
        <v>19080</v>
      </c>
      <c r="G884" s="2142">
        <v>1479081.5999999999</v>
      </c>
      <c r="H884" s="3557">
        <v>42639</v>
      </c>
      <c r="I884" s="2142">
        <v>50000</v>
      </c>
    </row>
    <row r="885" spans="1:9" s="2139" customFormat="1" hidden="1">
      <c r="A885" s="2140" t="s">
        <v>4610</v>
      </c>
      <c r="B885" s="2141" t="s">
        <v>3055</v>
      </c>
      <c r="C885" s="2141" t="s">
        <v>3168</v>
      </c>
      <c r="D885" s="3396">
        <v>32</v>
      </c>
      <c r="E885" s="2142">
        <v>66.97</v>
      </c>
      <c r="F885" s="2142">
        <v>19080</v>
      </c>
      <c r="G885" s="2142">
        <v>1277787.6000000001</v>
      </c>
      <c r="H885" s="3557">
        <v>42639</v>
      </c>
      <c r="I885" s="2142">
        <v>50000</v>
      </c>
    </row>
    <row r="886" spans="1:9" s="2139" customFormat="1" hidden="1">
      <c r="A886" s="2140" t="s">
        <v>4611</v>
      </c>
      <c r="B886" s="2141" t="s">
        <v>3055</v>
      </c>
      <c r="C886" s="2141" t="s">
        <v>3168</v>
      </c>
      <c r="D886" s="3396">
        <v>33</v>
      </c>
      <c r="E886" s="2142">
        <v>67.13</v>
      </c>
      <c r="F886" s="2142">
        <v>19080</v>
      </c>
      <c r="G886" s="2142">
        <v>1280840.3999999999</v>
      </c>
      <c r="H886" s="3557">
        <v>42639</v>
      </c>
      <c r="I886" s="2142">
        <v>50000</v>
      </c>
    </row>
    <row r="887" spans="1:9" s="2139" customFormat="1" hidden="1">
      <c r="A887" s="2140" t="s">
        <v>4612</v>
      </c>
      <c r="B887" s="2141" t="s">
        <v>3055</v>
      </c>
      <c r="C887" s="2141" t="s">
        <v>3168</v>
      </c>
      <c r="D887" s="3396">
        <v>35</v>
      </c>
      <c r="E887" s="2142">
        <v>67.13</v>
      </c>
      <c r="F887" s="2142">
        <v>19080</v>
      </c>
      <c r="G887" s="2142">
        <v>1280840.3999999999</v>
      </c>
      <c r="H887" s="3557">
        <v>42639</v>
      </c>
      <c r="I887" s="2142">
        <v>50000</v>
      </c>
    </row>
    <row r="888" spans="1:9" s="2139" customFormat="1" hidden="1">
      <c r="A888" s="2140" t="s">
        <v>4649</v>
      </c>
      <c r="B888" s="2141" t="s">
        <v>3055</v>
      </c>
      <c r="C888" s="2141" t="s">
        <v>3168</v>
      </c>
      <c r="D888" s="3396">
        <v>103</v>
      </c>
      <c r="E888" s="2142">
        <v>118.26</v>
      </c>
      <c r="F888" s="2142">
        <v>19380</v>
      </c>
      <c r="G888" s="2142">
        <v>2291878.8000000003</v>
      </c>
      <c r="H888" s="3557">
        <v>42639</v>
      </c>
      <c r="I888" s="2142">
        <v>50000</v>
      </c>
    </row>
    <row r="889" spans="1:9" s="2139" customFormat="1" hidden="1">
      <c r="A889" s="2140" t="s">
        <v>4650</v>
      </c>
      <c r="B889" s="2141" t="s">
        <v>3055</v>
      </c>
      <c r="C889" s="2141" t="s">
        <v>3168</v>
      </c>
      <c r="D889" s="3396">
        <v>105</v>
      </c>
      <c r="E889" s="2142">
        <v>67.12</v>
      </c>
      <c r="F889" s="2142">
        <v>19080</v>
      </c>
      <c r="G889" s="2142">
        <v>1280649.6000000001</v>
      </c>
      <c r="H889" s="3557">
        <v>42639</v>
      </c>
      <c r="I889" s="2142">
        <v>50000</v>
      </c>
    </row>
    <row r="890" spans="1:9" s="2139" customFormat="1" hidden="1">
      <c r="A890" s="2140" t="s">
        <v>4651</v>
      </c>
      <c r="B890" s="2141" t="s">
        <v>3055</v>
      </c>
      <c r="C890" s="2141" t="s">
        <v>3168</v>
      </c>
      <c r="D890" s="3396">
        <v>106</v>
      </c>
      <c r="E890" s="2142">
        <v>67.12</v>
      </c>
      <c r="F890" s="2142">
        <v>19080</v>
      </c>
      <c r="G890" s="2142">
        <v>1280649.6000000001</v>
      </c>
      <c r="H890" s="3557">
        <v>42639</v>
      </c>
      <c r="I890" s="2142">
        <v>50000</v>
      </c>
    </row>
    <row r="891" spans="1:9" s="2139" customFormat="1" hidden="1">
      <c r="A891" s="2140" t="s">
        <v>4652</v>
      </c>
      <c r="B891" s="2141" t="s">
        <v>3055</v>
      </c>
      <c r="C891" s="2141" t="s">
        <v>3168</v>
      </c>
      <c r="D891" s="3396">
        <v>107</v>
      </c>
      <c r="E891" s="2142">
        <v>67.14</v>
      </c>
      <c r="F891" s="2142">
        <v>19080</v>
      </c>
      <c r="G891" s="2142">
        <v>1281031.2</v>
      </c>
      <c r="H891" s="3557">
        <v>42639</v>
      </c>
      <c r="I891" s="2142">
        <v>50000</v>
      </c>
    </row>
    <row r="892" spans="1:9" s="2139" customFormat="1" hidden="1">
      <c r="A892" s="2140" t="s">
        <v>4653</v>
      </c>
      <c r="B892" s="2141" t="s">
        <v>3055</v>
      </c>
      <c r="C892" s="2141" t="s">
        <v>3168</v>
      </c>
      <c r="D892" s="3396">
        <v>108</v>
      </c>
      <c r="E892" s="2142">
        <v>67.91</v>
      </c>
      <c r="F892" s="2142">
        <v>19080</v>
      </c>
      <c r="G892" s="2142">
        <v>1295722.8</v>
      </c>
      <c r="H892" s="3557">
        <v>42639</v>
      </c>
      <c r="I892" s="2142">
        <v>50000</v>
      </c>
    </row>
    <row r="893" spans="1:9" s="2139" customFormat="1" hidden="1">
      <c r="A893" s="2140" t="s">
        <v>4654</v>
      </c>
      <c r="B893" s="2141" t="s">
        <v>3055</v>
      </c>
      <c r="C893" s="2141" t="s">
        <v>3168</v>
      </c>
      <c r="D893" s="3396">
        <v>115</v>
      </c>
      <c r="E893" s="2142">
        <v>67.349999999999994</v>
      </c>
      <c r="F893" s="2142">
        <v>19080</v>
      </c>
      <c r="G893" s="2142">
        <v>1285038</v>
      </c>
      <c r="H893" s="3557">
        <v>42639</v>
      </c>
      <c r="I893" s="2142">
        <v>50000</v>
      </c>
    </row>
    <row r="894" spans="1:9" s="2139" customFormat="1" hidden="1">
      <c r="A894" s="2140" t="s">
        <v>4655</v>
      </c>
      <c r="B894" s="2141" t="s">
        <v>3055</v>
      </c>
      <c r="C894" s="2141" t="s">
        <v>3168</v>
      </c>
      <c r="D894" s="3396">
        <v>116</v>
      </c>
      <c r="E894" s="2142">
        <v>120.14</v>
      </c>
      <c r="F894" s="2142">
        <v>19380</v>
      </c>
      <c r="G894" s="2142">
        <v>2328313.2000000002</v>
      </c>
      <c r="H894" s="3557">
        <v>42639</v>
      </c>
      <c r="I894" s="2142">
        <v>50000</v>
      </c>
    </row>
    <row r="895" spans="1:9" s="2139" customFormat="1" hidden="1">
      <c r="A895" s="2140" t="s">
        <v>5259</v>
      </c>
      <c r="B895" s="2141" t="s">
        <v>3056</v>
      </c>
      <c r="C895" s="2141" t="s">
        <v>3168</v>
      </c>
      <c r="D895" s="2141">
        <v>3</v>
      </c>
      <c r="E895" s="2142">
        <v>83.25</v>
      </c>
      <c r="F895" s="2142">
        <v>20130</v>
      </c>
      <c r="G895" s="2142">
        <v>1675822.5</v>
      </c>
      <c r="H895" s="2143">
        <v>42639</v>
      </c>
      <c r="I895" s="2142">
        <v>50000</v>
      </c>
    </row>
    <row r="896" spans="1:9" s="2139" customFormat="1" hidden="1">
      <c r="A896" s="2140" t="s">
        <v>5261</v>
      </c>
      <c r="B896" s="2141" t="s">
        <v>3056</v>
      </c>
      <c r="C896" s="2141" t="s">
        <v>3168</v>
      </c>
      <c r="D896" s="2141">
        <v>6</v>
      </c>
      <c r="E896" s="2142">
        <v>71.650000000000006</v>
      </c>
      <c r="F896" s="2142">
        <v>20130</v>
      </c>
      <c r="G896" s="2142">
        <v>1442314.5</v>
      </c>
      <c r="H896" s="2143">
        <v>42639</v>
      </c>
      <c r="I896" s="2142">
        <v>50000</v>
      </c>
    </row>
    <row r="897" spans="1:9" s="2139" customFormat="1" hidden="1">
      <c r="A897" s="2140" t="s">
        <v>5267</v>
      </c>
      <c r="B897" s="2141" t="s">
        <v>3056</v>
      </c>
      <c r="C897" s="2141" t="s">
        <v>3168</v>
      </c>
      <c r="D897" s="2141">
        <v>12</v>
      </c>
      <c r="E897" s="2142">
        <v>70.88</v>
      </c>
      <c r="F897" s="2142">
        <v>20130</v>
      </c>
      <c r="G897" s="2142">
        <v>1426814.4</v>
      </c>
      <c r="H897" s="2143">
        <v>42639</v>
      </c>
      <c r="I897" s="2142">
        <v>50000</v>
      </c>
    </row>
    <row r="898" spans="1:9" s="2139" customFormat="1" hidden="1">
      <c r="A898" s="2140" t="s">
        <v>5268</v>
      </c>
      <c r="B898" s="2141" t="s">
        <v>3056</v>
      </c>
      <c r="C898" s="2141" t="s">
        <v>3168</v>
      </c>
      <c r="D898" s="2141">
        <v>13</v>
      </c>
      <c r="E898" s="2142">
        <v>65.8</v>
      </c>
      <c r="F898" s="2142">
        <v>20130</v>
      </c>
      <c r="G898" s="2142">
        <v>1324554</v>
      </c>
      <c r="H898" s="2143">
        <v>42639</v>
      </c>
      <c r="I898" s="2142">
        <v>50000</v>
      </c>
    </row>
    <row r="899" spans="1:9" s="2139" customFormat="1" hidden="1">
      <c r="A899" s="2140" t="s">
        <v>5293</v>
      </c>
      <c r="B899" s="2141" t="s">
        <v>3056</v>
      </c>
      <c r="C899" s="2141" t="s">
        <v>3168</v>
      </c>
      <c r="D899" s="2141">
        <v>147</v>
      </c>
      <c r="E899" s="2142">
        <v>138.08000000000001</v>
      </c>
      <c r="F899" s="2142">
        <v>20620</v>
      </c>
      <c r="G899" s="2142">
        <v>2847209.6</v>
      </c>
      <c r="H899" s="2143">
        <v>42639</v>
      </c>
      <c r="I899" s="2142">
        <v>50000</v>
      </c>
    </row>
    <row r="900" spans="1:9" s="2139" customFormat="1" hidden="1">
      <c r="A900" s="2140" t="s">
        <v>4614</v>
      </c>
      <c r="B900" s="2141" t="s">
        <v>3055</v>
      </c>
      <c r="C900" s="2141" t="s">
        <v>3168</v>
      </c>
      <c r="D900" s="3396">
        <v>37</v>
      </c>
      <c r="E900" s="2142">
        <v>46.35</v>
      </c>
      <c r="F900" s="2142">
        <v>21618.38</v>
      </c>
      <c r="G900" s="2142">
        <v>1002011.9130000001</v>
      </c>
      <c r="H900" s="3557">
        <v>42616</v>
      </c>
      <c r="I900" s="2142">
        <v>1002012</v>
      </c>
    </row>
    <row r="901" spans="1:9" s="2139" customFormat="1" hidden="1">
      <c r="A901" s="2140" t="s">
        <v>4691</v>
      </c>
      <c r="B901" s="2141" t="s">
        <v>3055</v>
      </c>
      <c r="C901" s="2141" t="s">
        <v>3168</v>
      </c>
      <c r="D901" s="3396">
        <v>160</v>
      </c>
      <c r="E901" s="2142">
        <v>55.02</v>
      </c>
      <c r="F901" s="2142">
        <v>14300</v>
      </c>
      <c r="G901" s="2142">
        <v>786786</v>
      </c>
      <c r="H901" s="3557">
        <v>42608</v>
      </c>
      <c r="I901" s="2142">
        <v>396786</v>
      </c>
    </row>
    <row r="902" spans="1:9" s="2139" customFormat="1" hidden="1">
      <c r="A902" s="2140" t="s">
        <v>4732</v>
      </c>
      <c r="B902" s="2141" t="s">
        <v>3055</v>
      </c>
      <c r="C902" s="2141" t="s">
        <v>3168</v>
      </c>
      <c r="D902" s="3396">
        <v>222</v>
      </c>
      <c r="E902" s="2142">
        <v>38.21</v>
      </c>
      <c r="F902" s="2142">
        <v>16537</v>
      </c>
      <c r="G902" s="2142">
        <v>631878.77</v>
      </c>
      <c r="H902" s="3557">
        <v>42595</v>
      </c>
      <c r="I902" s="2142">
        <v>631879</v>
      </c>
    </row>
    <row r="903" spans="1:9" s="2139" customFormat="1" hidden="1">
      <c r="A903" s="2140" t="s">
        <v>5271</v>
      </c>
      <c r="B903" s="2141" t="s">
        <v>3056</v>
      </c>
      <c r="C903" s="2141" t="s">
        <v>3168</v>
      </c>
      <c r="D903" s="2141">
        <v>17</v>
      </c>
      <c r="E903" s="2142">
        <v>71.06</v>
      </c>
      <c r="F903" s="2142">
        <v>20734</v>
      </c>
      <c r="G903" s="2142">
        <v>1473358.04</v>
      </c>
      <c r="H903" s="2143">
        <v>42590</v>
      </c>
      <c r="I903" s="2142">
        <v>1473358</v>
      </c>
    </row>
    <row r="904" spans="1:9" s="2139" customFormat="1" hidden="1">
      <c r="A904" s="2140" t="s">
        <v>4613</v>
      </c>
      <c r="B904" s="2141" t="s">
        <v>3055</v>
      </c>
      <c r="C904" s="2141" t="s">
        <v>3168</v>
      </c>
      <c r="D904" s="3396">
        <v>36</v>
      </c>
      <c r="E904" s="2142">
        <v>67.13</v>
      </c>
      <c r="F904" s="2142">
        <v>21243.01</v>
      </c>
      <c r="G904" s="2142">
        <v>1426043.2612999999</v>
      </c>
      <c r="H904" s="3557">
        <v>42587</v>
      </c>
      <c r="I904" s="2142">
        <v>1426043</v>
      </c>
    </row>
    <row r="905" spans="1:9" s="2139" customFormat="1" hidden="1">
      <c r="A905" s="2140" t="s">
        <v>3994</v>
      </c>
      <c r="B905" s="2141" t="s">
        <v>3054</v>
      </c>
      <c r="C905" s="2141" t="s">
        <v>3168</v>
      </c>
      <c r="D905" s="2141">
        <v>66</v>
      </c>
      <c r="E905" s="2142">
        <v>84.25</v>
      </c>
      <c r="F905" s="2142">
        <v>13800</v>
      </c>
      <c r="G905" s="2142">
        <v>1162650</v>
      </c>
      <c r="H905" s="2143">
        <v>42576</v>
      </c>
      <c r="I905" s="2142">
        <v>1162650</v>
      </c>
    </row>
    <row r="906" spans="1:9" s="2139" customFormat="1" hidden="1">
      <c r="A906" s="2140" t="s">
        <v>3995</v>
      </c>
      <c r="B906" s="2141" t="s">
        <v>3054</v>
      </c>
      <c r="C906" s="2141" t="s">
        <v>3168</v>
      </c>
      <c r="D906" s="2141">
        <v>67</v>
      </c>
      <c r="E906" s="2142">
        <v>56</v>
      </c>
      <c r="F906" s="2142">
        <v>13800</v>
      </c>
      <c r="G906" s="2142">
        <v>772800</v>
      </c>
      <c r="H906" s="2143">
        <v>42576</v>
      </c>
      <c r="I906" s="2142">
        <v>772800</v>
      </c>
    </row>
    <row r="907" spans="1:9" s="2139" customFormat="1" hidden="1">
      <c r="A907" s="2140" t="s">
        <v>4615</v>
      </c>
      <c r="B907" s="2141" t="s">
        <v>3055</v>
      </c>
      <c r="C907" s="2141" t="s">
        <v>3168</v>
      </c>
      <c r="D907" s="3396">
        <v>38</v>
      </c>
      <c r="E907" s="2142">
        <v>37.200000000000003</v>
      </c>
      <c r="F907" s="2142">
        <v>14356</v>
      </c>
      <c r="G907" s="2142">
        <v>534043.20000000007</v>
      </c>
      <c r="H907" s="3557">
        <v>42570</v>
      </c>
      <c r="I907" s="2142">
        <v>534043</v>
      </c>
    </row>
    <row r="908" spans="1:9" s="2139" customFormat="1" hidden="1">
      <c r="A908" s="2140" t="s">
        <v>5284</v>
      </c>
      <c r="B908" s="2141" t="s">
        <v>3056</v>
      </c>
      <c r="C908" s="2141" t="s">
        <v>3168</v>
      </c>
      <c r="D908" s="2141">
        <v>53</v>
      </c>
      <c r="E908" s="2142">
        <v>34.14</v>
      </c>
      <c r="F908" s="2142">
        <v>13871</v>
      </c>
      <c r="G908" s="2142">
        <v>473555.94</v>
      </c>
      <c r="H908" s="2143">
        <v>42569</v>
      </c>
      <c r="I908" s="2142">
        <v>473556</v>
      </c>
    </row>
    <row r="909" spans="1:9" s="2139" customFormat="1" hidden="1">
      <c r="A909" s="2140" t="s">
        <v>5282</v>
      </c>
      <c r="B909" s="2141" t="s">
        <v>3056</v>
      </c>
      <c r="C909" s="2141" t="s">
        <v>3168</v>
      </c>
      <c r="D909" s="2141">
        <v>46</v>
      </c>
      <c r="E909" s="2142">
        <v>92.24</v>
      </c>
      <c r="F909" s="2142">
        <v>20350.599999999999</v>
      </c>
      <c r="G909" s="2142">
        <v>1877139.3439999998</v>
      </c>
      <c r="H909" s="2143">
        <v>42567</v>
      </c>
      <c r="I909" s="2142">
        <v>1877139</v>
      </c>
    </row>
    <row r="910" spans="1:9" s="2139" customFormat="1" hidden="1">
      <c r="A910" s="2140" t="s">
        <v>4719</v>
      </c>
      <c r="B910" s="2141" t="s">
        <v>3055</v>
      </c>
      <c r="C910" s="2141" t="s">
        <v>3168</v>
      </c>
      <c r="D910" s="3396">
        <v>203</v>
      </c>
      <c r="E910" s="2142">
        <v>66.33</v>
      </c>
      <c r="F910" s="2142">
        <v>18236</v>
      </c>
      <c r="G910" s="2142">
        <v>1209593.8799999999</v>
      </c>
      <c r="H910" s="3557">
        <v>42566</v>
      </c>
      <c r="I910" s="2142">
        <v>1209594</v>
      </c>
    </row>
    <row r="911" spans="1:9" s="2139" customFormat="1" hidden="1">
      <c r="A911" s="2140" t="s">
        <v>4721</v>
      </c>
      <c r="B911" s="2141" t="s">
        <v>3055</v>
      </c>
      <c r="C911" s="2141" t="s">
        <v>3168</v>
      </c>
      <c r="D911" s="3396">
        <v>206</v>
      </c>
      <c r="E911" s="2142">
        <v>67.13</v>
      </c>
      <c r="F911" s="2142">
        <v>18236</v>
      </c>
      <c r="G911" s="2142">
        <v>1224182.68</v>
      </c>
      <c r="H911" s="3557">
        <v>42566</v>
      </c>
      <c r="I911" s="2142">
        <v>1224183</v>
      </c>
    </row>
    <row r="912" spans="1:9" s="2139" customFormat="1" hidden="1">
      <c r="A912" s="2140" t="s">
        <v>4722</v>
      </c>
      <c r="B912" s="2141" t="s">
        <v>3055</v>
      </c>
      <c r="C912" s="2141" t="s">
        <v>3168</v>
      </c>
      <c r="D912" s="3396">
        <v>207</v>
      </c>
      <c r="E912" s="2142">
        <v>67.13</v>
      </c>
      <c r="F912" s="2142">
        <v>18236</v>
      </c>
      <c r="G912" s="2142">
        <v>1224182.68</v>
      </c>
      <c r="H912" s="3557">
        <v>42566</v>
      </c>
      <c r="I912" s="2142">
        <v>1224183</v>
      </c>
    </row>
    <row r="913" spans="1:9" s="2139" customFormat="1" hidden="1">
      <c r="A913" s="2140" t="s">
        <v>4783</v>
      </c>
      <c r="B913" s="3560" t="s">
        <v>3055</v>
      </c>
      <c r="C913" s="2141" t="s">
        <v>3191</v>
      </c>
      <c r="D913" s="3396">
        <v>22</v>
      </c>
      <c r="E913" s="2142">
        <v>21.07</v>
      </c>
      <c r="F913" s="2142">
        <v>13372.45</v>
      </c>
      <c r="G913" s="2142">
        <v>281758</v>
      </c>
      <c r="H913" s="3557">
        <v>43004</v>
      </c>
      <c r="I913" s="2142">
        <v>281758</v>
      </c>
    </row>
    <row r="914" spans="1:9" s="2139" customFormat="1" hidden="1">
      <c r="A914" s="2140" t="s">
        <v>4070</v>
      </c>
      <c r="B914" s="3560" t="s">
        <v>3054</v>
      </c>
      <c r="C914" s="2141" t="s">
        <v>3180</v>
      </c>
      <c r="D914" s="3396">
        <v>139</v>
      </c>
      <c r="E914" s="2142">
        <v>34.26</v>
      </c>
      <c r="F914" s="2142">
        <v>21583</v>
      </c>
      <c r="G914" s="2142">
        <v>739434</v>
      </c>
      <c r="H914" s="3557">
        <v>42999</v>
      </c>
      <c r="I914" s="2142">
        <v>739434</v>
      </c>
    </row>
    <row r="915" spans="1:9" s="2139" customFormat="1" hidden="1">
      <c r="A915" s="2140" t="s">
        <v>4753</v>
      </c>
      <c r="B915" s="3560" t="s">
        <v>3055</v>
      </c>
      <c r="C915" s="2141" t="s">
        <v>3180</v>
      </c>
      <c r="D915" s="3396">
        <v>45</v>
      </c>
      <c r="E915" s="2142">
        <v>33.869999999999997</v>
      </c>
      <c r="F915" s="2142">
        <v>15594</v>
      </c>
      <c r="G915" s="2142">
        <v>528169</v>
      </c>
      <c r="H915" s="3557">
        <v>42992</v>
      </c>
      <c r="I915" s="2142">
        <v>528169</v>
      </c>
    </row>
    <row r="916" spans="1:9" s="2139" customFormat="1" hidden="1">
      <c r="A916" s="2140" t="s">
        <v>4754</v>
      </c>
      <c r="B916" s="3560" t="s">
        <v>3055</v>
      </c>
      <c r="C916" s="2141" t="s">
        <v>3180</v>
      </c>
      <c r="D916" s="3396">
        <v>46</v>
      </c>
      <c r="E916" s="2142">
        <v>38.11</v>
      </c>
      <c r="F916" s="2142">
        <v>14916</v>
      </c>
      <c r="G916" s="2142">
        <v>568449</v>
      </c>
      <c r="H916" s="3557">
        <v>42992</v>
      </c>
      <c r="I916" s="2142">
        <v>568449</v>
      </c>
    </row>
    <row r="917" spans="1:9" s="2139" customFormat="1" hidden="1">
      <c r="A917" s="2140" t="s">
        <v>4786</v>
      </c>
      <c r="B917" s="3560" t="s">
        <v>3055</v>
      </c>
      <c r="C917" s="2141" t="s">
        <v>3191</v>
      </c>
      <c r="D917" s="3396">
        <v>46</v>
      </c>
      <c r="E917" s="2142">
        <v>39.909999999999997</v>
      </c>
      <c r="F917" s="2142">
        <v>13786</v>
      </c>
      <c r="G917" s="2142">
        <v>550199</v>
      </c>
      <c r="H917" s="3557">
        <v>42992</v>
      </c>
      <c r="I917" s="2142">
        <v>550199</v>
      </c>
    </row>
    <row r="918" spans="1:9" s="2139" customFormat="1" hidden="1">
      <c r="A918" s="2140" t="s">
        <v>4768</v>
      </c>
      <c r="B918" s="3560" t="s">
        <v>3055</v>
      </c>
      <c r="C918" s="2141" t="s">
        <v>3180</v>
      </c>
      <c r="D918" s="3396">
        <v>135</v>
      </c>
      <c r="E918" s="2142">
        <v>40.36</v>
      </c>
      <c r="F918" s="2142">
        <v>14916</v>
      </c>
      <c r="G918" s="2142">
        <v>602010</v>
      </c>
      <c r="H918" s="3557">
        <v>42991</v>
      </c>
      <c r="I918" s="2142">
        <v>602010</v>
      </c>
    </row>
    <row r="919" spans="1:9" s="2139" customFormat="1" hidden="1">
      <c r="A919" s="2140" t="s">
        <v>4071</v>
      </c>
      <c r="B919" s="3560" t="s">
        <v>3054</v>
      </c>
      <c r="C919" s="2141" t="s">
        <v>3180</v>
      </c>
      <c r="D919" s="3396">
        <v>140</v>
      </c>
      <c r="E919" s="2142">
        <v>25.92</v>
      </c>
      <c r="F919" s="2142">
        <v>14916</v>
      </c>
      <c r="G919" s="2142">
        <v>386623</v>
      </c>
      <c r="H919" s="3557">
        <v>42989</v>
      </c>
      <c r="I919" s="2142">
        <v>386623</v>
      </c>
    </row>
    <row r="920" spans="1:9" s="2139" customFormat="1" hidden="1">
      <c r="A920" s="2140" t="s">
        <v>4781</v>
      </c>
      <c r="B920" s="3560" t="s">
        <v>3055</v>
      </c>
      <c r="C920" s="2141" t="s">
        <v>3191</v>
      </c>
      <c r="D920" s="3396">
        <v>17</v>
      </c>
      <c r="E920" s="2142">
        <v>33.47</v>
      </c>
      <c r="F920" s="2142">
        <v>14030.08</v>
      </c>
      <c r="G920" s="2142">
        <v>469587</v>
      </c>
      <c r="H920" s="3557">
        <v>42989</v>
      </c>
      <c r="I920" s="2142">
        <v>469587</v>
      </c>
    </row>
    <row r="921" spans="1:9" s="2139" customFormat="1" hidden="1">
      <c r="A921" s="2140" t="s">
        <v>4784</v>
      </c>
      <c r="B921" s="3560" t="s">
        <v>3055</v>
      </c>
      <c r="C921" s="2141" t="s">
        <v>3191</v>
      </c>
      <c r="D921" s="3396">
        <v>43</v>
      </c>
      <c r="E921" s="2142">
        <v>39.909999999999997</v>
      </c>
      <c r="F921" s="2142">
        <v>13372.42</v>
      </c>
      <c r="G921" s="2142">
        <v>533693</v>
      </c>
      <c r="H921" s="3557">
        <v>42989</v>
      </c>
      <c r="I921" s="2142">
        <v>533693</v>
      </c>
    </row>
    <row r="922" spans="1:9" s="2139" customFormat="1" hidden="1">
      <c r="A922" s="2140" t="s">
        <v>4766</v>
      </c>
      <c r="B922" s="3560" t="s">
        <v>3055</v>
      </c>
      <c r="C922" s="2141" t="s">
        <v>3180</v>
      </c>
      <c r="D922" s="3396">
        <v>132</v>
      </c>
      <c r="E922" s="2142">
        <v>40.340000000000003</v>
      </c>
      <c r="F922" s="2142">
        <v>14916</v>
      </c>
      <c r="G922" s="2142">
        <v>601711</v>
      </c>
      <c r="H922" s="3557">
        <v>42988</v>
      </c>
      <c r="I922" s="2142">
        <v>601711</v>
      </c>
    </row>
    <row r="923" spans="1:9" s="2139" customFormat="1" hidden="1">
      <c r="A923" s="2140" t="s">
        <v>4767</v>
      </c>
      <c r="B923" s="3560" t="s">
        <v>3055</v>
      </c>
      <c r="C923" s="2141" t="s">
        <v>3180</v>
      </c>
      <c r="D923" s="3396">
        <v>133</v>
      </c>
      <c r="E923" s="2142">
        <v>40.35</v>
      </c>
      <c r="F923" s="2142">
        <v>14916</v>
      </c>
      <c r="G923" s="2142">
        <v>601861</v>
      </c>
      <c r="H923" s="3557">
        <v>42988</v>
      </c>
      <c r="I923" s="2142">
        <v>601861</v>
      </c>
    </row>
    <row r="924" spans="1:9" s="2139" customFormat="1" hidden="1">
      <c r="A924" s="2140" t="s">
        <v>4063</v>
      </c>
      <c r="B924" s="3560" t="s">
        <v>3054</v>
      </c>
      <c r="C924" s="2141" t="s">
        <v>3180</v>
      </c>
      <c r="D924" s="3396">
        <v>61</v>
      </c>
      <c r="E924" s="2142">
        <v>102.51</v>
      </c>
      <c r="F924" s="2142">
        <v>22148</v>
      </c>
      <c r="G924" s="2142">
        <v>2270391</v>
      </c>
      <c r="H924" s="3557">
        <v>42985</v>
      </c>
      <c r="I924" s="2142">
        <v>2270391</v>
      </c>
    </row>
    <row r="925" spans="1:9" s="2139" customFormat="1" hidden="1">
      <c r="A925" s="2140" t="s">
        <v>4065</v>
      </c>
      <c r="B925" s="3560" t="s">
        <v>3054</v>
      </c>
      <c r="C925" s="2141" t="s">
        <v>3180</v>
      </c>
      <c r="D925" s="3396">
        <v>108</v>
      </c>
      <c r="E925" s="2142">
        <v>14.98</v>
      </c>
      <c r="F925" s="2142">
        <v>14468.5</v>
      </c>
      <c r="G925" s="2142">
        <v>216738</v>
      </c>
      <c r="H925" s="3557">
        <v>42984</v>
      </c>
      <c r="I925" s="2142">
        <v>216738</v>
      </c>
    </row>
    <row r="926" spans="1:9" s="2139" customFormat="1" hidden="1">
      <c r="A926" s="2140" t="s">
        <v>4759</v>
      </c>
      <c r="B926" s="3560" t="s">
        <v>3055</v>
      </c>
      <c r="C926" s="2141" t="s">
        <v>3180</v>
      </c>
      <c r="D926" s="3396">
        <v>109</v>
      </c>
      <c r="E926" s="2142">
        <v>37.82</v>
      </c>
      <c r="F926" s="2142">
        <v>14468.52</v>
      </c>
      <c r="G926" s="2142">
        <v>547199</v>
      </c>
      <c r="H926" s="3557">
        <v>42983</v>
      </c>
      <c r="I926" s="2142">
        <v>547199</v>
      </c>
    </row>
    <row r="927" spans="1:9" s="2139" customFormat="1" hidden="1">
      <c r="A927" s="2140" t="s">
        <v>6623</v>
      </c>
      <c r="B927" s="3560">
        <v>11</v>
      </c>
      <c r="C927" s="2141" t="s">
        <v>3142</v>
      </c>
      <c r="D927" s="3396">
        <v>132</v>
      </c>
      <c r="E927" s="2142">
        <v>44.9</v>
      </c>
      <c r="F927" s="2142">
        <v>14420</v>
      </c>
      <c r="G927" s="2142">
        <v>647458</v>
      </c>
      <c r="H927" s="3557">
        <v>43008</v>
      </c>
      <c r="I927" s="2142">
        <v>647746</v>
      </c>
    </row>
    <row r="928" spans="1:9" s="2139" customFormat="1" hidden="1">
      <c r="A928" s="2140" t="s">
        <v>6624</v>
      </c>
      <c r="B928" s="3560">
        <v>11</v>
      </c>
      <c r="C928" s="2141" t="s">
        <v>3142</v>
      </c>
      <c r="D928" s="3396">
        <v>133</v>
      </c>
      <c r="E928" s="2142">
        <v>50.15</v>
      </c>
      <c r="F928" s="2142">
        <v>14420</v>
      </c>
      <c r="G928" s="2142">
        <v>723163</v>
      </c>
      <c r="H928" s="3557">
        <v>43008</v>
      </c>
      <c r="I928" s="2142">
        <v>723596</v>
      </c>
    </row>
    <row r="929" spans="1:9" s="2139" customFormat="1" hidden="1">
      <c r="A929" s="2140" t="s">
        <v>6635</v>
      </c>
      <c r="B929" s="3560">
        <v>11</v>
      </c>
      <c r="C929" s="2141" t="s">
        <v>3142</v>
      </c>
      <c r="D929" s="3396">
        <v>149</v>
      </c>
      <c r="E929" s="2142">
        <v>91.81</v>
      </c>
      <c r="F929" s="2142">
        <v>19570</v>
      </c>
      <c r="G929" s="2142">
        <v>1796721.7</v>
      </c>
      <c r="H929" s="3557">
        <v>43008</v>
      </c>
      <c r="I929" s="2142">
        <v>1797896</v>
      </c>
    </row>
    <row r="930" spans="1:9" s="2139" customFormat="1" hidden="1">
      <c r="A930" s="2140" t="s">
        <v>6636</v>
      </c>
      <c r="B930" s="3560">
        <v>11</v>
      </c>
      <c r="C930" s="2141" t="s">
        <v>3142</v>
      </c>
      <c r="D930" s="3396">
        <v>150</v>
      </c>
      <c r="E930" s="2142">
        <v>87.64</v>
      </c>
      <c r="F930" s="2142">
        <v>18540</v>
      </c>
      <c r="G930" s="2142">
        <v>1624845.6</v>
      </c>
      <c r="H930" s="3557">
        <v>43008</v>
      </c>
      <c r="I930" s="2142">
        <v>1625773</v>
      </c>
    </row>
    <row r="931" spans="1:9" s="2139" customFormat="1" hidden="1">
      <c r="A931" s="2140" t="s">
        <v>6637</v>
      </c>
      <c r="B931" s="3560">
        <v>11</v>
      </c>
      <c r="C931" s="2141" t="s">
        <v>3142</v>
      </c>
      <c r="D931" s="3396">
        <v>151</v>
      </c>
      <c r="E931" s="2142">
        <v>87.64</v>
      </c>
      <c r="F931" s="2142">
        <v>18540</v>
      </c>
      <c r="G931" s="2142">
        <v>1624845.6</v>
      </c>
      <c r="H931" s="3557">
        <v>43008</v>
      </c>
      <c r="I931" s="2142">
        <v>1625773</v>
      </c>
    </row>
    <row r="932" spans="1:9" s="2139" customFormat="1" hidden="1">
      <c r="A932" s="2140" t="s">
        <v>4227</v>
      </c>
      <c r="B932" s="3560" t="s">
        <v>3054</v>
      </c>
      <c r="C932" s="2141" t="s">
        <v>3142</v>
      </c>
      <c r="D932" s="3396">
        <v>217</v>
      </c>
      <c r="E932" s="2142">
        <v>127.3</v>
      </c>
      <c r="F932" s="2142">
        <v>18760.740000000002</v>
      </c>
      <c r="G932" s="2142">
        <v>2388242</v>
      </c>
      <c r="H932" s="3557">
        <v>42985</v>
      </c>
      <c r="I932" s="2142">
        <v>2388242</v>
      </c>
    </row>
    <row r="933" spans="1:9" s="2139" customFormat="1" hidden="1">
      <c r="A933" s="2140" t="s">
        <v>6858</v>
      </c>
      <c r="B933" s="3560">
        <v>12</v>
      </c>
      <c r="C933" s="2141" t="s">
        <v>3142</v>
      </c>
      <c r="D933" s="3396">
        <v>186</v>
      </c>
      <c r="E933" s="2142">
        <v>86</v>
      </c>
      <c r="F933" s="2142">
        <v>16930</v>
      </c>
      <c r="G933" s="2142">
        <v>1455980</v>
      </c>
      <c r="H933" s="3557">
        <v>43006</v>
      </c>
      <c r="I933" s="2142">
        <v>1455980</v>
      </c>
    </row>
    <row r="934" spans="1:9" s="2139" customFormat="1" hidden="1">
      <c r="A934" s="2140" t="s">
        <v>6866</v>
      </c>
      <c r="B934" s="3560">
        <v>12</v>
      </c>
      <c r="C934" s="2141" t="s">
        <v>3142</v>
      </c>
      <c r="D934" s="3396">
        <v>211</v>
      </c>
      <c r="E934" s="2142">
        <v>49.87</v>
      </c>
      <c r="F934" s="2142">
        <v>15912.85</v>
      </c>
      <c r="G934" s="2142">
        <v>793574</v>
      </c>
      <c r="H934" s="3557">
        <v>43006</v>
      </c>
      <c r="I934" s="2142">
        <v>793574</v>
      </c>
    </row>
    <row r="935" spans="1:9" s="2139" customFormat="1" hidden="1">
      <c r="A935" s="2140" t="s">
        <v>4078</v>
      </c>
      <c r="B935" s="3560" t="s">
        <v>3054</v>
      </c>
      <c r="C935" s="2141" t="s">
        <v>3142</v>
      </c>
      <c r="D935" s="3396">
        <v>19</v>
      </c>
      <c r="E935" s="2142">
        <v>99.8</v>
      </c>
      <c r="F935" s="2142">
        <v>18749.91</v>
      </c>
      <c r="G935" s="2142">
        <v>1871241</v>
      </c>
      <c r="H935" s="3557">
        <v>42979</v>
      </c>
      <c r="I935" s="2142">
        <v>1871241</v>
      </c>
    </row>
    <row r="936" spans="1:9" s="2139" customFormat="1" hidden="1">
      <c r="A936" s="2140" t="s">
        <v>4226</v>
      </c>
      <c r="B936" s="3560" t="s">
        <v>3054</v>
      </c>
      <c r="C936" s="2141" t="s">
        <v>3142</v>
      </c>
      <c r="D936" s="3396">
        <v>216</v>
      </c>
      <c r="E936" s="2142">
        <v>79.78</v>
      </c>
      <c r="F936" s="2142">
        <v>18737.34</v>
      </c>
      <c r="G936" s="2142">
        <v>1494865</v>
      </c>
      <c r="H936" s="3557">
        <v>43003</v>
      </c>
      <c r="I936" s="2142">
        <v>1494865</v>
      </c>
    </row>
    <row r="937" spans="1:9" s="2139" customFormat="1" hidden="1">
      <c r="A937" s="2140" t="s">
        <v>4158</v>
      </c>
      <c r="B937" s="3560" t="s">
        <v>3054</v>
      </c>
      <c r="C937" s="2141" t="s">
        <v>3142</v>
      </c>
      <c r="D937" s="3396">
        <v>136</v>
      </c>
      <c r="E937" s="2142">
        <v>98.08</v>
      </c>
      <c r="F937" s="2142">
        <v>18449.03</v>
      </c>
      <c r="G937" s="2142">
        <v>1809481</v>
      </c>
      <c r="H937" s="3557">
        <v>43003</v>
      </c>
      <c r="I937" s="2142">
        <v>1809481</v>
      </c>
    </row>
    <row r="938" spans="1:9" s="2139" customFormat="1" hidden="1">
      <c r="A938" s="2140" t="s">
        <v>4844</v>
      </c>
      <c r="B938" s="3560" t="s">
        <v>3055</v>
      </c>
      <c r="C938" s="2141" t="s">
        <v>3142</v>
      </c>
      <c r="D938" s="3396">
        <v>62</v>
      </c>
      <c r="E938" s="2142">
        <v>36.49</v>
      </c>
      <c r="F938" s="2142">
        <v>15680.97</v>
      </c>
      <c r="G938" s="2142">
        <v>572199</v>
      </c>
      <c r="H938" s="3557">
        <v>43005</v>
      </c>
      <c r="I938" s="2142">
        <v>572199</v>
      </c>
    </row>
    <row r="939" spans="1:9" s="2139" customFormat="1" hidden="1">
      <c r="A939" s="2140" t="s">
        <v>4877</v>
      </c>
      <c r="B939" s="3560" t="s">
        <v>3055</v>
      </c>
      <c r="C939" s="2141" t="s">
        <v>3142</v>
      </c>
      <c r="D939" s="3396">
        <v>109</v>
      </c>
      <c r="E939" s="2142">
        <v>58.48</v>
      </c>
      <c r="F939" s="2142">
        <v>16216.82</v>
      </c>
      <c r="G939" s="2142">
        <v>948360</v>
      </c>
      <c r="H939" s="3557">
        <v>43005</v>
      </c>
      <c r="I939" s="2142">
        <v>948360</v>
      </c>
    </row>
    <row r="940" spans="1:9" s="2139" customFormat="1" hidden="1">
      <c r="A940" s="2140" t="s">
        <v>4927</v>
      </c>
      <c r="B940" s="3560" t="s">
        <v>3055</v>
      </c>
      <c r="C940" s="2141" t="s">
        <v>3142</v>
      </c>
      <c r="D940" s="3396">
        <v>168</v>
      </c>
      <c r="E940" s="2142">
        <v>44.68</v>
      </c>
      <c r="F940" s="2142">
        <v>16189.6</v>
      </c>
      <c r="G940" s="2142">
        <v>723351</v>
      </c>
      <c r="H940" s="3557">
        <v>43005</v>
      </c>
      <c r="I940" s="2142">
        <v>723351</v>
      </c>
    </row>
    <row r="941" spans="1:9" s="2139" customFormat="1" hidden="1">
      <c r="A941" s="2140" t="s">
        <v>4969</v>
      </c>
      <c r="B941" s="3560" t="s">
        <v>3055</v>
      </c>
      <c r="C941" s="2141" t="s">
        <v>3142</v>
      </c>
      <c r="D941" s="3396">
        <v>231</v>
      </c>
      <c r="E941" s="2142">
        <v>118.85</v>
      </c>
      <c r="F941" s="2142">
        <v>18758.310000000001</v>
      </c>
      <c r="G941" s="2142">
        <v>2229425</v>
      </c>
      <c r="H941" s="3557">
        <v>43005</v>
      </c>
      <c r="I941" s="2142">
        <v>2229425</v>
      </c>
    </row>
    <row r="942" spans="1:9" s="2139" customFormat="1" hidden="1">
      <c r="A942" s="2140" t="s">
        <v>6617</v>
      </c>
      <c r="B942" s="3560">
        <v>11</v>
      </c>
      <c r="C942" s="2141" t="s">
        <v>3142</v>
      </c>
      <c r="D942" s="3396">
        <v>116</v>
      </c>
      <c r="E942" s="2142">
        <v>21.49</v>
      </c>
      <c r="F942" s="2142">
        <v>14986.51</v>
      </c>
      <c r="G942" s="2142">
        <v>322060</v>
      </c>
      <c r="H942" s="3557">
        <v>43005</v>
      </c>
      <c r="I942" s="2142">
        <v>322060</v>
      </c>
    </row>
    <row r="943" spans="1:9" s="2139" customFormat="1" hidden="1">
      <c r="A943" s="2140" t="s">
        <v>4220</v>
      </c>
      <c r="B943" s="3560" t="s">
        <v>3054</v>
      </c>
      <c r="C943" s="2141" t="s">
        <v>3142</v>
      </c>
      <c r="D943" s="3396">
        <v>209</v>
      </c>
      <c r="E943" s="2142">
        <v>82.17</v>
      </c>
      <c r="F943" s="2142">
        <v>18439.169999999998</v>
      </c>
      <c r="G943" s="2142">
        <v>1515147</v>
      </c>
      <c r="H943" s="3557">
        <v>42990</v>
      </c>
      <c r="I943" s="2142">
        <v>1515147</v>
      </c>
    </row>
    <row r="944" spans="1:9" s="2139" customFormat="1" hidden="1">
      <c r="A944" s="2140" t="s">
        <v>4313</v>
      </c>
      <c r="B944" s="3560" t="s">
        <v>3054</v>
      </c>
      <c r="C944" s="2141" t="s">
        <v>3142</v>
      </c>
      <c r="D944" s="3396">
        <v>328</v>
      </c>
      <c r="E944" s="2142">
        <v>61.63</v>
      </c>
      <c r="F944" s="2142">
        <v>18118.900000000001</v>
      </c>
      <c r="G944" s="2142">
        <v>1116668</v>
      </c>
      <c r="H944" s="3557">
        <v>42991</v>
      </c>
      <c r="I944" s="2142">
        <v>1116668</v>
      </c>
    </row>
    <row r="945" spans="1:9" s="2139" customFormat="1" hidden="1">
      <c r="A945" s="2140" t="s">
        <v>4224</v>
      </c>
      <c r="B945" s="3560" t="s">
        <v>3054</v>
      </c>
      <c r="C945" s="2141" t="s">
        <v>3142</v>
      </c>
      <c r="D945" s="3396">
        <v>213</v>
      </c>
      <c r="E945" s="2142">
        <v>93.8</v>
      </c>
      <c r="F945" s="2142">
        <v>18100</v>
      </c>
      <c r="G945" s="2142">
        <v>1697780</v>
      </c>
      <c r="H945" s="3557">
        <v>43003</v>
      </c>
      <c r="I945" s="2142">
        <v>1697780</v>
      </c>
    </row>
    <row r="946" spans="1:9" s="2139" customFormat="1" hidden="1">
      <c r="A946" s="2140" t="s">
        <v>4859</v>
      </c>
      <c r="B946" s="3560" t="s">
        <v>3055</v>
      </c>
      <c r="C946" s="2141" t="s">
        <v>3142</v>
      </c>
      <c r="D946" s="3396">
        <v>81</v>
      </c>
      <c r="E946" s="2142">
        <v>91.27</v>
      </c>
      <c r="F946" s="2142">
        <v>16245.59</v>
      </c>
      <c r="G946" s="2142">
        <v>1482735</v>
      </c>
      <c r="H946" s="3557">
        <v>43004</v>
      </c>
      <c r="I946" s="2142">
        <v>1482735</v>
      </c>
    </row>
    <row r="947" spans="1:9" s="2139" customFormat="1" hidden="1">
      <c r="A947" s="2140" t="s">
        <v>4922</v>
      </c>
      <c r="B947" s="3560" t="s">
        <v>3055</v>
      </c>
      <c r="C947" s="2141" t="s">
        <v>3142</v>
      </c>
      <c r="D947" s="3396">
        <v>161</v>
      </c>
      <c r="E947" s="2142">
        <v>71.91</v>
      </c>
      <c r="F947" s="2142">
        <v>18230.939999999999</v>
      </c>
      <c r="G947" s="2142">
        <v>1310987</v>
      </c>
      <c r="H947" s="3557">
        <v>43004</v>
      </c>
      <c r="I947" s="2142">
        <v>1310987</v>
      </c>
    </row>
    <row r="948" spans="1:9" s="2139" customFormat="1" hidden="1">
      <c r="A948" s="2140" t="s">
        <v>6808</v>
      </c>
      <c r="B948" s="3560">
        <v>12</v>
      </c>
      <c r="C948" s="2141" t="s">
        <v>3142</v>
      </c>
      <c r="D948" s="3396">
        <v>85</v>
      </c>
      <c r="E948" s="2142">
        <v>39.909999999999997</v>
      </c>
      <c r="F948" s="2142">
        <v>18190</v>
      </c>
      <c r="G948" s="2142">
        <v>725963</v>
      </c>
      <c r="H948" s="3557">
        <v>43004</v>
      </c>
      <c r="I948" s="2142">
        <v>725963</v>
      </c>
    </row>
    <row r="949" spans="1:9" s="2139" customFormat="1" hidden="1">
      <c r="A949" s="2140" t="s">
        <v>4230</v>
      </c>
      <c r="B949" s="3560" t="s">
        <v>3054</v>
      </c>
      <c r="C949" s="2141" t="s">
        <v>3142</v>
      </c>
      <c r="D949" s="3396">
        <v>220</v>
      </c>
      <c r="E949" s="2142">
        <v>50.35</v>
      </c>
      <c r="F949" s="2142">
        <v>18100</v>
      </c>
      <c r="G949" s="2142">
        <v>911335</v>
      </c>
      <c r="H949" s="3557">
        <v>42797</v>
      </c>
      <c r="I949" s="2142">
        <v>50000</v>
      </c>
    </row>
    <row r="950" spans="1:9" s="2139" customFormat="1" hidden="1">
      <c r="A950" s="2140" t="s">
        <v>4225</v>
      </c>
      <c r="B950" s="3560" t="s">
        <v>3054</v>
      </c>
      <c r="C950" s="2141" t="s">
        <v>3142</v>
      </c>
      <c r="D950" s="3396">
        <v>215</v>
      </c>
      <c r="E950" s="2142">
        <v>74.55</v>
      </c>
      <c r="F950" s="2142">
        <v>18032.95</v>
      </c>
      <c r="G950" s="2142">
        <v>1344356</v>
      </c>
      <c r="H950" s="3557">
        <v>42993</v>
      </c>
      <c r="I950" s="2142">
        <v>1344356</v>
      </c>
    </row>
    <row r="951" spans="1:9" s="2139" customFormat="1" hidden="1">
      <c r="A951" s="2140" t="s">
        <v>4213</v>
      </c>
      <c r="B951" s="3560" t="s">
        <v>3054</v>
      </c>
      <c r="C951" s="2141" t="s">
        <v>3142</v>
      </c>
      <c r="D951" s="3396">
        <v>201</v>
      </c>
      <c r="E951" s="2142">
        <v>74.53</v>
      </c>
      <c r="F951" s="2142">
        <v>18032.93</v>
      </c>
      <c r="G951" s="2142">
        <v>1343994</v>
      </c>
      <c r="H951" s="3557">
        <v>42997</v>
      </c>
      <c r="I951" s="2142">
        <v>1343994</v>
      </c>
    </row>
    <row r="952" spans="1:9" s="2139" customFormat="1" hidden="1">
      <c r="A952" s="2140" t="s">
        <v>4840</v>
      </c>
      <c r="B952" s="3560" t="s">
        <v>3055</v>
      </c>
      <c r="C952" s="2141" t="s">
        <v>3142</v>
      </c>
      <c r="D952" s="3396">
        <v>58</v>
      </c>
      <c r="E952" s="2142">
        <v>39.64</v>
      </c>
      <c r="F952" s="2142">
        <v>16372.91</v>
      </c>
      <c r="G952" s="2142">
        <v>649022</v>
      </c>
      <c r="H952" s="3557">
        <v>43003</v>
      </c>
      <c r="I952" s="2142">
        <v>649022</v>
      </c>
    </row>
    <row r="953" spans="1:9" s="2139" customFormat="1" hidden="1">
      <c r="A953" s="2140" t="s">
        <v>4875</v>
      </c>
      <c r="B953" s="3560" t="s">
        <v>3055</v>
      </c>
      <c r="C953" s="2141" t="s">
        <v>3142</v>
      </c>
      <c r="D953" s="3396">
        <v>103</v>
      </c>
      <c r="E953" s="2142">
        <v>46.66</v>
      </c>
      <c r="F953" s="2142">
        <v>16393.57</v>
      </c>
      <c r="G953" s="2142">
        <v>764924</v>
      </c>
      <c r="H953" s="3557">
        <v>43003</v>
      </c>
      <c r="I953" s="2142">
        <v>764924</v>
      </c>
    </row>
    <row r="954" spans="1:9" s="2139" customFormat="1" hidden="1">
      <c r="A954" s="2140" t="s">
        <v>4896</v>
      </c>
      <c r="B954" s="3560" t="s">
        <v>3055</v>
      </c>
      <c r="C954" s="2141" t="s">
        <v>3142</v>
      </c>
      <c r="D954" s="3396">
        <v>131</v>
      </c>
      <c r="E954" s="2142">
        <v>45.76</v>
      </c>
      <c r="F954" s="2142">
        <v>15705.76</v>
      </c>
      <c r="G954" s="2142">
        <v>718696</v>
      </c>
      <c r="H954" s="3557">
        <v>43003</v>
      </c>
      <c r="I954" s="2142">
        <v>718696</v>
      </c>
    </row>
    <row r="955" spans="1:9" s="2139" customFormat="1" hidden="1">
      <c r="A955" s="2140" t="s">
        <v>4898</v>
      </c>
      <c r="B955" s="3560" t="s">
        <v>3055</v>
      </c>
      <c r="C955" s="2141" t="s">
        <v>3142</v>
      </c>
      <c r="D955" s="3396">
        <v>135</v>
      </c>
      <c r="E955" s="2142">
        <v>76.930000000000007</v>
      </c>
      <c r="F955" s="2142">
        <v>18235.45</v>
      </c>
      <c r="G955" s="2142">
        <v>1402853</v>
      </c>
      <c r="H955" s="3557">
        <v>43003</v>
      </c>
      <c r="I955" s="2142">
        <v>1402853</v>
      </c>
    </row>
    <row r="956" spans="1:9" s="2139" customFormat="1" hidden="1">
      <c r="A956" s="2140" t="s">
        <v>4908</v>
      </c>
      <c r="B956" s="3560" t="s">
        <v>3055</v>
      </c>
      <c r="C956" s="2141" t="s">
        <v>3142</v>
      </c>
      <c r="D956" s="3396">
        <v>146</v>
      </c>
      <c r="E956" s="2142">
        <v>78.3</v>
      </c>
      <c r="F956" s="2142">
        <v>18800</v>
      </c>
      <c r="G956" s="2142">
        <v>1472040</v>
      </c>
      <c r="H956" s="3557">
        <v>43003</v>
      </c>
      <c r="I956" s="2142">
        <v>1472040</v>
      </c>
    </row>
    <row r="957" spans="1:9" s="2139" customFormat="1" hidden="1">
      <c r="A957" s="2140" t="s">
        <v>4952</v>
      </c>
      <c r="B957" s="3560" t="s">
        <v>3055</v>
      </c>
      <c r="C957" s="2141" t="s">
        <v>3142</v>
      </c>
      <c r="D957" s="3396">
        <v>205</v>
      </c>
      <c r="E957" s="2142">
        <v>94.37</v>
      </c>
      <c r="F957" s="2142">
        <v>16547.61</v>
      </c>
      <c r="G957" s="2142">
        <v>1561598</v>
      </c>
      <c r="H957" s="3557">
        <v>43003</v>
      </c>
      <c r="I957" s="2142">
        <v>1561598</v>
      </c>
    </row>
    <row r="958" spans="1:9" s="2139" customFormat="1" hidden="1">
      <c r="A958" s="2140" t="s">
        <v>4988</v>
      </c>
      <c r="B958" s="3560" t="s">
        <v>3055</v>
      </c>
      <c r="C958" s="2141" t="s">
        <v>3142</v>
      </c>
      <c r="D958" s="3396">
        <v>252</v>
      </c>
      <c r="E958" s="2142">
        <v>41.36</v>
      </c>
      <c r="F958" s="2142">
        <v>15811.01</v>
      </c>
      <c r="G958" s="2142">
        <v>653943</v>
      </c>
      <c r="H958" s="3557">
        <v>43003</v>
      </c>
      <c r="I958" s="2142">
        <v>653943</v>
      </c>
    </row>
    <row r="959" spans="1:9" s="2139" customFormat="1" hidden="1">
      <c r="A959" s="2140" t="s">
        <v>6009</v>
      </c>
      <c r="B959" s="3560" t="s">
        <v>3057</v>
      </c>
      <c r="C959" s="2141" t="s">
        <v>3142</v>
      </c>
      <c r="D959" s="3396">
        <v>265</v>
      </c>
      <c r="E959" s="2142">
        <v>39.79</v>
      </c>
      <c r="F959" s="2142">
        <v>17908</v>
      </c>
      <c r="G959" s="2142">
        <v>712559</v>
      </c>
      <c r="H959" s="3557">
        <v>43003</v>
      </c>
      <c r="I959" s="2142">
        <v>712559</v>
      </c>
    </row>
    <row r="960" spans="1:9" s="2139" customFormat="1" hidden="1">
      <c r="A960" s="2140" t="s">
        <v>6010</v>
      </c>
      <c r="B960" s="3560" t="s">
        <v>3057</v>
      </c>
      <c r="C960" s="2141" t="s">
        <v>3142</v>
      </c>
      <c r="D960" s="3396">
        <v>266</v>
      </c>
      <c r="E960" s="2142">
        <v>47.29</v>
      </c>
      <c r="F960" s="2142">
        <v>22167</v>
      </c>
      <c r="G960" s="2142">
        <v>1048277</v>
      </c>
      <c r="H960" s="3557">
        <v>43003</v>
      </c>
      <c r="I960" s="2142">
        <v>1048277</v>
      </c>
    </row>
    <row r="961" spans="1:9" s="2139" customFormat="1" hidden="1">
      <c r="A961" s="2140" t="s">
        <v>6812</v>
      </c>
      <c r="B961" s="3560">
        <v>12</v>
      </c>
      <c r="C961" s="2141" t="s">
        <v>3142</v>
      </c>
      <c r="D961" s="3396">
        <v>93</v>
      </c>
      <c r="E961" s="2142">
        <v>83.18</v>
      </c>
      <c r="F961" s="2142">
        <v>18190</v>
      </c>
      <c r="G961" s="2142">
        <v>1513044</v>
      </c>
      <c r="H961" s="3557">
        <v>43003</v>
      </c>
      <c r="I961" s="2142">
        <v>1513044</v>
      </c>
    </row>
    <row r="962" spans="1:9" s="2139" customFormat="1" hidden="1">
      <c r="A962" s="2140" t="s">
        <v>6821</v>
      </c>
      <c r="B962" s="3560">
        <v>12</v>
      </c>
      <c r="C962" s="2141" t="s">
        <v>3142</v>
      </c>
      <c r="D962" s="3396">
        <v>119</v>
      </c>
      <c r="E962" s="2142">
        <v>102.22</v>
      </c>
      <c r="F962" s="2142">
        <v>15355</v>
      </c>
      <c r="G962" s="2142">
        <v>1569588</v>
      </c>
      <c r="H962" s="3557">
        <v>43003</v>
      </c>
      <c r="I962" s="2142">
        <v>1569588</v>
      </c>
    </row>
    <row r="963" spans="1:9" s="2139" customFormat="1" hidden="1">
      <c r="A963" s="2140" t="s">
        <v>6878</v>
      </c>
      <c r="B963" s="3560">
        <v>12</v>
      </c>
      <c r="C963" s="2141" t="s">
        <v>3142</v>
      </c>
      <c r="D963" s="3396">
        <v>228</v>
      </c>
      <c r="E963" s="2142">
        <v>40.78</v>
      </c>
      <c r="F963" s="2142">
        <v>22500</v>
      </c>
      <c r="G963" s="2142">
        <v>917550</v>
      </c>
      <c r="H963" s="3557">
        <v>43003</v>
      </c>
      <c r="I963" s="2142">
        <v>917550</v>
      </c>
    </row>
    <row r="964" spans="1:9" s="2139" customFormat="1" hidden="1">
      <c r="A964" s="2140" t="s">
        <v>4234</v>
      </c>
      <c r="B964" s="3560" t="s">
        <v>3054</v>
      </c>
      <c r="C964" s="2141" t="s">
        <v>3142</v>
      </c>
      <c r="D964" s="3396">
        <v>225</v>
      </c>
      <c r="E964" s="2142">
        <v>74.260000000000005</v>
      </c>
      <c r="F964" s="2142">
        <v>18032.689999999999</v>
      </c>
      <c r="G964" s="2142">
        <v>1339108</v>
      </c>
      <c r="H964" s="3557">
        <v>42989</v>
      </c>
      <c r="I964" s="2142">
        <v>1339108</v>
      </c>
    </row>
    <row r="965" spans="1:9" s="2139" customFormat="1" hidden="1">
      <c r="A965" s="2140" t="s">
        <v>4216</v>
      </c>
      <c r="B965" s="3560" t="s">
        <v>3054</v>
      </c>
      <c r="C965" s="2141" t="s">
        <v>3142</v>
      </c>
      <c r="D965" s="3396">
        <v>205</v>
      </c>
      <c r="E965" s="2142">
        <v>71</v>
      </c>
      <c r="F965" s="2142">
        <v>18029.61</v>
      </c>
      <c r="G965" s="2142">
        <v>1280102</v>
      </c>
      <c r="H965" s="3557">
        <v>42987</v>
      </c>
      <c r="I965" s="2142">
        <v>1280102</v>
      </c>
    </row>
    <row r="966" spans="1:9" s="2139" customFormat="1" hidden="1">
      <c r="A966" s="2140" t="s">
        <v>4821</v>
      </c>
      <c r="B966" s="3560" t="s">
        <v>3055</v>
      </c>
      <c r="C966" s="2141" t="s">
        <v>3142</v>
      </c>
      <c r="D966" s="3396">
        <v>36</v>
      </c>
      <c r="E966" s="2142">
        <v>72.23</v>
      </c>
      <c r="F966" s="2142">
        <v>17490.32</v>
      </c>
      <c r="G966" s="2142">
        <v>1263326</v>
      </c>
      <c r="H966" s="3557">
        <v>43002</v>
      </c>
      <c r="I966" s="2142">
        <v>1263326</v>
      </c>
    </row>
    <row r="967" spans="1:9" s="2139" customFormat="1" hidden="1">
      <c r="A967" s="2140" t="s">
        <v>4874</v>
      </c>
      <c r="B967" s="3560" t="s">
        <v>3055</v>
      </c>
      <c r="C967" s="2141" t="s">
        <v>3142</v>
      </c>
      <c r="D967" s="3396">
        <v>102</v>
      </c>
      <c r="E967" s="2142">
        <v>60.06</v>
      </c>
      <c r="F967" s="2142">
        <v>16217.31</v>
      </c>
      <c r="G967" s="2142">
        <v>974012</v>
      </c>
      <c r="H967" s="3557">
        <v>43002</v>
      </c>
      <c r="I967" s="2142">
        <v>974012</v>
      </c>
    </row>
    <row r="968" spans="1:9" s="2139" customFormat="1" hidden="1">
      <c r="A968" s="2140" t="s">
        <v>5002</v>
      </c>
      <c r="B968" s="3560" t="s">
        <v>3055</v>
      </c>
      <c r="C968" s="2141" t="s">
        <v>3142</v>
      </c>
      <c r="D968" s="3396">
        <v>276</v>
      </c>
      <c r="E968" s="2142">
        <v>74.400000000000006</v>
      </c>
      <c r="F968" s="2142">
        <v>15800</v>
      </c>
      <c r="G968" s="2142">
        <v>1175520</v>
      </c>
      <c r="H968" s="3557">
        <v>43002</v>
      </c>
      <c r="I968" s="2142">
        <v>1175520</v>
      </c>
    </row>
    <row r="969" spans="1:9" s="2139" customFormat="1" hidden="1">
      <c r="A969" s="2140" t="s">
        <v>6595</v>
      </c>
      <c r="B969" s="3560">
        <v>11</v>
      </c>
      <c r="C969" s="2141" t="s">
        <v>3142</v>
      </c>
      <c r="D969" s="3396">
        <v>50</v>
      </c>
      <c r="E969" s="2142">
        <v>15.63</v>
      </c>
      <c r="F969" s="2142">
        <v>13487.85</v>
      </c>
      <c r="G969" s="2142">
        <v>210815</v>
      </c>
      <c r="H969" s="3557">
        <v>43002</v>
      </c>
      <c r="I969" s="2142">
        <v>210815</v>
      </c>
    </row>
    <row r="970" spans="1:9" s="2139" customFormat="1" hidden="1">
      <c r="A970" s="2140" t="s">
        <v>4238</v>
      </c>
      <c r="B970" s="3560" t="s">
        <v>3054</v>
      </c>
      <c r="C970" s="2141" t="s">
        <v>3142</v>
      </c>
      <c r="D970" s="3396">
        <v>229</v>
      </c>
      <c r="E970" s="2142">
        <v>47.64</v>
      </c>
      <c r="F970" s="2142">
        <v>17995.09</v>
      </c>
      <c r="G970" s="2142">
        <v>857286</v>
      </c>
      <c r="H970" s="3557">
        <v>42987</v>
      </c>
      <c r="I970" s="2142">
        <v>857286</v>
      </c>
    </row>
    <row r="971" spans="1:9" s="2139" customFormat="1" hidden="1">
      <c r="A971" s="2140" t="s">
        <v>4286</v>
      </c>
      <c r="B971" s="3560" t="s">
        <v>3054</v>
      </c>
      <c r="C971" s="2141" t="s">
        <v>3142</v>
      </c>
      <c r="D971" s="3396">
        <v>285</v>
      </c>
      <c r="E971" s="2142">
        <v>97.56</v>
      </c>
      <c r="F971" s="2142">
        <v>17893.900000000001</v>
      </c>
      <c r="G971" s="2142">
        <v>1745729</v>
      </c>
      <c r="H971" s="3557">
        <v>42987</v>
      </c>
      <c r="I971" s="2142">
        <v>1745729</v>
      </c>
    </row>
    <row r="972" spans="1:9" s="2139" customFormat="1" hidden="1">
      <c r="A972" s="2140" t="s">
        <v>4134</v>
      </c>
      <c r="B972" s="3560" t="s">
        <v>3054</v>
      </c>
      <c r="C972" s="2141" t="s">
        <v>3142</v>
      </c>
      <c r="D972" s="3396">
        <v>107</v>
      </c>
      <c r="E972" s="2142">
        <v>83.48</v>
      </c>
      <c r="F972" s="2142">
        <v>17881.45</v>
      </c>
      <c r="G972" s="2142">
        <v>1492743</v>
      </c>
      <c r="H972" s="3557">
        <v>42985</v>
      </c>
      <c r="I972" s="2142">
        <v>1492743</v>
      </c>
    </row>
    <row r="973" spans="1:9" s="2139" customFormat="1" hidden="1">
      <c r="A973" s="2140" t="s">
        <v>4157</v>
      </c>
      <c r="B973" s="3560" t="s">
        <v>3054</v>
      </c>
      <c r="C973" s="2141" t="s">
        <v>3142</v>
      </c>
      <c r="D973" s="3396">
        <v>135</v>
      </c>
      <c r="E973" s="2142">
        <v>97.18</v>
      </c>
      <c r="F973" s="2142">
        <v>17800</v>
      </c>
      <c r="G973" s="2142">
        <v>1729804.0000000002</v>
      </c>
      <c r="H973" s="3557">
        <v>42991</v>
      </c>
      <c r="I973" s="2142">
        <v>1729804</v>
      </c>
    </row>
    <row r="974" spans="1:9" s="2139" customFormat="1" hidden="1">
      <c r="A974" s="2140" t="s">
        <v>4825</v>
      </c>
      <c r="B974" s="3560" t="s">
        <v>3055</v>
      </c>
      <c r="C974" s="2141" t="s">
        <v>3142</v>
      </c>
      <c r="D974" s="3396">
        <v>40</v>
      </c>
      <c r="E974" s="2142">
        <v>55.77</v>
      </c>
      <c r="F974" s="2142">
        <v>16900.22</v>
      </c>
      <c r="G974" s="2142">
        <v>942525</v>
      </c>
      <c r="H974" s="3557">
        <v>43001</v>
      </c>
      <c r="I974" s="2142">
        <v>942525</v>
      </c>
    </row>
    <row r="975" spans="1:9" s="2139" customFormat="1" hidden="1">
      <c r="A975" s="2140" t="s">
        <v>4852</v>
      </c>
      <c r="B975" s="3560" t="s">
        <v>3055</v>
      </c>
      <c r="C975" s="2141" t="s">
        <v>3142</v>
      </c>
      <c r="D975" s="3396">
        <v>73</v>
      </c>
      <c r="E975" s="2142">
        <v>32.5</v>
      </c>
      <c r="F975" s="2142">
        <v>16847.189999999999</v>
      </c>
      <c r="G975" s="2142">
        <v>547534</v>
      </c>
      <c r="H975" s="3557">
        <v>43001</v>
      </c>
      <c r="I975" s="2142">
        <v>547534</v>
      </c>
    </row>
    <row r="976" spans="1:9" s="2139" customFormat="1" hidden="1">
      <c r="A976" s="2140" t="s">
        <v>6612</v>
      </c>
      <c r="B976" s="3560">
        <v>11</v>
      </c>
      <c r="C976" s="2141" t="s">
        <v>3142</v>
      </c>
      <c r="D976" s="3396">
        <v>101</v>
      </c>
      <c r="E976" s="2142">
        <v>42.55</v>
      </c>
      <c r="F976" s="2142">
        <v>14420</v>
      </c>
      <c r="G976" s="2142">
        <v>613571</v>
      </c>
      <c r="H976" s="3557">
        <v>43001</v>
      </c>
      <c r="I976" s="2142">
        <v>613571</v>
      </c>
    </row>
    <row r="977" spans="1:9" s="2139" customFormat="1" hidden="1">
      <c r="A977" s="2140" t="s">
        <v>6868</v>
      </c>
      <c r="B977" s="3560">
        <v>12</v>
      </c>
      <c r="C977" s="2141" t="s">
        <v>3142</v>
      </c>
      <c r="D977" s="3396">
        <v>213</v>
      </c>
      <c r="E977" s="2142">
        <v>43.07</v>
      </c>
      <c r="F977" s="2142">
        <v>15355</v>
      </c>
      <c r="G977" s="2142">
        <v>661340</v>
      </c>
      <c r="H977" s="3557">
        <v>43001</v>
      </c>
      <c r="I977" s="2142">
        <v>661340</v>
      </c>
    </row>
    <row r="978" spans="1:9" s="2139" customFormat="1" hidden="1">
      <c r="A978" s="2140" t="s">
        <v>4156</v>
      </c>
      <c r="B978" s="3560" t="s">
        <v>3054</v>
      </c>
      <c r="C978" s="2141" t="s">
        <v>3142</v>
      </c>
      <c r="D978" s="3396">
        <v>133</v>
      </c>
      <c r="E978" s="2142">
        <v>97.7</v>
      </c>
      <c r="F978" s="2142">
        <v>17748.84</v>
      </c>
      <c r="G978" s="2142">
        <v>1734062</v>
      </c>
      <c r="H978" s="3557">
        <v>43004</v>
      </c>
      <c r="I978" s="2142">
        <v>1734062</v>
      </c>
    </row>
    <row r="979" spans="1:9" s="2139" customFormat="1" hidden="1">
      <c r="A979" s="2140" t="s">
        <v>4288</v>
      </c>
      <c r="B979" s="3560" t="s">
        <v>3054</v>
      </c>
      <c r="C979" s="2141" t="s">
        <v>3142</v>
      </c>
      <c r="D979" s="3396">
        <v>287</v>
      </c>
      <c r="E979" s="2142">
        <v>73.959999999999994</v>
      </c>
      <c r="F979" s="2142">
        <v>17732.41</v>
      </c>
      <c r="G979" s="2142">
        <v>1311489</v>
      </c>
      <c r="H979" s="3557">
        <v>42991</v>
      </c>
      <c r="I979" s="2142">
        <v>1311489</v>
      </c>
    </row>
    <row r="980" spans="1:9" s="2139" customFormat="1" hidden="1">
      <c r="A980" s="2140" t="s">
        <v>4268</v>
      </c>
      <c r="B980" s="3560" t="s">
        <v>3054</v>
      </c>
      <c r="C980" s="2141" t="s">
        <v>3142</v>
      </c>
      <c r="D980" s="3396">
        <v>263</v>
      </c>
      <c r="E980" s="2142">
        <v>64.45</v>
      </c>
      <c r="F980" s="2142">
        <v>17722.439999999999</v>
      </c>
      <c r="G980" s="2142">
        <v>1142211</v>
      </c>
      <c r="H980" s="3557">
        <v>43002</v>
      </c>
      <c r="I980" s="2142">
        <v>1142211</v>
      </c>
    </row>
    <row r="981" spans="1:9" s="2139" customFormat="1" hidden="1">
      <c r="A981" s="2140" t="s">
        <v>4811</v>
      </c>
      <c r="B981" s="3560" t="s">
        <v>3055</v>
      </c>
      <c r="C981" s="2141" t="s">
        <v>3142</v>
      </c>
      <c r="D981" s="3396">
        <v>25</v>
      </c>
      <c r="E981" s="2142">
        <v>69.14</v>
      </c>
      <c r="F981" s="2142">
        <v>18027.849999999999</v>
      </c>
      <c r="G981" s="2142">
        <v>1246446</v>
      </c>
      <c r="H981" s="3557">
        <v>43000</v>
      </c>
      <c r="I981" s="2142">
        <v>1246446</v>
      </c>
    </row>
    <row r="982" spans="1:9" s="2139" customFormat="1" hidden="1">
      <c r="A982" s="2140" t="s">
        <v>4823</v>
      </c>
      <c r="B982" s="3560" t="s">
        <v>3055</v>
      </c>
      <c r="C982" s="2141" t="s">
        <v>3142</v>
      </c>
      <c r="D982" s="3396">
        <v>38</v>
      </c>
      <c r="E982" s="2142">
        <v>98.31</v>
      </c>
      <c r="F982" s="2142">
        <v>18049.48</v>
      </c>
      <c r="G982" s="2142">
        <v>1774444</v>
      </c>
      <c r="H982" s="3557">
        <v>43000</v>
      </c>
      <c r="I982" s="2142">
        <v>1774444</v>
      </c>
    </row>
    <row r="983" spans="1:9" s="2139" customFormat="1" hidden="1">
      <c r="A983" s="2140" t="s">
        <v>4824</v>
      </c>
      <c r="B983" s="3560" t="s">
        <v>3055</v>
      </c>
      <c r="C983" s="2141" t="s">
        <v>3142</v>
      </c>
      <c r="D983" s="3396">
        <v>39</v>
      </c>
      <c r="E983" s="2142">
        <v>102.62</v>
      </c>
      <c r="F983" s="2142">
        <v>18751.61</v>
      </c>
      <c r="G983" s="2142">
        <v>1924290</v>
      </c>
      <c r="H983" s="3557">
        <v>43000</v>
      </c>
      <c r="I983" s="2142">
        <v>1924290</v>
      </c>
    </row>
    <row r="984" spans="1:9" s="2139" customFormat="1" hidden="1">
      <c r="A984" s="2140" t="s">
        <v>4827</v>
      </c>
      <c r="B984" s="3560" t="s">
        <v>3055</v>
      </c>
      <c r="C984" s="2141" t="s">
        <v>3142</v>
      </c>
      <c r="D984" s="3396">
        <v>43</v>
      </c>
      <c r="E984" s="2142">
        <v>52.95</v>
      </c>
      <c r="F984" s="2142">
        <v>16405.55</v>
      </c>
      <c r="G984" s="2142">
        <v>868674</v>
      </c>
      <c r="H984" s="3557">
        <v>43000</v>
      </c>
      <c r="I984" s="2142">
        <v>868674</v>
      </c>
    </row>
    <row r="985" spans="1:9" s="2139" customFormat="1" hidden="1">
      <c r="A985" s="2140" t="s">
        <v>4904</v>
      </c>
      <c r="B985" s="3560" t="s">
        <v>3055</v>
      </c>
      <c r="C985" s="2141" t="s">
        <v>3142</v>
      </c>
      <c r="D985" s="3396">
        <v>141</v>
      </c>
      <c r="E985" s="2142">
        <v>98.05</v>
      </c>
      <c r="F985" s="2142">
        <v>18249.23</v>
      </c>
      <c r="G985" s="2142">
        <v>1789337</v>
      </c>
      <c r="H985" s="3557">
        <v>43000</v>
      </c>
      <c r="I985" s="2142">
        <v>1789337</v>
      </c>
    </row>
    <row r="986" spans="1:9" s="2139" customFormat="1" hidden="1">
      <c r="A986" s="2140" t="s">
        <v>4949</v>
      </c>
      <c r="B986" s="3560" t="s">
        <v>3055</v>
      </c>
      <c r="C986" s="2141" t="s">
        <v>3142</v>
      </c>
      <c r="D986" s="3396">
        <v>201</v>
      </c>
      <c r="E986" s="2142">
        <v>84.76</v>
      </c>
      <c r="F986" s="2142">
        <v>17741.41</v>
      </c>
      <c r="G986" s="2142">
        <v>1503762</v>
      </c>
      <c r="H986" s="3557">
        <v>43000</v>
      </c>
      <c r="I986" s="2142">
        <v>1503762</v>
      </c>
    </row>
    <row r="987" spans="1:9" s="2139" customFormat="1" hidden="1">
      <c r="A987" s="2140" t="s">
        <v>5988</v>
      </c>
      <c r="B987" s="3560" t="s">
        <v>3057</v>
      </c>
      <c r="C987" s="2141" t="s">
        <v>3142</v>
      </c>
      <c r="D987" s="3396">
        <v>191</v>
      </c>
      <c r="E987" s="2142">
        <v>58.31</v>
      </c>
      <c r="F987" s="2142">
        <v>22167</v>
      </c>
      <c r="G987" s="2142">
        <v>1292558</v>
      </c>
      <c r="H987" s="3557">
        <v>43000</v>
      </c>
      <c r="I987" s="2142">
        <v>1292558</v>
      </c>
    </row>
    <row r="988" spans="1:9" s="2139" customFormat="1" hidden="1">
      <c r="A988" s="2140" t="s">
        <v>6005</v>
      </c>
      <c r="B988" s="3560" t="s">
        <v>3057</v>
      </c>
      <c r="C988" s="2141" t="s">
        <v>3142</v>
      </c>
      <c r="D988" s="3396">
        <v>243</v>
      </c>
      <c r="E988" s="2142">
        <v>72.8</v>
      </c>
      <c r="F988" s="2142">
        <v>19614</v>
      </c>
      <c r="G988" s="2142">
        <v>1427899</v>
      </c>
      <c r="H988" s="3557">
        <v>43000</v>
      </c>
      <c r="I988" s="2142">
        <v>1427899</v>
      </c>
    </row>
    <row r="989" spans="1:9" s="2139" customFormat="1" hidden="1">
      <c r="A989" s="2140" t="s">
        <v>6014</v>
      </c>
      <c r="B989" s="3560" t="s">
        <v>3057</v>
      </c>
      <c r="C989" s="2141" t="s">
        <v>3142</v>
      </c>
      <c r="D989" s="3396">
        <v>303</v>
      </c>
      <c r="E989" s="2142">
        <v>30.14</v>
      </c>
      <c r="F989" s="2142">
        <v>17799.099999999999</v>
      </c>
      <c r="G989" s="2142">
        <v>536465</v>
      </c>
      <c r="H989" s="3557">
        <v>43000</v>
      </c>
      <c r="I989" s="2142">
        <v>536465</v>
      </c>
    </row>
    <row r="990" spans="1:9" s="2139" customFormat="1" hidden="1">
      <c r="A990" s="2140" t="s">
        <v>6586</v>
      </c>
      <c r="B990" s="3560">
        <v>11</v>
      </c>
      <c r="C990" s="2141" t="s">
        <v>3142</v>
      </c>
      <c r="D990" s="3396">
        <v>9</v>
      </c>
      <c r="E990" s="2142">
        <v>51.16</v>
      </c>
      <c r="F990" s="2142">
        <v>19800</v>
      </c>
      <c r="G990" s="2142">
        <v>1012967.9999999999</v>
      </c>
      <c r="H990" s="3557">
        <v>43000</v>
      </c>
      <c r="I990" s="2142">
        <v>1012968</v>
      </c>
    </row>
    <row r="991" spans="1:9" s="2139" customFormat="1" hidden="1">
      <c r="A991" s="2140" t="s">
        <v>4266</v>
      </c>
      <c r="B991" s="3560" t="s">
        <v>3054</v>
      </c>
      <c r="C991" s="2141" t="s">
        <v>3142</v>
      </c>
      <c r="D991" s="3396">
        <v>261</v>
      </c>
      <c r="E991" s="2142">
        <v>64.44</v>
      </c>
      <c r="F991" s="2142">
        <v>17722.419999999998</v>
      </c>
      <c r="G991" s="2142">
        <v>1142033</v>
      </c>
      <c r="H991" s="3557">
        <v>43005</v>
      </c>
      <c r="I991" s="2142">
        <v>1142033</v>
      </c>
    </row>
    <row r="992" spans="1:9" s="2139" customFormat="1" hidden="1">
      <c r="A992" s="2140" t="s">
        <v>4237</v>
      </c>
      <c r="B992" s="3560" t="s">
        <v>3054</v>
      </c>
      <c r="C992" s="2141" t="s">
        <v>3142</v>
      </c>
      <c r="D992" s="3396">
        <v>228</v>
      </c>
      <c r="E992" s="2142">
        <v>77.37</v>
      </c>
      <c r="F992" s="2142">
        <v>17494.40352</v>
      </c>
      <c r="G992" s="2142">
        <v>1353542.0003424</v>
      </c>
      <c r="H992" s="3557">
        <v>42757</v>
      </c>
      <c r="I992" s="2142">
        <v>1353542</v>
      </c>
    </row>
    <row r="993" spans="1:9" s="2139" customFormat="1" hidden="1">
      <c r="A993" s="2140" t="s">
        <v>4186</v>
      </c>
      <c r="B993" s="3560" t="s">
        <v>3054</v>
      </c>
      <c r="C993" s="2141" t="s">
        <v>3142</v>
      </c>
      <c r="D993" s="3396">
        <v>171</v>
      </c>
      <c r="E993" s="2142">
        <v>31.16</v>
      </c>
      <c r="F993" s="2142">
        <v>17489.987163000002</v>
      </c>
      <c r="G993" s="2142">
        <v>544987.99999908009</v>
      </c>
      <c r="H993" s="3557">
        <v>42936</v>
      </c>
      <c r="I993" s="2142">
        <v>274988</v>
      </c>
    </row>
    <row r="994" spans="1:9" s="2139" customFormat="1" hidden="1">
      <c r="A994" s="2140" t="s">
        <v>4265</v>
      </c>
      <c r="B994" s="3560" t="s">
        <v>3054</v>
      </c>
      <c r="C994" s="2141" t="s">
        <v>3142</v>
      </c>
      <c r="D994" s="3396">
        <v>259</v>
      </c>
      <c r="E994" s="2142">
        <v>64.489999999999995</v>
      </c>
      <c r="F994" s="2142">
        <v>17265.993788819873</v>
      </c>
      <c r="G994" s="2142">
        <v>1113484</v>
      </c>
      <c r="H994" s="3557">
        <v>42982</v>
      </c>
      <c r="I994" s="2142">
        <v>1113484</v>
      </c>
    </row>
    <row r="995" spans="1:9" s="2139" customFormat="1" hidden="1">
      <c r="A995" s="2140" t="s">
        <v>4805</v>
      </c>
      <c r="B995" s="3560" t="s">
        <v>3055</v>
      </c>
      <c r="C995" s="2141" t="s">
        <v>3142</v>
      </c>
      <c r="D995" s="3396">
        <v>18</v>
      </c>
      <c r="E995" s="2142">
        <v>41.36</v>
      </c>
      <c r="F995" s="2142">
        <v>16179.95</v>
      </c>
      <c r="G995" s="2142">
        <v>669203</v>
      </c>
      <c r="H995" s="3557">
        <v>42999</v>
      </c>
      <c r="I995" s="2142">
        <v>669203</v>
      </c>
    </row>
    <row r="996" spans="1:9" s="2139" customFormat="1" hidden="1">
      <c r="A996" s="2140" t="s">
        <v>4806</v>
      </c>
      <c r="B996" s="3560" t="s">
        <v>3055</v>
      </c>
      <c r="C996" s="2141" t="s">
        <v>3142</v>
      </c>
      <c r="D996" s="3396">
        <v>19</v>
      </c>
      <c r="E996" s="2142">
        <v>41.44</v>
      </c>
      <c r="F996" s="2142">
        <v>15694.75</v>
      </c>
      <c r="G996" s="2142">
        <v>650390</v>
      </c>
      <c r="H996" s="3557">
        <v>42999</v>
      </c>
      <c r="I996" s="2142">
        <v>650390</v>
      </c>
    </row>
    <row r="997" spans="1:9" s="2139" customFormat="1" hidden="1">
      <c r="A997" s="2140" t="s">
        <v>4826</v>
      </c>
      <c r="B997" s="3560" t="s">
        <v>3055</v>
      </c>
      <c r="C997" s="2141" t="s">
        <v>3142</v>
      </c>
      <c r="D997" s="3396">
        <v>41</v>
      </c>
      <c r="E997" s="2142">
        <v>59.63</v>
      </c>
      <c r="F997" s="2142">
        <v>16224.09</v>
      </c>
      <c r="G997" s="2142">
        <v>967442</v>
      </c>
      <c r="H997" s="3557">
        <v>42999</v>
      </c>
      <c r="I997" s="2142">
        <v>967442</v>
      </c>
    </row>
    <row r="998" spans="1:9" s="2139" customFormat="1" hidden="1">
      <c r="A998" s="2140" t="s">
        <v>4831</v>
      </c>
      <c r="B998" s="3560" t="s">
        <v>3055</v>
      </c>
      <c r="C998" s="2141" t="s">
        <v>3142</v>
      </c>
      <c r="D998" s="3396">
        <v>48</v>
      </c>
      <c r="E998" s="2142">
        <v>47.12</v>
      </c>
      <c r="F998" s="2142">
        <v>16194.6</v>
      </c>
      <c r="G998" s="2142">
        <v>763090</v>
      </c>
      <c r="H998" s="3557">
        <v>42999</v>
      </c>
      <c r="I998" s="2142">
        <v>763090</v>
      </c>
    </row>
    <row r="999" spans="1:9" s="2139" customFormat="1" hidden="1">
      <c r="A999" s="2140" t="s">
        <v>4847</v>
      </c>
      <c r="B999" s="3560" t="s">
        <v>3055</v>
      </c>
      <c r="C999" s="2141" t="s">
        <v>3142</v>
      </c>
      <c r="D999" s="3396">
        <v>67</v>
      </c>
      <c r="E999" s="2142">
        <v>47</v>
      </c>
      <c r="F999" s="2142">
        <v>16300</v>
      </c>
      <c r="G999" s="2142">
        <v>766100</v>
      </c>
      <c r="H999" s="3557">
        <v>42999</v>
      </c>
      <c r="I999" s="2142">
        <v>766100</v>
      </c>
    </row>
    <row r="1000" spans="1:9" s="2139" customFormat="1" hidden="1">
      <c r="A1000" s="2140" t="s">
        <v>4886</v>
      </c>
      <c r="B1000" s="3560" t="s">
        <v>3055</v>
      </c>
      <c r="C1000" s="2141" t="s">
        <v>3142</v>
      </c>
      <c r="D1000" s="3396">
        <v>120</v>
      </c>
      <c r="E1000" s="2142">
        <v>48.61</v>
      </c>
      <c r="F1000" s="2142">
        <v>16500</v>
      </c>
      <c r="G1000" s="2142">
        <v>802065</v>
      </c>
      <c r="H1000" s="3557">
        <v>42999</v>
      </c>
      <c r="I1000" s="2142">
        <v>802065</v>
      </c>
    </row>
    <row r="1001" spans="1:9" s="2139" customFormat="1" hidden="1">
      <c r="A1001" s="2140" t="s">
        <v>6806</v>
      </c>
      <c r="B1001" s="3560">
        <v>12</v>
      </c>
      <c r="C1001" s="2141" t="s">
        <v>3142</v>
      </c>
      <c r="D1001" s="3396">
        <v>78</v>
      </c>
      <c r="E1001" s="2142">
        <v>59.21</v>
      </c>
      <c r="F1001" s="2142">
        <v>18030.009999999998</v>
      </c>
      <c r="G1001" s="2142">
        <v>1067556</v>
      </c>
      <c r="H1001" s="3557">
        <v>42999</v>
      </c>
      <c r="I1001" s="2142">
        <v>1067556</v>
      </c>
    </row>
    <row r="1002" spans="1:9" s="2139" customFormat="1" hidden="1">
      <c r="A1002" s="2140" t="s">
        <v>4144</v>
      </c>
      <c r="B1002" s="3560" t="s">
        <v>3054</v>
      </c>
      <c r="C1002" s="2141" t="s">
        <v>3142</v>
      </c>
      <c r="D1002" s="3396">
        <v>120</v>
      </c>
      <c r="E1002" s="2142">
        <v>48.33</v>
      </c>
      <c r="F1002" s="2142">
        <v>17162.509999999998</v>
      </c>
      <c r="G1002" s="2142">
        <v>829465</v>
      </c>
      <c r="H1002" s="3557">
        <v>43007</v>
      </c>
      <c r="I1002" s="2142">
        <v>829465</v>
      </c>
    </row>
    <row r="1003" spans="1:9" s="2139" customFormat="1" hidden="1">
      <c r="A1003" s="2140" t="s">
        <v>4132</v>
      </c>
      <c r="B1003" s="3560" t="s">
        <v>3054</v>
      </c>
      <c r="C1003" s="2141" t="s">
        <v>3142</v>
      </c>
      <c r="D1003" s="3396">
        <v>105</v>
      </c>
      <c r="E1003" s="2142">
        <v>87.09</v>
      </c>
      <c r="F1003" s="2142">
        <v>16642.599999999999</v>
      </c>
      <c r="G1003" s="2142">
        <v>1449404</v>
      </c>
      <c r="H1003" s="3557">
        <v>42999</v>
      </c>
      <c r="I1003" s="2142">
        <v>1449404</v>
      </c>
    </row>
    <row r="1004" spans="1:9" s="2139" customFormat="1" hidden="1">
      <c r="A1004" s="2140" t="s">
        <v>4809</v>
      </c>
      <c r="B1004" s="3560" t="s">
        <v>3055</v>
      </c>
      <c r="C1004" s="2141" t="s">
        <v>3142</v>
      </c>
      <c r="D1004" s="3396">
        <v>22</v>
      </c>
      <c r="E1004" s="2142">
        <v>72.19</v>
      </c>
      <c r="F1004" s="2142">
        <v>18031.21</v>
      </c>
      <c r="G1004" s="2142">
        <v>1301673</v>
      </c>
      <c r="H1004" s="3557">
        <v>42998</v>
      </c>
      <c r="I1004" s="2142">
        <v>1301673</v>
      </c>
    </row>
    <row r="1005" spans="1:9" s="2139" customFormat="1" hidden="1">
      <c r="A1005" s="2140" t="s">
        <v>4812</v>
      </c>
      <c r="B1005" s="3560" t="s">
        <v>3055</v>
      </c>
      <c r="C1005" s="2141" t="s">
        <v>3142</v>
      </c>
      <c r="D1005" s="3396">
        <v>26</v>
      </c>
      <c r="E1005" s="2142">
        <v>72.19</v>
      </c>
      <c r="F1005" s="2142">
        <v>18031.21</v>
      </c>
      <c r="G1005" s="2142">
        <v>1301673</v>
      </c>
      <c r="H1005" s="3557">
        <v>42998</v>
      </c>
      <c r="I1005" s="2142">
        <v>1301673</v>
      </c>
    </row>
    <row r="1006" spans="1:9" s="2139" customFormat="1" hidden="1">
      <c r="A1006" s="2140" t="s">
        <v>4833</v>
      </c>
      <c r="B1006" s="3560" t="s">
        <v>3055</v>
      </c>
      <c r="C1006" s="2141" t="s">
        <v>3142</v>
      </c>
      <c r="D1006" s="3396">
        <v>50</v>
      </c>
      <c r="E1006" s="2142">
        <v>48.24</v>
      </c>
      <c r="F1006" s="2142">
        <v>15708.77</v>
      </c>
      <c r="G1006" s="2142">
        <v>757791</v>
      </c>
      <c r="H1006" s="3557">
        <v>42998</v>
      </c>
      <c r="I1006" s="2142">
        <v>757791</v>
      </c>
    </row>
    <row r="1007" spans="1:9" s="2139" customFormat="1" hidden="1">
      <c r="A1007" s="2140" t="s">
        <v>6335</v>
      </c>
      <c r="B1007" s="3560">
        <v>9</v>
      </c>
      <c r="C1007" s="2141" t="s">
        <v>3142</v>
      </c>
      <c r="D1007" s="3396">
        <v>56</v>
      </c>
      <c r="E1007" s="2142">
        <v>41.75</v>
      </c>
      <c r="F1007" s="2142">
        <v>14379</v>
      </c>
      <c r="G1007" s="2142">
        <v>600323</v>
      </c>
      <c r="H1007" s="3557">
        <v>42998</v>
      </c>
      <c r="I1007" s="2142">
        <v>600323</v>
      </c>
    </row>
    <row r="1008" spans="1:9" s="2139" customFormat="1" hidden="1">
      <c r="A1008" s="2140" t="s">
        <v>4260</v>
      </c>
      <c r="B1008" s="3560" t="s">
        <v>3054</v>
      </c>
      <c r="C1008" s="2141" t="s">
        <v>3142</v>
      </c>
      <c r="D1008" s="3396">
        <v>253</v>
      </c>
      <c r="E1008" s="2142">
        <v>74.489999999999995</v>
      </c>
      <c r="F1008" s="2142">
        <v>16628.939999999999</v>
      </c>
      <c r="G1008" s="2142">
        <v>1238690</v>
      </c>
      <c r="H1008" s="3557">
        <v>42999</v>
      </c>
      <c r="I1008" s="2142">
        <v>1238690</v>
      </c>
    </row>
    <row r="1009" spans="1:9" s="2139" customFormat="1" hidden="1">
      <c r="A1009" s="2140" t="s">
        <v>4152</v>
      </c>
      <c r="B1009" s="3560" t="s">
        <v>3054</v>
      </c>
      <c r="C1009" s="2141" t="s">
        <v>3142</v>
      </c>
      <c r="D1009" s="3396">
        <v>129</v>
      </c>
      <c r="E1009" s="2142">
        <v>114.76</v>
      </c>
      <c r="F1009" s="2142">
        <v>16300</v>
      </c>
      <c r="G1009" s="2142">
        <v>1870588</v>
      </c>
      <c r="H1009" s="3557">
        <v>42838</v>
      </c>
      <c r="I1009" s="2142">
        <v>1767958</v>
      </c>
    </row>
    <row r="1010" spans="1:9" s="2139" customFormat="1" hidden="1">
      <c r="A1010" s="2140" t="s">
        <v>4262</v>
      </c>
      <c r="B1010" s="3560" t="s">
        <v>3054</v>
      </c>
      <c r="C1010" s="2141" t="s">
        <v>3142</v>
      </c>
      <c r="D1010" s="3396">
        <v>256</v>
      </c>
      <c r="E1010" s="2142">
        <v>69.06</v>
      </c>
      <c r="F1010" s="2142">
        <v>16227.62</v>
      </c>
      <c r="G1010" s="2142">
        <v>1120679</v>
      </c>
      <c r="H1010" s="3557">
        <v>42993</v>
      </c>
      <c r="I1010" s="2142">
        <v>1120679</v>
      </c>
    </row>
    <row r="1011" spans="1:9" s="2139" customFormat="1" hidden="1">
      <c r="A1011" s="2140" t="s">
        <v>4828</v>
      </c>
      <c r="B1011" s="3560" t="s">
        <v>3055</v>
      </c>
      <c r="C1011" s="2141" t="s">
        <v>3142</v>
      </c>
      <c r="D1011" s="3396">
        <v>45</v>
      </c>
      <c r="E1011" s="2142">
        <v>43.2</v>
      </c>
      <c r="F1011" s="2142">
        <v>16385.03</v>
      </c>
      <c r="G1011" s="2142">
        <v>707833</v>
      </c>
      <c r="H1011" s="3557">
        <v>42997</v>
      </c>
      <c r="I1011" s="2142">
        <v>707833</v>
      </c>
    </row>
    <row r="1012" spans="1:9" s="2139" customFormat="1" hidden="1">
      <c r="A1012" s="2140" t="s">
        <v>4856</v>
      </c>
      <c r="B1012" s="3560" t="s">
        <v>3055</v>
      </c>
      <c r="C1012" s="2141" t="s">
        <v>3142</v>
      </c>
      <c r="D1012" s="3396">
        <v>78</v>
      </c>
      <c r="E1012" s="2142">
        <v>32.17</v>
      </c>
      <c r="F1012" s="2142">
        <v>16344.91</v>
      </c>
      <c r="G1012" s="2142">
        <v>525816</v>
      </c>
      <c r="H1012" s="3557">
        <v>42997</v>
      </c>
      <c r="I1012" s="2142">
        <v>525816</v>
      </c>
    </row>
    <row r="1013" spans="1:9" s="2139" customFormat="1" hidden="1">
      <c r="A1013" s="2140" t="s">
        <v>4858</v>
      </c>
      <c r="B1013" s="3560" t="s">
        <v>3055</v>
      </c>
      <c r="C1013" s="2141" t="s">
        <v>3142</v>
      </c>
      <c r="D1013" s="3396">
        <v>80</v>
      </c>
      <c r="E1013" s="2142">
        <v>29.24</v>
      </c>
      <c r="F1013" s="2142">
        <v>16300</v>
      </c>
      <c r="G1013" s="2142">
        <v>476612</v>
      </c>
      <c r="H1013" s="3557">
        <v>42997</v>
      </c>
      <c r="I1013" s="2142">
        <v>476612</v>
      </c>
    </row>
    <row r="1014" spans="1:9" s="2139" customFormat="1" hidden="1">
      <c r="A1014" s="2140" t="s">
        <v>4970</v>
      </c>
      <c r="B1014" s="3560" t="s">
        <v>3055</v>
      </c>
      <c r="C1014" s="2141" t="s">
        <v>3142</v>
      </c>
      <c r="D1014" s="3396">
        <v>232</v>
      </c>
      <c r="E1014" s="2142">
        <v>69.86</v>
      </c>
      <c r="F1014" s="2142">
        <v>17487.310000000001</v>
      </c>
      <c r="G1014" s="2142">
        <v>1221663</v>
      </c>
      <c r="H1014" s="3557">
        <v>42997</v>
      </c>
      <c r="I1014" s="2142">
        <v>1221663</v>
      </c>
    </row>
    <row r="1015" spans="1:9" s="2139" customFormat="1" hidden="1">
      <c r="A1015" s="2140" t="s">
        <v>6862</v>
      </c>
      <c r="B1015" s="3560">
        <v>12</v>
      </c>
      <c r="C1015" s="2141" t="s">
        <v>3142</v>
      </c>
      <c r="D1015" s="3396">
        <v>202</v>
      </c>
      <c r="E1015" s="2142">
        <v>82.8</v>
      </c>
      <c r="F1015" s="2142">
        <v>20080</v>
      </c>
      <c r="G1015" s="2142">
        <v>1662624</v>
      </c>
      <c r="H1015" s="3557">
        <v>42997</v>
      </c>
      <c r="I1015" s="2142">
        <v>1662624</v>
      </c>
    </row>
    <row r="1016" spans="1:9" s="2139" customFormat="1" hidden="1">
      <c r="A1016" s="2140" t="s">
        <v>4876</v>
      </c>
      <c r="B1016" s="3560" t="s">
        <v>3055</v>
      </c>
      <c r="C1016" s="2141" t="s">
        <v>3142</v>
      </c>
      <c r="D1016" s="3396">
        <v>108</v>
      </c>
      <c r="E1016" s="2142">
        <v>41.82</v>
      </c>
      <c r="F1016" s="2142">
        <v>16381.26</v>
      </c>
      <c r="G1016" s="2142">
        <v>685064</v>
      </c>
      <c r="H1016" s="3557">
        <v>42996</v>
      </c>
      <c r="I1016" s="2142">
        <v>685064</v>
      </c>
    </row>
    <row r="1017" spans="1:9" s="2139" customFormat="1" hidden="1">
      <c r="A1017" s="2140" t="s">
        <v>4999</v>
      </c>
      <c r="B1017" s="3560" t="s">
        <v>3055</v>
      </c>
      <c r="C1017" s="2141" t="s">
        <v>3142</v>
      </c>
      <c r="D1017" s="3396">
        <v>272</v>
      </c>
      <c r="E1017" s="2142">
        <v>73.3</v>
      </c>
      <c r="F1017" s="2142">
        <v>15800</v>
      </c>
      <c r="G1017" s="2142">
        <v>1158140</v>
      </c>
      <c r="H1017" s="3557">
        <v>42996</v>
      </c>
      <c r="I1017" s="2142">
        <v>1158140</v>
      </c>
    </row>
    <row r="1018" spans="1:9" s="2139" customFormat="1" hidden="1">
      <c r="A1018" s="2140" t="s">
        <v>5000</v>
      </c>
      <c r="B1018" s="3560" t="s">
        <v>3055</v>
      </c>
      <c r="C1018" s="2141" t="s">
        <v>3142</v>
      </c>
      <c r="D1018" s="3396">
        <v>273</v>
      </c>
      <c r="E1018" s="2142">
        <v>75.73</v>
      </c>
      <c r="F1018" s="2142">
        <v>15800</v>
      </c>
      <c r="G1018" s="2142">
        <v>1196534</v>
      </c>
      <c r="H1018" s="3557">
        <v>42996</v>
      </c>
      <c r="I1018" s="2142">
        <v>1196534</v>
      </c>
    </row>
    <row r="1019" spans="1:9" s="2139" customFormat="1" hidden="1">
      <c r="A1019" s="2140" t="s">
        <v>6851</v>
      </c>
      <c r="B1019" s="3560">
        <v>12</v>
      </c>
      <c r="C1019" s="2141" t="s">
        <v>3142</v>
      </c>
      <c r="D1019" s="3396">
        <v>167</v>
      </c>
      <c r="E1019" s="2142">
        <v>68.62</v>
      </c>
      <c r="F1019" s="2142">
        <v>19030</v>
      </c>
      <c r="G1019" s="2142">
        <v>1305839</v>
      </c>
      <c r="H1019" s="3557">
        <v>42996</v>
      </c>
      <c r="I1019" s="2142">
        <v>1305839</v>
      </c>
    </row>
    <row r="1020" spans="1:9" s="2139" customFormat="1" hidden="1">
      <c r="A1020" s="2140" t="s">
        <v>4983</v>
      </c>
      <c r="B1020" s="3560" t="s">
        <v>3055</v>
      </c>
      <c r="C1020" s="2141" t="s">
        <v>3142</v>
      </c>
      <c r="D1020" s="3396">
        <v>247</v>
      </c>
      <c r="E1020" s="2142">
        <v>41.33</v>
      </c>
      <c r="F1020" s="2142">
        <v>15811.01</v>
      </c>
      <c r="G1020" s="2142">
        <v>653469</v>
      </c>
      <c r="H1020" s="3557">
        <v>42995</v>
      </c>
      <c r="I1020" s="2142">
        <v>653469</v>
      </c>
    </row>
    <row r="1021" spans="1:9" s="2139" customFormat="1" hidden="1">
      <c r="A1021" s="2140" t="s">
        <v>5003</v>
      </c>
      <c r="B1021" s="3560" t="s">
        <v>3055</v>
      </c>
      <c r="C1021" s="2141" t="s">
        <v>3142</v>
      </c>
      <c r="D1021" s="3396">
        <v>277</v>
      </c>
      <c r="E1021" s="2142">
        <v>74.319999999999993</v>
      </c>
      <c r="F1021" s="2142">
        <v>15800</v>
      </c>
      <c r="G1021" s="2142">
        <v>1174256</v>
      </c>
      <c r="H1021" s="3557">
        <v>42995</v>
      </c>
      <c r="I1021" s="2142">
        <v>1174256</v>
      </c>
    </row>
    <row r="1022" spans="1:9" s="2139" customFormat="1" hidden="1">
      <c r="A1022" s="2140" t="s">
        <v>5004</v>
      </c>
      <c r="B1022" s="3560" t="s">
        <v>3055</v>
      </c>
      <c r="C1022" s="2141" t="s">
        <v>3142</v>
      </c>
      <c r="D1022" s="3396">
        <v>278</v>
      </c>
      <c r="E1022" s="2142">
        <v>74.36</v>
      </c>
      <c r="F1022" s="2142">
        <v>15800</v>
      </c>
      <c r="G1022" s="2142">
        <v>1174888</v>
      </c>
      <c r="H1022" s="3557">
        <v>42995</v>
      </c>
      <c r="I1022" s="2142">
        <v>1174888</v>
      </c>
    </row>
    <row r="1023" spans="1:9" s="2139" customFormat="1" hidden="1">
      <c r="A1023" s="2140" t="s">
        <v>5513</v>
      </c>
      <c r="B1023" s="3560" t="s">
        <v>3056</v>
      </c>
      <c r="C1023" s="2141" t="s">
        <v>3142</v>
      </c>
      <c r="D1023" s="3396">
        <v>280</v>
      </c>
      <c r="E1023" s="2142">
        <v>34.46</v>
      </c>
      <c r="F1023" s="2142">
        <v>20600</v>
      </c>
      <c r="G1023" s="2142">
        <v>709876</v>
      </c>
      <c r="H1023" s="3557">
        <v>42995</v>
      </c>
      <c r="I1023" s="2142">
        <v>709876</v>
      </c>
    </row>
    <row r="1024" spans="1:9" s="2139" customFormat="1" hidden="1">
      <c r="A1024" s="2140" t="s">
        <v>6798</v>
      </c>
      <c r="B1024" s="3560">
        <v>12</v>
      </c>
      <c r="C1024" s="2141" t="s">
        <v>3142</v>
      </c>
      <c r="D1024" s="3396">
        <v>67</v>
      </c>
      <c r="E1024" s="2142">
        <v>69.06</v>
      </c>
      <c r="F1024" s="2142">
        <v>19021.7</v>
      </c>
      <c r="G1024" s="2142">
        <v>1313639</v>
      </c>
      <c r="H1024" s="3557">
        <v>42995</v>
      </c>
      <c r="I1024" s="2142">
        <v>1313639</v>
      </c>
    </row>
    <row r="1025" spans="1:9" s="2139" customFormat="1" hidden="1">
      <c r="A1025" s="2140" t="s">
        <v>6799</v>
      </c>
      <c r="B1025" s="3560">
        <v>12</v>
      </c>
      <c r="C1025" s="2141" t="s">
        <v>3142</v>
      </c>
      <c r="D1025" s="3396">
        <v>68</v>
      </c>
      <c r="E1025" s="2142">
        <v>69.66</v>
      </c>
      <c r="F1025" s="2142">
        <v>17610.009999999998</v>
      </c>
      <c r="G1025" s="2142">
        <v>1226713</v>
      </c>
      <c r="H1025" s="3557">
        <v>42995</v>
      </c>
      <c r="I1025" s="2142">
        <v>1226713</v>
      </c>
    </row>
    <row r="1026" spans="1:9" s="2139" customFormat="1" hidden="1">
      <c r="A1026" s="2140" t="s">
        <v>6861</v>
      </c>
      <c r="B1026" s="3560">
        <v>12</v>
      </c>
      <c r="C1026" s="2141" t="s">
        <v>3142</v>
      </c>
      <c r="D1026" s="3396">
        <v>198</v>
      </c>
      <c r="E1026" s="2142">
        <v>77.06</v>
      </c>
      <c r="F1026" s="2142">
        <v>19030</v>
      </c>
      <c r="G1026" s="2142">
        <v>1466452</v>
      </c>
      <c r="H1026" s="3557">
        <v>42995</v>
      </c>
      <c r="I1026" s="2142">
        <v>1466452</v>
      </c>
    </row>
    <row r="1027" spans="1:9" s="2139" customFormat="1" hidden="1">
      <c r="A1027" s="2140" t="s">
        <v>4174</v>
      </c>
      <c r="B1027" s="3560" t="s">
        <v>3054</v>
      </c>
      <c r="C1027" s="2141" t="s">
        <v>3142</v>
      </c>
      <c r="D1027" s="3396">
        <v>155</v>
      </c>
      <c r="E1027" s="2142">
        <v>60.62</v>
      </c>
      <c r="F1027" s="2142">
        <v>16217.55</v>
      </c>
      <c r="G1027" s="2142">
        <v>983108</v>
      </c>
      <c r="H1027" s="3557">
        <v>43000</v>
      </c>
      <c r="I1027" s="2142">
        <v>983108</v>
      </c>
    </row>
    <row r="1028" spans="1:9" s="2139" customFormat="1" hidden="1">
      <c r="A1028" s="2140" t="s">
        <v>4249</v>
      </c>
      <c r="B1028" s="3560" t="s">
        <v>3054</v>
      </c>
      <c r="C1028" s="2141" t="s">
        <v>3142</v>
      </c>
      <c r="D1028" s="3396">
        <v>241</v>
      </c>
      <c r="E1028" s="2142">
        <v>41.75</v>
      </c>
      <c r="F1028" s="2142">
        <v>16180.27</v>
      </c>
      <c r="G1028" s="2142">
        <v>675526</v>
      </c>
      <c r="H1028" s="3557">
        <v>42984</v>
      </c>
      <c r="I1028" s="2142">
        <v>675526</v>
      </c>
    </row>
    <row r="1029" spans="1:9" s="2139" customFormat="1" hidden="1">
      <c r="A1029" s="2140" t="s">
        <v>4170</v>
      </c>
      <c r="B1029" s="3560" t="s">
        <v>3054</v>
      </c>
      <c r="C1029" s="2141" t="s">
        <v>3142</v>
      </c>
      <c r="D1029" s="3396">
        <v>149</v>
      </c>
      <c r="E1029" s="2142">
        <v>38.83</v>
      </c>
      <c r="F1029" s="2142">
        <v>16171.27</v>
      </c>
      <c r="G1029" s="2142">
        <v>627930</v>
      </c>
      <c r="H1029" s="3557">
        <v>42998</v>
      </c>
      <c r="I1029" s="2142">
        <v>627930</v>
      </c>
    </row>
    <row r="1030" spans="1:9" s="2139" customFormat="1" hidden="1">
      <c r="A1030" s="2140" t="s">
        <v>4864</v>
      </c>
      <c r="B1030" s="3560" t="s">
        <v>3055</v>
      </c>
      <c r="C1030" s="2141" t="s">
        <v>3142</v>
      </c>
      <c r="D1030" s="3396">
        <v>88</v>
      </c>
      <c r="E1030" s="2142">
        <v>92.41</v>
      </c>
      <c r="F1030" s="2142">
        <v>16246.26</v>
      </c>
      <c r="G1030" s="2142">
        <v>1501317</v>
      </c>
      <c r="H1030" s="3557">
        <v>42994</v>
      </c>
      <c r="I1030" s="2142">
        <v>1501317</v>
      </c>
    </row>
    <row r="1031" spans="1:9" s="2139" customFormat="1" hidden="1">
      <c r="A1031" s="2140" t="s">
        <v>4916</v>
      </c>
      <c r="B1031" s="3560" t="s">
        <v>3055</v>
      </c>
      <c r="C1031" s="2141" t="s">
        <v>3142</v>
      </c>
      <c r="D1031" s="3396">
        <v>155</v>
      </c>
      <c r="E1031" s="2142">
        <v>68.45</v>
      </c>
      <c r="F1031" s="2142">
        <v>18226.22</v>
      </c>
      <c r="G1031" s="2142">
        <v>1247585</v>
      </c>
      <c r="H1031" s="3557">
        <v>42994</v>
      </c>
      <c r="I1031" s="2142">
        <v>1247585</v>
      </c>
    </row>
    <row r="1032" spans="1:9" s="2139" customFormat="1" hidden="1">
      <c r="A1032" s="2140" t="s">
        <v>6883</v>
      </c>
      <c r="B1032" s="3560">
        <v>12</v>
      </c>
      <c r="C1032" s="2141" t="s">
        <v>3142</v>
      </c>
      <c r="D1032" s="3396">
        <v>238</v>
      </c>
      <c r="E1032" s="2142">
        <v>87.15</v>
      </c>
      <c r="F1032" s="2142">
        <v>19076</v>
      </c>
      <c r="G1032" s="2142">
        <v>1662473</v>
      </c>
      <c r="H1032" s="3557">
        <v>42994</v>
      </c>
      <c r="I1032" s="2142">
        <v>1662473</v>
      </c>
    </row>
    <row r="1033" spans="1:9" s="2139" customFormat="1" hidden="1">
      <c r="A1033" s="2140" t="s">
        <v>4089</v>
      </c>
      <c r="B1033" s="3560" t="s">
        <v>3054</v>
      </c>
      <c r="C1033" s="2141" t="s">
        <v>3142</v>
      </c>
      <c r="D1033" s="3396">
        <v>36</v>
      </c>
      <c r="E1033" s="2142">
        <v>85.65</v>
      </c>
      <c r="F1033" s="2142">
        <v>16100</v>
      </c>
      <c r="G1033" s="2142">
        <v>1378965</v>
      </c>
      <c r="H1033" s="3557">
        <v>42988</v>
      </c>
      <c r="I1033" s="2142">
        <v>1378965</v>
      </c>
    </row>
    <row r="1034" spans="1:9" s="2139" customFormat="1" hidden="1">
      <c r="A1034" s="2140" t="s">
        <v>4318</v>
      </c>
      <c r="B1034" s="3560" t="s">
        <v>3054</v>
      </c>
      <c r="C1034" s="2141" t="s">
        <v>3142</v>
      </c>
      <c r="D1034" s="3396">
        <v>335</v>
      </c>
      <c r="E1034" s="2142">
        <v>70.08</v>
      </c>
      <c r="F1034" s="2142">
        <v>16100</v>
      </c>
      <c r="G1034" s="2142">
        <v>1128288</v>
      </c>
      <c r="H1034" s="3557">
        <v>42979</v>
      </c>
      <c r="I1034" s="2142">
        <v>1128288</v>
      </c>
    </row>
    <row r="1035" spans="1:9" s="2139" customFormat="1" hidden="1">
      <c r="A1035" s="2140" t="s">
        <v>4086</v>
      </c>
      <c r="B1035" s="3560" t="s">
        <v>3054</v>
      </c>
      <c r="C1035" s="2141" t="s">
        <v>3142</v>
      </c>
      <c r="D1035" s="3396">
        <v>28</v>
      </c>
      <c r="E1035" s="2142">
        <v>40.700000000000003</v>
      </c>
      <c r="F1035" s="2142">
        <v>16080.03</v>
      </c>
      <c r="G1035" s="2142">
        <v>654457.22100000002</v>
      </c>
      <c r="H1035" s="3557">
        <v>42839</v>
      </c>
      <c r="I1035" s="2142">
        <v>654457</v>
      </c>
    </row>
    <row r="1036" spans="1:9" s="2139" customFormat="1" hidden="1">
      <c r="A1036" s="2140" t="s">
        <v>4118</v>
      </c>
      <c r="B1036" s="3560" t="s">
        <v>3054</v>
      </c>
      <c r="C1036" s="2141" t="s">
        <v>3142</v>
      </c>
      <c r="D1036" s="3396">
        <v>79</v>
      </c>
      <c r="E1036" s="2142">
        <v>64.459999999999994</v>
      </c>
      <c r="F1036" s="2142">
        <v>16022.46</v>
      </c>
      <c r="G1036" s="2142">
        <v>1032808</v>
      </c>
      <c r="H1036" s="3557">
        <v>43001</v>
      </c>
      <c r="I1036" s="2142">
        <v>1032808</v>
      </c>
    </row>
    <row r="1037" spans="1:9" s="2139" customFormat="1" hidden="1">
      <c r="A1037" s="2140" t="s">
        <v>4198</v>
      </c>
      <c r="B1037" s="3560" t="s">
        <v>3054</v>
      </c>
      <c r="C1037" s="2141" t="s">
        <v>3142</v>
      </c>
      <c r="D1037" s="3396">
        <v>185</v>
      </c>
      <c r="E1037" s="2142">
        <v>58.94</v>
      </c>
      <c r="F1037" s="2142">
        <v>16015.31</v>
      </c>
      <c r="G1037" s="2142">
        <v>943942.37139999995</v>
      </c>
      <c r="H1037" s="3557">
        <v>42878</v>
      </c>
      <c r="I1037" s="2142">
        <v>943942</v>
      </c>
    </row>
    <row r="1038" spans="1:9" s="2139" customFormat="1" hidden="1">
      <c r="A1038" s="2140" t="s">
        <v>4177</v>
      </c>
      <c r="B1038" s="3560" t="s">
        <v>3054</v>
      </c>
      <c r="C1038" s="2141" t="s">
        <v>3142</v>
      </c>
      <c r="D1038" s="3396">
        <v>159</v>
      </c>
      <c r="E1038" s="2142">
        <v>48.87</v>
      </c>
      <c r="F1038" s="2142">
        <v>15997.71</v>
      </c>
      <c r="G1038" s="2142">
        <v>781808</v>
      </c>
      <c r="H1038" s="3557">
        <v>42990</v>
      </c>
      <c r="I1038" s="2142">
        <v>781808</v>
      </c>
    </row>
    <row r="1039" spans="1:9" s="2139" customFormat="1" hidden="1">
      <c r="A1039" s="2140" t="s">
        <v>4815</v>
      </c>
      <c r="B1039" s="3560" t="s">
        <v>3055</v>
      </c>
      <c r="C1039" s="2141" t="s">
        <v>3142</v>
      </c>
      <c r="D1039" s="3396">
        <v>29</v>
      </c>
      <c r="E1039" s="2142">
        <v>65.31</v>
      </c>
      <c r="F1039" s="2142">
        <v>18723.97</v>
      </c>
      <c r="G1039" s="2142">
        <v>1222862</v>
      </c>
      <c r="H1039" s="3557">
        <v>42993</v>
      </c>
      <c r="I1039" s="2142">
        <v>1222862</v>
      </c>
    </row>
    <row r="1040" spans="1:9" s="2139" customFormat="1" hidden="1">
      <c r="A1040" s="2140" t="s">
        <v>4851</v>
      </c>
      <c r="B1040" s="3560" t="s">
        <v>3055</v>
      </c>
      <c r="C1040" s="2141" t="s">
        <v>3142</v>
      </c>
      <c r="D1040" s="3396">
        <v>72</v>
      </c>
      <c r="E1040" s="2142">
        <v>30.95</v>
      </c>
      <c r="F1040" s="2142">
        <v>16441.57</v>
      </c>
      <c r="G1040" s="2142">
        <v>508867</v>
      </c>
      <c r="H1040" s="3557">
        <v>42993</v>
      </c>
      <c r="I1040" s="2142">
        <v>508867</v>
      </c>
    </row>
    <row r="1041" spans="1:9" s="2139" customFormat="1" hidden="1">
      <c r="A1041" s="2140" t="s">
        <v>4866</v>
      </c>
      <c r="B1041" s="3560" t="s">
        <v>3055</v>
      </c>
      <c r="C1041" s="2141" t="s">
        <v>3142</v>
      </c>
      <c r="D1041" s="3396">
        <v>91</v>
      </c>
      <c r="E1041" s="2142">
        <v>65.67</v>
      </c>
      <c r="F1041" s="2142">
        <v>16924.38</v>
      </c>
      <c r="G1041" s="2142">
        <v>1111424</v>
      </c>
      <c r="H1041" s="3557">
        <v>42993</v>
      </c>
      <c r="I1041" s="2142">
        <v>1111424</v>
      </c>
    </row>
    <row r="1042" spans="1:9" s="2139" customFormat="1" hidden="1">
      <c r="A1042" s="2140" t="s">
        <v>6816</v>
      </c>
      <c r="B1042" s="3560">
        <v>12</v>
      </c>
      <c r="C1042" s="2141" t="s">
        <v>3142</v>
      </c>
      <c r="D1042" s="3396">
        <v>107</v>
      </c>
      <c r="E1042" s="2142">
        <v>29.93</v>
      </c>
      <c r="F1042" s="2142">
        <v>21157.65</v>
      </c>
      <c r="G1042" s="2142">
        <v>633248</v>
      </c>
      <c r="H1042" s="3557">
        <v>42993</v>
      </c>
      <c r="I1042" s="2142">
        <v>633248</v>
      </c>
    </row>
    <row r="1043" spans="1:9" s="2139" customFormat="1" hidden="1">
      <c r="A1043" s="2140" t="s">
        <v>4872</v>
      </c>
      <c r="B1043" s="3560" t="s">
        <v>3055</v>
      </c>
      <c r="C1043" s="2141" t="s">
        <v>3142</v>
      </c>
      <c r="D1043" s="3396">
        <v>99</v>
      </c>
      <c r="E1043" s="2142">
        <v>75.48</v>
      </c>
      <c r="F1043" s="2142">
        <v>16922.490000000002</v>
      </c>
      <c r="G1043" s="2142">
        <v>1277310</v>
      </c>
      <c r="H1043" s="3557">
        <v>42992</v>
      </c>
      <c r="I1043" s="2142">
        <v>1277310</v>
      </c>
    </row>
    <row r="1044" spans="1:9" s="2139" customFormat="1" hidden="1">
      <c r="A1044" s="2140" t="s">
        <v>4187</v>
      </c>
      <c r="B1044" s="3560" t="s">
        <v>3054</v>
      </c>
      <c r="C1044" s="2141" t="s">
        <v>3142</v>
      </c>
      <c r="D1044" s="3396">
        <v>172</v>
      </c>
      <c r="E1044" s="2142">
        <v>56.51</v>
      </c>
      <c r="F1044" s="2142">
        <v>15900</v>
      </c>
      <c r="G1044" s="2142">
        <v>898509</v>
      </c>
      <c r="H1044" s="3557">
        <v>43001</v>
      </c>
      <c r="I1044" s="2142">
        <v>898509</v>
      </c>
    </row>
    <row r="1045" spans="1:9" s="2139" customFormat="1" hidden="1">
      <c r="A1045" s="2140" t="s">
        <v>4251</v>
      </c>
      <c r="B1045" s="3560" t="s">
        <v>3054</v>
      </c>
      <c r="C1045" s="2141" t="s">
        <v>3142</v>
      </c>
      <c r="D1045" s="3396">
        <v>243</v>
      </c>
      <c r="E1045" s="2142">
        <v>31.45</v>
      </c>
      <c r="F1045" s="2142">
        <v>15900</v>
      </c>
      <c r="G1045" s="2142">
        <v>500055</v>
      </c>
      <c r="H1045" s="3557">
        <v>43000</v>
      </c>
      <c r="I1045" s="2142">
        <v>500055</v>
      </c>
    </row>
    <row r="1046" spans="1:9" s="2139" customFormat="1" hidden="1">
      <c r="A1046" s="2140" t="s">
        <v>4303</v>
      </c>
      <c r="B1046" s="3560" t="s">
        <v>3054</v>
      </c>
      <c r="C1046" s="2141" t="s">
        <v>3142</v>
      </c>
      <c r="D1046" s="3396">
        <v>317</v>
      </c>
      <c r="E1046" s="2142">
        <v>43.33</v>
      </c>
      <c r="F1046" s="2142">
        <v>15900</v>
      </c>
      <c r="G1046" s="2142">
        <v>688947</v>
      </c>
      <c r="H1046" s="3557">
        <v>42994</v>
      </c>
      <c r="I1046" s="2142">
        <v>688947</v>
      </c>
    </row>
    <row r="1047" spans="1:9" s="2139" customFormat="1" hidden="1">
      <c r="A1047" s="2140" t="s">
        <v>4272</v>
      </c>
      <c r="B1047" s="3560" t="s">
        <v>3054</v>
      </c>
      <c r="C1047" s="2141" t="s">
        <v>3142</v>
      </c>
      <c r="D1047" s="3396">
        <v>268</v>
      </c>
      <c r="E1047" s="2142">
        <v>100.49</v>
      </c>
      <c r="F1047" s="2142">
        <v>15811</v>
      </c>
      <c r="G1047" s="2142">
        <v>1588847</v>
      </c>
      <c r="H1047" s="3557">
        <v>42999</v>
      </c>
      <c r="I1047" s="2142">
        <v>1588847</v>
      </c>
    </row>
    <row r="1048" spans="1:9" s="2139" customFormat="1" hidden="1">
      <c r="A1048" s="2140" t="s">
        <v>4801</v>
      </c>
      <c r="B1048" s="3560" t="s">
        <v>3055</v>
      </c>
      <c r="C1048" s="2141" t="s">
        <v>3142</v>
      </c>
      <c r="D1048" s="3396">
        <v>13</v>
      </c>
      <c r="E1048" s="2142">
        <v>41.37</v>
      </c>
      <c r="F1048" s="2142">
        <v>16179.95</v>
      </c>
      <c r="G1048" s="2142">
        <v>669365</v>
      </c>
      <c r="H1048" s="3557">
        <v>42991</v>
      </c>
      <c r="I1048" s="2142">
        <v>669365</v>
      </c>
    </row>
    <row r="1049" spans="1:9" s="2139" customFormat="1" hidden="1">
      <c r="A1049" s="2140" t="s">
        <v>4873</v>
      </c>
      <c r="B1049" s="3560" t="s">
        <v>3055</v>
      </c>
      <c r="C1049" s="2141" t="s">
        <v>3142</v>
      </c>
      <c r="D1049" s="3396">
        <v>100</v>
      </c>
      <c r="E1049" s="2142">
        <v>39.33</v>
      </c>
      <c r="F1049" s="2142">
        <v>16173.74</v>
      </c>
      <c r="G1049" s="2142">
        <v>636113</v>
      </c>
      <c r="H1049" s="3557">
        <v>42991</v>
      </c>
      <c r="I1049" s="2142">
        <v>636113</v>
      </c>
    </row>
    <row r="1050" spans="1:9" s="2139" customFormat="1" hidden="1">
      <c r="A1050" s="2140" t="s">
        <v>4919</v>
      </c>
      <c r="B1050" s="3560" t="s">
        <v>3055</v>
      </c>
      <c r="C1050" s="2141" t="s">
        <v>3142</v>
      </c>
      <c r="D1050" s="3396">
        <v>158</v>
      </c>
      <c r="E1050" s="2142">
        <v>71.84</v>
      </c>
      <c r="F1050" s="2142">
        <v>17683.95</v>
      </c>
      <c r="G1050" s="2142">
        <v>1270415</v>
      </c>
      <c r="H1050" s="3557">
        <v>42991</v>
      </c>
      <c r="I1050" s="2142">
        <v>1270415</v>
      </c>
    </row>
    <row r="1051" spans="1:9" s="2139" customFormat="1" hidden="1">
      <c r="A1051" s="2140" t="s">
        <v>6361</v>
      </c>
      <c r="B1051" s="3560">
        <v>9</v>
      </c>
      <c r="C1051" s="2141" t="s">
        <v>3142</v>
      </c>
      <c r="D1051" s="3396">
        <v>165</v>
      </c>
      <c r="E1051" s="2142">
        <v>146.25</v>
      </c>
      <c r="F1051" s="2142">
        <v>20909</v>
      </c>
      <c r="G1051" s="2142">
        <v>3057941</v>
      </c>
      <c r="H1051" s="3557">
        <v>42991</v>
      </c>
      <c r="I1051" s="2142">
        <v>3057941</v>
      </c>
    </row>
    <row r="1052" spans="1:9" s="2139" customFormat="1" hidden="1">
      <c r="A1052" s="2140" t="s">
        <v>6362</v>
      </c>
      <c r="B1052" s="3560">
        <v>9</v>
      </c>
      <c r="C1052" s="2141" t="s">
        <v>3142</v>
      </c>
      <c r="D1052" s="3396">
        <v>166</v>
      </c>
      <c r="E1052" s="2142">
        <v>71.430000000000007</v>
      </c>
      <c r="F1052" s="2142">
        <v>14420</v>
      </c>
      <c r="G1052" s="2142">
        <v>1030021</v>
      </c>
      <c r="H1052" s="3557">
        <v>42991</v>
      </c>
      <c r="I1052" s="2142">
        <v>1030021</v>
      </c>
    </row>
    <row r="1053" spans="1:9" s="2139" customFormat="1" hidden="1">
      <c r="A1053" s="2140" t="s">
        <v>4242</v>
      </c>
      <c r="B1053" s="3560" t="s">
        <v>3054</v>
      </c>
      <c r="C1053" s="2141" t="s">
        <v>3142</v>
      </c>
      <c r="D1053" s="3396">
        <v>233</v>
      </c>
      <c r="E1053" s="2142">
        <v>50.8</v>
      </c>
      <c r="F1053" s="2142">
        <v>15801.59</v>
      </c>
      <c r="G1053" s="2142">
        <v>802721</v>
      </c>
      <c r="H1053" s="3557">
        <v>42991</v>
      </c>
      <c r="I1053" s="2142">
        <v>802721</v>
      </c>
    </row>
    <row r="1054" spans="1:9" s="2139" customFormat="1" hidden="1">
      <c r="A1054" s="2140" t="s">
        <v>4202</v>
      </c>
      <c r="B1054" s="3560" t="s">
        <v>3054</v>
      </c>
      <c r="C1054" s="2141" t="s">
        <v>3142</v>
      </c>
      <c r="D1054" s="3396">
        <v>189</v>
      </c>
      <c r="E1054" s="2142">
        <v>50.1</v>
      </c>
      <c r="F1054" s="2142">
        <v>15789.72</v>
      </c>
      <c r="G1054" s="2142">
        <v>791065</v>
      </c>
      <c r="H1054" s="3557">
        <v>43001</v>
      </c>
      <c r="I1054" s="2142">
        <v>791065</v>
      </c>
    </row>
    <row r="1055" spans="1:9" s="2139" customFormat="1" hidden="1">
      <c r="A1055" s="2140" t="s">
        <v>4196</v>
      </c>
      <c r="B1055" s="3560" t="s">
        <v>3054</v>
      </c>
      <c r="C1055" s="2141" t="s">
        <v>3142</v>
      </c>
      <c r="D1055" s="3396">
        <v>182</v>
      </c>
      <c r="E1055" s="2142">
        <v>37.229999999999997</v>
      </c>
      <c r="F1055" s="2142">
        <v>15783.48</v>
      </c>
      <c r="G1055" s="2142">
        <v>587619</v>
      </c>
      <c r="H1055" s="3557">
        <v>42990</v>
      </c>
      <c r="I1055" s="2142">
        <v>587619</v>
      </c>
    </row>
    <row r="1056" spans="1:9" s="2139" customFormat="1" hidden="1">
      <c r="A1056" s="2140" t="s">
        <v>4832</v>
      </c>
      <c r="B1056" s="3560" t="s">
        <v>3055</v>
      </c>
      <c r="C1056" s="2141" t="s">
        <v>3142</v>
      </c>
      <c r="D1056" s="3396">
        <v>49</v>
      </c>
      <c r="E1056" s="2142">
        <v>43.05</v>
      </c>
      <c r="F1056" s="2142">
        <v>16186.62</v>
      </c>
      <c r="G1056" s="2142">
        <v>696834</v>
      </c>
      <c r="H1056" s="3557">
        <v>42990</v>
      </c>
      <c r="I1056" s="2142">
        <v>696834</v>
      </c>
    </row>
    <row r="1057" spans="1:9" s="2139" customFormat="1" hidden="1">
      <c r="A1057" s="2140" t="s">
        <v>4937</v>
      </c>
      <c r="B1057" s="3560" t="s">
        <v>3055</v>
      </c>
      <c r="C1057" s="2141" t="s">
        <v>3142</v>
      </c>
      <c r="D1057" s="3396">
        <v>186</v>
      </c>
      <c r="E1057" s="2142">
        <v>65.17</v>
      </c>
      <c r="F1057" s="2142">
        <v>17723.79</v>
      </c>
      <c r="G1057" s="2142">
        <v>1155059</v>
      </c>
      <c r="H1057" s="3557">
        <v>42990</v>
      </c>
      <c r="I1057" s="2142">
        <v>1155059</v>
      </c>
    </row>
    <row r="1058" spans="1:9" s="2139" customFormat="1" hidden="1">
      <c r="A1058" s="2140" t="s">
        <v>4980</v>
      </c>
      <c r="B1058" s="3560" t="s">
        <v>3055</v>
      </c>
      <c r="C1058" s="2141" t="s">
        <v>3142</v>
      </c>
      <c r="D1058" s="3396">
        <v>243</v>
      </c>
      <c r="E1058" s="2142">
        <v>92.59</v>
      </c>
      <c r="F1058" s="2142">
        <v>18386.55</v>
      </c>
      <c r="G1058" s="2142">
        <v>1702411</v>
      </c>
      <c r="H1058" s="3557">
        <v>42990</v>
      </c>
      <c r="I1058" s="2142">
        <v>1702411</v>
      </c>
    </row>
    <row r="1059" spans="1:9" s="2139" customFormat="1" hidden="1">
      <c r="A1059" s="2140" t="s">
        <v>6615</v>
      </c>
      <c r="B1059" s="3560">
        <v>11</v>
      </c>
      <c r="C1059" s="2141" t="s">
        <v>3142</v>
      </c>
      <c r="D1059" s="3396">
        <v>109</v>
      </c>
      <c r="E1059" s="2142">
        <v>87.71</v>
      </c>
      <c r="F1059" s="2142">
        <v>17510</v>
      </c>
      <c r="G1059" s="2142">
        <v>1535802</v>
      </c>
      <c r="H1059" s="3557">
        <v>42990</v>
      </c>
      <c r="I1059" s="2142">
        <v>1535802</v>
      </c>
    </row>
    <row r="1060" spans="1:9" s="2139" customFormat="1" hidden="1">
      <c r="A1060" s="2140" t="s">
        <v>6815</v>
      </c>
      <c r="B1060" s="3560">
        <v>12</v>
      </c>
      <c r="C1060" s="2141" t="s">
        <v>3142</v>
      </c>
      <c r="D1060" s="3396">
        <v>105</v>
      </c>
      <c r="E1060" s="2142">
        <v>87</v>
      </c>
      <c r="F1060" s="2142">
        <v>15880</v>
      </c>
      <c r="G1060" s="2142">
        <v>1381560</v>
      </c>
      <c r="H1060" s="3557">
        <v>42990</v>
      </c>
      <c r="I1060" s="2142">
        <v>1381560</v>
      </c>
    </row>
    <row r="1061" spans="1:9" s="2139" customFormat="1" hidden="1">
      <c r="A1061" s="2140" t="s">
        <v>6855</v>
      </c>
      <c r="B1061" s="3560">
        <v>12</v>
      </c>
      <c r="C1061" s="2141" t="s">
        <v>3142</v>
      </c>
      <c r="D1061" s="3396">
        <v>175</v>
      </c>
      <c r="E1061" s="2142">
        <v>83</v>
      </c>
      <c r="F1061" s="2142">
        <v>21264.01</v>
      </c>
      <c r="G1061" s="2142">
        <v>1764912</v>
      </c>
      <c r="H1061" s="3557">
        <v>42990</v>
      </c>
      <c r="I1061" s="2142">
        <v>1764912</v>
      </c>
    </row>
    <row r="1062" spans="1:9" s="2139" customFormat="1" hidden="1">
      <c r="A1062" s="2140" t="s">
        <v>6895</v>
      </c>
      <c r="B1062" s="3560">
        <v>12</v>
      </c>
      <c r="C1062" s="2141" t="s">
        <v>3142</v>
      </c>
      <c r="D1062" s="3396">
        <v>256</v>
      </c>
      <c r="E1062" s="2142">
        <v>49.94</v>
      </c>
      <c r="F1062" s="2142">
        <v>23380</v>
      </c>
      <c r="G1062" s="2142">
        <v>1167597</v>
      </c>
      <c r="H1062" s="3557">
        <v>42990</v>
      </c>
      <c r="I1062" s="2142">
        <v>1167597</v>
      </c>
    </row>
    <row r="1063" spans="1:9" s="2139" customFormat="1" hidden="1">
      <c r="A1063" s="2140" t="s">
        <v>4252</v>
      </c>
      <c r="B1063" s="3560" t="s">
        <v>3054</v>
      </c>
      <c r="C1063" s="2141" t="s">
        <v>3142</v>
      </c>
      <c r="D1063" s="3396">
        <v>245</v>
      </c>
      <c r="E1063" s="2142">
        <v>37.520000000000003</v>
      </c>
      <c r="F1063" s="2142">
        <v>15766.95</v>
      </c>
      <c r="G1063" s="2142">
        <v>591575.96400000004</v>
      </c>
      <c r="H1063" s="3557">
        <v>42744</v>
      </c>
      <c r="I1063" s="2142">
        <v>591576</v>
      </c>
    </row>
    <row r="1064" spans="1:9" s="2139" customFormat="1" hidden="1">
      <c r="A1064" s="2140" t="s">
        <v>4921</v>
      </c>
      <c r="B1064" s="3560" t="s">
        <v>3055</v>
      </c>
      <c r="C1064" s="2141" t="s">
        <v>3142</v>
      </c>
      <c r="D1064" s="3396">
        <v>160</v>
      </c>
      <c r="E1064" s="2142">
        <v>71.78</v>
      </c>
      <c r="F1064" s="2142">
        <v>18230.810000000001</v>
      </c>
      <c r="G1064" s="2142">
        <v>1308608</v>
      </c>
      <c r="H1064" s="3557">
        <v>42989</v>
      </c>
      <c r="I1064" s="2142">
        <v>1308608</v>
      </c>
    </row>
    <row r="1065" spans="1:9" s="2139" customFormat="1" hidden="1">
      <c r="A1065" s="2140" t="s">
        <v>4923</v>
      </c>
      <c r="B1065" s="3560" t="s">
        <v>3055</v>
      </c>
      <c r="C1065" s="2141" t="s">
        <v>3142</v>
      </c>
      <c r="D1065" s="3396">
        <v>162</v>
      </c>
      <c r="E1065" s="2142">
        <v>71.84</v>
      </c>
      <c r="F1065" s="2142">
        <v>18230.87</v>
      </c>
      <c r="G1065" s="2142">
        <v>1309706</v>
      </c>
      <c r="H1065" s="3557">
        <v>42989</v>
      </c>
      <c r="I1065" s="2142">
        <v>1309706</v>
      </c>
    </row>
    <row r="1066" spans="1:9" s="2139" customFormat="1" hidden="1">
      <c r="A1066" s="2140" t="s">
        <v>4942</v>
      </c>
      <c r="B1066" s="3560" t="s">
        <v>3055</v>
      </c>
      <c r="C1066" s="2141" t="s">
        <v>3142</v>
      </c>
      <c r="D1066" s="3396">
        <v>191</v>
      </c>
      <c r="E1066" s="2142">
        <v>55.03</v>
      </c>
      <c r="F1066" s="2142">
        <v>16511.52</v>
      </c>
      <c r="G1066" s="2142">
        <v>908629</v>
      </c>
      <c r="H1066" s="3557">
        <v>42989</v>
      </c>
      <c r="I1066" s="2142">
        <v>908629</v>
      </c>
    </row>
    <row r="1067" spans="1:9" s="2139" customFormat="1" hidden="1">
      <c r="A1067" s="2140" t="s">
        <v>4995</v>
      </c>
      <c r="B1067" s="3560" t="s">
        <v>3055</v>
      </c>
      <c r="C1067" s="2141" t="s">
        <v>3142</v>
      </c>
      <c r="D1067" s="3396">
        <v>260</v>
      </c>
      <c r="E1067" s="2142">
        <v>41.39</v>
      </c>
      <c r="F1067" s="2142">
        <v>16180.01</v>
      </c>
      <c r="G1067" s="2142">
        <v>669691</v>
      </c>
      <c r="H1067" s="3557">
        <v>42989</v>
      </c>
      <c r="I1067" s="2142">
        <v>669691</v>
      </c>
    </row>
    <row r="1068" spans="1:9" s="2139" customFormat="1" hidden="1">
      <c r="A1068" s="2140" t="s">
        <v>6008</v>
      </c>
      <c r="B1068" s="3560" t="s">
        <v>3057</v>
      </c>
      <c r="C1068" s="2141" t="s">
        <v>3142</v>
      </c>
      <c r="D1068" s="3396">
        <v>261</v>
      </c>
      <c r="E1068" s="2142">
        <v>30.7</v>
      </c>
      <c r="F1068" s="2142">
        <v>17908</v>
      </c>
      <c r="G1068" s="2142">
        <v>549776</v>
      </c>
      <c r="H1068" s="3557">
        <v>42989</v>
      </c>
      <c r="I1068" s="2142">
        <v>549776</v>
      </c>
    </row>
    <row r="1069" spans="1:9" s="2139" customFormat="1" hidden="1">
      <c r="A1069" s="2140" t="s">
        <v>6015</v>
      </c>
      <c r="B1069" s="3560" t="s">
        <v>3057</v>
      </c>
      <c r="C1069" s="2141" t="s">
        <v>3142</v>
      </c>
      <c r="D1069" s="3396">
        <v>305</v>
      </c>
      <c r="E1069" s="2142">
        <v>30.17</v>
      </c>
      <c r="F1069" s="2142">
        <v>17799</v>
      </c>
      <c r="G1069" s="2142">
        <v>536996</v>
      </c>
      <c r="H1069" s="3557">
        <v>42989</v>
      </c>
      <c r="I1069" s="2142">
        <v>536996</v>
      </c>
    </row>
    <row r="1070" spans="1:9" s="2139" customFormat="1" hidden="1">
      <c r="A1070" s="2140" t="s">
        <v>6016</v>
      </c>
      <c r="B1070" s="3560" t="s">
        <v>3057</v>
      </c>
      <c r="C1070" s="2141" t="s">
        <v>3142</v>
      </c>
      <c r="D1070" s="3396">
        <v>306</v>
      </c>
      <c r="E1070" s="2142">
        <v>30.2</v>
      </c>
      <c r="F1070" s="2142">
        <v>17799</v>
      </c>
      <c r="G1070" s="2142">
        <v>537530</v>
      </c>
      <c r="H1070" s="3557">
        <v>42989</v>
      </c>
      <c r="I1070" s="2142">
        <v>537530</v>
      </c>
    </row>
    <row r="1071" spans="1:9" s="2139" customFormat="1" hidden="1">
      <c r="A1071" s="2140" t="s">
        <v>6017</v>
      </c>
      <c r="B1071" s="3560" t="s">
        <v>3057</v>
      </c>
      <c r="C1071" s="2141" t="s">
        <v>3142</v>
      </c>
      <c r="D1071" s="3396">
        <v>307</v>
      </c>
      <c r="E1071" s="2142">
        <v>30.23</v>
      </c>
      <c r="F1071" s="2142">
        <v>17799</v>
      </c>
      <c r="G1071" s="2142">
        <v>538064</v>
      </c>
      <c r="H1071" s="3557">
        <v>42989</v>
      </c>
      <c r="I1071" s="2142">
        <v>538064</v>
      </c>
    </row>
    <row r="1072" spans="1:9" s="2139" customFormat="1" hidden="1">
      <c r="A1072" s="2140" t="s">
        <v>6026</v>
      </c>
      <c r="B1072" s="3560" t="s">
        <v>3057</v>
      </c>
      <c r="C1072" s="2141" t="s">
        <v>3142</v>
      </c>
      <c r="D1072" s="3396">
        <v>397</v>
      </c>
      <c r="E1072" s="2142">
        <v>65.930000000000007</v>
      </c>
      <c r="F1072" s="2142">
        <v>17775</v>
      </c>
      <c r="G1072" s="2142">
        <v>1171906</v>
      </c>
      <c r="H1072" s="3557">
        <v>42989</v>
      </c>
      <c r="I1072" s="2142">
        <v>1171906</v>
      </c>
    </row>
    <row r="1073" spans="1:9" s="2139" customFormat="1" hidden="1">
      <c r="A1073" s="2140" t="s">
        <v>6046</v>
      </c>
      <c r="B1073" s="3560" t="s">
        <v>3057</v>
      </c>
      <c r="C1073" s="2141" t="s">
        <v>3142</v>
      </c>
      <c r="D1073" s="3396">
        <v>430</v>
      </c>
      <c r="E1073" s="2142">
        <v>50.84</v>
      </c>
      <c r="F1073" s="2142">
        <v>17787</v>
      </c>
      <c r="G1073" s="2142">
        <v>904291</v>
      </c>
      <c r="H1073" s="3557">
        <v>42989</v>
      </c>
      <c r="I1073" s="2142">
        <v>904291</v>
      </c>
    </row>
    <row r="1074" spans="1:9" s="2139" customFormat="1" hidden="1">
      <c r="A1074" s="2140" t="s">
        <v>6351</v>
      </c>
      <c r="B1074" s="3560">
        <v>9</v>
      </c>
      <c r="C1074" s="2141" t="s">
        <v>3142</v>
      </c>
      <c r="D1074" s="3396">
        <v>107</v>
      </c>
      <c r="E1074" s="2142">
        <v>59.51</v>
      </c>
      <c r="F1074" s="2142">
        <v>17510</v>
      </c>
      <c r="G1074" s="2142">
        <v>1042020</v>
      </c>
      <c r="H1074" s="3557">
        <v>42989</v>
      </c>
      <c r="I1074" s="2142">
        <v>1042020</v>
      </c>
    </row>
    <row r="1075" spans="1:9" s="2139" customFormat="1" hidden="1">
      <c r="A1075" s="2140" t="s">
        <v>4133</v>
      </c>
      <c r="B1075" s="3560" t="s">
        <v>3054</v>
      </c>
      <c r="C1075" s="2141" t="s">
        <v>3142</v>
      </c>
      <c r="D1075" s="3396">
        <v>106</v>
      </c>
      <c r="E1075" s="2142">
        <v>88.02</v>
      </c>
      <c r="F1075" s="2142">
        <v>15748.41</v>
      </c>
      <c r="G1075" s="2142">
        <v>1386175</v>
      </c>
      <c r="H1075" s="3557">
        <v>43001</v>
      </c>
      <c r="I1075" s="2142">
        <v>1386175</v>
      </c>
    </row>
    <row r="1076" spans="1:9" s="2139" customFormat="1" hidden="1">
      <c r="A1076" s="2140" t="s">
        <v>4194</v>
      </c>
      <c r="B1076" s="3560" t="s">
        <v>3054</v>
      </c>
      <c r="C1076" s="2141" t="s">
        <v>3142</v>
      </c>
      <c r="D1076" s="3396">
        <v>180</v>
      </c>
      <c r="E1076" s="2142">
        <v>26.66</v>
      </c>
      <c r="F1076" s="2142">
        <v>15712.52</v>
      </c>
      <c r="G1076" s="2142">
        <v>418896</v>
      </c>
      <c r="H1076" s="3557">
        <v>42987</v>
      </c>
      <c r="I1076" s="2142">
        <v>418896</v>
      </c>
    </row>
    <row r="1077" spans="1:9" s="2139" customFormat="1" hidden="1">
      <c r="A1077" s="2140" t="s">
        <v>4794</v>
      </c>
      <c r="B1077" s="3560" t="s">
        <v>3055</v>
      </c>
      <c r="C1077" s="2141" t="s">
        <v>3142</v>
      </c>
      <c r="D1077" s="3396">
        <v>6</v>
      </c>
      <c r="E1077" s="2142">
        <v>72.260000000000005</v>
      </c>
      <c r="F1077" s="2142">
        <v>15807.1103</v>
      </c>
      <c r="G1077" s="2142">
        <v>1142222</v>
      </c>
      <c r="H1077" s="3557">
        <v>42988</v>
      </c>
      <c r="I1077" s="2142">
        <v>1142222</v>
      </c>
    </row>
    <row r="1078" spans="1:9" s="2139" customFormat="1" hidden="1">
      <c r="A1078" s="2140" t="s">
        <v>4911</v>
      </c>
      <c r="B1078" s="3560" t="s">
        <v>3055</v>
      </c>
      <c r="C1078" s="2141" t="s">
        <v>3142</v>
      </c>
      <c r="D1078" s="3396">
        <v>149</v>
      </c>
      <c r="E1078" s="2142">
        <v>72.05</v>
      </c>
      <c r="F1078" s="2142">
        <v>17751</v>
      </c>
      <c r="G1078" s="2142">
        <v>1278960</v>
      </c>
      <c r="H1078" s="3557">
        <v>42988</v>
      </c>
      <c r="I1078" s="2142">
        <v>1278960</v>
      </c>
    </row>
    <row r="1079" spans="1:9" s="2139" customFormat="1" hidden="1">
      <c r="A1079" s="2140" t="s">
        <v>6834</v>
      </c>
      <c r="B1079" s="3560">
        <v>12</v>
      </c>
      <c r="C1079" s="2141" t="s">
        <v>3142</v>
      </c>
      <c r="D1079" s="3396">
        <v>139</v>
      </c>
      <c r="E1079" s="2142">
        <v>70.53</v>
      </c>
      <c r="F1079" s="2142">
        <v>21130</v>
      </c>
      <c r="G1079" s="2142">
        <v>1490299</v>
      </c>
      <c r="H1079" s="3557">
        <v>42988</v>
      </c>
      <c r="I1079" s="2142">
        <v>1490299</v>
      </c>
    </row>
    <row r="1080" spans="1:9" s="2139" customFormat="1" hidden="1">
      <c r="A1080" s="2140" t="s">
        <v>4258</v>
      </c>
      <c r="B1080" s="3560" t="s">
        <v>3054</v>
      </c>
      <c r="C1080" s="2141" t="s">
        <v>3142</v>
      </c>
      <c r="D1080" s="3396">
        <v>251</v>
      </c>
      <c r="E1080" s="2142">
        <v>22.67</v>
      </c>
      <c r="F1080" s="2142">
        <v>15705.22</v>
      </c>
      <c r="G1080" s="2142">
        <v>356037</v>
      </c>
      <c r="H1080" s="3557">
        <v>43005</v>
      </c>
      <c r="I1080" s="2142">
        <v>356037</v>
      </c>
    </row>
    <row r="1081" spans="1:9" s="2139" customFormat="1" hidden="1">
      <c r="A1081" s="2140" t="s">
        <v>4208</v>
      </c>
      <c r="B1081" s="3560" t="s">
        <v>3054</v>
      </c>
      <c r="C1081" s="2141" t="s">
        <v>3142</v>
      </c>
      <c r="D1081" s="3396">
        <v>196</v>
      </c>
      <c r="E1081" s="2142">
        <v>54</v>
      </c>
      <c r="F1081" s="2142">
        <v>15527.19</v>
      </c>
      <c r="G1081" s="2142">
        <v>838468</v>
      </c>
      <c r="H1081" s="3557">
        <v>42993</v>
      </c>
      <c r="I1081" s="2142">
        <v>838468</v>
      </c>
    </row>
    <row r="1082" spans="1:9" s="2139" customFormat="1" hidden="1">
      <c r="A1082" s="2140" t="s">
        <v>4112</v>
      </c>
      <c r="B1082" s="3560" t="s">
        <v>3054</v>
      </c>
      <c r="C1082" s="2141" t="s">
        <v>3142</v>
      </c>
      <c r="D1082" s="3396">
        <v>72</v>
      </c>
      <c r="E1082" s="2142">
        <v>26</v>
      </c>
      <c r="F1082" s="2142">
        <v>15430.55</v>
      </c>
      <c r="G1082" s="2142">
        <v>401194</v>
      </c>
      <c r="H1082" s="3557">
        <v>42993</v>
      </c>
      <c r="I1082" s="2142">
        <v>401194</v>
      </c>
    </row>
    <row r="1083" spans="1:9" s="2139" customFormat="1" hidden="1">
      <c r="A1083" s="2140" t="s">
        <v>4257</v>
      </c>
      <c r="B1083" s="3560" t="s">
        <v>3054</v>
      </c>
      <c r="C1083" s="2141" t="s">
        <v>3142</v>
      </c>
      <c r="D1083" s="3396">
        <v>250</v>
      </c>
      <c r="E1083" s="2142">
        <v>34.619999999999997</v>
      </c>
      <c r="F1083" s="2142">
        <v>15423.01</v>
      </c>
      <c r="G1083" s="2142">
        <v>533944.60619999992</v>
      </c>
      <c r="H1083" s="3557">
        <v>42836</v>
      </c>
      <c r="I1083" s="2142">
        <v>533945</v>
      </c>
    </row>
    <row r="1084" spans="1:9" s="2139" customFormat="1" hidden="1">
      <c r="A1084" s="2140" t="s">
        <v>4296</v>
      </c>
      <c r="B1084" s="3560" t="s">
        <v>3054</v>
      </c>
      <c r="C1084" s="2141" t="s">
        <v>3142</v>
      </c>
      <c r="D1084" s="3396">
        <v>298</v>
      </c>
      <c r="E1084" s="2142">
        <v>54.61</v>
      </c>
      <c r="F1084" s="2142">
        <v>15300</v>
      </c>
      <c r="G1084" s="2142">
        <v>835533</v>
      </c>
      <c r="H1084" s="3557">
        <v>43002</v>
      </c>
      <c r="I1084" s="2142">
        <v>835533</v>
      </c>
    </row>
    <row r="1085" spans="1:9" s="2139" customFormat="1" hidden="1">
      <c r="A1085" s="2140" t="s">
        <v>4813</v>
      </c>
      <c r="B1085" s="3560" t="s">
        <v>3055</v>
      </c>
      <c r="C1085" s="2141" t="s">
        <v>3142</v>
      </c>
      <c r="D1085" s="3396">
        <v>27</v>
      </c>
      <c r="E1085" s="2142">
        <v>78.2</v>
      </c>
      <c r="F1085" s="2142">
        <v>18036.5</v>
      </c>
      <c r="G1085" s="2142">
        <v>1410454</v>
      </c>
      <c r="H1085" s="3557">
        <v>42987</v>
      </c>
      <c r="I1085" s="2142">
        <v>1410454</v>
      </c>
    </row>
    <row r="1086" spans="1:9" s="2139" customFormat="1" hidden="1">
      <c r="A1086" s="2140" t="s">
        <v>4871</v>
      </c>
      <c r="B1086" s="3560" t="s">
        <v>3055</v>
      </c>
      <c r="C1086" s="2141" t="s">
        <v>3142</v>
      </c>
      <c r="D1086" s="3396">
        <v>98</v>
      </c>
      <c r="E1086" s="2142">
        <v>48.71</v>
      </c>
      <c r="F1086" s="2142">
        <v>16198.04</v>
      </c>
      <c r="G1086" s="2142">
        <v>789007</v>
      </c>
      <c r="H1086" s="3557">
        <v>42987</v>
      </c>
      <c r="I1086" s="2142">
        <v>789007</v>
      </c>
    </row>
    <row r="1087" spans="1:9" s="2139" customFormat="1" hidden="1">
      <c r="A1087" s="2140" t="s">
        <v>6310</v>
      </c>
      <c r="B1087" s="3560">
        <v>9</v>
      </c>
      <c r="C1087" s="2141" t="s">
        <v>3142</v>
      </c>
      <c r="D1087" s="3396">
        <v>3</v>
      </c>
      <c r="E1087" s="2142">
        <v>72.959999999999994</v>
      </c>
      <c r="F1087" s="2142">
        <v>17983.804169999999</v>
      </c>
      <c r="G1087" s="2142">
        <v>1312098</v>
      </c>
      <c r="H1087" s="3557">
        <v>42987</v>
      </c>
      <c r="I1087" s="2142">
        <v>1312098</v>
      </c>
    </row>
    <row r="1088" spans="1:9" s="2139" customFormat="1" hidden="1">
      <c r="A1088" s="2140" t="s">
        <v>6887</v>
      </c>
      <c r="B1088" s="3560">
        <v>12</v>
      </c>
      <c r="C1088" s="2141" t="s">
        <v>3142</v>
      </c>
      <c r="D1088" s="3396">
        <v>245</v>
      </c>
      <c r="E1088" s="2142">
        <v>78.44</v>
      </c>
      <c r="F1088" s="2142">
        <v>19477.599999999999</v>
      </c>
      <c r="G1088" s="2142">
        <v>1527823</v>
      </c>
      <c r="H1088" s="3557">
        <v>42987</v>
      </c>
      <c r="I1088" s="2142">
        <v>1527823</v>
      </c>
    </row>
    <row r="1089" spans="1:9" s="2139" customFormat="1" hidden="1">
      <c r="A1089" s="2140" t="s">
        <v>4795</v>
      </c>
      <c r="B1089" s="3560" t="s">
        <v>3055</v>
      </c>
      <c r="C1089" s="2141" t="s">
        <v>3142</v>
      </c>
      <c r="D1089" s="3396">
        <v>7</v>
      </c>
      <c r="E1089" s="2142">
        <v>72.260000000000005</v>
      </c>
      <c r="F1089" s="2142">
        <v>16731.28</v>
      </c>
      <c r="G1089" s="2142">
        <v>1209002</v>
      </c>
      <c r="H1089" s="3557">
        <v>42986</v>
      </c>
      <c r="I1089" s="2142">
        <v>1209002</v>
      </c>
    </row>
    <row r="1090" spans="1:9" s="2139" customFormat="1" hidden="1">
      <c r="A1090" s="2140" t="s">
        <v>4862</v>
      </c>
      <c r="B1090" s="3560" t="s">
        <v>3055</v>
      </c>
      <c r="C1090" s="2141" t="s">
        <v>3142</v>
      </c>
      <c r="D1090" s="3396">
        <v>86</v>
      </c>
      <c r="E1090" s="2142">
        <v>61.91</v>
      </c>
      <c r="F1090" s="2142">
        <v>16514.84</v>
      </c>
      <c r="G1090" s="2142">
        <v>1022434</v>
      </c>
      <c r="H1090" s="3557">
        <v>42986</v>
      </c>
      <c r="I1090" s="2142">
        <v>1022434</v>
      </c>
    </row>
    <row r="1091" spans="1:9" s="2139" customFormat="1" hidden="1">
      <c r="A1091" s="2140" t="s">
        <v>4863</v>
      </c>
      <c r="B1091" s="3560" t="s">
        <v>3055</v>
      </c>
      <c r="C1091" s="2141" t="s">
        <v>3142</v>
      </c>
      <c r="D1091" s="3396">
        <v>87</v>
      </c>
      <c r="E1091" s="2142">
        <v>183.11</v>
      </c>
      <c r="F1091" s="2142">
        <v>17773.37</v>
      </c>
      <c r="G1091" s="2142">
        <v>3254482</v>
      </c>
      <c r="H1091" s="3557">
        <v>42986</v>
      </c>
      <c r="I1091" s="2142">
        <v>3254482</v>
      </c>
    </row>
    <row r="1092" spans="1:9" s="2139" customFormat="1" hidden="1">
      <c r="A1092" s="2140" t="s">
        <v>4868</v>
      </c>
      <c r="B1092" s="3560" t="s">
        <v>3055</v>
      </c>
      <c r="C1092" s="2141" t="s">
        <v>3142</v>
      </c>
      <c r="D1092" s="3396">
        <v>93</v>
      </c>
      <c r="E1092" s="2142">
        <v>154.12</v>
      </c>
      <c r="F1092" s="2142">
        <v>18466.580000000002</v>
      </c>
      <c r="G1092" s="2142">
        <v>2846069</v>
      </c>
      <c r="H1092" s="3557">
        <v>42986</v>
      </c>
      <c r="I1092" s="2142">
        <v>2846069</v>
      </c>
    </row>
    <row r="1093" spans="1:9" s="2139" customFormat="1" hidden="1">
      <c r="A1093" s="2140" t="s">
        <v>4881</v>
      </c>
      <c r="B1093" s="3560" t="s">
        <v>3055</v>
      </c>
      <c r="C1093" s="2141" t="s">
        <v>3142</v>
      </c>
      <c r="D1093" s="3396">
        <v>115</v>
      </c>
      <c r="E1093" s="2142">
        <v>79.09</v>
      </c>
      <c r="F1093" s="2142">
        <v>16150</v>
      </c>
      <c r="G1093" s="2142">
        <v>1277304</v>
      </c>
      <c r="H1093" s="3557">
        <v>42986</v>
      </c>
      <c r="I1093" s="2142">
        <v>1277304</v>
      </c>
    </row>
    <row r="1094" spans="1:9" s="2139" customFormat="1" hidden="1">
      <c r="A1094" s="2140" t="s">
        <v>4913</v>
      </c>
      <c r="B1094" s="3560" t="s">
        <v>3055</v>
      </c>
      <c r="C1094" s="2141" t="s">
        <v>3142</v>
      </c>
      <c r="D1094" s="3396">
        <v>151</v>
      </c>
      <c r="E1094" s="2142">
        <v>72.180000000000007</v>
      </c>
      <c r="F1094" s="2142">
        <v>17385</v>
      </c>
      <c r="G1094" s="2142">
        <v>1254849</v>
      </c>
      <c r="H1094" s="3557">
        <v>42986</v>
      </c>
      <c r="I1094" s="2142">
        <v>1254849</v>
      </c>
    </row>
    <row r="1095" spans="1:9" s="2139" customFormat="1" hidden="1">
      <c r="A1095" s="2140" t="s">
        <v>4914</v>
      </c>
      <c r="B1095" s="3560" t="s">
        <v>3055</v>
      </c>
      <c r="C1095" s="2141" t="s">
        <v>3142</v>
      </c>
      <c r="D1095" s="3396">
        <v>152</v>
      </c>
      <c r="E1095" s="2142">
        <v>49.84</v>
      </c>
      <c r="F1095" s="2142">
        <v>17860</v>
      </c>
      <c r="G1095" s="2142">
        <v>890142</v>
      </c>
      <c r="H1095" s="3557">
        <v>42986</v>
      </c>
      <c r="I1095" s="2142">
        <v>890142</v>
      </c>
    </row>
    <row r="1096" spans="1:9" s="2139" customFormat="1" hidden="1">
      <c r="A1096" s="2140" t="s">
        <v>6018</v>
      </c>
      <c r="B1096" s="3560" t="s">
        <v>3057</v>
      </c>
      <c r="C1096" s="2141" t="s">
        <v>3142</v>
      </c>
      <c r="D1096" s="3396">
        <v>316</v>
      </c>
      <c r="E1096" s="2142">
        <v>52.62</v>
      </c>
      <c r="F1096" s="2142">
        <v>19166</v>
      </c>
      <c r="G1096" s="2142">
        <v>1008515</v>
      </c>
      <c r="H1096" s="3557">
        <v>42986</v>
      </c>
      <c r="I1096" s="2142">
        <v>1008515</v>
      </c>
    </row>
    <row r="1097" spans="1:9" s="2139" customFormat="1" hidden="1">
      <c r="A1097" s="2140" t="s">
        <v>4292</v>
      </c>
      <c r="B1097" s="3560" t="s">
        <v>3054</v>
      </c>
      <c r="C1097" s="2141" t="s">
        <v>3142</v>
      </c>
      <c r="D1097" s="3396">
        <v>293</v>
      </c>
      <c r="E1097" s="2142">
        <v>44.1</v>
      </c>
      <c r="F1097" s="2142">
        <v>15300</v>
      </c>
      <c r="G1097" s="2142">
        <v>674730</v>
      </c>
      <c r="H1097" s="3557">
        <v>42993</v>
      </c>
      <c r="I1097" s="2142">
        <v>674730</v>
      </c>
    </row>
    <row r="1098" spans="1:9" s="2139" customFormat="1" hidden="1">
      <c r="A1098" s="2140" t="s">
        <v>4289</v>
      </c>
      <c r="B1098" s="3560" t="s">
        <v>3054</v>
      </c>
      <c r="C1098" s="2141" t="s">
        <v>3142</v>
      </c>
      <c r="D1098" s="3396">
        <v>288</v>
      </c>
      <c r="E1098" s="2142">
        <v>56.44</v>
      </c>
      <c r="F1098" s="2142">
        <v>15300</v>
      </c>
      <c r="G1098" s="2142">
        <v>863532</v>
      </c>
      <c r="H1098" s="3557">
        <v>42988</v>
      </c>
      <c r="I1098" s="2142">
        <v>863532</v>
      </c>
    </row>
    <row r="1099" spans="1:9" s="2139" customFormat="1" hidden="1">
      <c r="A1099" s="2140" t="s">
        <v>4947</v>
      </c>
      <c r="B1099" s="3560" t="s">
        <v>3055</v>
      </c>
      <c r="C1099" s="2141" t="s">
        <v>3142</v>
      </c>
      <c r="D1099" s="3396">
        <v>199</v>
      </c>
      <c r="E1099" s="2142">
        <v>80.84</v>
      </c>
      <c r="F1099" s="2142">
        <v>16430.5</v>
      </c>
      <c r="G1099" s="2142">
        <v>1328242</v>
      </c>
      <c r="H1099" s="3557">
        <v>42985</v>
      </c>
      <c r="I1099" s="2142">
        <v>1328242</v>
      </c>
    </row>
    <row r="1100" spans="1:9" s="2139" customFormat="1" hidden="1">
      <c r="A1100" s="2140" t="s">
        <v>6597</v>
      </c>
      <c r="B1100" s="3560">
        <v>11</v>
      </c>
      <c r="C1100" s="2141" t="s">
        <v>3142</v>
      </c>
      <c r="D1100" s="3396">
        <v>57</v>
      </c>
      <c r="E1100" s="2142">
        <v>68.89</v>
      </c>
      <c r="F1100" s="2142">
        <v>17983.810000000001</v>
      </c>
      <c r="G1100" s="2142">
        <v>1238905</v>
      </c>
      <c r="H1100" s="3557">
        <v>42985</v>
      </c>
      <c r="I1100" s="2142">
        <v>1238905</v>
      </c>
    </row>
    <row r="1101" spans="1:9" s="2139" customFormat="1" hidden="1">
      <c r="A1101" s="2140" t="s">
        <v>4255</v>
      </c>
      <c r="B1101" s="3560" t="s">
        <v>3054</v>
      </c>
      <c r="C1101" s="2141" t="s">
        <v>3142</v>
      </c>
      <c r="D1101" s="3396">
        <v>248</v>
      </c>
      <c r="E1101" s="2142">
        <v>34.67</v>
      </c>
      <c r="F1101" s="2142">
        <v>15266.14</v>
      </c>
      <c r="G1101" s="2142">
        <v>529277</v>
      </c>
      <c r="H1101" s="3557">
        <v>43005</v>
      </c>
      <c r="I1101" s="2142">
        <v>529277</v>
      </c>
    </row>
    <row r="1102" spans="1:9" s="2139" customFormat="1" hidden="1">
      <c r="A1102" s="2140" t="s">
        <v>4083</v>
      </c>
      <c r="B1102" s="3560" t="s">
        <v>3054</v>
      </c>
      <c r="C1102" s="2141" t="s">
        <v>3142</v>
      </c>
      <c r="D1102" s="3396">
        <v>25</v>
      </c>
      <c r="E1102" s="2142">
        <v>45.95</v>
      </c>
      <c r="F1102" s="2142">
        <v>15191.21</v>
      </c>
      <c r="G1102" s="2142">
        <v>698036</v>
      </c>
      <c r="H1102" s="3557">
        <v>42998</v>
      </c>
      <c r="I1102" s="2142">
        <v>698036</v>
      </c>
    </row>
    <row r="1103" spans="1:9" s="2139" customFormat="1" hidden="1">
      <c r="A1103" s="2140" t="s">
        <v>5466</v>
      </c>
      <c r="B1103" s="3560" t="s">
        <v>3056</v>
      </c>
      <c r="C1103" s="2141" t="s">
        <v>3142</v>
      </c>
      <c r="D1103" s="3396">
        <v>185</v>
      </c>
      <c r="E1103" s="2142">
        <v>95.56</v>
      </c>
      <c r="F1103" s="2142">
        <v>18721</v>
      </c>
      <c r="G1103" s="2142">
        <v>1788979</v>
      </c>
      <c r="H1103" s="3557">
        <v>42982</v>
      </c>
      <c r="I1103" s="2142">
        <v>1788979</v>
      </c>
    </row>
    <row r="1104" spans="1:9" s="2139" customFormat="1" hidden="1">
      <c r="A1104" s="2140" t="s">
        <v>5891</v>
      </c>
      <c r="B1104" s="3560" t="s">
        <v>3057</v>
      </c>
      <c r="C1104" s="2141" t="s">
        <v>3142</v>
      </c>
      <c r="D1104" s="3396">
        <v>3</v>
      </c>
      <c r="E1104" s="2142">
        <v>71.39</v>
      </c>
      <c r="F1104" s="2142">
        <v>19300</v>
      </c>
      <c r="G1104" s="2142">
        <v>1377827</v>
      </c>
      <c r="H1104" s="3557">
        <v>42980</v>
      </c>
      <c r="I1104" s="2142">
        <v>1377827</v>
      </c>
    </row>
    <row r="1105" spans="1:9" s="2139" customFormat="1" hidden="1">
      <c r="A1105" s="2140" t="s">
        <v>5910</v>
      </c>
      <c r="B1105" s="3560" t="s">
        <v>3057</v>
      </c>
      <c r="C1105" s="2141" t="s">
        <v>3142</v>
      </c>
      <c r="D1105" s="3396">
        <v>45</v>
      </c>
      <c r="E1105" s="2142">
        <v>41.26</v>
      </c>
      <c r="F1105" s="2142">
        <v>14590</v>
      </c>
      <c r="G1105" s="2142">
        <v>601983</v>
      </c>
      <c r="H1105" s="3557">
        <v>42980</v>
      </c>
      <c r="I1105" s="2142">
        <v>601983</v>
      </c>
    </row>
    <row r="1106" spans="1:9" s="2139" customFormat="1" hidden="1">
      <c r="A1106" s="2140" t="s">
        <v>5928</v>
      </c>
      <c r="B1106" s="3560" t="s">
        <v>3057</v>
      </c>
      <c r="C1106" s="2141" t="s">
        <v>3142</v>
      </c>
      <c r="D1106" s="3396">
        <v>68</v>
      </c>
      <c r="E1106" s="2142">
        <v>52.21</v>
      </c>
      <c r="F1106" s="2142">
        <v>16100</v>
      </c>
      <c r="G1106" s="2142">
        <v>840581</v>
      </c>
      <c r="H1106" s="3557">
        <v>42980</v>
      </c>
      <c r="I1106" s="2142">
        <v>840581</v>
      </c>
    </row>
    <row r="1107" spans="1:9" s="2139" customFormat="1" hidden="1">
      <c r="A1107" s="2140" t="s">
        <v>5936</v>
      </c>
      <c r="B1107" s="3560" t="s">
        <v>3057</v>
      </c>
      <c r="C1107" s="2141" t="s">
        <v>3142</v>
      </c>
      <c r="D1107" s="3396">
        <v>102</v>
      </c>
      <c r="E1107" s="2142">
        <v>51.06</v>
      </c>
      <c r="F1107" s="2142">
        <v>16100</v>
      </c>
      <c r="G1107" s="2142">
        <v>822066</v>
      </c>
      <c r="H1107" s="3557">
        <v>42980</v>
      </c>
      <c r="I1107" s="2142">
        <v>822066</v>
      </c>
    </row>
    <row r="1108" spans="1:9" s="2139" customFormat="1" hidden="1">
      <c r="A1108" s="2140" t="s">
        <v>4116</v>
      </c>
      <c r="B1108" s="3560" t="s">
        <v>3054</v>
      </c>
      <c r="C1108" s="2141" t="s">
        <v>3142</v>
      </c>
      <c r="D1108" s="3396">
        <v>77</v>
      </c>
      <c r="E1108" s="2142">
        <v>45.48</v>
      </c>
      <c r="F1108" s="2142">
        <v>15190.11</v>
      </c>
      <c r="G1108" s="2142">
        <v>690846</v>
      </c>
      <c r="H1108" s="3557">
        <v>43000</v>
      </c>
      <c r="I1108" s="2142">
        <v>690846</v>
      </c>
    </row>
    <row r="1109" spans="1:9" s="2139" customFormat="1" hidden="1">
      <c r="A1109" s="2140" t="s">
        <v>4113</v>
      </c>
      <c r="B1109" s="3560" t="s">
        <v>3054</v>
      </c>
      <c r="C1109" s="2141" t="s">
        <v>3142</v>
      </c>
      <c r="D1109" s="3396">
        <v>73</v>
      </c>
      <c r="E1109" s="2142">
        <v>49.06</v>
      </c>
      <c r="F1109" s="2142">
        <v>14841.01</v>
      </c>
      <c r="G1109" s="2142">
        <v>728099</v>
      </c>
      <c r="H1109" s="3557">
        <v>42997</v>
      </c>
      <c r="I1109" s="2142">
        <v>728099</v>
      </c>
    </row>
    <row r="1110" spans="1:9" s="2139" customFormat="1" hidden="1">
      <c r="A1110" s="2140" t="s">
        <v>4918</v>
      </c>
      <c r="B1110" s="3560" t="s">
        <v>3055</v>
      </c>
      <c r="C1110" s="2141" t="s">
        <v>3142</v>
      </c>
      <c r="D1110" s="3396">
        <v>157</v>
      </c>
      <c r="E1110" s="2142">
        <v>71.849999999999994</v>
      </c>
      <c r="F1110" s="2142">
        <v>18230.88</v>
      </c>
      <c r="G1110" s="2142">
        <v>1309889</v>
      </c>
      <c r="H1110" s="3557">
        <v>42979</v>
      </c>
      <c r="I1110" s="2142">
        <v>1309889</v>
      </c>
    </row>
    <row r="1111" spans="1:9" s="2139" customFormat="1" hidden="1">
      <c r="A1111" s="2140" t="s">
        <v>4987</v>
      </c>
      <c r="B1111" s="3560" t="s">
        <v>3055</v>
      </c>
      <c r="C1111" s="2141" t="s">
        <v>3142</v>
      </c>
      <c r="D1111" s="3396">
        <v>251</v>
      </c>
      <c r="E1111" s="2142">
        <v>41.36</v>
      </c>
      <c r="F1111" s="2142">
        <v>16217.65</v>
      </c>
      <c r="G1111" s="2142">
        <v>670762</v>
      </c>
      <c r="H1111" s="3557">
        <v>42979</v>
      </c>
      <c r="I1111" s="2142">
        <v>670762</v>
      </c>
    </row>
    <row r="1112" spans="1:9" s="2139" customFormat="1" hidden="1">
      <c r="A1112" s="2140" t="s">
        <v>6312</v>
      </c>
      <c r="B1112" s="3560">
        <v>9</v>
      </c>
      <c r="C1112" s="2141" t="s">
        <v>3142</v>
      </c>
      <c r="D1112" s="3396">
        <v>6</v>
      </c>
      <c r="E1112" s="2142">
        <v>68.400000000000006</v>
      </c>
      <c r="F1112" s="2142">
        <v>18540</v>
      </c>
      <c r="G1112" s="2142">
        <v>1268136</v>
      </c>
      <c r="H1112" s="3557">
        <v>42979</v>
      </c>
      <c r="I1112" s="2142">
        <v>638136</v>
      </c>
    </row>
    <row r="1113" spans="1:9" s="2139" customFormat="1" hidden="1">
      <c r="A1113" s="2140" t="s">
        <v>6605</v>
      </c>
      <c r="B1113" s="3560">
        <v>11</v>
      </c>
      <c r="C1113" s="2141" t="s">
        <v>3142</v>
      </c>
      <c r="D1113" s="3396">
        <v>88</v>
      </c>
      <c r="E1113" s="2142">
        <v>184.64</v>
      </c>
      <c r="F1113" s="2142">
        <v>19570</v>
      </c>
      <c r="G1113" s="2142">
        <v>3613404.8</v>
      </c>
      <c r="H1113" s="3557">
        <v>42977</v>
      </c>
      <c r="I1113" s="2142">
        <v>1844303</v>
      </c>
    </row>
    <row r="1114" spans="1:9" s="2139" customFormat="1" hidden="1">
      <c r="A1114" s="2140" t="s">
        <v>6365</v>
      </c>
      <c r="B1114" s="3560">
        <v>9</v>
      </c>
      <c r="C1114" s="2141" t="s">
        <v>3142</v>
      </c>
      <c r="D1114" s="3396">
        <v>171</v>
      </c>
      <c r="E1114" s="2142">
        <v>71.44</v>
      </c>
      <c r="F1114" s="2142">
        <v>13987.394957983191</v>
      </c>
      <c r="G1114" s="2142">
        <v>999260</v>
      </c>
      <c r="H1114" s="3557">
        <v>42974</v>
      </c>
      <c r="I1114" s="2142">
        <v>999260</v>
      </c>
    </row>
    <row r="1115" spans="1:9" s="2139" customFormat="1" hidden="1">
      <c r="A1115" s="2140" t="s">
        <v>6346</v>
      </c>
      <c r="B1115" s="3560">
        <v>9</v>
      </c>
      <c r="C1115" s="2141" t="s">
        <v>3142</v>
      </c>
      <c r="D1115" s="3396">
        <v>93</v>
      </c>
      <c r="E1115" s="2142">
        <v>36.840000000000003</v>
      </c>
      <c r="F1115" s="2142">
        <v>16995.001358326539</v>
      </c>
      <c r="G1115" s="2142">
        <v>626096</v>
      </c>
      <c r="H1115" s="3557">
        <v>42970</v>
      </c>
      <c r="I1115" s="2142">
        <v>316096</v>
      </c>
    </row>
    <row r="1116" spans="1:9" s="2139" customFormat="1" hidden="1">
      <c r="A1116" s="2140" t="s">
        <v>5417</v>
      </c>
      <c r="B1116" s="3560" t="s">
        <v>3056</v>
      </c>
      <c r="C1116" s="2141" t="s">
        <v>3142</v>
      </c>
      <c r="D1116" s="3396">
        <v>111</v>
      </c>
      <c r="E1116" s="2142">
        <v>50.5</v>
      </c>
      <c r="F1116" s="2142">
        <v>15617.009899999999</v>
      </c>
      <c r="G1116" s="2142">
        <v>788658.99994999997</v>
      </c>
      <c r="H1116" s="3557">
        <v>42967</v>
      </c>
      <c r="I1116" s="2142">
        <v>788659</v>
      </c>
    </row>
    <row r="1117" spans="1:9" s="2139" customFormat="1" hidden="1">
      <c r="A1117" s="2140" t="s">
        <v>6024</v>
      </c>
      <c r="B1117" s="3560" t="s">
        <v>3057</v>
      </c>
      <c r="C1117" s="2141" t="s">
        <v>3142</v>
      </c>
      <c r="D1117" s="3396">
        <v>359</v>
      </c>
      <c r="E1117" s="2142">
        <v>53.28</v>
      </c>
      <c r="F1117" s="2142">
        <v>18004.992492400001</v>
      </c>
      <c r="G1117" s="2142">
        <v>959305.99999507202</v>
      </c>
      <c r="H1117" s="3557">
        <v>42962</v>
      </c>
      <c r="I1117" s="2142">
        <v>959306</v>
      </c>
    </row>
    <row r="1118" spans="1:9" s="2139" customFormat="1" hidden="1">
      <c r="A1118" s="2140" t="s">
        <v>4796</v>
      </c>
      <c r="B1118" s="3560" t="s">
        <v>3055</v>
      </c>
      <c r="C1118" s="2141" t="s">
        <v>3142</v>
      </c>
      <c r="D1118" s="3396">
        <v>8</v>
      </c>
      <c r="E1118" s="2142">
        <v>72.260000000000005</v>
      </c>
      <c r="F1118" s="2142">
        <v>17800</v>
      </c>
      <c r="G1118" s="2142">
        <v>1286228</v>
      </c>
      <c r="H1118" s="3557">
        <v>42944</v>
      </c>
      <c r="I1118" s="2142">
        <v>1286228</v>
      </c>
    </row>
    <row r="1119" spans="1:9" s="2139" customFormat="1" hidden="1">
      <c r="A1119" s="2140" t="s">
        <v>6035</v>
      </c>
      <c r="B1119" s="3560" t="s">
        <v>3057</v>
      </c>
      <c r="C1119" s="2141" t="s">
        <v>3142</v>
      </c>
      <c r="D1119" s="3396">
        <v>415</v>
      </c>
      <c r="E1119" s="2142">
        <v>67.83</v>
      </c>
      <c r="F1119" s="2142">
        <v>18279.9941</v>
      </c>
      <c r="G1119" s="2142">
        <v>1239931.9998029999</v>
      </c>
      <c r="H1119" s="3557">
        <v>42937</v>
      </c>
      <c r="I1119" s="2142">
        <v>629932</v>
      </c>
    </row>
    <row r="1120" spans="1:9" s="2139" customFormat="1" hidden="1">
      <c r="A1120" s="2140" t="s">
        <v>4129</v>
      </c>
      <c r="B1120" s="3560" t="s">
        <v>3054</v>
      </c>
      <c r="C1120" s="2141" t="s">
        <v>3142</v>
      </c>
      <c r="D1120" s="3396">
        <v>100</v>
      </c>
      <c r="E1120" s="2142">
        <v>66.900000000000006</v>
      </c>
      <c r="F1120" s="2142">
        <v>14841.01</v>
      </c>
      <c r="G1120" s="2142">
        <v>992864</v>
      </c>
      <c r="H1120" s="3557">
        <v>42994</v>
      </c>
      <c r="I1120" s="2142">
        <v>992864</v>
      </c>
    </row>
    <row r="1121" spans="1:9" s="2139" customFormat="1" hidden="1">
      <c r="A1121" s="2140" t="s">
        <v>4117</v>
      </c>
      <c r="B1121" s="3560" t="s">
        <v>3054</v>
      </c>
      <c r="C1121" s="2141" t="s">
        <v>3142</v>
      </c>
      <c r="D1121" s="3396">
        <v>78</v>
      </c>
      <c r="E1121" s="2142">
        <v>45.5</v>
      </c>
      <c r="F1121" s="2142">
        <v>14841</v>
      </c>
      <c r="G1121" s="2142">
        <v>675266</v>
      </c>
      <c r="H1121" s="3557">
        <v>42997</v>
      </c>
      <c r="I1121" s="2142">
        <v>675266</v>
      </c>
    </row>
    <row r="1122" spans="1:9" s="2139" customFormat="1" hidden="1">
      <c r="A1122" s="2140" t="s">
        <v>5527</v>
      </c>
      <c r="B1122" s="3560" t="s">
        <v>3056</v>
      </c>
      <c r="C1122" s="2141" t="s">
        <v>3142</v>
      </c>
      <c r="D1122" s="3396">
        <v>311</v>
      </c>
      <c r="E1122" s="2142">
        <v>64.39</v>
      </c>
      <c r="F1122" s="2142">
        <v>14640</v>
      </c>
      <c r="G1122" s="2142">
        <v>942670</v>
      </c>
      <c r="H1122" s="3557">
        <v>42900</v>
      </c>
      <c r="I1122" s="2142">
        <v>942670</v>
      </c>
    </row>
    <row r="1123" spans="1:9" s="2139" customFormat="1" hidden="1">
      <c r="A1123" s="2140" t="s">
        <v>6587</v>
      </c>
      <c r="B1123" s="3560">
        <v>11</v>
      </c>
      <c r="C1123" s="2141" t="s">
        <v>3142</v>
      </c>
      <c r="D1123" s="3396">
        <v>12</v>
      </c>
      <c r="E1123" s="2142">
        <v>53.6</v>
      </c>
      <c r="F1123" s="2142">
        <v>18540</v>
      </c>
      <c r="G1123" s="2142">
        <v>993744</v>
      </c>
      <c r="H1123" s="3557">
        <v>42898</v>
      </c>
      <c r="I1123" s="2142">
        <v>994300</v>
      </c>
    </row>
    <row r="1124" spans="1:9" s="2139" customFormat="1" hidden="1">
      <c r="A1124" s="2140" t="s">
        <v>6626</v>
      </c>
      <c r="B1124" s="3560">
        <v>11</v>
      </c>
      <c r="C1124" s="2141" t="s">
        <v>3142</v>
      </c>
      <c r="D1124" s="3396">
        <v>137</v>
      </c>
      <c r="E1124" s="2142">
        <v>50.15</v>
      </c>
      <c r="F1124" s="2142">
        <v>14420</v>
      </c>
      <c r="G1124" s="2142">
        <v>723163</v>
      </c>
      <c r="H1124" s="3557">
        <v>42898</v>
      </c>
      <c r="I1124" s="2142">
        <v>723596</v>
      </c>
    </row>
    <row r="1125" spans="1:9" s="2139" customFormat="1" hidden="1">
      <c r="A1125" s="2140" t="s">
        <v>5484</v>
      </c>
      <c r="B1125" s="3560" t="s">
        <v>3056</v>
      </c>
      <c r="C1125" s="2141" t="s">
        <v>3142</v>
      </c>
      <c r="D1125" s="3396">
        <v>219</v>
      </c>
      <c r="E1125" s="2142">
        <v>153.88999999999999</v>
      </c>
      <c r="F1125" s="2142">
        <v>19537.00045</v>
      </c>
      <c r="G1125" s="2142">
        <v>3006548.9992504995</v>
      </c>
      <c r="H1125" s="3557">
        <v>42886</v>
      </c>
      <c r="I1125" s="2142">
        <v>1506549</v>
      </c>
    </row>
    <row r="1126" spans="1:9" s="2139" customFormat="1" hidden="1">
      <c r="A1126" s="2140" t="s">
        <v>4130</v>
      </c>
      <c r="B1126" s="3560" t="s">
        <v>3054</v>
      </c>
      <c r="C1126" s="2141" t="s">
        <v>3142</v>
      </c>
      <c r="D1126" s="3396">
        <v>102</v>
      </c>
      <c r="E1126" s="2142">
        <v>33.049999999999997</v>
      </c>
      <c r="F1126" s="2142">
        <v>14841</v>
      </c>
      <c r="G1126" s="2142">
        <v>490495</v>
      </c>
      <c r="H1126" s="3557">
        <v>42994</v>
      </c>
      <c r="I1126" s="2142">
        <v>490495</v>
      </c>
    </row>
    <row r="1127" spans="1:9" s="2139" customFormat="1" hidden="1">
      <c r="A1127" s="2140" t="s">
        <v>6846</v>
      </c>
      <c r="B1127" s="3560">
        <v>12</v>
      </c>
      <c r="C1127" s="2141" t="s">
        <v>3142</v>
      </c>
      <c r="D1127" s="3396">
        <v>161</v>
      </c>
      <c r="E1127" s="2142">
        <v>170.03</v>
      </c>
      <c r="F1127" s="2142">
        <v>22770.999240000001</v>
      </c>
      <c r="G1127" s="2142">
        <v>3871753.0007772003</v>
      </c>
      <c r="H1127" s="3557">
        <v>42871</v>
      </c>
      <c r="I1127" s="2142">
        <v>1951753</v>
      </c>
    </row>
    <row r="1128" spans="1:9" s="2139" customFormat="1" hidden="1">
      <c r="A1128" s="2140" t="s">
        <v>5493</v>
      </c>
      <c r="B1128" s="3560" t="s">
        <v>3056</v>
      </c>
      <c r="C1128" s="2141" t="s">
        <v>3142</v>
      </c>
      <c r="D1128" s="3396">
        <v>242</v>
      </c>
      <c r="E1128" s="2142">
        <v>79.05</v>
      </c>
      <c r="F1128" s="2142">
        <v>19790.00633</v>
      </c>
      <c r="G1128" s="2142">
        <v>1564400</v>
      </c>
      <c r="H1128" s="3557">
        <v>42859</v>
      </c>
      <c r="I1128" s="2142">
        <v>1564400</v>
      </c>
    </row>
    <row r="1129" spans="1:9" s="2139" customFormat="1" hidden="1">
      <c r="A1129" s="2140" t="s">
        <v>6027</v>
      </c>
      <c r="B1129" s="3560" t="s">
        <v>3057</v>
      </c>
      <c r="C1129" s="2141" t="s">
        <v>3142</v>
      </c>
      <c r="D1129" s="3396">
        <v>400</v>
      </c>
      <c r="E1129" s="2142">
        <v>63.93</v>
      </c>
      <c r="F1129" s="2142">
        <v>13880</v>
      </c>
      <c r="G1129" s="2142">
        <v>887348.4</v>
      </c>
      <c r="H1129" s="3557">
        <v>42852</v>
      </c>
      <c r="I1129" s="2142">
        <v>887348</v>
      </c>
    </row>
    <row r="1130" spans="1:9" s="2139" customFormat="1" hidden="1">
      <c r="A1130" s="2140" t="s">
        <v>6028</v>
      </c>
      <c r="B1130" s="3560" t="s">
        <v>3057</v>
      </c>
      <c r="C1130" s="2141" t="s">
        <v>3142</v>
      </c>
      <c r="D1130" s="3396">
        <v>401</v>
      </c>
      <c r="E1130" s="2142">
        <v>46.87</v>
      </c>
      <c r="F1130" s="2142">
        <v>13700</v>
      </c>
      <c r="G1130" s="2142">
        <v>642119</v>
      </c>
      <c r="H1130" s="3557">
        <v>42852</v>
      </c>
      <c r="I1130" s="2142">
        <v>642119</v>
      </c>
    </row>
    <row r="1131" spans="1:9" s="2139" customFormat="1" hidden="1">
      <c r="A1131" s="2140" t="s">
        <v>6029</v>
      </c>
      <c r="B1131" s="3560" t="s">
        <v>3057</v>
      </c>
      <c r="C1131" s="2141" t="s">
        <v>3142</v>
      </c>
      <c r="D1131" s="3396">
        <v>402</v>
      </c>
      <c r="E1131" s="2142">
        <v>46.87</v>
      </c>
      <c r="F1131" s="2142">
        <v>13700</v>
      </c>
      <c r="G1131" s="2142">
        <v>642119</v>
      </c>
      <c r="H1131" s="3557">
        <v>42852</v>
      </c>
      <c r="I1131" s="2142">
        <v>642119</v>
      </c>
    </row>
    <row r="1132" spans="1:9" s="2139" customFormat="1" hidden="1">
      <c r="A1132" s="2140" t="s">
        <v>6030</v>
      </c>
      <c r="B1132" s="3560" t="s">
        <v>3057</v>
      </c>
      <c r="C1132" s="2141" t="s">
        <v>3142</v>
      </c>
      <c r="D1132" s="3396">
        <v>403</v>
      </c>
      <c r="E1132" s="2142">
        <v>46.87</v>
      </c>
      <c r="F1132" s="2142">
        <v>13700</v>
      </c>
      <c r="G1132" s="2142">
        <v>642119</v>
      </c>
      <c r="H1132" s="3557">
        <v>42852</v>
      </c>
      <c r="I1132" s="2142">
        <v>642119</v>
      </c>
    </row>
    <row r="1133" spans="1:9" s="2139" customFormat="1" hidden="1">
      <c r="A1133" s="2140" t="s">
        <v>6031</v>
      </c>
      <c r="B1133" s="3560" t="s">
        <v>3057</v>
      </c>
      <c r="C1133" s="2141" t="s">
        <v>3142</v>
      </c>
      <c r="D1133" s="3396">
        <v>405</v>
      </c>
      <c r="E1133" s="2142">
        <v>46.87</v>
      </c>
      <c r="F1133" s="2142">
        <v>13700</v>
      </c>
      <c r="G1133" s="2142">
        <v>642119</v>
      </c>
      <c r="H1133" s="3557">
        <v>42852</v>
      </c>
      <c r="I1133" s="2142">
        <v>642119</v>
      </c>
    </row>
    <row r="1134" spans="1:9" s="2139" customFormat="1" hidden="1">
      <c r="A1134" s="2140" t="s">
        <v>6032</v>
      </c>
      <c r="B1134" s="3560" t="s">
        <v>3057</v>
      </c>
      <c r="C1134" s="2141" t="s">
        <v>3142</v>
      </c>
      <c r="D1134" s="3396">
        <v>406</v>
      </c>
      <c r="E1134" s="2142">
        <v>46.87</v>
      </c>
      <c r="F1134" s="2142">
        <v>13700</v>
      </c>
      <c r="G1134" s="2142">
        <v>642119</v>
      </c>
      <c r="H1134" s="3557">
        <v>42852</v>
      </c>
      <c r="I1134" s="2142">
        <v>642119</v>
      </c>
    </row>
    <row r="1135" spans="1:9" s="2139" customFormat="1" hidden="1">
      <c r="A1135" s="2140" t="s">
        <v>6033</v>
      </c>
      <c r="B1135" s="3560" t="s">
        <v>3057</v>
      </c>
      <c r="C1135" s="2141" t="s">
        <v>3142</v>
      </c>
      <c r="D1135" s="3396">
        <v>407</v>
      </c>
      <c r="E1135" s="2142">
        <v>46.87</v>
      </c>
      <c r="F1135" s="2142">
        <v>13700</v>
      </c>
      <c r="G1135" s="2142">
        <v>642119</v>
      </c>
      <c r="H1135" s="3557">
        <v>42852</v>
      </c>
      <c r="I1135" s="2142">
        <v>642119</v>
      </c>
    </row>
    <row r="1136" spans="1:9" s="2139" customFormat="1" hidden="1">
      <c r="A1136" s="2140" t="s">
        <v>6034</v>
      </c>
      <c r="B1136" s="3560" t="s">
        <v>3057</v>
      </c>
      <c r="C1136" s="2141" t="s">
        <v>3142</v>
      </c>
      <c r="D1136" s="3396">
        <v>408</v>
      </c>
      <c r="E1136" s="2142">
        <v>59.56</v>
      </c>
      <c r="F1136" s="2142">
        <v>13700</v>
      </c>
      <c r="G1136" s="2142">
        <v>815972</v>
      </c>
      <c r="H1136" s="3557">
        <v>42852</v>
      </c>
      <c r="I1136" s="2142">
        <v>815972</v>
      </c>
    </row>
    <row r="1137" spans="1:9" s="2139" customFormat="1" hidden="1">
      <c r="A1137" s="2140" t="s">
        <v>6036</v>
      </c>
      <c r="B1137" s="3560" t="s">
        <v>3057</v>
      </c>
      <c r="C1137" s="2141" t="s">
        <v>3142</v>
      </c>
      <c r="D1137" s="3396">
        <v>416</v>
      </c>
      <c r="E1137" s="2142">
        <v>71.31</v>
      </c>
      <c r="F1137" s="2142">
        <v>18280</v>
      </c>
      <c r="G1137" s="2142">
        <v>1303546.8</v>
      </c>
      <c r="H1137" s="3557">
        <v>42852</v>
      </c>
      <c r="I1137" s="2142">
        <v>1303547</v>
      </c>
    </row>
    <row r="1138" spans="1:9" s="2139" customFormat="1" hidden="1">
      <c r="A1138" s="2140" t="s">
        <v>6037</v>
      </c>
      <c r="B1138" s="3560" t="s">
        <v>3057</v>
      </c>
      <c r="C1138" s="2141" t="s">
        <v>3142</v>
      </c>
      <c r="D1138" s="3396">
        <v>417</v>
      </c>
      <c r="E1138" s="2142">
        <v>70.12</v>
      </c>
      <c r="F1138" s="2142">
        <v>18280</v>
      </c>
      <c r="G1138" s="2142">
        <v>1281793.6000000001</v>
      </c>
      <c r="H1138" s="3557">
        <v>42852</v>
      </c>
      <c r="I1138" s="2142">
        <v>1281794</v>
      </c>
    </row>
    <row r="1139" spans="1:9" s="2139" customFormat="1" hidden="1">
      <c r="A1139" s="2140" t="s">
        <v>6038</v>
      </c>
      <c r="B1139" s="3560" t="s">
        <v>3057</v>
      </c>
      <c r="C1139" s="2141" t="s">
        <v>3142</v>
      </c>
      <c r="D1139" s="3396">
        <v>418</v>
      </c>
      <c r="E1139" s="2142">
        <v>70.959999999999994</v>
      </c>
      <c r="F1139" s="2142">
        <v>18280</v>
      </c>
      <c r="G1139" s="2142">
        <v>1297148.7999999998</v>
      </c>
      <c r="H1139" s="3557">
        <v>42852</v>
      </c>
      <c r="I1139" s="2142">
        <v>1297149</v>
      </c>
    </row>
    <row r="1140" spans="1:9" s="2139" customFormat="1" hidden="1">
      <c r="A1140" s="2140" t="s">
        <v>6039</v>
      </c>
      <c r="B1140" s="3560" t="s">
        <v>3057</v>
      </c>
      <c r="C1140" s="2141" t="s">
        <v>3142</v>
      </c>
      <c r="D1140" s="3396">
        <v>419</v>
      </c>
      <c r="E1140" s="2142">
        <v>66.459999999999994</v>
      </c>
      <c r="F1140" s="2142">
        <v>18280</v>
      </c>
      <c r="G1140" s="2142">
        <v>1214888.7999999998</v>
      </c>
      <c r="H1140" s="3557">
        <v>42852</v>
      </c>
      <c r="I1140" s="2142">
        <v>1214889</v>
      </c>
    </row>
    <row r="1141" spans="1:9" s="2139" customFormat="1" hidden="1">
      <c r="A1141" s="2140" t="s">
        <v>6040</v>
      </c>
      <c r="B1141" s="3560" t="s">
        <v>3057</v>
      </c>
      <c r="C1141" s="2141" t="s">
        <v>3142</v>
      </c>
      <c r="D1141" s="3396">
        <v>420</v>
      </c>
      <c r="E1141" s="2142">
        <v>70.959999999999994</v>
      </c>
      <c r="F1141" s="2142">
        <v>18280</v>
      </c>
      <c r="G1141" s="2142">
        <v>1297148.7999999998</v>
      </c>
      <c r="H1141" s="3557">
        <v>42852</v>
      </c>
      <c r="I1141" s="2142">
        <v>1297149</v>
      </c>
    </row>
    <row r="1142" spans="1:9" s="2139" customFormat="1" hidden="1">
      <c r="A1142" s="2140" t="s">
        <v>6041</v>
      </c>
      <c r="B1142" s="3560" t="s">
        <v>3057</v>
      </c>
      <c r="C1142" s="2141" t="s">
        <v>3142</v>
      </c>
      <c r="D1142" s="3396">
        <v>421</v>
      </c>
      <c r="E1142" s="2142">
        <v>70.959999999999994</v>
      </c>
      <c r="F1142" s="2142">
        <v>18280</v>
      </c>
      <c r="G1142" s="2142">
        <v>1297148.7999999998</v>
      </c>
      <c r="H1142" s="3557">
        <v>42852</v>
      </c>
      <c r="I1142" s="2142">
        <v>1297149</v>
      </c>
    </row>
    <row r="1143" spans="1:9" s="2139" customFormat="1" hidden="1">
      <c r="A1143" s="2140" t="s">
        <v>6042</v>
      </c>
      <c r="B1143" s="3560" t="s">
        <v>3057</v>
      </c>
      <c r="C1143" s="2141" t="s">
        <v>3142</v>
      </c>
      <c r="D1143" s="3396">
        <v>422</v>
      </c>
      <c r="E1143" s="2142">
        <v>70.959999999999994</v>
      </c>
      <c r="F1143" s="2142">
        <v>18280</v>
      </c>
      <c r="G1143" s="2142">
        <v>1297148.7999999998</v>
      </c>
      <c r="H1143" s="3557">
        <v>42852</v>
      </c>
      <c r="I1143" s="2142">
        <v>1297149</v>
      </c>
    </row>
    <row r="1144" spans="1:9" s="2139" customFormat="1" hidden="1">
      <c r="A1144" s="2140" t="s">
        <v>6043</v>
      </c>
      <c r="B1144" s="3560" t="s">
        <v>3057</v>
      </c>
      <c r="C1144" s="2141" t="s">
        <v>3142</v>
      </c>
      <c r="D1144" s="3396">
        <v>423</v>
      </c>
      <c r="E1144" s="2142">
        <v>70.959999999999994</v>
      </c>
      <c r="F1144" s="2142">
        <v>18280</v>
      </c>
      <c r="G1144" s="2142">
        <v>1297148.7999999998</v>
      </c>
      <c r="H1144" s="3557">
        <v>42852</v>
      </c>
      <c r="I1144" s="2142">
        <v>1297149</v>
      </c>
    </row>
    <row r="1145" spans="1:9" s="2139" customFormat="1" hidden="1">
      <c r="A1145" s="2140" t="s">
        <v>6044</v>
      </c>
      <c r="B1145" s="3560" t="s">
        <v>3057</v>
      </c>
      <c r="C1145" s="2141" t="s">
        <v>3142</v>
      </c>
      <c r="D1145" s="3396">
        <v>425</v>
      </c>
      <c r="E1145" s="2142">
        <v>70.959999999999994</v>
      </c>
      <c r="F1145" s="2142">
        <v>18280</v>
      </c>
      <c r="G1145" s="2142">
        <v>1297148.7999999998</v>
      </c>
      <c r="H1145" s="3557">
        <v>42852</v>
      </c>
      <c r="I1145" s="2142">
        <v>1297149</v>
      </c>
    </row>
    <row r="1146" spans="1:9" s="2139" customFormat="1" hidden="1">
      <c r="A1146" s="2140" t="s">
        <v>6045</v>
      </c>
      <c r="B1146" s="3560" t="s">
        <v>3057</v>
      </c>
      <c r="C1146" s="2141" t="s">
        <v>3142</v>
      </c>
      <c r="D1146" s="3396">
        <v>426</v>
      </c>
      <c r="E1146" s="2142">
        <v>77.91</v>
      </c>
      <c r="F1146" s="2142">
        <v>18730</v>
      </c>
      <c r="G1146" s="2142">
        <v>1459254.3</v>
      </c>
      <c r="H1146" s="3557">
        <v>42852</v>
      </c>
      <c r="I1146" s="2142">
        <v>1459254</v>
      </c>
    </row>
    <row r="1147" spans="1:9" s="2139" customFormat="1" hidden="1">
      <c r="A1147" s="2140" t="s">
        <v>4097</v>
      </c>
      <c r="B1147" s="3560" t="s">
        <v>3054</v>
      </c>
      <c r="C1147" s="2141" t="s">
        <v>3142</v>
      </c>
      <c r="D1147" s="3396">
        <v>51</v>
      </c>
      <c r="E1147" s="2142">
        <v>63.43</v>
      </c>
      <c r="F1147" s="2142">
        <v>14800</v>
      </c>
      <c r="G1147" s="2142">
        <v>938764</v>
      </c>
      <c r="H1147" s="3557">
        <v>43004</v>
      </c>
      <c r="I1147" s="2142">
        <v>938764</v>
      </c>
    </row>
    <row r="1148" spans="1:9" s="2139" customFormat="1" hidden="1">
      <c r="A1148" s="2140" t="s">
        <v>4098</v>
      </c>
      <c r="B1148" s="3560" t="s">
        <v>3054</v>
      </c>
      <c r="C1148" s="2141" t="s">
        <v>3142</v>
      </c>
      <c r="D1148" s="3396">
        <v>52</v>
      </c>
      <c r="E1148" s="2142">
        <v>63.41</v>
      </c>
      <c r="F1148" s="2142">
        <v>14800</v>
      </c>
      <c r="G1148" s="2142">
        <v>938468</v>
      </c>
      <c r="H1148" s="3557">
        <v>43004</v>
      </c>
      <c r="I1148" s="2142">
        <v>938468</v>
      </c>
    </row>
    <row r="1149" spans="1:9" s="2139" customFormat="1" hidden="1">
      <c r="A1149" s="2140" t="s">
        <v>4299</v>
      </c>
      <c r="B1149" s="3560" t="s">
        <v>3054</v>
      </c>
      <c r="C1149" s="2141" t="s">
        <v>3142</v>
      </c>
      <c r="D1149" s="3396">
        <v>309</v>
      </c>
      <c r="E1149" s="2142">
        <v>64.2</v>
      </c>
      <c r="F1149" s="2142">
        <v>14800</v>
      </c>
      <c r="G1149" s="2142">
        <v>950160</v>
      </c>
      <c r="H1149" s="3557">
        <v>42999</v>
      </c>
      <c r="I1149" s="2142">
        <v>950160</v>
      </c>
    </row>
    <row r="1150" spans="1:9" s="2139" customFormat="1" hidden="1">
      <c r="A1150" s="2140" t="s">
        <v>5528</v>
      </c>
      <c r="B1150" s="3560" t="s">
        <v>3056</v>
      </c>
      <c r="C1150" s="2141" t="s">
        <v>3142</v>
      </c>
      <c r="D1150" s="3396">
        <v>312</v>
      </c>
      <c r="E1150" s="2142">
        <v>64.39</v>
      </c>
      <c r="F1150" s="2142">
        <v>14640</v>
      </c>
      <c r="G1150" s="2142">
        <v>942670</v>
      </c>
      <c r="H1150" s="3557">
        <v>42835</v>
      </c>
      <c r="I1150" s="2142">
        <v>942670</v>
      </c>
    </row>
    <row r="1151" spans="1:9" s="2139" customFormat="1" hidden="1">
      <c r="A1151" s="2140" t="s">
        <v>4997</v>
      </c>
      <c r="B1151" s="3560" t="s">
        <v>3055</v>
      </c>
      <c r="C1151" s="2141" t="s">
        <v>3142</v>
      </c>
      <c r="D1151" s="3396">
        <v>267</v>
      </c>
      <c r="E1151" s="2142">
        <v>74.489999999999995</v>
      </c>
      <c r="F1151" s="2142">
        <v>15261.19</v>
      </c>
      <c r="G1151" s="2142">
        <v>1136806.0430999999</v>
      </c>
      <c r="H1151" s="3557">
        <v>42832</v>
      </c>
      <c r="I1151" s="2142">
        <v>1136806</v>
      </c>
    </row>
    <row r="1152" spans="1:9" s="2139" customFormat="1" hidden="1">
      <c r="A1152" s="2140" t="s">
        <v>6833</v>
      </c>
      <c r="B1152" s="3560">
        <v>12</v>
      </c>
      <c r="C1152" s="2141" t="s">
        <v>3142</v>
      </c>
      <c r="D1152" s="3396">
        <v>138</v>
      </c>
      <c r="E1152" s="2142">
        <v>67.319999999999993</v>
      </c>
      <c r="F1152" s="2142">
        <v>20080</v>
      </c>
      <c r="G1152" s="2142">
        <v>1351785.5999999999</v>
      </c>
      <c r="H1152" s="3557">
        <v>42824</v>
      </c>
      <c r="I1152" s="2142">
        <v>675762</v>
      </c>
    </row>
    <row r="1153" spans="1:9" s="2139" customFormat="1" hidden="1">
      <c r="A1153" s="2140" t="s">
        <v>6359</v>
      </c>
      <c r="B1153" s="3560">
        <v>9</v>
      </c>
      <c r="C1153" s="2141" t="s">
        <v>3142</v>
      </c>
      <c r="D1153" s="3396">
        <v>150</v>
      </c>
      <c r="E1153" s="2142">
        <v>86.35</v>
      </c>
      <c r="F1153" s="2142">
        <v>18982.906770000001</v>
      </c>
      <c r="G1153" s="2142">
        <v>1639173.9995895</v>
      </c>
      <c r="H1153" s="3557">
        <v>42819</v>
      </c>
      <c r="I1153" s="2142">
        <v>1639174</v>
      </c>
    </row>
    <row r="1154" spans="1:9" s="2139" customFormat="1" hidden="1">
      <c r="A1154" s="2140" t="s">
        <v>4090</v>
      </c>
      <c r="B1154" s="3560" t="s">
        <v>3054</v>
      </c>
      <c r="C1154" s="2141" t="s">
        <v>3142</v>
      </c>
      <c r="D1154" s="3396">
        <v>37</v>
      </c>
      <c r="E1154" s="2142">
        <v>60.97</v>
      </c>
      <c r="F1154" s="2142">
        <v>14800</v>
      </c>
      <c r="G1154" s="2142">
        <v>902356</v>
      </c>
      <c r="H1154" s="3557">
        <v>42993</v>
      </c>
      <c r="I1154" s="2142">
        <v>902356</v>
      </c>
    </row>
    <row r="1155" spans="1:9" s="2139" customFormat="1" hidden="1">
      <c r="A1155" s="2140" t="s">
        <v>5504</v>
      </c>
      <c r="B1155" s="3560" t="s">
        <v>3056</v>
      </c>
      <c r="C1155" s="2141" t="s">
        <v>3142</v>
      </c>
      <c r="D1155" s="3396">
        <v>270</v>
      </c>
      <c r="E1155" s="2142">
        <v>34.04</v>
      </c>
      <c r="F1155" s="2142">
        <v>16300</v>
      </c>
      <c r="G1155" s="2142">
        <v>554852</v>
      </c>
      <c r="H1155" s="3557">
        <v>42797</v>
      </c>
      <c r="I1155" s="2142">
        <v>554852</v>
      </c>
    </row>
    <row r="1156" spans="1:9" s="2139" customFormat="1" hidden="1">
      <c r="A1156" s="2140" t="s">
        <v>5505</v>
      </c>
      <c r="B1156" s="3560" t="s">
        <v>3056</v>
      </c>
      <c r="C1156" s="2141" t="s">
        <v>3142</v>
      </c>
      <c r="D1156" s="3396">
        <v>271</v>
      </c>
      <c r="E1156" s="2142">
        <v>25.02</v>
      </c>
      <c r="F1156" s="2142">
        <v>16300</v>
      </c>
      <c r="G1156" s="2142">
        <v>407826</v>
      </c>
      <c r="H1156" s="3557">
        <v>42797</v>
      </c>
      <c r="I1156" s="2142">
        <v>407826</v>
      </c>
    </row>
    <row r="1157" spans="1:9" s="2139" customFormat="1" hidden="1">
      <c r="A1157" s="2140" t="s">
        <v>5506</v>
      </c>
      <c r="B1157" s="3560" t="s">
        <v>3056</v>
      </c>
      <c r="C1157" s="2141" t="s">
        <v>3142</v>
      </c>
      <c r="D1157" s="3396">
        <v>272</v>
      </c>
      <c r="E1157" s="2142">
        <v>40.76</v>
      </c>
      <c r="F1157" s="2142">
        <v>19790</v>
      </c>
      <c r="G1157" s="2142">
        <v>806640.39999999991</v>
      </c>
      <c r="H1157" s="3557">
        <v>42797</v>
      </c>
      <c r="I1157" s="2142">
        <v>806640</v>
      </c>
    </row>
    <row r="1158" spans="1:9" s="2139" customFormat="1" hidden="1">
      <c r="A1158" s="2140" t="s">
        <v>5507</v>
      </c>
      <c r="B1158" s="3560" t="s">
        <v>3056</v>
      </c>
      <c r="C1158" s="2141" t="s">
        <v>3142</v>
      </c>
      <c r="D1158" s="3396">
        <v>273</v>
      </c>
      <c r="E1158" s="2142">
        <v>61.96</v>
      </c>
      <c r="F1158" s="2142">
        <v>19790</v>
      </c>
      <c r="G1158" s="2142">
        <v>1226188.3999999999</v>
      </c>
      <c r="H1158" s="3557">
        <v>42797</v>
      </c>
      <c r="I1158" s="2142">
        <v>1226188</v>
      </c>
    </row>
    <row r="1159" spans="1:9" s="2139" customFormat="1" hidden="1">
      <c r="A1159" s="2140" t="s">
        <v>5514</v>
      </c>
      <c r="B1159" s="3560" t="s">
        <v>3056</v>
      </c>
      <c r="C1159" s="2141" t="s">
        <v>3142</v>
      </c>
      <c r="D1159" s="3396">
        <v>281</v>
      </c>
      <c r="E1159" s="2142">
        <v>16.760000000000002</v>
      </c>
      <c r="F1159" s="2142">
        <v>19300</v>
      </c>
      <c r="G1159" s="2142">
        <v>323468.00000000006</v>
      </c>
      <c r="H1159" s="3557">
        <v>42795</v>
      </c>
      <c r="I1159" s="2142">
        <v>335820</v>
      </c>
    </row>
    <row r="1160" spans="1:9" s="2139" customFormat="1" hidden="1">
      <c r="A1160" s="2140" t="s">
        <v>5933</v>
      </c>
      <c r="B1160" s="3560" t="s">
        <v>3057</v>
      </c>
      <c r="C1160" s="2141" t="s">
        <v>3142</v>
      </c>
      <c r="D1160" s="3396">
        <v>88</v>
      </c>
      <c r="E1160" s="2142">
        <v>31.03</v>
      </c>
      <c r="F1160" s="2142">
        <v>17908</v>
      </c>
      <c r="G1160" s="2142">
        <v>555685.24</v>
      </c>
      <c r="H1160" s="3557">
        <v>42786</v>
      </c>
      <c r="I1160" s="2142">
        <v>555685</v>
      </c>
    </row>
    <row r="1161" spans="1:9" s="2139" customFormat="1" hidden="1">
      <c r="A1161" s="2140" t="s">
        <v>5932</v>
      </c>
      <c r="B1161" s="3560" t="s">
        <v>3057</v>
      </c>
      <c r="C1161" s="2141" t="s">
        <v>3142</v>
      </c>
      <c r="D1161" s="3396">
        <v>86</v>
      </c>
      <c r="E1161" s="2142">
        <v>79.73</v>
      </c>
      <c r="F1161" s="2142">
        <v>16697</v>
      </c>
      <c r="G1161" s="2142">
        <v>1331251.81</v>
      </c>
      <c r="H1161" s="3557">
        <v>42759</v>
      </c>
      <c r="I1161" s="2142">
        <v>1331252</v>
      </c>
    </row>
    <row r="1162" spans="1:9" s="2139" customFormat="1" hidden="1">
      <c r="A1162" s="2140" t="s">
        <v>5984</v>
      </c>
      <c r="B1162" s="3560" t="s">
        <v>3057</v>
      </c>
      <c r="C1162" s="2141" t="s">
        <v>3142</v>
      </c>
      <c r="D1162" s="3396">
        <v>182</v>
      </c>
      <c r="E1162" s="2142">
        <v>44.25</v>
      </c>
      <c r="F1162" s="2142">
        <v>17843</v>
      </c>
      <c r="G1162" s="2142">
        <v>789552.75</v>
      </c>
      <c r="H1162" s="3557">
        <v>42759</v>
      </c>
      <c r="I1162" s="2142">
        <v>789553</v>
      </c>
    </row>
    <row r="1163" spans="1:9" s="2139" customFormat="1" hidden="1">
      <c r="A1163" s="2140" t="s">
        <v>5985</v>
      </c>
      <c r="B1163" s="3560" t="s">
        <v>3057</v>
      </c>
      <c r="C1163" s="2141" t="s">
        <v>3142</v>
      </c>
      <c r="D1163" s="3396">
        <v>185</v>
      </c>
      <c r="E1163" s="2142">
        <v>54.18</v>
      </c>
      <c r="F1163" s="2142">
        <v>18208</v>
      </c>
      <c r="G1163" s="2142">
        <v>986509.44</v>
      </c>
      <c r="H1163" s="3557">
        <v>42759</v>
      </c>
      <c r="I1163" s="2142">
        <v>986509</v>
      </c>
    </row>
    <row r="1164" spans="1:9" s="2139" customFormat="1" hidden="1">
      <c r="A1164" s="2140" t="s">
        <v>5986</v>
      </c>
      <c r="B1164" s="3560" t="s">
        <v>3057</v>
      </c>
      <c r="C1164" s="2141" t="s">
        <v>3142</v>
      </c>
      <c r="D1164" s="3396">
        <v>186</v>
      </c>
      <c r="E1164" s="2142">
        <v>59.08</v>
      </c>
      <c r="F1164" s="2142">
        <v>18343</v>
      </c>
      <c r="G1164" s="2142">
        <v>1083704.44</v>
      </c>
      <c r="H1164" s="3557">
        <v>42759</v>
      </c>
      <c r="I1164" s="2142">
        <v>543704</v>
      </c>
    </row>
    <row r="1165" spans="1:9" s="2139" customFormat="1" hidden="1">
      <c r="A1165" s="2140" t="s">
        <v>5987</v>
      </c>
      <c r="B1165" s="3560" t="s">
        <v>3057</v>
      </c>
      <c r="C1165" s="2141" t="s">
        <v>3142</v>
      </c>
      <c r="D1165" s="3396">
        <v>188</v>
      </c>
      <c r="E1165" s="2142">
        <v>66.56</v>
      </c>
      <c r="F1165" s="2142">
        <v>18510</v>
      </c>
      <c r="G1165" s="2142">
        <v>1232025.6000000001</v>
      </c>
      <c r="H1165" s="3557">
        <v>42759</v>
      </c>
      <c r="I1165" s="2142">
        <v>1232026</v>
      </c>
    </row>
    <row r="1166" spans="1:9" s="2139" customFormat="1" hidden="1">
      <c r="A1166" s="2140" t="s">
        <v>5992</v>
      </c>
      <c r="B1166" s="3560" t="s">
        <v>3057</v>
      </c>
      <c r="C1166" s="2141" t="s">
        <v>3142</v>
      </c>
      <c r="D1166" s="3396">
        <v>198</v>
      </c>
      <c r="E1166" s="2142">
        <v>33.6</v>
      </c>
      <c r="F1166" s="2142">
        <v>13649</v>
      </c>
      <c r="G1166" s="2142">
        <v>458606.4</v>
      </c>
      <c r="H1166" s="3557">
        <v>42759</v>
      </c>
      <c r="I1166" s="2142">
        <v>238606</v>
      </c>
    </row>
    <row r="1167" spans="1:9" s="2139" customFormat="1" hidden="1">
      <c r="A1167" s="2140" t="s">
        <v>6006</v>
      </c>
      <c r="B1167" s="3560" t="s">
        <v>3057</v>
      </c>
      <c r="C1167" s="2141" t="s">
        <v>3142</v>
      </c>
      <c r="D1167" s="3396">
        <v>245</v>
      </c>
      <c r="E1167" s="2142">
        <v>67.09</v>
      </c>
      <c r="F1167" s="2142">
        <v>16222</v>
      </c>
      <c r="G1167" s="2142">
        <v>1088333.98</v>
      </c>
      <c r="H1167" s="3557">
        <v>42759</v>
      </c>
      <c r="I1167" s="2142">
        <v>1088334</v>
      </c>
    </row>
    <row r="1168" spans="1:9" s="2139" customFormat="1" hidden="1">
      <c r="A1168" s="2140" t="s">
        <v>6007</v>
      </c>
      <c r="B1168" s="3560" t="s">
        <v>3057</v>
      </c>
      <c r="C1168" s="2141" t="s">
        <v>3142</v>
      </c>
      <c r="D1168" s="3396">
        <v>252</v>
      </c>
      <c r="E1168" s="2142">
        <v>33.24</v>
      </c>
      <c r="F1168" s="2142">
        <v>15204</v>
      </c>
      <c r="G1168" s="2142">
        <v>505380.96</v>
      </c>
      <c r="H1168" s="3557">
        <v>42759</v>
      </c>
      <c r="I1168" s="2142">
        <v>255381</v>
      </c>
    </row>
    <row r="1169" spans="1:9" s="2139" customFormat="1" hidden="1">
      <c r="A1169" s="2140" t="s">
        <v>6011</v>
      </c>
      <c r="B1169" s="3560" t="s">
        <v>3057</v>
      </c>
      <c r="C1169" s="2141" t="s">
        <v>3142</v>
      </c>
      <c r="D1169" s="3396">
        <v>267</v>
      </c>
      <c r="E1169" s="2142">
        <v>113.87</v>
      </c>
      <c r="F1169" s="2142">
        <v>17627</v>
      </c>
      <c r="G1169" s="2142">
        <v>2007186.49</v>
      </c>
      <c r="H1169" s="3557">
        <v>42759</v>
      </c>
      <c r="I1169" s="2142">
        <v>2007186</v>
      </c>
    </row>
    <row r="1170" spans="1:9" s="2139" customFormat="1" hidden="1">
      <c r="A1170" s="2140" t="s">
        <v>6012</v>
      </c>
      <c r="B1170" s="3560" t="s">
        <v>3057</v>
      </c>
      <c r="C1170" s="2141" t="s">
        <v>3142</v>
      </c>
      <c r="D1170" s="3396">
        <v>268</v>
      </c>
      <c r="E1170" s="2142">
        <v>60.03</v>
      </c>
      <c r="F1170" s="2142">
        <v>13358</v>
      </c>
      <c r="G1170" s="2142">
        <v>801880.74</v>
      </c>
      <c r="H1170" s="3557">
        <v>42759</v>
      </c>
      <c r="I1170" s="2142">
        <v>801881</v>
      </c>
    </row>
    <row r="1171" spans="1:9" s="2139" customFormat="1" hidden="1">
      <c r="A1171" s="2140" t="s">
        <v>6013</v>
      </c>
      <c r="B1171" s="3560" t="s">
        <v>3057</v>
      </c>
      <c r="C1171" s="2141" t="s">
        <v>3142</v>
      </c>
      <c r="D1171" s="3396">
        <v>298</v>
      </c>
      <c r="E1171" s="2142">
        <v>67.02</v>
      </c>
      <c r="F1171" s="2142">
        <v>21575</v>
      </c>
      <c r="G1171" s="2142">
        <v>1445957</v>
      </c>
      <c r="H1171" s="3557">
        <v>42759</v>
      </c>
      <c r="I1171" s="2142">
        <v>1428481</v>
      </c>
    </row>
    <row r="1172" spans="1:9" s="2139" customFormat="1" hidden="1">
      <c r="A1172" s="2140" t="s">
        <v>6019</v>
      </c>
      <c r="B1172" s="3560" t="s">
        <v>3057</v>
      </c>
      <c r="C1172" s="2141" t="s">
        <v>3142</v>
      </c>
      <c r="D1172" s="3396">
        <v>342</v>
      </c>
      <c r="E1172" s="2142">
        <v>61.35</v>
      </c>
      <c r="F1172" s="2142">
        <v>19166</v>
      </c>
      <c r="G1172" s="2142">
        <v>1175834.1000000001</v>
      </c>
      <c r="H1172" s="3557">
        <v>42759</v>
      </c>
      <c r="I1172" s="2142">
        <v>1175834</v>
      </c>
    </row>
    <row r="1173" spans="1:9" s="2139" customFormat="1" hidden="1">
      <c r="A1173" s="2140" t="s">
        <v>5085</v>
      </c>
      <c r="B1173" s="3560" t="s">
        <v>3056</v>
      </c>
      <c r="C1173" s="2141" t="s">
        <v>3261</v>
      </c>
      <c r="D1173" s="3396">
        <v>137</v>
      </c>
      <c r="E1173" s="2142">
        <v>88.73</v>
      </c>
      <c r="F1173" s="2142">
        <v>27300</v>
      </c>
      <c r="G1173" s="2142">
        <v>2422329</v>
      </c>
      <c r="H1173" s="3557">
        <v>42963</v>
      </c>
      <c r="I1173" s="2142">
        <v>1212329</v>
      </c>
    </row>
    <row r="1174" spans="1:9" s="2139" customFormat="1" hidden="1">
      <c r="A1174" s="2140" t="s">
        <v>4336</v>
      </c>
      <c r="B1174" s="3560" t="s">
        <v>3055</v>
      </c>
      <c r="C1174" s="2141" t="s">
        <v>3261</v>
      </c>
      <c r="D1174" s="3396">
        <v>22</v>
      </c>
      <c r="E1174" s="2142">
        <v>175.76</v>
      </c>
      <c r="F1174" s="2142">
        <v>36300</v>
      </c>
      <c r="G1174" s="2142">
        <v>6380088</v>
      </c>
      <c r="H1174" s="3557">
        <v>42954</v>
      </c>
      <c r="I1174" s="2142">
        <v>3190088</v>
      </c>
    </row>
    <row r="1175" spans="1:9" s="2139" customFormat="1" hidden="1">
      <c r="A1175" s="2140" t="s">
        <v>6558</v>
      </c>
      <c r="B1175" s="3560">
        <v>11</v>
      </c>
      <c r="C1175" s="2141" t="s">
        <v>3261</v>
      </c>
      <c r="D1175" s="3396">
        <v>51</v>
      </c>
      <c r="E1175" s="2142">
        <v>39.5</v>
      </c>
      <c r="F1175" s="2142">
        <v>30728</v>
      </c>
      <c r="G1175" s="2142">
        <v>1213756</v>
      </c>
      <c r="H1175" s="3557">
        <v>42937</v>
      </c>
      <c r="I1175" s="2142">
        <v>613756</v>
      </c>
    </row>
    <row r="1176" spans="1:9" s="2139" customFormat="1" hidden="1">
      <c r="A1176" s="2140" t="s">
        <v>4337</v>
      </c>
      <c r="B1176" s="3560" t="s">
        <v>3055</v>
      </c>
      <c r="C1176" s="2141" t="s">
        <v>3261</v>
      </c>
      <c r="D1176" s="3396">
        <v>23</v>
      </c>
      <c r="E1176" s="2142">
        <v>27.48</v>
      </c>
      <c r="F1176" s="2142">
        <v>30800</v>
      </c>
      <c r="G1176" s="2142">
        <v>846384</v>
      </c>
      <c r="H1176" s="3557">
        <v>42930</v>
      </c>
      <c r="I1176" s="2142">
        <v>426384</v>
      </c>
    </row>
    <row r="1177" spans="1:9" s="2139" customFormat="1" hidden="1">
      <c r="A1177" s="2140" t="s">
        <v>5065</v>
      </c>
      <c r="B1177" s="3560" t="s">
        <v>3056</v>
      </c>
      <c r="C1177" s="2141" t="s">
        <v>3261</v>
      </c>
      <c r="D1177" s="3396">
        <v>79</v>
      </c>
      <c r="E1177" s="2142">
        <v>31.65</v>
      </c>
      <c r="F1177" s="2142">
        <v>37800</v>
      </c>
      <c r="G1177" s="2142">
        <v>1196370</v>
      </c>
      <c r="H1177" s="3557">
        <v>42905</v>
      </c>
      <c r="I1177" s="2142">
        <v>606370</v>
      </c>
    </row>
    <row r="1178" spans="1:9" s="2139" customFormat="1">
      <c r="A1178" s="2140" t="s">
        <v>5678</v>
      </c>
      <c r="B1178" s="3560" t="s">
        <v>3057</v>
      </c>
      <c r="C1178" s="2141" t="s">
        <v>3261</v>
      </c>
      <c r="D1178" s="3396">
        <v>6</v>
      </c>
      <c r="E1178" s="2142">
        <v>73.2</v>
      </c>
      <c r="F1178" s="2142">
        <v>31815.99727</v>
      </c>
      <c r="G1178" s="2142">
        <v>2328931.0001639999</v>
      </c>
      <c r="H1178" s="3557">
        <v>42905</v>
      </c>
      <c r="I1178" s="2142">
        <v>2328931</v>
      </c>
    </row>
    <row r="1179" spans="1:9" s="2139" customFormat="1" hidden="1">
      <c r="A1179" s="2140" t="s">
        <v>4325</v>
      </c>
      <c r="B1179" s="3560" t="s">
        <v>3055</v>
      </c>
      <c r="C1179" s="2141" t="s">
        <v>3261</v>
      </c>
      <c r="D1179" s="3396">
        <v>9</v>
      </c>
      <c r="E1179" s="2142">
        <v>140.37</v>
      </c>
      <c r="F1179" s="2142">
        <v>38000</v>
      </c>
      <c r="G1179" s="2142">
        <v>5334060</v>
      </c>
      <c r="H1179" s="3557">
        <v>42901</v>
      </c>
      <c r="I1179" s="2142">
        <v>2674060</v>
      </c>
    </row>
    <row r="1180" spans="1:9" s="2139" customFormat="1" hidden="1">
      <c r="A1180" s="2140" t="s">
        <v>4327</v>
      </c>
      <c r="B1180" s="3560" t="s">
        <v>3055</v>
      </c>
      <c r="C1180" s="2141" t="s">
        <v>3261</v>
      </c>
      <c r="D1180" s="3396">
        <v>11</v>
      </c>
      <c r="E1180" s="2142">
        <v>111.19</v>
      </c>
      <c r="F1180" s="2142">
        <v>36500</v>
      </c>
      <c r="G1180" s="2142">
        <v>4058435</v>
      </c>
      <c r="H1180" s="3557">
        <v>42899</v>
      </c>
      <c r="I1180" s="2142">
        <v>1000000</v>
      </c>
    </row>
    <row r="1181" spans="1:9" s="2139" customFormat="1" hidden="1">
      <c r="A1181" s="2140" t="s">
        <v>4390</v>
      </c>
      <c r="B1181" s="3560" t="s">
        <v>3055</v>
      </c>
      <c r="C1181" s="2141" t="s">
        <v>3261</v>
      </c>
      <c r="D1181" s="3396">
        <v>95</v>
      </c>
      <c r="E1181" s="2142">
        <v>41.29</v>
      </c>
      <c r="F1181" s="2142">
        <v>25800</v>
      </c>
      <c r="G1181" s="2142">
        <v>1065282</v>
      </c>
      <c r="H1181" s="3557">
        <v>42898</v>
      </c>
      <c r="I1181" s="2142">
        <v>535282</v>
      </c>
    </row>
    <row r="1182" spans="1:9" s="2139" customFormat="1">
      <c r="A1182" s="2140" t="s">
        <v>5681</v>
      </c>
      <c r="B1182" s="3560" t="s">
        <v>3057</v>
      </c>
      <c r="C1182" s="2141" t="s">
        <v>3261</v>
      </c>
      <c r="D1182" s="3396">
        <v>10</v>
      </c>
      <c r="E1182" s="2142">
        <v>82.84</v>
      </c>
      <c r="F1182" s="2142">
        <v>34009.995199999998</v>
      </c>
      <c r="G1182" s="2142">
        <v>2817388.0023679999</v>
      </c>
      <c r="H1182" s="3557">
        <v>42895</v>
      </c>
      <c r="I1182" s="2142">
        <v>2817388</v>
      </c>
    </row>
    <row r="1183" spans="1:9" s="2139" customFormat="1" hidden="1">
      <c r="A1183" s="2140" t="s">
        <v>4421</v>
      </c>
      <c r="B1183" s="3560" t="s">
        <v>3055</v>
      </c>
      <c r="C1183" s="2141" t="s">
        <v>3261</v>
      </c>
      <c r="D1183" s="3396">
        <v>149</v>
      </c>
      <c r="E1183" s="2142">
        <v>119.73</v>
      </c>
      <c r="F1183" s="2142">
        <v>36800</v>
      </c>
      <c r="G1183" s="2142">
        <v>4406064</v>
      </c>
      <c r="H1183" s="3557">
        <v>42893</v>
      </c>
      <c r="I1183" s="2142">
        <v>2466064</v>
      </c>
    </row>
    <row r="1184" spans="1:9" s="2139" customFormat="1" hidden="1">
      <c r="A1184" s="2140" t="s">
        <v>5042</v>
      </c>
      <c r="B1184" s="3560" t="s">
        <v>3056</v>
      </c>
      <c r="C1184" s="2141" t="s">
        <v>3261</v>
      </c>
      <c r="D1184" s="3396">
        <v>29</v>
      </c>
      <c r="E1184" s="2142">
        <v>137.59</v>
      </c>
      <c r="F1184" s="2142">
        <v>36300</v>
      </c>
      <c r="G1184" s="2142">
        <v>4994517</v>
      </c>
      <c r="H1184" s="3557">
        <v>42891</v>
      </c>
      <c r="I1184" s="2142">
        <v>1880406</v>
      </c>
    </row>
    <row r="1185" spans="1:9" s="2139" customFormat="1">
      <c r="A1185" s="2140" t="s">
        <v>5674</v>
      </c>
      <c r="B1185" s="3560" t="s">
        <v>3057</v>
      </c>
      <c r="C1185" s="2141" t="s">
        <v>3261</v>
      </c>
      <c r="D1185" s="3396">
        <v>1</v>
      </c>
      <c r="E1185" s="2142">
        <v>96.29</v>
      </c>
      <c r="F1185" s="2142">
        <v>30503.998339999998</v>
      </c>
      <c r="G1185" s="2142">
        <v>2937230.0001586</v>
      </c>
      <c r="H1185" s="3557">
        <v>42886</v>
      </c>
      <c r="I1185" s="2142">
        <v>2937230</v>
      </c>
    </row>
    <row r="1186" spans="1:9" s="2139" customFormat="1">
      <c r="A1186" s="2140" t="s">
        <v>5675</v>
      </c>
      <c r="B1186" s="3560" t="s">
        <v>3057</v>
      </c>
      <c r="C1186" s="2141" t="s">
        <v>3261</v>
      </c>
      <c r="D1186" s="3396">
        <v>2</v>
      </c>
      <c r="E1186" s="2142">
        <v>91.92</v>
      </c>
      <c r="F1186" s="2142">
        <v>30504.003479999999</v>
      </c>
      <c r="G1186" s="2142">
        <v>2803927.9998816</v>
      </c>
      <c r="H1186" s="3557">
        <v>42886</v>
      </c>
      <c r="I1186" s="2142">
        <v>2803928</v>
      </c>
    </row>
    <row r="1187" spans="1:9" s="2139" customFormat="1">
      <c r="A1187" s="2140" t="s">
        <v>5676</v>
      </c>
      <c r="B1187" s="3560" t="s">
        <v>3057</v>
      </c>
      <c r="C1187" s="2141" t="s">
        <v>3261</v>
      </c>
      <c r="D1187" s="3396">
        <v>3</v>
      </c>
      <c r="E1187" s="2142">
        <v>88.16</v>
      </c>
      <c r="F1187" s="2142">
        <v>30504.004079999999</v>
      </c>
      <c r="G1187" s="2142">
        <v>2689232.9996928</v>
      </c>
      <c r="H1187" s="3557">
        <v>42886</v>
      </c>
      <c r="I1187" s="2142">
        <v>2689233</v>
      </c>
    </row>
    <row r="1188" spans="1:9" s="2139" customFormat="1">
      <c r="A1188" s="2140" t="s">
        <v>5677</v>
      </c>
      <c r="B1188" s="3560" t="s">
        <v>3057</v>
      </c>
      <c r="C1188" s="2141" t="s">
        <v>3261</v>
      </c>
      <c r="D1188" s="3396">
        <v>5</v>
      </c>
      <c r="E1188" s="2142">
        <v>96.29</v>
      </c>
      <c r="F1188" s="2142">
        <v>30503.998339999998</v>
      </c>
      <c r="G1188" s="2142">
        <v>2937230.0001586</v>
      </c>
      <c r="H1188" s="3557">
        <v>42886</v>
      </c>
      <c r="I1188" s="2142">
        <v>2937230</v>
      </c>
    </row>
    <row r="1189" spans="1:9" s="2139" customFormat="1">
      <c r="A1189" s="2140" t="s">
        <v>5685</v>
      </c>
      <c r="B1189" s="3560" t="s">
        <v>3057</v>
      </c>
      <c r="C1189" s="2141" t="s">
        <v>3261</v>
      </c>
      <c r="D1189" s="3396">
        <v>23</v>
      </c>
      <c r="E1189" s="2142">
        <v>37.200000000000003</v>
      </c>
      <c r="F1189" s="2142">
        <v>23994.005379999999</v>
      </c>
      <c r="G1189" s="2142">
        <v>892577.00013599999</v>
      </c>
      <c r="H1189" s="3557">
        <v>42886</v>
      </c>
      <c r="I1189" s="2142">
        <v>892577</v>
      </c>
    </row>
    <row r="1190" spans="1:9" s="2139" customFormat="1">
      <c r="A1190" s="2140" t="s">
        <v>5689</v>
      </c>
      <c r="B1190" s="3560" t="s">
        <v>3057</v>
      </c>
      <c r="C1190" s="2141" t="s">
        <v>3261</v>
      </c>
      <c r="D1190" s="3396">
        <v>32</v>
      </c>
      <c r="E1190" s="2142">
        <v>10.75</v>
      </c>
      <c r="F1190" s="2142">
        <v>27528.558140000001</v>
      </c>
      <c r="G1190" s="2142">
        <v>295932.00000500004</v>
      </c>
      <c r="H1190" s="3557">
        <v>42873</v>
      </c>
      <c r="I1190" s="2142">
        <v>295932</v>
      </c>
    </row>
    <row r="1191" spans="1:9" s="2139" customFormat="1" hidden="1">
      <c r="A1191" s="2140" t="s">
        <v>3786</v>
      </c>
      <c r="B1191" s="3560" t="s">
        <v>3054</v>
      </c>
      <c r="C1191" s="2141" t="s">
        <v>3261</v>
      </c>
      <c r="D1191" s="3396">
        <v>130</v>
      </c>
      <c r="E1191" s="2142">
        <v>38.659999999999997</v>
      </c>
      <c r="F1191" s="2142">
        <v>35210.998440000003</v>
      </c>
      <c r="G1191" s="2142">
        <v>1361257.1996903999</v>
      </c>
      <c r="H1191" s="3557">
        <v>42840</v>
      </c>
      <c r="I1191" s="2142">
        <v>1361257</v>
      </c>
    </row>
    <row r="1192" spans="1:9" s="2139" customFormat="1">
      <c r="A1192" s="2140" t="s">
        <v>5704</v>
      </c>
      <c r="B1192" s="3560" t="s">
        <v>3057</v>
      </c>
      <c r="C1192" s="2141" t="s">
        <v>3261</v>
      </c>
      <c r="D1192" s="3396">
        <v>69</v>
      </c>
      <c r="E1192" s="2142">
        <v>42.1</v>
      </c>
      <c r="F1192" s="2142">
        <v>25511</v>
      </c>
      <c r="G1192" s="2142">
        <v>1074013.1000000001</v>
      </c>
      <c r="H1192" s="3557">
        <v>42833</v>
      </c>
      <c r="I1192" s="2142">
        <v>1074013</v>
      </c>
    </row>
    <row r="1193" spans="1:9" s="2139" customFormat="1" hidden="1">
      <c r="A1193" s="2140" t="s">
        <v>3801</v>
      </c>
      <c r="B1193" s="3560" t="s">
        <v>3054</v>
      </c>
      <c r="C1193" s="2141" t="s">
        <v>3261</v>
      </c>
      <c r="D1193" s="3396">
        <v>173</v>
      </c>
      <c r="E1193" s="2142">
        <v>69.819999999999993</v>
      </c>
      <c r="F1193" s="2142">
        <v>32301.01</v>
      </c>
      <c r="G1193" s="2142">
        <v>2255256.5181999998</v>
      </c>
      <c r="H1193" s="3557">
        <v>42832</v>
      </c>
      <c r="I1193" s="2142">
        <v>2255257</v>
      </c>
    </row>
    <row r="1194" spans="1:9" s="2139" customFormat="1" hidden="1">
      <c r="A1194" s="2140" t="s">
        <v>4417</v>
      </c>
      <c r="B1194" s="3560" t="s">
        <v>3055</v>
      </c>
      <c r="C1194" s="2141" t="s">
        <v>3261</v>
      </c>
      <c r="D1194" s="3396">
        <v>143</v>
      </c>
      <c r="E1194" s="2142">
        <v>135.15</v>
      </c>
      <c r="F1194" s="2142">
        <v>36300</v>
      </c>
      <c r="G1194" s="2142">
        <v>4905945</v>
      </c>
      <c r="H1194" s="3557">
        <v>42825</v>
      </c>
      <c r="I1194" s="2142">
        <v>2455945</v>
      </c>
    </row>
    <row r="1195" spans="1:9" s="2139" customFormat="1" hidden="1">
      <c r="A1195" s="2140" t="s">
        <v>4409</v>
      </c>
      <c r="B1195" s="3560" t="s">
        <v>3055</v>
      </c>
      <c r="C1195" s="2141" t="s">
        <v>3261</v>
      </c>
      <c r="D1195" s="3396">
        <v>128</v>
      </c>
      <c r="E1195" s="2142">
        <v>85.08</v>
      </c>
      <c r="F1195" s="2142">
        <v>25800</v>
      </c>
      <c r="G1195" s="2142">
        <v>2195064</v>
      </c>
      <c r="H1195" s="3557">
        <v>42810</v>
      </c>
      <c r="I1195" s="2142">
        <v>1195064</v>
      </c>
    </row>
    <row r="1196" spans="1:9" s="2139" customFormat="1" hidden="1">
      <c r="A1196" s="2140" t="s">
        <v>5075</v>
      </c>
      <c r="B1196" s="3560" t="s">
        <v>3056</v>
      </c>
      <c r="C1196" s="2141" t="s">
        <v>3261</v>
      </c>
      <c r="D1196" s="3396">
        <v>109</v>
      </c>
      <c r="E1196" s="2142">
        <v>44.26</v>
      </c>
      <c r="F1196" s="2142">
        <v>25800</v>
      </c>
      <c r="G1196" s="2142">
        <v>1141908</v>
      </c>
      <c r="H1196" s="3557">
        <v>42772</v>
      </c>
      <c r="I1196" s="2142">
        <v>1141908</v>
      </c>
    </row>
    <row r="1197" spans="1:9" s="3568" customFormat="1">
      <c r="A1197" s="3562" t="s">
        <v>5680</v>
      </c>
      <c r="B1197" s="3563" t="s">
        <v>3057</v>
      </c>
      <c r="C1197" s="3564" t="s">
        <v>3261</v>
      </c>
      <c r="D1197" s="3565">
        <v>9</v>
      </c>
      <c r="E1197" s="3566">
        <v>129.76</v>
      </c>
      <c r="F1197" s="3566">
        <v>39930</v>
      </c>
      <c r="G1197" s="3566">
        <v>5181316.8</v>
      </c>
      <c r="H1197" s="3567">
        <v>42772</v>
      </c>
      <c r="I1197" s="3566">
        <v>3001317</v>
      </c>
    </row>
    <row r="1198" spans="1:9" s="2139" customFormat="1" hidden="1">
      <c r="A1198" s="2140" t="s">
        <v>6734</v>
      </c>
      <c r="B1198" s="3560">
        <v>12</v>
      </c>
      <c r="C1198" s="2141" t="s">
        <v>3261</v>
      </c>
      <c r="D1198" s="3396">
        <v>27</v>
      </c>
      <c r="E1198" s="2142">
        <v>18.18</v>
      </c>
      <c r="F1198" s="2142">
        <v>37860</v>
      </c>
      <c r="G1198" s="2142">
        <v>688294.8</v>
      </c>
      <c r="H1198" s="3557">
        <v>42759</v>
      </c>
      <c r="I1198" s="2142">
        <v>50000</v>
      </c>
    </row>
    <row r="1199" spans="1:9" s="2139" customFormat="1" hidden="1">
      <c r="A1199" s="2140" t="s">
        <v>5072</v>
      </c>
      <c r="B1199" s="3560" t="s">
        <v>3056</v>
      </c>
      <c r="C1199" s="2141" t="s">
        <v>3261</v>
      </c>
      <c r="D1199" s="3396">
        <v>105</v>
      </c>
      <c r="E1199" s="2142">
        <v>29.48</v>
      </c>
      <c r="F1199" s="2142">
        <v>28929.986430000001</v>
      </c>
      <c r="G1199" s="2142">
        <v>852855.99995640002</v>
      </c>
      <c r="H1199" s="3557">
        <v>42756</v>
      </c>
      <c r="I1199" s="2142">
        <v>852856</v>
      </c>
    </row>
    <row r="1200" spans="1:9" s="2139" customFormat="1" hidden="1">
      <c r="A1200" s="2140" t="s">
        <v>4360</v>
      </c>
      <c r="B1200" s="3560" t="s">
        <v>3055</v>
      </c>
      <c r="C1200" s="2141" t="s">
        <v>3261</v>
      </c>
      <c r="D1200" s="3396">
        <v>51</v>
      </c>
      <c r="E1200" s="2142">
        <v>57.54</v>
      </c>
      <c r="F1200" s="2142">
        <v>27300</v>
      </c>
      <c r="G1200" s="2142">
        <v>1570842</v>
      </c>
      <c r="H1200" s="3557">
        <v>42744</v>
      </c>
      <c r="I1200" s="2142">
        <v>790842</v>
      </c>
    </row>
    <row r="1201" spans="1:9" s="2139" customFormat="1" hidden="1">
      <c r="A1201" s="2140" t="s">
        <v>4371</v>
      </c>
      <c r="B1201" s="3560" t="s">
        <v>3055</v>
      </c>
      <c r="C1201" s="2141" t="s">
        <v>3261</v>
      </c>
      <c r="D1201" s="3396">
        <v>63</v>
      </c>
      <c r="E1201" s="2142">
        <v>50.72</v>
      </c>
      <c r="F1201" s="2142">
        <v>26800</v>
      </c>
      <c r="G1201" s="2142">
        <v>1359296</v>
      </c>
      <c r="H1201" s="3557">
        <v>42744</v>
      </c>
      <c r="I1201" s="2142">
        <v>689296</v>
      </c>
    </row>
    <row r="1202" spans="1:9" s="3568" customFormat="1" hidden="1">
      <c r="A1202" s="3562" t="s">
        <v>6765</v>
      </c>
      <c r="B1202" s="3563">
        <v>12</v>
      </c>
      <c r="C1202" s="3564" t="s">
        <v>3261</v>
      </c>
      <c r="D1202" s="3565">
        <v>83</v>
      </c>
      <c r="E1202" s="3566">
        <v>5.91</v>
      </c>
      <c r="F1202" s="3566">
        <v>41710.019999999997</v>
      </c>
      <c r="G1202" s="3566">
        <v>246506.21819999997</v>
      </c>
      <c r="H1202" s="3567">
        <v>42740</v>
      </c>
      <c r="I1202" s="3566">
        <v>245672</v>
      </c>
    </row>
    <row r="1203" spans="1:9" s="2139" customFormat="1" hidden="1">
      <c r="A1203" s="2140" t="s">
        <v>4393</v>
      </c>
      <c r="B1203" s="3560" t="s">
        <v>3055</v>
      </c>
      <c r="C1203" s="2141" t="s">
        <v>3261</v>
      </c>
      <c r="D1203" s="3396">
        <v>101</v>
      </c>
      <c r="E1203" s="2142">
        <v>57.94</v>
      </c>
      <c r="F1203" s="2142">
        <v>27300</v>
      </c>
      <c r="G1203" s="2142">
        <v>1581762</v>
      </c>
      <c r="H1203" s="3557">
        <v>42739</v>
      </c>
      <c r="I1203" s="2142">
        <v>791762</v>
      </c>
    </row>
    <row r="1204" spans="1:9" s="2139" customFormat="1" hidden="1">
      <c r="A1204" s="2140" t="s">
        <v>5058</v>
      </c>
      <c r="B1204" s="3560" t="s">
        <v>3056</v>
      </c>
      <c r="C1204" s="2141" t="s">
        <v>3261</v>
      </c>
      <c r="D1204" s="3396">
        <v>61</v>
      </c>
      <c r="E1204" s="2142">
        <v>69.05</v>
      </c>
      <c r="F1204" s="2142">
        <v>35531.093399999998</v>
      </c>
      <c r="G1204" s="2142">
        <v>2453421.9992699996</v>
      </c>
      <c r="H1204" s="3557">
        <v>42738</v>
      </c>
      <c r="I1204" s="2142">
        <v>2453422</v>
      </c>
    </row>
    <row r="1205" spans="1:9" s="2139" customFormat="1" hidden="1">
      <c r="A1205" s="2140" t="s">
        <v>5082</v>
      </c>
      <c r="B1205" s="2141" t="s">
        <v>3056</v>
      </c>
      <c r="C1205" s="2141" t="s">
        <v>3261</v>
      </c>
      <c r="D1205" s="2141">
        <v>129</v>
      </c>
      <c r="E1205" s="2142">
        <v>47.54</v>
      </c>
      <c r="F1205" s="2142">
        <v>37441.985699999997</v>
      </c>
      <c r="G1205" s="2142">
        <v>1779992.000178</v>
      </c>
      <c r="H1205" s="2143">
        <v>42732</v>
      </c>
      <c r="I1205" s="2142">
        <v>1778869</v>
      </c>
    </row>
    <row r="1206" spans="1:9" s="2139" customFormat="1" hidden="1">
      <c r="A1206" s="2140" t="s">
        <v>6728</v>
      </c>
      <c r="B1206" s="2141">
        <v>12</v>
      </c>
      <c r="C1206" s="2141" t="s">
        <v>3261</v>
      </c>
      <c r="D1206" s="2141">
        <v>8</v>
      </c>
      <c r="E1206" s="2142">
        <v>28.22</v>
      </c>
      <c r="F1206" s="2142">
        <v>39860</v>
      </c>
      <c r="G1206" s="2142">
        <v>1124849.2</v>
      </c>
      <c r="H1206" s="2143">
        <v>42710</v>
      </c>
      <c r="I1206" s="2142">
        <v>1120066</v>
      </c>
    </row>
    <row r="1207" spans="1:9" s="2139" customFormat="1" hidden="1">
      <c r="A1207" s="2140" t="s">
        <v>5701</v>
      </c>
      <c r="B1207" s="2141" t="s">
        <v>3057</v>
      </c>
      <c r="C1207" s="2141" t="s">
        <v>3261</v>
      </c>
      <c r="D1207" s="2141">
        <v>60</v>
      </c>
      <c r="E1207" s="2142">
        <v>42.09</v>
      </c>
      <c r="F1207" s="2142">
        <v>27300</v>
      </c>
      <c r="G1207" s="2142">
        <v>1149057</v>
      </c>
      <c r="H1207" s="2143">
        <v>42695</v>
      </c>
      <c r="I1207" s="2142">
        <v>579057</v>
      </c>
    </row>
    <row r="1208" spans="1:9" s="2139" customFormat="1" hidden="1">
      <c r="A1208" s="2140" t="s">
        <v>5063</v>
      </c>
      <c r="B1208" s="2141" t="s">
        <v>3056</v>
      </c>
      <c r="C1208" s="2141" t="s">
        <v>3261</v>
      </c>
      <c r="D1208" s="2141">
        <v>77</v>
      </c>
      <c r="E1208" s="2142">
        <v>109.96</v>
      </c>
      <c r="F1208" s="2142">
        <v>32800</v>
      </c>
      <c r="G1208" s="2142">
        <v>3606688</v>
      </c>
      <c r="H1208" s="2143">
        <v>42675</v>
      </c>
      <c r="I1208" s="2142">
        <v>3606688</v>
      </c>
    </row>
    <row r="1209" spans="1:9" s="2139" customFormat="1" hidden="1">
      <c r="A1209" s="2140" t="s">
        <v>3779</v>
      </c>
      <c r="B1209" s="2141" t="s">
        <v>3054</v>
      </c>
      <c r="C1209" s="2141" t="s">
        <v>3261</v>
      </c>
      <c r="D1209" s="2141">
        <v>88</v>
      </c>
      <c r="E1209" s="2142">
        <v>51</v>
      </c>
      <c r="F1209" s="2142">
        <v>25800</v>
      </c>
      <c r="G1209" s="2142">
        <v>1315800</v>
      </c>
      <c r="H1209" s="2143">
        <v>42661</v>
      </c>
      <c r="I1209" s="2142">
        <v>1315800</v>
      </c>
    </row>
    <row r="1210" spans="1:9" s="2139" customFormat="1" hidden="1">
      <c r="A1210" s="2140" t="s">
        <v>5091</v>
      </c>
      <c r="B1210" s="2141" t="s">
        <v>3056</v>
      </c>
      <c r="C1210" s="2141" t="s">
        <v>3261</v>
      </c>
      <c r="D1210" s="2141">
        <v>145</v>
      </c>
      <c r="E1210" s="2142">
        <v>116.68</v>
      </c>
      <c r="F1210" s="2142">
        <v>37960</v>
      </c>
      <c r="G1210" s="2142">
        <v>4429172.8</v>
      </c>
      <c r="H1210" s="2143">
        <v>42656</v>
      </c>
      <c r="I1210" s="2142">
        <v>500000</v>
      </c>
    </row>
    <row r="1211" spans="1:9" s="2139" customFormat="1" hidden="1">
      <c r="A1211" s="2140" t="s">
        <v>3799</v>
      </c>
      <c r="B1211" s="2141" t="s">
        <v>3054</v>
      </c>
      <c r="C1211" s="2141" t="s">
        <v>3261</v>
      </c>
      <c r="D1211" s="2141">
        <v>170</v>
      </c>
      <c r="E1211" s="2142">
        <v>43.84</v>
      </c>
      <c r="F1211" s="2142">
        <v>25026</v>
      </c>
      <c r="G1211" s="2142">
        <v>1097139.8400000001</v>
      </c>
      <c r="H1211" s="2143">
        <v>42651</v>
      </c>
      <c r="I1211" s="2142">
        <v>1097140</v>
      </c>
    </row>
    <row r="1212" spans="1:9" s="2139" customFormat="1" hidden="1">
      <c r="A1212" s="2140" t="s">
        <v>6552</v>
      </c>
      <c r="B1212" s="2141">
        <v>11</v>
      </c>
      <c r="C1212" s="2141" t="s">
        <v>3261</v>
      </c>
      <c r="D1212" s="2141">
        <v>41</v>
      </c>
      <c r="E1212" s="2142">
        <v>41.15</v>
      </c>
      <c r="F1212" s="2142">
        <v>39360.004862599999</v>
      </c>
      <c r="G1212" s="2142">
        <v>1619664.20009599</v>
      </c>
      <c r="H1212" s="2143">
        <v>42644</v>
      </c>
      <c r="I1212" s="2142">
        <v>50000</v>
      </c>
    </row>
    <row r="1213" spans="1:9" s="2139" customFormat="1" hidden="1">
      <c r="A1213" s="2140" t="s">
        <v>6579</v>
      </c>
      <c r="B1213" s="2141">
        <v>11</v>
      </c>
      <c r="C1213" s="2141" t="s">
        <v>3261</v>
      </c>
      <c r="D1213" s="2141">
        <v>148</v>
      </c>
      <c r="E1213" s="2142">
        <v>38.61</v>
      </c>
      <c r="F1213" s="2142">
        <v>39859.98964</v>
      </c>
      <c r="G1213" s="2142">
        <v>1538994.2000004</v>
      </c>
      <c r="H1213" s="2143">
        <v>42644</v>
      </c>
      <c r="I1213" s="2142">
        <v>50000</v>
      </c>
    </row>
    <row r="1214" spans="1:9" s="2139" customFormat="1" hidden="1">
      <c r="A1214" s="2140" t="s">
        <v>6580</v>
      </c>
      <c r="B1214" s="2141">
        <v>11</v>
      </c>
      <c r="C1214" s="2141" t="s">
        <v>3261</v>
      </c>
      <c r="D1214" s="2141">
        <v>149</v>
      </c>
      <c r="E1214" s="2142">
        <v>39.06</v>
      </c>
      <c r="F1214" s="2142">
        <v>39859.989754000002</v>
      </c>
      <c r="G1214" s="2142">
        <v>1556931.1997912403</v>
      </c>
      <c r="H1214" s="2143">
        <v>42644</v>
      </c>
      <c r="I1214" s="2142">
        <v>50000</v>
      </c>
    </row>
    <row r="1215" spans="1:9" s="2139" customFormat="1" hidden="1">
      <c r="A1215" s="2140" t="s">
        <v>3745</v>
      </c>
      <c r="B1215" s="2141" t="s">
        <v>3054</v>
      </c>
      <c r="C1215" s="2141" t="s">
        <v>3261</v>
      </c>
      <c r="D1215" s="2141">
        <v>19</v>
      </c>
      <c r="E1215" s="2142">
        <v>74.94</v>
      </c>
      <c r="F1215" s="2142">
        <v>37000</v>
      </c>
      <c r="G1215" s="2142">
        <v>2772780</v>
      </c>
      <c r="H1215" s="2143">
        <v>42639</v>
      </c>
      <c r="I1215" s="2142">
        <v>50000</v>
      </c>
    </row>
    <row r="1216" spans="1:9" s="2139" customFormat="1" hidden="1">
      <c r="A1216" s="2140" t="s">
        <v>3746</v>
      </c>
      <c r="B1216" s="2141" t="s">
        <v>3054</v>
      </c>
      <c r="C1216" s="2141" t="s">
        <v>3261</v>
      </c>
      <c r="D1216" s="2141">
        <v>20</v>
      </c>
      <c r="E1216" s="2142">
        <v>147.22999999999999</v>
      </c>
      <c r="F1216" s="2142">
        <v>33500</v>
      </c>
      <c r="G1216" s="2142">
        <v>4932205</v>
      </c>
      <c r="H1216" s="2143">
        <v>42639</v>
      </c>
      <c r="I1216" s="2142">
        <v>50000</v>
      </c>
    </row>
    <row r="1217" spans="1:9" s="2139" customFormat="1" hidden="1">
      <c r="A1217" s="2140" t="s">
        <v>3772</v>
      </c>
      <c r="B1217" s="2141" t="s">
        <v>3054</v>
      </c>
      <c r="C1217" s="2141" t="s">
        <v>3261</v>
      </c>
      <c r="D1217" s="2141">
        <v>60</v>
      </c>
      <c r="E1217" s="2142">
        <v>125.33</v>
      </c>
      <c r="F1217" s="2142">
        <v>32800</v>
      </c>
      <c r="G1217" s="2142">
        <v>4110824</v>
      </c>
      <c r="H1217" s="2143">
        <v>42639</v>
      </c>
      <c r="I1217" s="2142">
        <v>50000</v>
      </c>
    </row>
    <row r="1218" spans="1:9" s="2139" customFormat="1" hidden="1">
      <c r="A1218" s="2140" t="s">
        <v>3774</v>
      </c>
      <c r="B1218" s="2141" t="s">
        <v>3054</v>
      </c>
      <c r="C1218" s="2141" t="s">
        <v>3261</v>
      </c>
      <c r="D1218" s="2141">
        <v>66</v>
      </c>
      <c r="E1218" s="2142">
        <v>76.319999999999993</v>
      </c>
      <c r="F1218" s="2142">
        <v>33500</v>
      </c>
      <c r="G1218" s="2142">
        <v>2556720</v>
      </c>
      <c r="H1218" s="2143">
        <v>42639</v>
      </c>
      <c r="I1218" s="2142">
        <v>50000</v>
      </c>
    </row>
    <row r="1219" spans="1:9" s="2139" customFormat="1" hidden="1">
      <c r="A1219" s="2140" t="s">
        <v>3785</v>
      </c>
      <c r="B1219" s="2141" t="s">
        <v>3054</v>
      </c>
      <c r="C1219" s="2141" t="s">
        <v>3261</v>
      </c>
      <c r="D1219" s="2141">
        <v>129</v>
      </c>
      <c r="E1219" s="2142">
        <v>40.630000000000003</v>
      </c>
      <c r="F1219" s="2142">
        <v>34291</v>
      </c>
      <c r="G1219" s="2142">
        <v>1393243.33</v>
      </c>
      <c r="H1219" s="2143">
        <v>42639</v>
      </c>
      <c r="I1219" s="2142">
        <v>50000</v>
      </c>
    </row>
    <row r="1220" spans="1:9" s="2139" customFormat="1" hidden="1">
      <c r="A1220" s="2140" t="s">
        <v>3788</v>
      </c>
      <c r="B1220" s="2141" t="s">
        <v>3054</v>
      </c>
      <c r="C1220" s="2141" t="s">
        <v>3261</v>
      </c>
      <c r="D1220" s="2141">
        <v>137</v>
      </c>
      <c r="E1220" s="2142">
        <v>80.5</v>
      </c>
      <c r="F1220" s="2142">
        <v>33500</v>
      </c>
      <c r="G1220" s="2142">
        <v>2696750</v>
      </c>
      <c r="H1220" s="2143">
        <v>42639</v>
      </c>
      <c r="I1220" s="2142">
        <v>50000</v>
      </c>
    </row>
    <row r="1221" spans="1:9" s="2139" customFormat="1" hidden="1">
      <c r="A1221" s="2140" t="s">
        <v>4387</v>
      </c>
      <c r="B1221" s="2141" t="s">
        <v>3055</v>
      </c>
      <c r="C1221" s="2141" t="s">
        <v>3261</v>
      </c>
      <c r="D1221" s="3396">
        <v>88</v>
      </c>
      <c r="E1221" s="2142">
        <v>100.42</v>
      </c>
      <c r="F1221" s="2142">
        <v>33300</v>
      </c>
      <c r="G1221" s="2142">
        <v>3343986</v>
      </c>
      <c r="H1221" s="3557">
        <v>42639</v>
      </c>
      <c r="I1221" s="2142">
        <v>50000</v>
      </c>
    </row>
    <row r="1222" spans="1:9" s="2139" customFormat="1" hidden="1">
      <c r="A1222" s="2140" t="s">
        <v>4396</v>
      </c>
      <c r="B1222" s="2141" t="s">
        <v>3055</v>
      </c>
      <c r="C1222" s="2141" t="s">
        <v>3261</v>
      </c>
      <c r="D1222" s="3396">
        <v>106</v>
      </c>
      <c r="E1222" s="2142">
        <v>149.21</v>
      </c>
      <c r="F1222" s="2142">
        <v>33000</v>
      </c>
      <c r="G1222" s="2142">
        <v>4923930</v>
      </c>
      <c r="H1222" s="3557">
        <v>42639</v>
      </c>
      <c r="I1222" s="2142">
        <v>50000</v>
      </c>
    </row>
    <row r="1223" spans="1:9" s="2139" customFormat="1" hidden="1">
      <c r="A1223" s="2140" t="s">
        <v>4404</v>
      </c>
      <c r="B1223" s="2141" t="s">
        <v>3055</v>
      </c>
      <c r="C1223" s="2141" t="s">
        <v>3261</v>
      </c>
      <c r="D1223" s="3396">
        <v>118</v>
      </c>
      <c r="E1223" s="2142">
        <v>160.94</v>
      </c>
      <c r="F1223" s="2142">
        <v>33000</v>
      </c>
      <c r="G1223" s="2142">
        <v>5311020</v>
      </c>
      <c r="H1223" s="3557">
        <v>42639</v>
      </c>
      <c r="I1223" s="2142">
        <v>50000</v>
      </c>
    </row>
    <row r="1224" spans="1:9" s="2139" customFormat="1" hidden="1">
      <c r="A1224" s="2140" t="s">
        <v>4423</v>
      </c>
      <c r="B1224" s="2141" t="s">
        <v>3055</v>
      </c>
      <c r="C1224" s="2141" t="s">
        <v>3261</v>
      </c>
      <c r="D1224" s="3396">
        <v>151</v>
      </c>
      <c r="E1224" s="2142">
        <v>158.94</v>
      </c>
      <c r="F1224" s="2142">
        <v>32431</v>
      </c>
      <c r="G1224" s="2142">
        <v>5154583.1399999997</v>
      </c>
      <c r="H1224" s="3557">
        <v>42639</v>
      </c>
      <c r="I1224" s="2142">
        <v>50000</v>
      </c>
    </row>
    <row r="1225" spans="1:9" s="2139" customFormat="1" hidden="1">
      <c r="A1225" s="2140" t="s">
        <v>4424</v>
      </c>
      <c r="B1225" s="2141" t="s">
        <v>3055</v>
      </c>
      <c r="C1225" s="2141" t="s">
        <v>3261</v>
      </c>
      <c r="D1225" s="3396">
        <v>152</v>
      </c>
      <c r="E1225" s="2142">
        <v>145.94999999999999</v>
      </c>
      <c r="F1225" s="2142">
        <v>41068</v>
      </c>
      <c r="G1225" s="2142">
        <v>5993874.5999999996</v>
      </c>
      <c r="H1225" s="3557">
        <v>42639</v>
      </c>
      <c r="I1225" s="2142">
        <v>50000</v>
      </c>
    </row>
    <row r="1226" spans="1:9" s="2139" customFormat="1" hidden="1">
      <c r="A1226" s="2140" t="s">
        <v>5062</v>
      </c>
      <c r="B1226" s="2141" t="s">
        <v>3056</v>
      </c>
      <c r="C1226" s="2141" t="s">
        <v>3261</v>
      </c>
      <c r="D1226" s="2141">
        <v>76</v>
      </c>
      <c r="E1226" s="2142">
        <v>145.78</v>
      </c>
      <c r="F1226" s="2142">
        <v>33300</v>
      </c>
      <c r="G1226" s="2142">
        <v>4854474</v>
      </c>
      <c r="H1226" s="2143">
        <v>42639</v>
      </c>
      <c r="I1226" s="2142">
        <v>50000</v>
      </c>
    </row>
    <row r="1227" spans="1:9" s="2139" customFormat="1" hidden="1">
      <c r="A1227" s="2140" t="s">
        <v>5064</v>
      </c>
      <c r="B1227" s="2141" t="s">
        <v>3056</v>
      </c>
      <c r="C1227" s="2141" t="s">
        <v>3261</v>
      </c>
      <c r="D1227" s="2141">
        <v>78</v>
      </c>
      <c r="E1227" s="2142">
        <v>70.03</v>
      </c>
      <c r="F1227" s="2142">
        <v>32800</v>
      </c>
      <c r="G1227" s="2142">
        <v>2296984</v>
      </c>
      <c r="H1227" s="2143">
        <v>42639</v>
      </c>
      <c r="I1227" s="2142">
        <v>50000</v>
      </c>
    </row>
    <row r="1228" spans="1:9" s="2139" customFormat="1" hidden="1">
      <c r="A1228" s="2140" t="s">
        <v>5066</v>
      </c>
      <c r="B1228" s="2141" t="s">
        <v>3056</v>
      </c>
      <c r="C1228" s="2141" t="s">
        <v>3261</v>
      </c>
      <c r="D1228" s="2141">
        <v>80</v>
      </c>
      <c r="E1228" s="2142">
        <v>78.77</v>
      </c>
      <c r="F1228" s="2142">
        <v>33300</v>
      </c>
      <c r="G1228" s="2142">
        <v>2623041</v>
      </c>
      <c r="H1228" s="2143">
        <v>42639</v>
      </c>
      <c r="I1228" s="2142">
        <v>50000</v>
      </c>
    </row>
    <row r="1229" spans="1:9" s="2139" customFormat="1" hidden="1">
      <c r="A1229" s="2140" t="s">
        <v>5068</v>
      </c>
      <c r="B1229" s="2141" t="s">
        <v>3056</v>
      </c>
      <c r="C1229" s="2141" t="s">
        <v>3261</v>
      </c>
      <c r="D1229" s="2141">
        <v>90</v>
      </c>
      <c r="E1229" s="2142">
        <v>173.68</v>
      </c>
      <c r="F1229" s="2142">
        <v>33300</v>
      </c>
      <c r="G1229" s="2142">
        <v>5783544</v>
      </c>
      <c r="H1229" s="2143">
        <v>42639</v>
      </c>
      <c r="I1229" s="2142">
        <v>50000</v>
      </c>
    </row>
    <row r="1230" spans="1:9" s="2139" customFormat="1" hidden="1">
      <c r="A1230" s="2140" t="s">
        <v>5069</v>
      </c>
      <c r="B1230" s="2141" t="s">
        <v>3056</v>
      </c>
      <c r="C1230" s="2141" t="s">
        <v>3261</v>
      </c>
      <c r="D1230" s="2141">
        <v>95</v>
      </c>
      <c r="E1230" s="2142">
        <v>95.75</v>
      </c>
      <c r="F1230" s="2142">
        <v>33300</v>
      </c>
      <c r="G1230" s="2142">
        <v>3188475</v>
      </c>
      <c r="H1230" s="2143">
        <v>42639</v>
      </c>
      <c r="I1230" s="2142">
        <v>50000</v>
      </c>
    </row>
    <row r="1231" spans="1:9" s="2139" customFormat="1" hidden="1">
      <c r="A1231" s="2140" t="s">
        <v>5070</v>
      </c>
      <c r="B1231" s="2141" t="s">
        <v>3056</v>
      </c>
      <c r="C1231" s="2141" t="s">
        <v>3261</v>
      </c>
      <c r="D1231" s="2141">
        <v>96</v>
      </c>
      <c r="E1231" s="2142">
        <v>132.81</v>
      </c>
      <c r="F1231" s="2142">
        <v>33300</v>
      </c>
      <c r="G1231" s="2142">
        <v>4422573</v>
      </c>
      <c r="H1231" s="2143">
        <v>42639</v>
      </c>
      <c r="I1231" s="2142">
        <v>50000</v>
      </c>
    </row>
    <row r="1232" spans="1:9" s="2139" customFormat="1" hidden="1">
      <c r="A1232" s="2140" t="s">
        <v>5071</v>
      </c>
      <c r="B1232" s="2141" t="s">
        <v>3056</v>
      </c>
      <c r="C1232" s="2141" t="s">
        <v>3261</v>
      </c>
      <c r="D1232" s="2141">
        <v>97</v>
      </c>
      <c r="E1232" s="2142">
        <v>137.26</v>
      </c>
      <c r="F1232" s="2142">
        <v>32800</v>
      </c>
      <c r="G1232" s="2142">
        <v>4502128</v>
      </c>
      <c r="H1232" s="2143">
        <v>42639</v>
      </c>
      <c r="I1232" s="2142">
        <v>50000</v>
      </c>
    </row>
    <row r="1233" spans="1:9" s="2139" customFormat="1" hidden="1">
      <c r="A1233" s="2140" t="s">
        <v>6740</v>
      </c>
      <c r="B1233" s="2141">
        <v>12</v>
      </c>
      <c r="C1233" s="2141" t="s">
        <v>3261</v>
      </c>
      <c r="D1233" s="2141">
        <v>39</v>
      </c>
      <c r="E1233" s="2142">
        <v>77.260000000000005</v>
      </c>
      <c r="F1233" s="2142">
        <v>35860</v>
      </c>
      <c r="G1233" s="2142">
        <v>2770543.6</v>
      </c>
      <c r="H1233" s="2143">
        <v>42639</v>
      </c>
      <c r="I1233" s="2142">
        <v>1389068</v>
      </c>
    </row>
    <row r="1234" spans="1:9" s="2139" customFormat="1" hidden="1">
      <c r="A1234" s="2140" t="s">
        <v>5079</v>
      </c>
      <c r="B1234" s="2141" t="s">
        <v>3056</v>
      </c>
      <c r="C1234" s="2141" t="s">
        <v>3261</v>
      </c>
      <c r="D1234" s="2141">
        <v>126</v>
      </c>
      <c r="E1234" s="2142">
        <v>142.21</v>
      </c>
      <c r="F1234" s="2142">
        <v>35358.410000000003</v>
      </c>
      <c r="G1234" s="2142">
        <v>5028319.4861000003</v>
      </c>
      <c r="H1234" s="2143">
        <v>42633</v>
      </c>
      <c r="I1234" s="2142">
        <v>5028319</v>
      </c>
    </row>
    <row r="1235" spans="1:9" s="2139" customFormat="1" hidden="1">
      <c r="A1235" s="2140" t="s">
        <v>5081</v>
      </c>
      <c r="B1235" s="2141" t="s">
        <v>3056</v>
      </c>
      <c r="C1235" s="2141" t="s">
        <v>3261</v>
      </c>
      <c r="D1235" s="2141">
        <v>128</v>
      </c>
      <c r="E1235" s="2142">
        <v>142.19</v>
      </c>
      <c r="F1235" s="2142">
        <v>35897.4</v>
      </c>
      <c r="G1235" s="2142">
        <v>5104251.3059999999</v>
      </c>
      <c r="H1235" s="2143">
        <v>42633</v>
      </c>
      <c r="I1235" s="2142">
        <v>5104251</v>
      </c>
    </row>
    <row r="1236" spans="1:9" s="2139" customFormat="1" hidden="1">
      <c r="A1236" s="2140" t="s">
        <v>4419</v>
      </c>
      <c r="B1236" s="2141" t="s">
        <v>3055</v>
      </c>
      <c r="C1236" s="2141" t="s">
        <v>3261</v>
      </c>
      <c r="D1236" s="3396">
        <v>147</v>
      </c>
      <c r="E1236" s="2142">
        <v>106.54</v>
      </c>
      <c r="F1236" s="2142">
        <v>35800</v>
      </c>
      <c r="G1236" s="2142">
        <v>3814132</v>
      </c>
      <c r="H1236" s="3557">
        <v>42632</v>
      </c>
      <c r="I1236" s="2142">
        <v>595784</v>
      </c>
    </row>
    <row r="1237" spans="1:9" s="2139" customFormat="1" hidden="1">
      <c r="A1237" s="2140" t="s">
        <v>4420</v>
      </c>
      <c r="B1237" s="2141" t="s">
        <v>3055</v>
      </c>
      <c r="C1237" s="2141" t="s">
        <v>3261</v>
      </c>
      <c r="D1237" s="3396">
        <v>148</v>
      </c>
      <c r="E1237" s="2142">
        <v>69.209999999999994</v>
      </c>
      <c r="F1237" s="2142">
        <v>34485</v>
      </c>
      <c r="G1237" s="2142">
        <v>2386706.8499999996</v>
      </c>
      <c r="H1237" s="3557">
        <v>42632</v>
      </c>
      <c r="I1237" s="2142">
        <v>2386707</v>
      </c>
    </row>
    <row r="1238" spans="1:9" s="2139" customFormat="1" hidden="1">
      <c r="A1238" s="2140" t="s">
        <v>3807</v>
      </c>
      <c r="B1238" s="2141" t="s">
        <v>3054</v>
      </c>
      <c r="C1238" s="2141" t="s">
        <v>3261</v>
      </c>
      <c r="D1238" s="2141">
        <v>183</v>
      </c>
      <c r="E1238" s="2142">
        <v>71.150000000000006</v>
      </c>
      <c r="F1238" s="2142">
        <v>35211.004919999999</v>
      </c>
      <c r="G1238" s="2142">
        <v>2505263.000058</v>
      </c>
      <c r="H1238" s="2143">
        <v>42631</v>
      </c>
      <c r="I1238" s="2142">
        <v>150000</v>
      </c>
    </row>
    <row r="1239" spans="1:9" s="2139" customFormat="1" hidden="1">
      <c r="A1239" s="2140" t="s">
        <v>3808</v>
      </c>
      <c r="B1239" s="2141" t="s">
        <v>3054</v>
      </c>
      <c r="C1239" s="2141" t="s">
        <v>3261</v>
      </c>
      <c r="D1239" s="2141">
        <v>185</v>
      </c>
      <c r="E1239" s="2142">
        <v>66.39</v>
      </c>
      <c r="F1239" s="2142">
        <v>35210.995649999997</v>
      </c>
      <c r="G1239" s="2142">
        <v>2337658.0012034997</v>
      </c>
      <c r="H1239" s="2143">
        <v>42631</v>
      </c>
      <c r="I1239" s="2142">
        <v>150000</v>
      </c>
    </row>
    <row r="1240" spans="1:9" s="2139" customFormat="1" hidden="1">
      <c r="A1240" s="2140" t="s">
        <v>6756</v>
      </c>
      <c r="B1240" s="2141">
        <v>12</v>
      </c>
      <c r="C1240" s="2141" t="s">
        <v>3261</v>
      </c>
      <c r="D1240" s="2141">
        <v>73</v>
      </c>
      <c r="E1240" s="2142">
        <v>41.57</v>
      </c>
      <c r="F1240" s="2142">
        <v>29602</v>
      </c>
      <c r="G1240" s="2142">
        <v>1230555.1399999999</v>
      </c>
      <c r="H1240" s="2143">
        <v>42605</v>
      </c>
      <c r="I1240" s="2142">
        <v>1225523</v>
      </c>
    </row>
    <row r="1241" spans="1:9" s="2139" customFormat="1" hidden="1">
      <c r="A1241" s="2140" t="s">
        <v>3755</v>
      </c>
      <c r="B1241" s="2141" t="s">
        <v>3054</v>
      </c>
      <c r="C1241" s="2141" t="s">
        <v>3261</v>
      </c>
      <c r="D1241" s="2141">
        <v>37</v>
      </c>
      <c r="E1241" s="2142">
        <v>40.94</v>
      </c>
      <c r="F1241" s="2142">
        <v>25800</v>
      </c>
      <c r="G1241" s="2142">
        <v>1056252</v>
      </c>
      <c r="H1241" s="2143">
        <v>42603</v>
      </c>
      <c r="I1241" s="2142">
        <v>616252</v>
      </c>
    </row>
    <row r="1242" spans="1:9" s="2139" customFormat="1" hidden="1">
      <c r="A1242" s="2140" t="s">
        <v>6567</v>
      </c>
      <c r="B1242" s="2141">
        <v>11</v>
      </c>
      <c r="C1242" s="2141" t="s">
        <v>3261</v>
      </c>
      <c r="D1242" s="2141">
        <v>112</v>
      </c>
      <c r="E1242" s="2142">
        <v>42.4</v>
      </c>
      <c r="F1242" s="2142">
        <v>26410</v>
      </c>
      <c r="G1242" s="2142">
        <v>1119784</v>
      </c>
      <c r="H1242" s="2143">
        <v>42595</v>
      </c>
      <c r="I1242" s="2142">
        <v>1119520</v>
      </c>
    </row>
    <row r="1243" spans="1:9" s="2139" customFormat="1" hidden="1">
      <c r="A1243" s="2140" t="s">
        <v>6568</v>
      </c>
      <c r="B1243" s="2141">
        <v>11</v>
      </c>
      <c r="C1243" s="2141" t="s">
        <v>3261</v>
      </c>
      <c r="D1243" s="2141">
        <v>113</v>
      </c>
      <c r="E1243" s="2142">
        <v>40.299999999999997</v>
      </c>
      <c r="F1243" s="2142">
        <v>26410</v>
      </c>
      <c r="G1243" s="2142">
        <v>1064323</v>
      </c>
      <c r="H1243" s="2143">
        <v>42595</v>
      </c>
      <c r="I1243" s="2142">
        <v>1064059</v>
      </c>
    </row>
    <row r="1244" spans="1:9" s="2139" customFormat="1" hidden="1">
      <c r="A1244" s="2140" t="s">
        <v>6569</v>
      </c>
      <c r="B1244" s="2141">
        <v>11</v>
      </c>
      <c r="C1244" s="2141" t="s">
        <v>3261</v>
      </c>
      <c r="D1244" s="2141">
        <v>115</v>
      </c>
      <c r="E1244" s="2142">
        <v>49.96</v>
      </c>
      <c r="F1244" s="2142">
        <v>27360</v>
      </c>
      <c r="G1244" s="2142">
        <v>1366905.6</v>
      </c>
      <c r="H1244" s="2143">
        <v>42595</v>
      </c>
      <c r="I1244" s="2142">
        <v>1366358</v>
      </c>
    </row>
    <row r="1245" spans="1:9" s="2139" customFormat="1" hidden="1">
      <c r="A1245" s="2140" t="s">
        <v>4319</v>
      </c>
      <c r="B1245" s="2141" t="s">
        <v>3055</v>
      </c>
      <c r="C1245" s="2141" t="s">
        <v>3261</v>
      </c>
      <c r="D1245" s="3396">
        <v>1</v>
      </c>
      <c r="E1245" s="2142">
        <v>167.2</v>
      </c>
      <c r="F1245" s="2142">
        <v>36800</v>
      </c>
      <c r="G1245" s="2142">
        <v>6152960</v>
      </c>
      <c r="H1245" s="3557">
        <v>42580</v>
      </c>
      <c r="I1245" s="2142">
        <v>6152960</v>
      </c>
    </row>
    <row r="1246" spans="1:9" s="2139" customFormat="1" hidden="1">
      <c r="A1246" s="2140" t="s">
        <v>3781</v>
      </c>
      <c r="B1246" s="2141" t="s">
        <v>3054</v>
      </c>
      <c r="C1246" s="2141" t="s">
        <v>3261</v>
      </c>
      <c r="D1246" s="2141">
        <v>90</v>
      </c>
      <c r="E1246" s="2142">
        <v>43.79</v>
      </c>
      <c r="F1246" s="2142">
        <v>25800</v>
      </c>
      <c r="G1246" s="2142">
        <v>1129782</v>
      </c>
      <c r="H1246" s="2143">
        <v>42576</v>
      </c>
      <c r="I1246" s="2142">
        <v>1129782</v>
      </c>
    </row>
    <row r="1247" spans="1:9" s="2139" customFormat="1" hidden="1">
      <c r="A1247" s="2140" t="s">
        <v>3758</v>
      </c>
      <c r="B1247" s="2141" t="s">
        <v>3054</v>
      </c>
      <c r="C1247" s="2141" t="s">
        <v>3261</v>
      </c>
      <c r="D1247" s="2141">
        <v>40</v>
      </c>
      <c r="E1247" s="2142">
        <v>51.85</v>
      </c>
      <c r="F1247" s="2142">
        <v>26300</v>
      </c>
      <c r="G1247" s="2142">
        <v>1363655</v>
      </c>
      <c r="H1247" s="2143">
        <v>42566</v>
      </c>
      <c r="I1247" s="2142">
        <v>1363655</v>
      </c>
    </row>
    <row r="1248" spans="1:9" s="2139" customFormat="1" hidden="1">
      <c r="A1248" s="2140" t="s">
        <v>4406</v>
      </c>
      <c r="B1248" s="2141" t="s">
        <v>3055</v>
      </c>
      <c r="C1248" s="2141" t="s">
        <v>3261</v>
      </c>
      <c r="D1248" s="3396">
        <v>122</v>
      </c>
      <c r="E1248" s="2142">
        <v>84.02</v>
      </c>
      <c r="F1248" s="2142">
        <v>39800</v>
      </c>
      <c r="G1248" s="2142">
        <v>3343996</v>
      </c>
      <c r="H1248" s="3557">
        <v>42566</v>
      </c>
      <c r="I1248" s="2142">
        <v>3343996</v>
      </c>
    </row>
    <row r="1249" spans="1:9" s="2139" customFormat="1" hidden="1">
      <c r="A1249" s="2140" t="s">
        <v>4331</v>
      </c>
      <c r="B1249" s="2141" t="s">
        <v>3055</v>
      </c>
      <c r="C1249" s="2141" t="s">
        <v>3261</v>
      </c>
      <c r="D1249" s="3396">
        <v>17</v>
      </c>
      <c r="E1249" s="2142">
        <v>53.22</v>
      </c>
      <c r="F1249" s="2142">
        <v>26263.72</v>
      </c>
      <c r="G1249" s="2142">
        <v>1397755.1784000001</v>
      </c>
      <c r="H1249" s="3557">
        <v>42563</v>
      </c>
      <c r="I1249" s="2142">
        <v>1397755</v>
      </c>
    </row>
    <row r="1250" spans="1:9" s="2139" customFormat="1" hidden="1">
      <c r="A1250" s="2140" t="s">
        <v>4366</v>
      </c>
      <c r="B1250" s="2141" t="s">
        <v>3055</v>
      </c>
      <c r="C1250" s="2141" t="s">
        <v>3261</v>
      </c>
      <c r="D1250" s="3396">
        <v>58</v>
      </c>
      <c r="E1250" s="2142">
        <v>38.159999999999997</v>
      </c>
      <c r="F1250" s="2142">
        <v>25511</v>
      </c>
      <c r="G1250" s="2142">
        <v>973499.75999999989</v>
      </c>
      <c r="H1250" s="3557">
        <v>42563</v>
      </c>
      <c r="I1250" s="2142">
        <v>973500</v>
      </c>
    </row>
    <row r="1251" spans="1:9" s="2139" customFormat="1" hidden="1">
      <c r="A1251" s="2140" t="s">
        <v>3795</v>
      </c>
      <c r="B1251" s="2141" t="s">
        <v>3054</v>
      </c>
      <c r="C1251" s="2141" t="s">
        <v>3261</v>
      </c>
      <c r="D1251" s="2141">
        <v>160</v>
      </c>
      <c r="E1251" s="2142">
        <v>30.8</v>
      </c>
      <c r="F1251" s="2142">
        <v>25026</v>
      </c>
      <c r="G1251" s="2142">
        <v>770800.8</v>
      </c>
      <c r="H1251" s="2143">
        <v>42561</v>
      </c>
      <c r="I1251" s="2142">
        <v>770801</v>
      </c>
    </row>
    <row r="1252" spans="1:9" s="2139" customFormat="1" hidden="1">
      <c r="A1252" s="2140" t="s">
        <v>6563</v>
      </c>
      <c r="B1252" s="2141">
        <v>11</v>
      </c>
      <c r="C1252" s="2141" t="s">
        <v>3261</v>
      </c>
      <c r="D1252" s="2141">
        <v>101</v>
      </c>
      <c r="E1252" s="2142">
        <v>44.03</v>
      </c>
      <c r="F1252" s="2142">
        <v>41507</v>
      </c>
      <c r="G1252" s="2142">
        <v>1827553.21</v>
      </c>
      <c r="H1252" s="2143">
        <v>42561</v>
      </c>
      <c r="I1252" s="2142">
        <v>375401</v>
      </c>
    </row>
    <row r="1253" spans="1:9" s="2139" customFormat="1" hidden="1">
      <c r="A1253" s="2140" t="s">
        <v>6751</v>
      </c>
      <c r="B1253" s="2141">
        <v>12</v>
      </c>
      <c r="C1253" s="2141" t="s">
        <v>3261</v>
      </c>
      <c r="D1253" s="2141">
        <v>60</v>
      </c>
      <c r="E1253" s="2142">
        <v>36.369999999999997</v>
      </c>
      <c r="F1253" s="2142">
        <v>41000</v>
      </c>
      <c r="G1253" s="2142">
        <v>1491170</v>
      </c>
      <c r="H1253" s="2143">
        <v>42561</v>
      </c>
      <c r="I1253" s="2142">
        <v>1485020</v>
      </c>
    </row>
    <row r="1254" spans="1:9" s="2139" customFormat="1" hidden="1">
      <c r="A1254" s="2140" t="s">
        <v>3773</v>
      </c>
      <c r="B1254" s="2141" t="s">
        <v>3054</v>
      </c>
      <c r="C1254" s="2141" t="s">
        <v>3261</v>
      </c>
      <c r="D1254" s="2141">
        <v>65</v>
      </c>
      <c r="E1254" s="2142">
        <v>59.77</v>
      </c>
      <c r="F1254" s="2142">
        <v>27500</v>
      </c>
      <c r="G1254" s="2142">
        <v>1643675</v>
      </c>
      <c r="H1254" s="2143">
        <v>42558</v>
      </c>
      <c r="I1254" s="2142">
        <v>823675</v>
      </c>
    </row>
    <row r="1255" spans="1:9" s="2139" customFormat="1" hidden="1">
      <c r="A1255" s="2140" t="s">
        <v>5734</v>
      </c>
      <c r="B1255" s="2141" t="s">
        <v>3057</v>
      </c>
      <c r="C1255" s="2141" t="s">
        <v>3261</v>
      </c>
      <c r="D1255" s="2141">
        <v>162</v>
      </c>
      <c r="E1255" s="2142">
        <v>79.16</v>
      </c>
      <c r="F1255" s="2142">
        <v>37300</v>
      </c>
      <c r="G1255" s="2142">
        <v>2952668</v>
      </c>
      <c r="H1255" s="2143">
        <v>42558</v>
      </c>
      <c r="I1255" s="2142">
        <v>50000</v>
      </c>
    </row>
    <row r="1256" spans="1:9" s="2139" customFormat="1" hidden="1">
      <c r="A1256" s="2140" t="s">
        <v>3768</v>
      </c>
      <c r="B1256" s="2141" t="s">
        <v>3054</v>
      </c>
      <c r="C1256" s="2141" t="s">
        <v>3261</v>
      </c>
      <c r="D1256" s="2141">
        <v>56</v>
      </c>
      <c r="E1256" s="2142">
        <v>50.91</v>
      </c>
      <c r="F1256" s="2142">
        <v>27500</v>
      </c>
      <c r="G1256" s="2142">
        <v>1400025</v>
      </c>
      <c r="H1256" s="2143">
        <v>42545</v>
      </c>
      <c r="I1256" s="2142">
        <v>1400025</v>
      </c>
    </row>
    <row r="1257" spans="1:9" s="2139" customFormat="1" hidden="1">
      <c r="A1257" s="2140" t="s">
        <v>6737</v>
      </c>
      <c r="B1257" s="2141">
        <v>12</v>
      </c>
      <c r="C1257" s="2141" t="s">
        <v>3261</v>
      </c>
      <c r="D1257" s="2141">
        <v>31</v>
      </c>
      <c r="E1257" s="2142">
        <v>59.35</v>
      </c>
      <c r="F1257" s="2142">
        <v>31191.32</v>
      </c>
      <c r="G1257" s="2142">
        <v>1851204.8419999999</v>
      </c>
      <c r="H1257" s="2143">
        <v>42542</v>
      </c>
      <c r="I1257" s="2142">
        <v>1843407</v>
      </c>
    </row>
    <row r="1258" spans="1:9" s="2139" customFormat="1" hidden="1">
      <c r="A1258" s="2140" t="s">
        <v>5699</v>
      </c>
      <c r="B1258" s="2141" t="s">
        <v>3057</v>
      </c>
      <c r="C1258" s="2141" t="s">
        <v>3261</v>
      </c>
      <c r="D1258" s="2141">
        <v>56</v>
      </c>
      <c r="E1258" s="2142">
        <v>64.36</v>
      </c>
      <c r="F1258" s="2142">
        <v>26800</v>
      </c>
      <c r="G1258" s="2142">
        <v>1724848</v>
      </c>
      <c r="H1258" s="2143">
        <v>42528</v>
      </c>
      <c r="I1258" s="2142">
        <v>1724848</v>
      </c>
    </row>
    <row r="1259" spans="1:9" s="2139" customFormat="1" hidden="1">
      <c r="A1259" s="2140" t="s">
        <v>3744</v>
      </c>
      <c r="B1259" s="2141" t="s">
        <v>3054</v>
      </c>
      <c r="C1259" s="2141" t="s">
        <v>3261</v>
      </c>
      <c r="D1259" s="2141">
        <v>13</v>
      </c>
      <c r="E1259" s="2142">
        <v>11.42</v>
      </c>
      <c r="F1259" s="2142">
        <v>28906</v>
      </c>
      <c r="G1259" s="2142">
        <v>330106.52</v>
      </c>
      <c r="H1259" s="2143">
        <v>42522</v>
      </c>
      <c r="I1259" s="2142">
        <v>330107</v>
      </c>
    </row>
    <row r="1260" spans="1:9" s="2139" customFormat="1" hidden="1">
      <c r="A1260" s="2140" t="s">
        <v>6559</v>
      </c>
      <c r="B1260" s="2141">
        <v>11</v>
      </c>
      <c r="C1260" s="2141" t="s">
        <v>3261</v>
      </c>
      <c r="D1260" s="2141">
        <v>57</v>
      </c>
      <c r="E1260" s="2142">
        <v>41.15</v>
      </c>
      <c r="F1260" s="2142">
        <v>46708</v>
      </c>
      <c r="G1260" s="2142">
        <v>1922034.2</v>
      </c>
      <c r="H1260" s="2143">
        <v>42518</v>
      </c>
      <c r="I1260" s="2142">
        <v>1921567</v>
      </c>
    </row>
    <row r="1261" spans="1:9" s="2139" customFormat="1" hidden="1">
      <c r="A1261" s="2140" t="s">
        <v>6564</v>
      </c>
      <c r="B1261" s="2141">
        <v>11</v>
      </c>
      <c r="C1261" s="2141" t="s">
        <v>3261</v>
      </c>
      <c r="D1261" s="2141">
        <v>102</v>
      </c>
      <c r="E1261" s="2142">
        <v>44.44</v>
      </c>
      <c r="F1261" s="2142">
        <v>41029</v>
      </c>
      <c r="G1261" s="2142">
        <v>1823328.76</v>
      </c>
      <c r="H1261" s="2143">
        <v>42508</v>
      </c>
      <c r="I1261" s="2142">
        <v>1841382</v>
      </c>
    </row>
    <row r="1262" spans="1:9" s="2139" customFormat="1" hidden="1">
      <c r="A1262" s="2140" t="s">
        <v>4413</v>
      </c>
      <c r="B1262" s="2141" t="s">
        <v>3055</v>
      </c>
      <c r="C1262" s="2141" t="s">
        <v>3261</v>
      </c>
      <c r="D1262" s="3396">
        <v>138</v>
      </c>
      <c r="E1262" s="2142">
        <v>33.25</v>
      </c>
      <c r="F1262" s="2142">
        <v>29876</v>
      </c>
      <c r="G1262" s="2142">
        <v>993377</v>
      </c>
      <c r="H1262" s="3557">
        <v>42503</v>
      </c>
      <c r="I1262" s="2142">
        <v>993377</v>
      </c>
    </row>
    <row r="1263" spans="1:9" s="2139" customFormat="1" hidden="1">
      <c r="A1263" s="2140" t="s">
        <v>6554</v>
      </c>
      <c r="B1263" s="2141">
        <v>11</v>
      </c>
      <c r="C1263" s="2141" t="s">
        <v>3261</v>
      </c>
      <c r="D1263" s="2141">
        <v>45</v>
      </c>
      <c r="E1263" s="2142">
        <v>40.01</v>
      </c>
      <c r="F1263" s="2142">
        <v>47900</v>
      </c>
      <c r="G1263" s="2142">
        <v>1916479</v>
      </c>
      <c r="H1263" s="2143">
        <v>42500</v>
      </c>
      <c r="I1263" s="2142">
        <v>1915521</v>
      </c>
    </row>
    <row r="1264" spans="1:9" s="2139" customFormat="1" hidden="1">
      <c r="A1264" s="2140" t="s">
        <v>6561</v>
      </c>
      <c r="B1264" s="2141">
        <v>11</v>
      </c>
      <c r="C1264" s="2141" t="s">
        <v>3261</v>
      </c>
      <c r="D1264" s="2141">
        <v>90</v>
      </c>
      <c r="E1264" s="2142">
        <v>39.68</v>
      </c>
      <c r="F1264" s="2142">
        <v>47915</v>
      </c>
      <c r="G1264" s="2142">
        <v>1901267.2</v>
      </c>
      <c r="H1264" s="2143">
        <v>42488</v>
      </c>
      <c r="I1264" s="2142">
        <v>1900309</v>
      </c>
    </row>
    <row r="1265" spans="1:9" s="2139" customFormat="1" hidden="1">
      <c r="A1265" s="2140" t="s">
        <v>6570</v>
      </c>
      <c r="B1265" s="2141">
        <v>11</v>
      </c>
      <c r="C1265" s="2141" t="s">
        <v>3261</v>
      </c>
      <c r="D1265" s="2141">
        <v>116</v>
      </c>
      <c r="E1265" s="2142">
        <v>18.52</v>
      </c>
      <c r="F1265" s="2142">
        <v>33396</v>
      </c>
      <c r="G1265" s="2142">
        <v>618493.92000000004</v>
      </c>
      <c r="H1265" s="2143">
        <v>42485</v>
      </c>
      <c r="I1265" s="2142">
        <v>618160</v>
      </c>
    </row>
    <row r="1266" spans="1:9" s="2139" customFormat="1" hidden="1">
      <c r="A1266" s="2140" t="s">
        <v>6762</v>
      </c>
      <c r="B1266" s="2141">
        <v>12</v>
      </c>
      <c r="C1266" s="2141" t="s">
        <v>3261</v>
      </c>
      <c r="D1266" s="2141">
        <v>80</v>
      </c>
      <c r="E1266" s="2142">
        <v>41.95</v>
      </c>
      <c r="F1266" s="2142">
        <v>41605</v>
      </c>
      <c r="G1266" s="2142">
        <v>1745329.7500000002</v>
      </c>
      <c r="H1266" s="2143">
        <v>42482</v>
      </c>
      <c r="I1266" s="2142">
        <v>1738257</v>
      </c>
    </row>
    <row r="1267" spans="1:9" s="2139" customFormat="1" hidden="1">
      <c r="A1267" s="2140" t="s">
        <v>6546</v>
      </c>
      <c r="B1267" s="2141">
        <v>11</v>
      </c>
      <c r="C1267" s="2141" t="s">
        <v>3261</v>
      </c>
      <c r="D1267" s="2141">
        <v>12</v>
      </c>
      <c r="E1267" s="2142">
        <v>43.87</v>
      </c>
      <c r="F1267" s="2142">
        <v>42860</v>
      </c>
      <c r="G1267" s="2142">
        <v>1880268.2</v>
      </c>
      <c r="H1267" s="2143">
        <v>42480</v>
      </c>
      <c r="I1267" s="2142">
        <v>1879840</v>
      </c>
    </row>
    <row r="1268" spans="1:9" s="2139" customFormat="1" hidden="1">
      <c r="A1268" s="2140" t="s">
        <v>4422</v>
      </c>
      <c r="B1268" s="2141" t="s">
        <v>3055</v>
      </c>
      <c r="C1268" s="2141" t="s">
        <v>3261</v>
      </c>
      <c r="D1268" s="3396">
        <v>150</v>
      </c>
      <c r="E1268" s="2142">
        <v>109.21</v>
      </c>
      <c r="F1268" s="2142">
        <v>36800</v>
      </c>
      <c r="G1268" s="2142">
        <v>4018928</v>
      </c>
      <c r="H1268" s="3557">
        <v>42479</v>
      </c>
      <c r="I1268" s="2142">
        <v>800000</v>
      </c>
    </row>
    <row r="1269" spans="1:9" s="2139" customFormat="1" hidden="1">
      <c r="A1269" s="2140" t="s">
        <v>4388</v>
      </c>
      <c r="B1269" s="2141" t="s">
        <v>3055</v>
      </c>
      <c r="C1269" s="2141" t="s">
        <v>3261</v>
      </c>
      <c r="D1269" s="3396">
        <v>91</v>
      </c>
      <c r="E1269" s="2142">
        <v>134.56</v>
      </c>
      <c r="F1269" s="2142">
        <v>32800</v>
      </c>
      <c r="G1269" s="2142">
        <v>4413568</v>
      </c>
      <c r="H1269" s="3557">
        <v>42461</v>
      </c>
      <c r="I1269" s="2142">
        <v>100000</v>
      </c>
    </row>
    <row r="1270" spans="1:9" s="2139" customFormat="1" hidden="1">
      <c r="A1270" s="2140" t="s">
        <v>3747</v>
      </c>
      <c r="B1270" s="2141" t="s">
        <v>3054</v>
      </c>
      <c r="C1270" s="2141" t="s">
        <v>3261</v>
      </c>
      <c r="D1270" s="2141">
        <v>27</v>
      </c>
      <c r="E1270" s="2142">
        <v>94.81</v>
      </c>
      <c r="F1270" s="2142">
        <v>33300</v>
      </c>
      <c r="G1270" s="2142">
        <v>3157173</v>
      </c>
      <c r="H1270" s="2143">
        <v>42394</v>
      </c>
      <c r="I1270" s="2142">
        <v>50000</v>
      </c>
    </row>
    <row r="1271" spans="1:9" s="2139" customFormat="1" hidden="1">
      <c r="A1271" s="2140" t="s">
        <v>3802</v>
      </c>
      <c r="B1271" s="2141" t="s">
        <v>3054</v>
      </c>
      <c r="C1271" s="2141" t="s">
        <v>3261</v>
      </c>
      <c r="D1271" s="2141">
        <v>175</v>
      </c>
      <c r="E1271" s="2142">
        <v>66.650000000000006</v>
      </c>
      <c r="F1271" s="2142">
        <v>35910.01</v>
      </c>
      <c r="G1271" s="2142">
        <v>2393402.1665000003</v>
      </c>
      <c r="H1271" s="2143">
        <v>42382</v>
      </c>
      <c r="I1271" s="2142">
        <v>2393402</v>
      </c>
    </row>
    <row r="1272" spans="1:9" s="2139" customFormat="1" hidden="1">
      <c r="A1272" s="2140" t="s">
        <v>5692</v>
      </c>
      <c r="B1272" s="2141" t="s">
        <v>3057</v>
      </c>
      <c r="C1272" s="2141" t="s">
        <v>3261</v>
      </c>
      <c r="D1272" s="2141">
        <v>46</v>
      </c>
      <c r="E1272" s="2142">
        <v>86.66</v>
      </c>
      <c r="F1272" s="2142">
        <v>33100</v>
      </c>
      <c r="G1272" s="2142">
        <v>2868446</v>
      </c>
      <c r="H1272" s="2143">
        <v>42370</v>
      </c>
      <c r="I1272" s="2142">
        <v>1438446</v>
      </c>
    </row>
    <row r="1273" spans="1:9" s="2139" customFormat="1" hidden="1">
      <c r="A1273" s="2140" t="s">
        <v>5693</v>
      </c>
      <c r="B1273" s="2141" t="s">
        <v>3057</v>
      </c>
      <c r="C1273" s="2141" t="s">
        <v>3261</v>
      </c>
      <c r="D1273" s="2141">
        <v>47</v>
      </c>
      <c r="E1273" s="2142">
        <v>80.400000000000006</v>
      </c>
      <c r="F1273" s="2142">
        <v>26800</v>
      </c>
      <c r="G1273" s="2142">
        <v>2154720</v>
      </c>
      <c r="H1273" s="2143">
        <v>42370</v>
      </c>
      <c r="I1273" s="2142">
        <v>1084720</v>
      </c>
    </row>
    <row r="1274" spans="1:9" s="2139" customFormat="1" hidden="1">
      <c r="A1274" s="2140" t="s">
        <v>5694</v>
      </c>
      <c r="B1274" s="2141" t="s">
        <v>3057</v>
      </c>
      <c r="C1274" s="2141" t="s">
        <v>3261</v>
      </c>
      <c r="D1274" s="2141">
        <v>49</v>
      </c>
      <c r="E1274" s="2142">
        <v>62.14</v>
      </c>
      <c r="F1274" s="2142">
        <v>26800</v>
      </c>
      <c r="G1274" s="2142">
        <v>1665352</v>
      </c>
      <c r="H1274" s="2143">
        <v>42370</v>
      </c>
      <c r="I1274" s="2142">
        <v>835352</v>
      </c>
    </row>
    <row r="1275" spans="1:9" s="2139" customFormat="1" hidden="1">
      <c r="A1275" s="2140" t="s">
        <v>5695</v>
      </c>
      <c r="B1275" s="2141" t="s">
        <v>3057</v>
      </c>
      <c r="C1275" s="2141" t="s">
        <v>3261</v>
      </c>
      <c r="D1275" s="2141">
        <v>50</v>
      </c>
      <c r="E1275" s="2142">
        <v>61.32</v>
      </c>
      <c r="F1275" s="2142">
        <v>26800</v>
      </c>
      <c r="G1275" s="2142">
        <v>1643376</v>
      </c>
      <c r="H1275" s="2143">
        <v>42370</v>
      </c>
      <c r="I1275" s="2142">
        <v>823376</v>
      </c>
    </row>
    <row r="1276" spans="1:9" s="2139" customFormat="1" hidden="1">
      <c r="A1276" s="2140" t="s">
        <v>6577</v>
      </c>
      <c r="B1276" s="2141">
        <v>11</v>
      </c>
      <c r="C1276" s="2141" t="s">
        <v>3261</v>
      </c>
      <c r="D1276" s="2141">
        <v>143</v>
      </c>
      <c r="E1276" s="2142">
        <v>42.38</v>
      </c>
      <c r="F1276" s="2142">
        <v>29468</v>
      </c>
      <c r="G1276" s="2142">
        <v>1248853.8400000001</v>
      </c>
      <c r="H1276" s="2143">
        <v>42367</v>
      </c>
      <c r="I1276" s="2142">
        <v>258559</v>
      </c>
    </row>
    <row r="1277" spans="1:9" s="2139" customFormat="1" hidden="1">
      <c r="A1277" s="2140" t="s">
        <v>4334</v>
      </c>
      <c r="B1277" s="2141" t="s">
        <v>3055</v>
      </c>
      <c r="C1277" s="2141" t="s">
        <v>3261</v>
      </c>
      <c r="D1277" s="3396">
        <v>20</v>
      </c>
      <c r="E1277" s="2142">
        <v>74.08</v>
      </c>
      <c r="F1277" s="2142">
        <v>36300</v>
      </c>
      <c r="G1277" s="2142">
        <v>2689104</v>
      </c>
      <c r="H1277" s="3557">
        <v>42362</v>
      </c>
      <c r="I1277" s="2142">
        <v>100000</v>
      </c>
    </row>
    <row r="1278" spans="1:9" s="2139" customFormat="1" hidden="1">
      <c r="A1278" s="2140" t="s">
        <v>4350</v>
      </c>
      <c r="B1278" s="2141" t="s">
        <v>3055</v>
      </c>
      <c r="C1278" s="2141" t="s">
        <v>3261</v>
      </c>
      <c r="D1278" s="3396">
        <v>38</v>
      </c>
      <c r="E1278" s="2142">
        <v>46.35</v>
      </c>
      <c r="F1278" s="2142">
        <v>25934.99</v>
      </c>
      <c r="G1278" s="2142">
        <v>1202086.7865000002</v>
      </c>
      <c r="H1278" s="3557">
        <v>42362</v>
      </c>
      <c r="I1278" s="2142">
        <v>1202087</v>
      </c>
    </row>
    <row r="1279" spans="1:9" s="2139" customFormat="1" hidden="1">
      <c r="A1279" s="2140" t="s">
        <v>4372</v>
      </c>
      <c r="B1279" s="2141" t="s">
        <v>3055</v>
      </c>
      <c r="C1279" s="2141" t="s">
        <v>3261</v>
      </c>
      <c r="D1279" s="3396">
        <v>65</v>
      </c>
      <c r="E1279" s="2142">
        <v>61.24</v>
      </c>
      <c r="F1279" s="2142">
        <v>25935</v>
      </c>
      <c r="G1279" s="2142">
        <v>1588259.4000000001</v>
      </c>
      <c r="H1279" s="3557">
        <v>42362</v>
      </c>
      <c r="I1279" s="2142">
        <v>1588259</v>
      </c>
    </row>
    <row r="1280" spans="1:9" s="2139" customFormat="1" hidden="1">
      <c r="A1280" s="2140" t="s">
        <v>5686</v>
      </c>
      <c r="B1280" s="2141" t="s">
        <v>3057</v>
      </c>
      <c r="C1280" s="2141" t="s">
        <v>3261</v>
      </c>
      <c r="D1280" s="2141">
        <v>25</v>
      </c>
      <c r="E1280" s="2142">
        <v>75.44</v>
      </c>
      <c r="F1280" s="2142">
        <v>33300</v>
      </c>
      <c r="G1280" s="2142">
        <v>2512152</v>
      </c>
      <c r="H1280" s="2143">
        <v>42361</v>
      </c>
      <c r="I1280" s="2142">
        <v>1262152</v>
      </c>
    </row>
    <row r="1281" spans="1:9" s="2139" customFormat="1" hidden="1">
      <c r="A1281" s="2140" t="s">
        <v>6571</v>
      </c>
      <c r="B1281" s="2141">
        <v>11</v>
      </c>
      <c r="C1281" s="2141" t="s">
        <v>3261</v>
      </c>
      <c r="D1281" s="2141">
        <v>119</v>
      </c>
      <c r="E1281" s="2142">
        <v>35.33</v>
      </c>
      <c r="F1281" s="2142">
        <v>42860</v>
      </c>
      <c r="G1281" s="2142">
        <v>1514243.7999999998</v>
      </c>
      <c r="H1281" s="2143">
        <v>42358</v>
      </c>
      <c r="I1281" s="2142">
        <v>313815</v>
      </c>
    </row>
    <row r="1282" spans="1:9" s="2139" customFormat="1" hidden="1">
      <c r="A1282" s="2140" t="s">
        <v>6772</v>
      </c>
      <c r="B1282" s="2141">
        <v>12</v>
      </c>
      <c r="C1282" s="2141" t="s">
        <v>3261</v>
      </c>
      <c r="D1282" s="2141">
        <v>93</v>
      </c>
      <c r="E1282" s="2142">
        <v>69.63</v>
      </c>
      <c r="F1282" s="2142">
        <v>43000</v>
      </c>
      <c r="G1282" s="2142">
        <v>2994090</v>
      </c>
      <c r="H1282" s="2143">
        <v>42355</v>
      </c>
      <c r="I1282" s="2142">
        <v>601620</v>
      </c>
    </row>
    <row r="1283" spans="1:9" s="2139" customFormat="1" hidden="1">
      <c r="A1283" s="2140" t="s">
        <v>6578</v>
      </c>
      <c r="B1283" s="2141">
        <v>11</v>
      </c>
      <c r="C1283" s="2141" t="s">
        <v>3261</v>
      </c>
      <c r="D1283" s="2141">
        <v>145</v>
      </c>
      <c r="E1283" s="2142">
        <v>46.09</v>
      </c>
      <c r="F1283" s="2142">
        <v>31195</v>
      </c>
      <c r="G1283" s="2142">
        <v>1437777.55</v>
      </c>
      <c r="H1283" s="2143">
        <v>42350</v>
      </c>
      <c r="I1283" s="2142">
        <v>297466</v>
      </c>
    </row>
    <row r="1284" spans="1:9" s="2139" customFormat="1" hidden="1">
      <c r="A1284" s="2140" t="s">
        <v>6741</v>
      </c>
      <c r="B1284" s="2141">
        <v>12</v>
      </c>
      <c r="C1284" s="2141" t="s">
        <v>3261</v>
      </c>
      <c r="D1284" s="2141">
        <v>40</v>
      </c>
      <c r="E1284" s="2142">
        <v>34.450000000000003</v>
      </c>
      <c r="F1284" s="2142">
        <v>36860.011659999996</v>
      </c>
      <c r="G1284" s="2142">
        <v>1269827.4016869999</v>
      </c>
      <c r="H1284" s="2143">
        <v>42350</v>
      </c>
      <c r="I1284" s="2142">
        <v>264667</v>
      </c>
    </row>
    <row r="1285" spans="1:9" s="2139" customFormat="1" hidden="1">
      <c r="A1285" s="2140" t="s">
        <v>6553</v>
      </c>
      <c r="B1285" s="2141">
        <v>11</v>
      </c>
      <c r="C1285" s="2141" t="s">
        <v>3261</v>
      </c>
      <c r="D1285" s="2141">
        <v>43</v>
      </c>
      <c r="E1285" s="2142">
        <v>37.01</v>
      </c>
      <c r="F1285" s="2142">
        <v>34481</v>
      </c>
      <c r="G1285" s="2142">
        <v>1276141.8099999998</v>
      </c>
      <c r="H1285" s="2143">
        <v>42349</v>
      </c>
      <c r="I1285" s="2142">
        <v>265452</v>
      </c>
    </row>
    <row r="1286" spans="1:9" s="2139" customFormat="1" hidden="1">
      <c r="A1286" s="2140" t="s">
        <v>5076</v>
      </c>
      <c r="B1286" s="2141" t="s">
        <v>3056</v>
      </c>
      <c r="C1286" s="2141" t="s">
        <v>3261</v>
      </c>
      <c r="D1286" s="2141">
        <v>119</v>
      </c>
      <c r="E1286" s="2142">
        <v>40.81</v>
      </c>
      <c r="F1286" s="2142">
        <v>26481.01</v>
      </c>
      <c r="G1286" s="2142">
        <v>1080690.0181</v>
      </c>
      <c r="H1286" s="2143">
        <v>42345</v>
      </c>
      <c r="I1286" s="2142">
        <v>1080690</v>
      </c>
    </row>
    <row r="1287" spans="1:9" s="2139" customFormat="1" hidden="1">
      <c r="A1287" s="2140" t="s">
        <v>5078</v>
      </c>
      <c r="B1287" s="2141" t="s">
        <v>3056</v>
      </c>
      <c r="C1287" s="2141" t="s">
        <v>3261</v>
      </c>
      <c r="D1287" s="2141">
        <v>121</v>
      </c>
      <c r="E1287" s="2142">
        <v>64.739999999999995</v>
      </c>
      <c r="F1287" s="2142">
        <v>25511</v>
      </c>
      <c r="G1287" s="2142">
        <v>1651582.14</v>
      </c>
      <c r="H1287" s="2143">
        <v>42345</v>
      </c>
      <c r="I1287" s="2142">
        <v>1651582</v>
      </c>
    </row>
    <row r="1288" spans="1:9" s="2139" customFormat="1" hidden="1">
      <c r="A1288" s="2140" t="s">
        <v>5787</v>
      </c>
      <c r="B1288" s="3560" t="s">
        <v>3057</v>
      </c>
      <c r="C1288" s="2141" t="s">
        <v>3161</v>
      </c>
      <c r="D1288" s="3396">
        <v>99</v>
      </c>
      <c r="E1288" s="2142">
        <v>74.900000000000006</v>
      </c>
      <c r="F1288" s="2142">
        <v>28118.998664999999</v>
      </c>
      <c r="G1288" s="2142">
        <v>2106113.0000085002</v>
      </c>
      <c r="H1288" s="3557">
        <v>42962</v>
      </c>
      <c r="I1288" s="2142">
        <v>1106113</v>
      </c>
    </row>
    <row r="1289" spans="1:9" s="2139" customFormat="1" hidden="1">
      <c r="A1289" s="2140" t="s">
        <v>4451</v>
      </c>
      <c r="B1289" s="3560" t="s">
        <v>3055</v>
      </c>
      <c r="C1289" s="2141" t="s">
        <v>3161</v>
      </c>
      <c r="D1289" s="3396">
        <v>22</v>
      </c>
      <c r="E1289" s="2142">
        <v>38.96</v>
      </c>
      <c r="F1289" s="2142">
        <v>20661</v>
      </c>
      <c r="G1289" s="2142">
        <v>804953</v>
      </c>
      <c r="H1289" s="3557">
        <v>42987</v>
      </c>
      <c r="I1289" s="2142">
        <v>804953</v>
      </c>
    </row>
    <row r="1290" spans="1:9" s="2139" customFormat="1" hidden="1">
      <c r="A1290" s="2140" t="s">
        <v>5113</v>
      </c>
      <c r="B1290" s="3560" t="s">
        <v>3056</v>
      </c>
      <c r="C1290" s="2141" t="s">
        <v>3161</v>
      </c>
      <c r="D1290" s="3396">
        <v>36</v>
      </c>
      <c r="E1290" s="2142">
        <v>76.400000000000006</v>
      </c>
      <c r="F1290" s="2142">
        <v>26980</v>
      </c>
      <c r="G1290" s="2142">
        <v>2061272.0000000002</v>
      </c>
      <c r="H1290" s="3557">
        <v>42942</v>
      </c>
      <c r="I1290" s="2142">
        <v>1061272</v>
      </c>
    </row>
    <row r="1291" spans="1:9" s="2139" customFormat="1" hidden="1">
      <c r="A1291" s="2140" t="s">
        <v>4588</v>
      </c>
      <c r="B1291" s="3560" t="s">
        <v>3055</v>
      </c>
      <c r="C1291" s="2141" t="s">
        <v>3161</v>
      </c>
      <c r="D1291" s="3396">
        <v>219</v>
      </c>
      <c r="E1291" s="2142">
        <v>38.909999999999997</v>
      </c>
      <c r="F1291" s="2142">
        <v>20235</v>
      </c>
      <c r="G1291" s="2142">
        <v>787343.85</v>
      </c>
      <c r="H1291" s="3557">
        <v>42871</v>
      </c>
      <c r="I1291" s="2142">
        <v>787344</v>
      </c>
    </row>
    <row r="1292" spans="1:9" s="2139" customFormat="1" hidden="1">
      <c r="A1292" s="2140" t="s">
        <v>5790</v>
      </c>
      <c r="B1292" s="3560" t="s">
        <v>3057</v>
      </c>
      <c r="C1292" s="2141" t="s">
        <v>3161</v>
      </c>
      <c r="D1292" s="3396">
        <v>102</v>
      </c>
      <c r="E1292" s="2142">
        <v>70.239999999999995</v>
      </c>
      <c r="F1292" s="2142">
        <v>27604</v>
      </c>
      <c r="G1292" s="2142">
        <v>1938904.96</v>
      </c>
      <c r="H1292" s="3557">
        <v>42934</v>
      </c>
      <c r="I1292" s="2142">
        <v>483202</v>
      </c>
    </row>
    <row r="1293" spans="1:9" s="2139" customFormat="1" hidden="1">
      <c r="A1293" s="2140" t="s">
        <v>5822</v>
      </c>
      <c r="B1293" s="3560" t="s">
        <v>3057</v>
      </c>
      <c r="C1293" s="2141" t="s">
        <v>3161</v>
      </c>
      <c r="D1293" s="3396">
        <v>140</v>
      </c>
      <c r="E1293" s="2142">
        <v>75.16</v>
      </c>
      <c r="F1293" s="2142">
        <v>20085</v>
      </c>
      <c r="G1293" s="2142">
        <v>1509588.5999999999</v>
      </c>
      <c r="H1293" s="3557">
        <v>42934</v>
      </c>
      <c r="I1293" s="2142">
        <v>346016</v>
      </c>
    </row>
    <row r="1294" spans="1:9" s="2139" customFormat="1" hidden="1">
      <c r="A1294" s="2140" t="s">
        <v>4498</v>
      </c>
      <c r="B1294" s="3560" t="s">
        <v>3055</v>
      </c>
      <c r="C1294" s="2141" t="s">
        <v>3161</v>
      </c>
      <c r="D1294" s="3396">
        <v>91</v>
      </c>
      <c r="E1294" s="2142">
        <v>24.44</v>
      </c>
      <c r="F1294" s="2142">
        <v>19800</v>
      </c>
      <c r="G1294" s="2142">
        <v>483912</v>
      </c>
      <c r="H1294" s="3557">
        <v>42996</v>
      </c>
      <c r="I1294" s="2142">
        <v>483912</v>
      </c>
    </row>
    <row r="1295" spans="1:9" s="2139" customFormat="1" hidden="1">
      <c r="A1295" s="2140" t="s">
        <v>4446</v>
      </c>
      <c r="B1295" s="3560" t="s">
        <v>3055</v>
      </c>
      <c r="C1295" s="2141" t="s">
        <v>3161</v>
      </c>
      <c r="D1295" s="3396">
        <v>16</v>
      </c>
      <c r="E1295" s="2142">
        <v>39.51</v>
      </c>
      <c r="F1295" s="2142">
        <v>19800</v>
      </c>
      <c r="G1295" s="2142">
        <v>782298</v>
      </c>
      <c r="H1295" s="3557">
        <v>42906</v>
      </c>
      <c r="I1295" s="2142">
        <v>392298</v>
      </c>
    </row>
    <row r="1296" spans="1:9" s="2139" customFormat="1" hidden="1">
      <c r="A1296" s="2140" t="s">
        <v>5129</v>
      </c>
      <c r="B1296" s="3560" t="s">
        <v>3056</v>
      </c>
      <c r="C1296" s="2141" t="s">
        <v>3161</v>
      </c>
      <c r="D1296" s="3396">
        <v>68</v>
      </c>
      <c r="E1296" s="2142">
        <v>153.22</v>
      </c>
      <c r="F1296" s="2142">
        <v>27089.002741200002</v>
      </c>
      <c r="G1296" s="2142">
        <v>4150577.0000066641</v>
      </c>
      <c r="H1296" s="3557">
        <v>42933</v>
      </c>
      <c r="I1296" s="2142">
        <v>2080577</v>
      </c>
    </row>
    <row r="1297" spans="1:9" s="2139" customFormat="1" hidden="1">
      <c r="A1297" s="2140" t="s">
        <v>5134</v>
      </c>
      <c r="B1297" s="3560" t="s">
        <v>3056</v>
      </c>
      <c r="C1297" s="2141" t="s">
        <v>3161</v>
      </c>
      <c r="D1297" s="3396">
        <v>76</v>
      </c>
      <c r="E1297" s="2142">
        <v>143.82</v>
      </c>
      <c r="F1297" s="2142">
        <v>28119.002920999999</v>
      </c>
      <c r="G1297" s="2142">
        <v>4044075.0000982196</v>
      </c>
      <c r="H1297" s="3557">
        <v>42933</v>
      </c>
      <c r="I1297" s="2142">
        <v>712014</v>
      </c>
    </row>
    <row r="1298" spans="1:9" s="2139" customFormat="1" hidden="1">
      <c r="A1298" s="2140" t="s">
        <v>5149</v>
      </c>
      <c r="B1298" s="3560" t="s">
        <v>3056</v>
      </c>
      <c r="C1298" s="2141" t="s">
        <v>3161</v>
      </c>
      <c r="D1298" s="3396">
        <v>101</v>
      </c>
      <c r="E1298" s="2142">
        <v>72.459999999999994</v>
      </c>
      <c r="F1298" s="2142">
        <v>28119.00359</v>
      </c>
      <c r="G1298" s="2142">
        <v>2037503.0001313998</v>
      </c>
      <c r="H1298" s="3557">
        <v>42928</v>
      </c>
      <c r="I1298" s="2142">
        <v>1048750</v>
      </c>
    </row>
    <row r="1299" spans="1:9" s="2139" customFormat="1" hidden="1">
      <c r="A1299" s="2140" t="s">
        <v>5749</v>
      </c>
      <c r="B1299" s="3560" t="s">
        <v>3057</v>
      </c>
      <c r="C1299" s="2141" t="s">
        <v>3161</v>
      </c>
      <c r="D1299" s="3396">
        <v>20</v>
      </c>
      <c r="E1299" s="2142">
        <v>42.27</v>
      </c>
      <c r="F1299" s="2142">
        <v>18025</v>
      </c>
      <c r="G1299" s="2142">
        <v>761916.75</v>
      </c>
      <c r="H1299" s="3557">
        <v>42923</v>
      </c>
      <c r="I1299" s="2142">
        <v>381917</v>
      </c>
    </row>
    <row r="1300" spans="1:9" s="2139" customFormat="1" hidden="1">
      <c r="A1300" s="2140" t="s">
        <v>5187</v>
      </c>
      <c r="B1300" s="3560" t="s">
        <v>3056</v>
      </c>
      <c r="C1300" s="2141" t="s">
        <v>3161</v>
      </c>
      <c r="D1300" s="3396">
        <v>153</v>
      </c>
      <c r="E1300" s="2142">
        <v>94.6</v>
      </c>
      <c r="F1300" s="2142">
        <v>27275.433410000001</v>
      </c>
      <c r="G1300" s="2142">
        <v>2580256.0005859998</v>
      </c>
      <c r="H1300" s="3557">
        <v>42919</v>
      </c>
      <c r="I1300" s="2142">
        <v>2580256</v>
      </c>
    </row>
    <row r="1301" spans="1:9" s="2139" customFormat="1" hidden="1">
      <c r="A1301" s="2140" t="s">
        <v>5198</v>
      </c>
      <c r="B1301" s="3560" t="s">
        <v>3056</v>
      </c>
      <c r="C1301" s="2141" t="s">
        <v>3161</v>
      </c>
      <c r="D1301" s="3396">
        <v>167</v>
      </c>
      <c r="E1301" s="2142">
        <v>94.26</v>
      </c>
      <c r="F1301" s="2142">
        <v>19206.004669999998</v>
      </c>
      <c r="G1301" s="2142">
        <v>1810358.0001941998</v>
      </c>
      <c r="H1301" s="3557">
        <v>42919</v>
      </c>
      <c r="I1301" s="2142">
        <v>1810358</v>
      </c>
    </row>
    <row r="1302" spans="1:9" s="2139" customFormat="1" hidden="1">
      <c r="A1302" s="2140" t="s">
        <v>5163</v>
      </c>
      <c r="B1302" s="3560" t="s">
        <v>3056</v>
      </c>
      <c r="C1302" s="2141" t="s">
        <v>3161</v>
      </c>
      <c r="D1302" s="3396">
        <v>118</v>
      </c>
      <c r="E1302" s="2142">
        <v>62.99</v>
      </c>
      <c r="F1302" s="2142">
        <v>26500</v>
      </c>
      <c r="G1302" s="2142">
        <v>1669235</v>
      </c>
      <c r="H1302" s="3557">
        <v>42915</v>
      </c>
      <c r="I1302" s="2142">
        <v>869235</v>
      </c>
    </row>
    <row r="1303" spans="1:9" s="2139" customFormat="1" hidden="1">
      <c r="A1303" s="2140" t="s">
        <v>5164</v>
      </c>
      <c r="B1303" s="3560" t="s">
        <v>3056</v>
      </c>
      <c r="C1303" s="2141" t="s">
        <v>3161</v>
      </c>
      <c r="D1303" s="3396">
        <v>119</v>
      </c>
      <c r="E1303" s="2142">
        <v>59.43</v>
      </c>
      <c r="F1303" s="2142">
        <v>26979.993269999999</v>
      </c>
      <c r="G1303" s="2142">
        <v>1603421.0000360999</v>
      </c>
      <c r="H1303" s="3557">
        <v>42915</v>
      </c>
      <c r="I1303" s="2142">
        <v>803421</v>
      </c>
    </row>
    <row r="1304" spans="1:9" s="2139" customFormat="1" hidden="1">
      <c r="A1304" s="2140" t="s">
        <v>4447</v>
      </c>
      <c r="B1304" s="3560" t="s">
        <v>3055</v>
      </c>
      <c r="C1304" s="2141" t="s">
        <v>3161</v>
      </c>
      <c r="D1304" s="3396">
        <v>17</v>
      </c>
      <c r="E1304" s="2142">
        <v>38.4</v>
      </c>
      <c r="F1304" s="2142">
        <v>19800</v>
      </c>
      <c r="G1304" s="2142">
        <v>760320</v>
      </c>
      <c r="H1304" s="3557">
        <v>42906</v>
      </c>
      <c r="I1304" s="2142">
        <v>380320</v>
      </c>
    </row>
    <row r="1305" spans="1:9" s="2139" customFormat="1" hidden="1">
      <c r="A1305" s="2140" t="s">
        <v>4452</v>
      </c>
      <c r="B1305" s="3560" t="s">
        <v>3055</v>
      </c>
      <c r="C1305" s="2141" t="s">
        <v>3161</v>
      </c>
      <c r="D1305" s="3396">
        <v>23</v>
      </c>
      <c r="E1305" s="2142">
        <v>39.51</v>
      </c>
      <c r="F1305" s="2142">
        <v>19206</v>
      </c>
      <c r="G1305" s="2142">
        <v>758829</v>
      </c>
      <c r="H1305" s="3557">
        <v>42987</v>
      </c>
      <c r="I1305" s="2142">
        <v>758829</v>
      </c>
    </row>
    <row r="1306" spans="1:9" s="2139" customFormat="1" hidden="1">
      <c r="A1306" s="2140" t="s">
        <v>4581</v>
      </c>
      <c r="B1306" s="3560" t="s">
        <v>3055</v>
      </c>
      <c r="C1306" s="2141" t="s">
        <v>3161</v>
      </c>
      <c r="D1306" s="3396">
        <v>211</v>
      </c>
      <c r="E1306" s="2142">
        <v>67.41</v>
      </c>
      <c r="F1306" s="2142">
        <v>18809.998520000001</v>
      </c>
      <c r="G1306" s="2142">
        <v>1267982.0002331999</v>
      </c>
      <c r="H1306" s="3557">
        <v>42906</v>
      </c>
      <c r="I1306" s="2142">
        <v>1267982</v>
      </c>
    </row>
    <row r="1307" spans="1:9" s="2139" customFormat="1" hidden="1">
      <c r="A1307" s="2140" t="s">
        <v>4582</v>
      </c>
      <c r="B1307" s="3560" t="s">
        <v>3055</v>
      </c>
      <c r="C1307" s="2141" t="s">
        <v>3161</v>
      </c>
      <c r="D1307" s="3396">
        <v>212</v>
      </c>
      <c r="E1307" s="2142">
        <v>70.62</v>
      </c>
      <c r="F1307" s="2142">
        <v>18809.997169999999</v>
      </c>
      <c r="G1307" s="2142">
        <v>1328362.0001453999</v>
      </c>
      <c r="H1307" s="3557">
        <v>42906</v>
      </c>
      <c r="I1307" s="2142">
        <v>1328362</v>
      </c>
    </row>
    <row r="1308" spans="1:9" s="2139" customFormat="1" hidden="1">
      <c r="A1308" s="2140" t="s">
        <v>4492</v>
      </c>
      <c r="B1308" s="3560" t="s">
        <v>3055</v>
      </c>
      <c r="C1308" s="2141" t="s">
        <v>3161</v>
      </c>
      <c r="D1308" s="3396">
        <v>76</v>
      </c>
      <c r="E1308" s="2142">
        <v>48.31</v>
      </c>
      <c r="F1308" s="2142">
        <v>18029</v>
      </c>
      <c r="G1308" s="2142">
        <v>870981</v>
      </c>
      <c r="H1308" s="3557">
        <v>42991</v>
      </c>
      <c r="I1308" s="2142">
        <v>870981</v>
      </c>
    </row>
    <row r="1309" spans="1:9" s="2139" customFormat="1" hidden="1">
      <c r="A1309" s="2140" t="s">
        <v>5191</v>
      </c>
      <c r="B1309" s="3560" t="s">
        <v>3056</v>
      </c>
      <c r="C1309" s="2141" t="s">
        <v>3161</v>
      </c>
      <c r="D1309" s="3396">
        <v>158</v>
      </c>
      <c r="E1309" s="2142">
        <v>169.58</v>
      </c>
      <c r="F1309" s="2142">
        <v>25544.002830000001</v>
      </c>
      <c r="G1309" s="2142">
        <v>4331751.9999114005</v>
      </c>
      <c r="H1309" s="3557">
        <v>42883</v>
      </c>
      <c r="I1309" s="2142">
        <v>2191752</v>
      </c>
    </row>
    <row r="1310" spans="1:9" s="2139" customFormat="1" hidden="1">
      <c r="A1310" s="2140" t="s">
        <v>4495</v>
      </c>
      <c r="B1310" s="3560" t="s">
        <v>3055</v>
      </c>
      <c r="C1310" s="2141" t="s">
        <v>3161</v>
      </c>
      <c r="D1310" s="3396">
        <v>79</v>
      </c>
      <c r="E1310" s="2142">
        <v>87.84</v>
      </c>
      <c r="F1310" s="2142">
        <v>15629.004329004329</v>
      </c>
      <c r="G1310" s="2142">
        <v>1372851</v>
      </c>
      <c r="H1310" s="3557">
        <v>42978</v>
      </c>
      <c r="I1310" s="2142">
        <v>1372851</v>
      </c>
    </row>
    <row r="1311" spans="1:9" s="2139" customFormat="1" hidden="1">
      <c r="A1311" s="2140" t="s">
        <v>4532</v>
      </c>
      <c r="B1311" s="3560" t="s">
        <v>3055</v>
      </c>
      <c r="C1311" s="2141" t="s">
        <v>3161</v>
      </c>
      <c r="D1311" s="3396">
        <v>147</v>
      </c>
      <c r="E1311" s="2142">
        <v>96.09</v>
      </c>
      <c r="F1311" s="2142">
        <v>15629</v>
      </c>
      <c r="G1311" s="2142">
        <v>1501791</v>
      </c>
      <c r="H1311" s="3557">
        <v>42998</v>
      </c>
      <c r="I1311" s="2142">
        <v>1501791</v>
      </c>
    </row>
    <row r="1312" spans="1:9" s="2139" customFormat="1" hidden="1">
      <c r="A1312" s="2140" t="s">
        <v>4561</v>
      </c>
      <c r="B1312" s="3560" t="s">
        <v>3055</v>
      </c>
      <c r="C1312" s="2141" t="s">
        <v>3161</v>
      </c>
      <c r="D1312" s="3396">
        <v>183</v>
      </c>
      <c r="E1312" s="2142">
        <v>40.799999999999997</v>
      </c>
      <c r="F1312" s="2142">
        <v>15629</v>
      </c>
      <c r="G1312" s="2142">
        <v>637663</v>
      </c>
      <c r="H1312" s="3557">
        <v>42995</v>
      </c>
      <c r="I1312" s="2142">
        <v>637663</v>
      </c>
    </row>
    <row r="1313" spans="1:9" s="2139" customFormat="1" hidden="1">
      <c r="A1313" s="2140" t="s">
        <v>5100</v>
      </c>
      <c r="B1313" s="3560" t="s">
        <v>3056</v>
      </c>
      <c r="C1313" s="2141" t="s">
        <v>3161</v>
      </c>
      <c r="D1313" s="3396">
        <v>11</v>
      </c>
      <c r="E1313" s="2142">
        <v>41.08</v>
      </c>
      <c r="F1313" s="2142">
        <v>20085.004870000001</v>
      </c>
      <c r="G1313" s="2142">
        <v>825092.00005959999</v>
      </c>
      <c r="H1313" s="3557">
        <v>42870</v>
      </c>
      <c r="I1313" s="2142">
        <v>415092</v>
      </c>
    </row>
    <row r="1314" spans="1:9" s="2139" customFormat="1" hidden="1">
      <c r="A1314" s="2140" t="s">
        <v>5121</v>
      </c>
      <c r="B1314" s="3560" t="s">
        <v>3056</v>
      </c>
      <c r="C1314" s="2141" t="s">
        <v>3161</v>
      </c>
      <c r="D1314" s="3396">
        <v>58</v>
      </c>
      <c r="E1314" s="2142">
        <v>40.74</v>
      </c>
      <c r="F1314" s="2142">
        <v>16274</v>
      </c>
      <c r="G1314" s="2142">
        <v>663002.76</v>
      </c>
      <c r="H1314" s="3557">
        <v>42858</v>
      </c>
      <c r="I1314" s="2142">
        <v>483003</v>
      </c>
    </row>
    <row r="1315" spans="1:9" s="2139" customFormat="1" hidden="1">
      <c r="A1315" s="2140" t="s">
        <v>5098</v>
      </c>
      <c r="B1315" s="3560" t="s">
        <v>3056</v>
      </c>
      <c r="C1315" s="2141" t="s">
        <v>3161</v>
      </c>
      <c r="D1315" s="3396">
        <v>2</v>
      </c>
      <c r="E1315" s="2142">
        <v>67.739999999999995</v>
      </c>
      <c r="F1315" s="2142">
        <v>28119</v>
      </c>
      <c r="G1315" s="2142">
        <v>1904781.0599999998</v>
      </c>
      <c r="H1315" s="3557">
        <v>42850</v>
      </c>
      <c r="I1315" s="2142">
        <v>954781</v>
      </c>
    </row>
    <row r="1316" spans="1:9" s="2139" customFormat="1" hidden="1">
      <c r="A1316" s="2140" t="s">
        <v>4469</v>
      </c>
      <c r="B1316" s="3560" t="s">
        <v>3055</v>
      </c>
      <c r="C1316" s="2141" t="s">
        <v>3161</v>
      </c>
      <c r="D1316" s="3396">
        <v>47</v>
      </c>
      <c r="E1316" s="2142">
        <v>41.5</v>
      </c>
      <c r="F1316" s="2142">
        <v>15160.12</v>
      </c>
      <c r="G1316" s="2142">
        <v>629144.98</v>
      </c>
      <c r="H1316" s="3557">
        <v>42839</v>
      </c>
      <c r="I1316" s="2142">
        <v>629145</v>
      </c>
    </row>
    <row r="1317" spans="1:9" s="2139" customFormat="1" hidden="1">
      <c r="A1317" s="2140" t="s">
        <v>3882</v>
      </c>
      <c r="B1317" s="3560" t="s">
        <v>3054</v>
      </c>
      <c r="C1317" s="2141" t="s">
        <v>3161</v>
      </c>
      <c r="D1317" s="3396">
        <v>127</v>
      </c>
      <c r="E1317" s="2142">
        <v>65.17</v>
      </c>
      <c r="F1317" s="2142">
        <v>17072</v>
      </c>
      <c r="G1317" s="2142">
        <v>1112582.24</v>
      </c>
      <c r="H1317" s="3557">
        <v>42832</v>
      </c>
      <c r="I1317" s="2142">
        <v>1112582</v>
      </c>
    </row>
    <row r="1318" spans="1:9" s="2139" customFormat="1" hidden="1">
      <c r="A1318" s="2140" t="s">
        <v>5877</v>
      </c>
      <c r="B1318" s="3560" t="s">
        <v>3057</v>
      </c>
      <c r="C1318" s="2141" t="s">
        <v>3161</v>
      </c>
      <c r="D1318" s="3396">
        <v>222</v>
      </c>
      <c r="E1318" s="2142">
        <v>48.73</v>
      </c>
      <c r="F1318" s="2142">
        <v>19569.997950000001</v>
      </c>
      <c r="G1318" s="2142">
        <v>953646.00010349997</v>
      </c>
      <c r="H1318" s="3557">
        <v>42806</v>
      </c>
      <c r="I1318" s="2142">
        <v>953646</v>
      </c>
    </row>
    <row r="1319" spans="1:9" s="2139" customFormat="1" hidden="1">
      <c r="A1319" s="2140" t="s">
        <v>4493</v>
      </c>
      <c r="B1319" s="3560" t="s">
        <v>3055</v>
      </c>
      <c r="C1319" s="2141" t="s">
        <v>3161</v>
      </c>
      <c r="D1319" s="3396">
        <v>77</v>
      </c>
      <c r="E1319" s="2142">
        <v>43.92</v>
      </c>
      <c r="F1319" s="2142">
        <v>14847.55</v>
      </c>
      <c r="G1319" s="2142">
        <v>652104</v>
      </c>
      <c r="H1319" s="3557">
        <v>42991</v>
      </c>
      <c r="I1319" s="2142">
        <v>652104</v>
      </c>
    </row>
    <row r="1320" spans="1:9" s="2139" customFormat="1" hidden="1">
      <c r="A1320" s="2140" t="s">
        <v>4526</v>
      </c>
      <c r="B1320" s="3560" t="s">
        <v>3055</v>
      </c>
      <c r="C1320" s="2141" t="s">
        <v>3161</v>
      </c>
      <c r="D1320" s="3396">
        <v>138</v>
      </c>
      <c r="E1320" s="2142">
        <v>43.16</v>
      </c>
      <c r="F1320" s="2142">
        <v>14847.55</v>
      </c>
      <c r="G1320" s="2142">
        <v>640820</v>
      </c>
      <c r="H1320" s="3557">
        <v>42991</v>
      </c>
      <c r="I1320" s="2142">
        <v>640820</v>
      </c>
    </row>
    <row r="1321" spans="1:9" s="2139" customFormat="1" hidden="1">
      <c r="A1321" s="2140" t="s">
        <v>5112</v>
      </c>
      <c r="B1321" s="2141" t="s">
        <v>3056</v>
      </c>
      <c r="C1321" s="2141" t="s">
        <v>3161</v>
      </c>
      <c r="D1321" s="2141">
        <v>35</v>
      </c>
      <c r="E1321" s="2142">
        <v>77.02</v>
      </c>
      <c r="F1321" s="2142">
        <v>27275.434949999999</v>
      </c>
      <c r="G1321" s="2142">
        <v>2100753.999849</v>
      </c>
      <c r="H1321" s="2143">
        <v>42732</v>
      </c>
      <c r="I1321" s="2142">
        <v>2102663</v>
      </c>
    </row>
    <row r="1322" spans="1:9" s="2139" customFormat="1" hidden="1">
      <c r="A1322" s="2140" t="s">
        <v>4536</v>
      </c>
      <c r="B1322" s="2141" t="s">
        <v>3055</v>
      </c>
      <c r="C1322" s="2141" t="s">
        <v>3161</v>
      </c>
      <c r="D1322" s="3396">
        <v>152</v>
      </c>
      <c r="E1322" s="2142">
        <v>131.5</v>
      </c>
      <c r="F1322" s="2142">
        <v>22329</v>
      </c>
      <c r="G1322" s="2142">
        <v>2936264</v>
      </c>
      <c r="H1322" s="3557">
        <v>42718</v>
      </c>
      <c r="I1322" s="2142">
        <v>2934031</v>
      </c>
    </row>
    <row r="1323" spans="1:9" s="2139" customFormat="1" hidden="1">
      <c r="A1323" s="2140" t="s">
        <v>4572</v>
      </c>
      <c r="B1323" s="2141" t="s">
        <v>3055</v>
      </c>
      <c r="C1323" s="2141" t="s">
        <v>3161</v>
      </c>
      <c r="D1323" s="3396">
        <v>201</v>
      </c>
      <c r="E1323" s="2142">
        <v>72.22</v>
      </c>
      <c r="F1323" s="2142">
        <v>22329</v>
      </c>
      <c r="G1323" s="2142">
        <v>1612600.38</v>
      </c>
      <c r="H1323" s="3557">
        <v>42718</v>
      </c>
      <c r="I1323" s="2142">
        <v>1612600</v>
      </c>
    </row>
    <row r="1324" spans="1:9" s="2139" customFormat="1" hidden="1">
      <c r="A1324" s="2140" t="s">
        <v>5221</v>
      </c>
      <c r="B1324" s="2141" t="s">
        <v>3056</v>
      </c>
      <c r="C1324" s="2141" t="s">
        <v>3161</v>
      </c>
      <c r="D1324" s="2141">
        <v>197</v>
      </c>
      <c r="E1324" s="2142">
        <v>21.25</v>
      </c>
      <c r="F1324" s="2142">
        <v>28119</v>
      </c>
      <c r="G1324" s="2142">
        <v>597528.75</v>
      </c>
      <c r="H1324" s="2143">
        <v>42706</v>
      </c>
      <c r="I1324" s="2142">
        <v>307529</v>
      </c>
    </row>
    <row r="1325" spans="1:9" s="2139" customFormat="1" hidden="1">
      <c r="A1325" s="2140" t="s">
        <v>5799</v>
      </c>
      <c r="B1325" s="2141" t="s">
        <v>3057</v>
      </c>
      <c r="C1325" s="2141" t="s">
        <v>3161</v>
      </c>
      <c r="D1325" s="2141">
        <v>112</v>
      </c>
      <c r="E1325" s="2142">
        <v>70.239999999999995</v>
      </c>
      <c r="F1325" s="2142">
        <v>27604</v>
      </c>
      <c r="G1325" s="2142">
        <v>1938904.96</v>
      </c>
      <c r="H1325" s="2143">
        <v>42669</v>
      </c>
      <c r="I1325" s="2142">
        <v>361021</v>
      </c>
    </row>
    <row r="1326" spans="1:9" s="2139" customFormat="1" hidden="1">
      <c r="A1326" s="2140" t="s">
        <v>3835</v>
      </c>
      <c r="B1326" s="2141" t="s">
        <v>3054</v>
      </c>
      <c r="C1326" s="2141" t="s">
        <v>3161</v>
      </c>
      <c r="D1326" s="2141">
        <v>39</v>
      </c>
      <c r="E1326" s="2142">
        <v>64.89</v>
      </c>
      <c r="F1326" s="2142">
        <v>23800</v>
      </c>
      <c r="G1326" s="2142">
        <v>1544382</v>
      </c>
      <c r="H1326" s="2143">
        <v>42668</v>
      </c>
      <c r="I1326" s="2142">
        <v>1544382</v>
      </c>
    </row>
    <row r="1327" spans="1:9" s="2139" customFormat="1" hidden="1">
      <c r="A1327" s="2140" t="s">
        <v>3836</v>
      </c>
      <c r="B1327" s="2141" t="s">
        <v>3054</v>
      </c>
      <c r="C1327" s="2141" t="s">
        <v>3161</v>
      </c>
      <c r="D1327" s="2141">
        <v>40</v>
      </c>
      <c r="E1327" s="2142">
        <v>69.34</v>
      </c>
      <c r="F1327" s="2142">
        <v>24300</v>
      </c>
      <c r="G1327" s="2142">
        <v>1684962</v>
      </c>
      <c r="H1327" s="2143">
        <v>42668</v>
      </c>
      <c r="I1327" s="2142">
        <v>1684962</v>
      </c>
    </row>
    <row r="1328" spans="1:9" s="2139" customFormat="1" hidden="1">
      <c r="A1328" s="2140" t="s">
        <v>5169</v>
      </c>
      <c r="B1328" s="2141" t="s">
        <v>3056</v>
      </c>
      <c r="C1328" s="2141" t="s">
        <v>3161</v>
      </c>
      <c r="D1328" s="2141">
        <v>125</v>
      </c>
      <c r="E1328" s="2142">
        <v>108.77</v>
      </c>
      <c r="F1328" s="2142">
        <v>26276.334999999999</v>
      </c>
      <c r="G1328" s="2142">
        <v>2858076.9579499997</v>
      </c>
      <c r="H1328" s="2143">
        <v>42654</v>
      </c>
      <c r="I1328" s="2142">
        <v>2858077</v>
      </c>
    </row>
    <row r="1329" spans="1:9" s="2139" customFormat="1" hidden="1">
      <c r="A1329" s="2140" t="s">
        <v>5110</v>
      </c>
      <c r="B1329" s="2141" t="s">
        <v>3056</v>
      </c>
      <c r="C1329" s="2141" t="s">
        <v>3161</v>
      </c>
      <c r="D1329" s="2141">
        <v>29</v>
      </c>
      <c r="E1329" s="2142">
        <v>145.03</v>
      </c>
      <c r="F1329" s="2142">
        <v>27300</v>
      </c>
      <c r="G1329" s="2142">
        <v>3959319</v>
      </c>
      <c r="H1329" s="2143">
        <v>42639</v>
      </c>
      <c r="I1329" s="2142">
        <v>50000</v>
      </c>
    </row>
    <row r="1330" spans="1:9" s="2139" customFormat="1" hidden="1">
      <c r="A1330" s="2140" t="s">
        <v>5775</v>
      </c>
      <c r="B1330" s="2141" t="s">
        <v>3057</v>
      </c>
      <c r="C1330" s="2141" t="s">
        <v>3161</v>
      </c>
      <c r="D1330" s="2141">
        <v>77</v>
      </c>
      <c r="E1330" s="2142">
        <v>91.5</v>
      </c>
      <c r="F1330" s="2142">
        <v>23500</v>
      </c>
      <c r="G1330" s="2142">
        <v>2150250</v>
      </c>
      <c r="H1330" s="2143">
        <v>42639</v>
      </c>
      <c r="I1330" s="2142">
        <v>50000</v>
      </c>
    </row>
    <row r="1331" spans="1:9" s="2139" customFormat="1" hidden="1">
      <c r="A1331" s="2140" t="s">
        <v>5842</v>
      </c>
      <c r="B1331" s="2141" t="s">
        <v>3057</v>
      </c>
      <c r="C1331" s="2141" t="s">
        <v>3161</v>
      </c>
      <c r="D1331" s="2141">
        <v>168</v>
      </c>
      <c r="E1331" s="2142">
        <v>185.66</v>
      </c>
      <c r="F1331" s="2142">
        <v>27300</v>
      </c>
      <c r="G1331" s="2142">
        <v>5068518</v>
      </c>
      <c r="H1331" s="2143">
        <v>42639</v>
      </c>
      <c r="I1331" s="2142">
        <v>50000</v>
      </c>
    </row>
    <row r="1332" spans="1:9" s="2139" customFormat="1" hidden="1">
      <c r="A1332" s="2140" t="s">
        <v>5843</v>
      </c>
      <c r="B1332" s="2141" t="s">
        <v>3057</v>
      </c>
      <c r="C1332" s="2141" t="s">
        <v>3161</v>
      </c>
      <c r="D1332" s="2141">
        <v>169</v>
      </c>
      <c r="E1332" s="2142">
        <v>188.69</v>
      </c>
      <c r="F1332" s="2142">
        <v>27300</v>
      </c>
      <c r="G1332" s="2142">
        <v>5151237</v>
      </c>
      <c r="H1332" s="2143">
        <v>42639</v>
      </c>
      <c r="I1332" s="2142">
        <v>50000</v>
      </c>
    </row>
    <row r="1333" spans="1:9" s="2139" customFormat="1" hidden="1">
      <c r="A1333" s="2140" t="s">
        <v>5849</v>
      </c>
      <c r="B1333" s="2141" t="s">
        <v>3057</v>
      </c>
      <c r="C1333" s="2141" t="s">
        <v>3161</v>
      </c>
      <c r="D1333" s="2141">
        <v>177</v>
      </c>
      <c r="E1333" s="2142">
        <v>75.11</v>
      </c>
      <c r="F1333" s="2142">
        <v>27275.42</v>
      </c>
      <c r="G1333" s="2142">
        <v>2048656.7961999997</v>
      </c>
      <c r="H1333" s="2143">
        <v>42632</v>
      </c>
      <c r="I1333" s="2142">
        <v>2048657</v>
      </c>
    </row>
    <row r="1334" spans="1:9" s="2139" customFormat="1" hidden="1">
      <c r="A1334" s="2140" t="s">
        <v>5798</v>
      </c>
      <c r="B1334" s="2141" t="s">
        <v>3057</v>
      </c>
      <c r="C1334" s="2141" t="s">
        <v>3161</v>
      </c>
      <c r="D1334" s="2141">
        <v>111</v>
      </c>
      <c r="E1334" s="2142">
        <v>70.239999999999995</v>
      </c>
      <c r="F1334" s="2142">
        <v>27604</v>
      </c>
      <c r="G1334" s="2142">
        <v>1938904.96</v>
      </c>
      <c r="H1334" s="2143">
        <v>42618</v>
      </c>
      <c r="I1334" s="2142">
        <v>1938905</v>
      </c>
    </row>
    <row r="1335" spans="1:9" s="2139" customFormat="1" hidden="1">
      <c r="A1335" s="2140" t="s">
        <v>5219</v>
      </c>
      <c r="B1335" s="2141" t="s">
        <v>3056</v>
      </c>
      <c r="C1335" s="2141" t="s">
        <v>3161</v>
      </c>
      <c r="D1335" s="2141">
        <v>195</v>
      </c>
      <c r="E1335" s="2142">
        <v>87.72</v>
      </c>
      <c r="F1335" s="2142">
        <v>27604</v>
      </c>
      <c r="G1335" s="2142">
        <v>2421422.88</v>
      </c>
      <c r="H1335" s="2143">
        <v>42610</v>
      </c>
      <c r="I1335" s="2142">
        <v>2421423</v>
      </c>
    </row>
    <row r="1336" spans="1:9" s="2139" customFormat="1" hidden="1">
      <c r="A1336" s="2140" t="s">
        <v>5824</v>
      </c>
      <c r="B1336" s="2141" t="s">
        <v>3057</v>
      </c>
      <c r="C1336" s="2141" t="s">
        <v>3161</v>
      </c>
      <c r="D1336" s="2141">
        <v>142</v>
      </c>
      <c r="E1336" s="2142">
        <v>42.19</v>
      </c>
      <c r="F1336" s="2142">
        <v>19482.439999999999</v>
      </c>
      <c r="G1336" s="2142">
        <v>821964.14359999995</v>
      </c>
      <c r="H1336" s="2143">
        <v>42598</v>
      </c>
      <c r="I1336" s="2142">
        <v>821964</v>
      </c>
    </row>
    <row r="1337" spans="1:9" s="2139" customFormat="1" hidden="1">
      <c r="A1337" s="2140" t="s">
        <v>4462</v>
      </c>
      <c r="B1337" s="2141" t="s">
        <v>3055</v>
      </c>
      <c r="C1337" s="2141" t="s">
        <v>3161</v>
      </c>
      <c r="D1337" s="3396">
        <v>39</v>
      </c>
      <c r="E1337" s="2142">
        <v>37.89</v>
      </c>
      <c r="F1337" s="2142">
        <v>19502.560000000001</v>
      </c>
      <c r="G1337" s="2142">
        <v>738951.99840000004</v>
      </c>
      <c r="H1337" s="3557">
        <v>42594</v>
      </c>
      <c r="I1337" s="2142">
        <v>738952</v>
      </c>
    </row>
    <row r="1338" spans="1:9" s="2139" customFormat="1" hidden="1">
      <c r="A1338" s="2140" t="s">
        <v>4559</v>
      </c>
      <c r="B1338" s="2141" t="s">
        <v>3055</v>
      </c>
      <c r="C1338" s="2141" t="s">
        <v>3161</v>
      </c>
      <c r="D1338" s="3396">
        <v>181</v>
      </c>
      <c r="E1338" s="2142">
        <v>68.23</v>
      </c>
      <c r="F1338" s="2142">
        <v>20529</v>
      </c>
      <c r="G1338" s="2142">
        <v>1400693.6700000002</v>
      </c>
      <c r="H1338" s="3557">
        <v>42586</v>
      </c>
      <c r="I1338" s="2142">
        <v>1400694</v>
      </c>
    </row>
    <row r="1339" spans="1:9" s="2139" customFormat="1" hidden="1">
      <c r="A1339" s="2140" t="s">
        <v>5143</v>
      </c>
      <c r="B1339" s="2141" t="s">
        <v>3056</v>
      </c>
      <c r="C1339" s="2141" t="s">
        <v>3161</v>
      </c>
      <c r="D1339" s="2141">
        <v>92</v>
      </c>
      <c r="E1339" s="2142">
        <v>93.29</v>
      </c>
      <c r="F1339" s="2142">
        <v>26265</v>
      </c>
      <c r="G1339" s="2142">
        <v>2450261.85</v>
      </c>
      <c r="H1339" s="2143">
        <v>42584</v>
      </c>
      <c r="I1339" s="2142">
        <v>1250262</v>
      </c>
    </row>
    <row r="1340" spans="1:9" s="2139" customFormat="1" hidden="1">
      <c r="A1340" s="2140" t="s">
        <v>3873</v>
      </c>
      <c r="B1340" s="2141" t="s">
        <v>3054</v>
      </c>
      <c r="C1340" s="2141" t="s">
        <v>3161</v>
      </c>
      <c r="D1340" s="2141">
        <v>98</v>
      </c>
      <c r="E1340" s="2142">
        <v>48.91</v>
      </c>
      <c r="F1340" s="2142">
        <v>17557</v>
      </c>
      <c r="G1340" s="2142">
        <v>858712.87</v>
      </c>
      <c r="H1340" s="2143">
        <v>42580</v>
      </c>
      <c r="I1340" s="2142">
        <v>858713</v>
      </c>
    </row>
    <row r="1341" spans="1:9" s="2139" customFormat="1" hidden="1">
      <c r="A1341" s="2140" t="s">
        <v>5744</v>
      </c>
      <c r="B1341" s="2141" t="s">
        <v>3057</v>
      </c>
      <c r="C1341" s="2141" t="s">
        <v>3161</v>
      </c>
      <c r="D1341" s="2141">
        <v>15</v>
      </c>
      <c r="E1341" s="2142">
        <v>38.75</v>
      </c>
      <c r="F1341" s="2142">
        <v>20085</v>
      </c>
      <c r="G1341" s="2142">
        <v>778293.75</v>
      </c>
      <c r="H1341" s="2143">
        <v>42565</v>
      </c>
      <c r="I1341" s="2142">
        <v>778294</v>
      </c>
    </row>
    <row r="1342" spans="1:9" s="2139" customFormat="1" hidden="1">
      <c r="A1342" s="2140" t="s">
        <v>5846</v>
      </c>
      <c r="B1342" s="2141" t="s">
        <v>3057</v>
      </c>
      <c r="C1342" s="2141" t="s">
        <v>3161</v>
      </c>
      <c r="D1342" s="2141">
        <v>173</v>
      </c>
      <c r="E1342" s="2142">
        <v>47.37</v>
      </c>
      <c r="F1342" s="2142">
        <v>19182.71</v>
      </c>
      <c r="G1342" s="2142">
        <v>908684.97269999993</v>
      </c>
      <c r="H1342" s="2143">
        <v>42561</v>
      </c>
      <c r="I1342" s="2142">
        <v>908685</v>
      </c>
    </row>
    <row r="1343" spans="1:9" s="2139" customFormat="1" hidden="1">
      <c r="A1343" s="2140" t="s">
        <v>3872</v>
      </c>
      <c r="B1343" s="2141" t="s">
        <v>3054</v>
      </c>
      <c r="C1343" s="2141" t="s">
        <v>3161</v>
      </c>
      <c r="D1343" s="2141">
        <v>97</v>
      </c>
      <c r="E1343" s="2142">
        <v>45.46</v>
      </c>
      <c r="F1343" s="2142">
        <v>19206</v>
      </c>
      <c r="G1343" s="2142">
        <v>873104.76</v>
      </c>
      <c r="H1343" s="2143">
        <v>42552</v>
      </c>
      <c r="I1343" s="2142">
        <v>873105</v>
      </c>
    </row>
    <row r="1344" spans="1:9" s="2139" customFormat="1" hidden="1">
      <c r="A1344" s="2140" t="s">
        <v>5241</v>
      </c>
      <c r="B1344" s="2141" t="s">
        <v>3056</v>
      </c>
      <c r="C1344" s="2141" t="s">
        <v>3161</v>
      </c>
      <c r="D1344" s="2141">
        <v>221</v>
      </c>
      <c r="E1344" s="2142">
        <v>48.01</v>
      </c>
      <c r="F1344" s="2142">
        <v>19982</v>
      </c>
      <c r="G1344" s="2142">
        <v>959335.82</v>
      </c>
      <c r="H1344" s="2143">
        <v>42535</v>
      </c>
      <c r="I1344" s="2142">
        <v>959336</v>
      </c>
    </row>
    <row r="1345" spans="1:9" s="2139" customFormat="1" hidden="1">
      <c r="A1345" s="2140" t="s">
        <v>4485</v>
      </c>
      <c r="B1345" s="2141" t="s">
        <v>3055</v>
      </c>
      <c r="C1345" s="2141" t="s">
        <v>3161</v>
      </c>
      <c r="D1345" s="3396">
        <v>68</v>
      </c>
      <c r="E1345" s="2142">
        <v>94.1</v>
      </c>
      <c r="F1345" s="2142">
        <v>22329</v>
      </c>
      <c r="G1345" s="2142">
        <v>2101158.9</v>
      </c>
      <c r="H1345" s="3557">
        <v>42524</v>
      </c>
      <c r="I1345" s="2142">
        <v>2101159</v>
      </c>
    </row>
    <row r="1346" spans="1:9" s="2139" customFormat="1" hidden="1">
      <c r="A1346" s="2140" t="s">
        <v>4489</v>
      </c>
      <c r="B1346" s="2141" t="s">
        <v>3055</v>
      </c>
      <c r="C1346" s="2141" t="s">
        <v>3161</v>
      </c>
      <c r="D1346" s="3396">
        <v>72</v>
      </c>
      <c r="E1346" s="2142">
        <v>173.13</v>
      </c>
      <c r="F1346" s="2142">
        <v>19829</v>
      </c>
      <c r="G1346" s="2142">
        <v>3432994.77</v>
      </c>
      <c r="H1346" s="3557">
        <v>42517</v>
      </c>
      <c r="I1346" s="2142">
        <v>3432995</v>
      </c>
    </row>
    <row r="1347" spans="1:9" s="2139" customFormat="1" hidden="1">
      <c r="A1347" s="2140" t="s">
        <v>4558</v>
      </c>
      <c r="B1347" s="2141" t="s">
        <v>3055</v>
      </c>
      <c r="C1347" s="2141" t="s">
        <v>3161</v>
      </c>
      <c r="D1347" s="3396">
        <v>180</v>
      </c>
      <c r="E1347" s="2142">
        <v>127.62</v>
      </c>
      <c r="F1347" s="2142">
        <v>22329</v>
      </c>
      <c r="G1347" s="2142">
        <v>2849626.98</v>
      </c>
      <c r="H1347" s="3557">
        <v>42516</v>
      </c>
      <c r="I1347" s="2142">
        <v>2849627</v>
      </c>
    </row>
    <row r="1348" spans="1:9" s="2139" customFormat="1" hidden="1">
      <c r="A1348" s="2140" t="s">
        <v>4567</v>
      </c>
      <c r="B1348" s="2141" t="s">
        <v>3055</v>
      </c>
      <c r="C1348" s="2141" t="s">
        <v>3161</v>
      </c>
      <c r="D1348" s="3396">
        <v>192</v>
      </c>
      <c r="E1348" s="2142">
        <v>44.2</v>
      </c>
      <c r="F1348" s="2142">
        <v>14847.56</v>
      </c>
      <c r="G1348" s="2142">
        <v>656262.152</v>
      </c>
      <c r="H1348" s="3557">
        <v>42516</v>
      </c>
      <c r="I1348" s="2142">
        <v>656262</v>
      </c>
    </row>
    <row r="1349" spans="1:9" s="2139" customFormat="1" hidden="1">
      <c r="A1349" s="2140" t="s">
        <v>4568</v>
      </c>
      <c r="B1349" s="2141" t="s">
        <v>3055</v>
      </c>
      <c r="C1349" s="2141" t="s">
        <v>3161</v>
      </c>
      <c r="D1349" s="3396">
        <v>193</v>
      </c>
      <c r="E1349" s="2142">
        <v>44.2</v>
      </c>
      <c r="F1349" s="2142">
        <v>14847.56</v>
      </c>
      <c r="G1349" s="2142">
        <v>656262.152</v>
      </c>
      <c r="H1349" s="3557">
        <v>42516</v>
      </c>
      <c r="I1349" s="2142">
        <v>656262</v>
      </c>
    </row>
    <row r="1350" spans="1:9" s="2139" customFormat="1" hidden="1">
      <c r="A1350" s="2140" t="s">
        <v>4483</v>
      </c>
      <c r="B1350" s="2141" t="s">
        <v>3055</v>
      </c>
      <c r="C1350" s="2141" t="s">
        <v>3161</v>
      </c>
      <c r="D1350" s="3396">
        <v>66</v>
      </c>
      <c r="E1350" s="2142">
        <v>119.46</v>
      </c>
      <c r="F1350" s="2142">
        <v>17127.55</v>
      </c>
      <c r="G1350" s="2142">
        <v>2046057.1229999999</v>
      </c>
      <c r="H1350" s="3557">
        <v>42515</v>
      </c>
      <c r="I1350" s="2142">
        <v>2046057</v>
      </c>
    </row>
    <row r="1351" spans="1:9" s="2139" customFormat="1" hidden="1">
      <c r="A1351" s="2140" t="s">
        <v>4531</v>
      </c>
      <c r="B1351" s="2141" t="s">
        <v>3055</v>
      </c>
      <c r="C1351" s="2141" t="s">
        <v>3161</v>
      </c>
      <c r="D1351" s="3396">
        <v>145</v>
      </c>
      <c r="E1351" s="2142">
        <v>107.13</v>
      </c>
      <c r="F1351" s="2142">
        <v>18837.55</v>
      </c>
      <c r="G1351" s="2142">
        <v>2018066.7314999998</v>
      </c>
      <c r="H1351" s="3557">
        <v>42515</v>
      </c>
      <c r="I1351" s="2142">
        <v>2018067</v>
      </c>
    </row>
    <row r="1352" spans="1:9" s="2139" customFormat="1" hidden="1">
      <c r="A1352" s="2140" t="s">
        <v>5144</v>
      </c>
      <c r="B1352" s="2141" t="s">
        <v>3056</v>
      </c>
      <c r="C1352" s="2141" t="s">
        <v>3161</v>
      </c>
      <c r="D1352" s="2141">
        <v>96</v>
      </c>
      <c r="E1352" s="2142">
        <v>18.309999999999999</v>
      </c>
      <c r="F1352" s="2142">
        <v>28119</v>
      </c>
      <c r="G1352" s="2142">
        <v>514858.88999999996</v>
      </c>
      <c r="H1352" s="2143">
        <v>42496</v>
      </c>
      <c r="I1352" s="2142">
        <v>514859</v>
      </c>
    </row>
    <row r="1353" spans="1:9" s="2139" customFormat="1" hidden="1">
      <c r="A1353" s="2140" t="s">
        <v>4461</v>
      </c>
      <c r="B1353" s="2141" t="s">
        <v>3055</v>
      </c>
      <c r="C1353" s="2141" t="s">
        <v>3161</v>
      </c>
      <c r="D1353" s="3396">
        <v>38</v>
      </c>
      <c r="E1353" s="2142">
        <v>37.36</v>
      </c>
      <c r="F1353" s="2142">
        <v>18029</v>
      </c>
      <c r="G1353" s="2142">
        <v>673563.44</v>
      </c>
      <c r="H1353" s="3557">
        <v>42489</v>
      </c>
      <c r="I1353" s="2142">
        <v>673563</v>
      </c>
    </row>
    <row r="1354" spans="1:9" s="2139" customFormat="1" hidden="1">
      <c r="A1354" s="2140" t="s">
        <v>4468</v>
      </c>
      <c r="B1354" s="2141" t="s">
        <v>3055</v>
      </c>
      <c r="C1354" s="2141" t="s">
        <v>3161</v>
      </c>
      <c r="D1354" s="3396">
        <v>46</v>
      </c>
      <c r="E1354" s="2142">
        <v>44.26</v>
      </c>
      <c r="F1354" s="2142">
        <v>15629</v>
      </c>
      <c r="G1354" s="2142">
        <v>691739.53999999992</v>
      </c>
      <c r="H1354" s="3557">
        <v>42486</v>
      </c>
      <c r="I1354" s="2142">
        <v>691740</v>
      </c>
    </row>
    <row r="1355" spans="1:9" s="2139" customFormat="1" hidden="1">
      <c r="A1355" s="2140" t="s">
        <v>4509</v>
      </c>
      <c r="B1355" s="2141" t="s">
        <v>3055</v>
      </c>
      <c r="C1355" s="2141" t="s">
        <v>3161</v>
      </c>
      <c r="D1355" s="3396">
        <v>110</v>
      </c>
      <c r="E1355" s="2142">
        <v>79.5</v>
      </c>
      <c r="F1355" s="2142">
        <v>21829.01</v>
      </c>
      <c r="G1355" s="2142">
        <v>1735406.2949999999</v>
      </c>
      <c r="H1355" s="3557">
        <v>42486</v>
      </c>
      <c r="I1355" s="2142">
        <v>1735406</v>
      </c>
    </row>
    <row r="1356" spans="1:9" s="2139" customFormat="1" hidden="1">
      <c r="A1356" s="2140" t="s">
        <v>4551</v>
      </c>
      <c r="B1356" s="2141" t="s">
        <v>3055</v>
      </c>
      <c r="C1356" s="2141" t="s">
        <v>3161</v>
      </c>
      <c r="D1356" s="3396">
        <v>171</v>
      </c>
      <c r="E1356" s="2142">
        <v>57.74</v>
      </c>
      <c r="F1356" s="2142">
        <v>22800</v>
      </c>
      <c r="G1356" s="2142">
        <v>1316472</v>
      </c>
      <c r="H1356" s="3557">
        <v>42486</v>
      </c>
      <c r="I1356" s="2142">
        <v>1316472</v>
      </c>
    </row>
    <row r="1357" spans="1:9" s="2139" customFormat="1" hidden="1">
      <c r="A1357" s="2140" t="s">
        <v>4552</v>
      </c>
      <c r="B1357" s="2141" t="s">
        <v>3055</v>
      </c>
      <c r="C1357" s="2141" t="s">
        <v>3161</v>
      </c>
      <c r="D1357" s="3396">
        <v>172</v>
      </c>
      <c r="E1357" s="2142">
        <v>72.06</v>
      </c>
      <c r="F1357" s="2142">
        <v>23800</v>
      </c>
      <c r="G1357" s="2142">
        <v>1715028</v>
      </c>
      <c r="H1357" s="3557">
        <v>42486</v>
      </c>
      <c r="I1357" s="2142">
        <v>1715028</v>
      </c>
    </row>
    <row r="1358" spans="1:9" s="2139" customFormat="1" hidden="1">
      <c r="A1358" s="2140" t="s">
        <v>5154</v>
      </c>
      <c r="B1358" s="2141" t="s">
        <v>3056</v>
      </c>
      <c r="C1358" s="2141" t="s">
        <v>3161</v>
      </c>
      <c r="D1358" s="2141">
        <v>107</v>
      </c>
      <c r="E1358" s="2142">
        <v>63.16</v>
      </c>
      <c r="F1358" s="2142">
        <v>26775.88</v>
      </c>
      <c r="G1358" s="2142">
        <v>1691164.5807999999</v>
      </c>
      <c r="H1358" s="2143">
        <v>42473</v>
      </c>
      <c r="I1358" s="2142">
        <v>1691165</v>
      </c>
    </row>
    <row r="1359" spans="1:9" s="2139" customFormat="1" hidden="1">
      <c r="A1359" s="2140" t="s">
        <v>4557</v>
      </c>
      <c r="B1359" s="2141" t="s">
        <v>3055</v>
      </c>
      <c r="C1359" s="2141" t="s">
        <v>3161</v>
      </c>
      <c r="D1359" s="3396">
        <v>179</v>
      </c>
      <c r="E1359" s="2142">
        <v>106.2</v>
      </c>
      <c r="F1359" s="2142">
        <v>18029</v>
      </c>
      <c r="G1359" s="2142">
        <v>1914679.8</v>
      </c>
      <c r="H1359" s="3557">
        <v>42471</v>
      </c>
      <c r="I1359" s="2142">
        <v>964680</v>
      </c>
    </row>
    <row r="1360" spans="1:9" s="2139" customFormat="1" hidden="1">
      <c r="A1360" s="2140" t="s">
        <v>3871</v>
      </c>
      <c r="B1360" s="2141" t="s">
        <v>3054</v>
      </c>
      <c r="C1360" s="2141" t="s">
        <v>3161</v>
      </c>
      <c r="D1360" s="2141">
        <v>93</v>
      </c>
      <c r="E1360" s="2142">
        <v>69.61</v>
      </c>
      <c r="F1360" s="2142">
        <v>24100</v>
      </c>
      <c r="G1360" s="2142">
        <v>1677601</v>
      </c>
      <c r="H1360" s="2143">
        <v>42461</v>
      </c>
      <c r="I1360" s="2142">
        <v>100000</v>
      </c>
    </row>
    <row r="1361" spans="1:9" s="2139" customFormat="1" hidden="1">
      <c r="A1361" s="2140" t="s">
        <v>5222</v>
      </c>
      <c r="B1361" s="2141" t="s">
        <v>3056</v>
      </c>
      <c r="C1361" s="2141" t="s">
        <v>3161</v>
      </c>
      <c r="D1361" s="2141">
        <v>198</v>
      </c>
      <c r="E1361" s="2142">
        <v>97.12</v>
      </c>
      <c r="F1361" s="2142">
        <v>28119</v>
      </c>
      <c r="G1361" s="2142">
        <v>2730917.2800000003</v>
      </c>
      <c r="H1361" s="2143">
        <v>42461</v>
      </c>
      <c r="I1361" s="2142">
        <v>100000</v>
      </c>
    </row>
    <row r="1362" spans="1:9" s="2139" customFormat="1" hidden="1">
      <c r="A1362" s="2140" t="s">
        <v>5768</v>
      </c>
      <c r="B1362" s="2141" t="s">
        <v>3057</v>
      </c>
      <c r="C1362" s="2141" t="s">
        <v>3161</v>
      </c>
      <c r="D1362" s="2141">
        <v>63</v>
      </c>
      <c r="E1362" s="2142">
        <v>141.62</v>
      </c>
      <c r="F1362" s="2142">
        <v>28119</v>
      </c>
      <c r="G1362" s="2142">
        <v>3982212.7800000003</v>
      </c>
      <c r="H1362" s="2143">
        <v>42461</v>
      </c>
      <c r="I1362" s="2142">
        <v>100000</v>
      </c>
    </row>
    <row r="1363" spans="1:9" s="2139" customFormat="1" hidden="1">
      <c r="A1363" s="2140" t="s">
        <v>5788</v>
      </c>
      <c r="B1363" s="2141" t="s">
        <v>3057</v>
      </c>
      <c r="C1363" s="2141" t="s">
        <v>3161</v>
      </c>
      <c r="D1363" s="2141">
        <v>100</v>
      </c>
      <c r="E1363" s="2142">
        <v>70.239999999999995</v>
      </c>
      <c r="F1363" s="2142">
        <v>27604</v>
      </c>
      <c r="G1363" s="2142">
        <v>1938904.96</v>
      </c>
      <c r="H1363" s="2143">
        <v>42461</v>
      </c>
      <c r="I1363" s="2142">
        <v>100000</v>
      </c>
    </row>
    <row r="1364" spans="1:9" s="2139" customFormat="1" hidden="1">
      <c r="A1364" s="2140" t="s">
        <v>5791</v>
      </c>
      <c r="B1364" s="2141" t="s">
        <v>3057</v>
      </c>
      <c r="C1364" s="2141" t="s">
        <v>3161</v>
      </c>
      <c r="D1364" s="2141">
        <v>103</v>
      </c>
      <c r="E1364" s="2142">
        <v>70.260000000000005</v>
      </c>
      <c r="F1364" s="2142">
        <v>27604</v>
      </c>
      <c r="G1364" s="2142">
        <v>1939457.04</v>
      </c>
      <c r="H1364" s="2143">
        <v>42461</v>
      </c>
      <c r="I1364" s="2142">
        <v>100000</v>
      </c>
    </row>
    <row r="1365" spans="1:9" s="2139" customFormat="1" hidden="1">
      <c r="A1365" s="2140" t="s">
        <v>5792</v>
      </c>
      <c r="B1365" s="2141" t="s">
        <v>3057</v>
      </c>
      <c r="C1365" s="2141" t="s">
        <v>3161</v>
      </c>
      <c r="D1365" s="2141">
        <v>105</v>
      </c>
      <c r="E1365" s="2142">
        <v>71.88</v>
      </c>
      <c r="F1365" s="2142">
        <v>27604</v>
      </c>
      <c r="G1365" s="2142">
        <v>1984175.5199999998</v>
      </c>
      <c r="H1365" s="2143">
        <v>42461</v>
      </c>
      <c r="I1365" s="2142">
        <v>100000</v>
      </c>
    </row>
    <row r="1366" spans="1:9" s="2139" customFormat="1" hidden="1">
      <c r="A1366" s="2140" t="s">
        <v>5794</v>
      </c>
      <c r="B1366" s="2141" t="s">
        <v>3057</v>
      </c>
      <c r="C1366" s="2141" t="s">
        <v>3161</v>
      </c>
      <c r="D1366" s="2141">
        <v>107</v>
      </c>
      <c r="E1366" s="2142">
        <v>70.58</v>
      </c>
      <c r="F1366" s="2142">
        <v>27604</v>
      </c>
      <c r="G1366" s="2142">
        <v>1948290.32</v>
      </c>
      <c r="H1366" s="2143">
        <v>42461</v>
      </c>
      <c r="I1366" s="2142">
        <v>100000</v>
      </c>
    </row>
    <row r="1367" spans="1:9" s="2139" customFormat="1" hidden="1">
      <c r="A1367" s="2140" t="s">
        <v>5800</v>
      </c>
      <c r="B1367" s="2141" t="s">
        <v>3057</v>
      </c>
      <c r="C1367" s="2141" t="s">
        <v>3161</v>
      </c>
      <c r="D1367" s="2141">
        <v>113</v>
      </c>
      <c r="E1367" s="2142">
        <v>70.239999999999995</v>
      </c>
      <c r="F1367" s="2142">
        <v>27604</v>
      </c>
      <c r="G1367" s="2142">
        <v>1938904.96</v>
      </c>
      <c r="H1367" s="2143">
        <v>42461</v>
      </c>
      <c r="I1367" s="2142">
        <v>100000</v>
      </c>
    </row>
    <row r="1368" spans="1:9" s="2139" customFormat="1" hidden="1">
      <c r="A1368" s="2140" t="s">
        <v>4519</v>
      </c>
      <c r="B1368" s="2141" t="s">
        <v>3055</v>
      </c>
      <c r="C1368" s="2141" t="s">
        <v>3161</v>
      </c>
      <c r="D1368" s="3396">
        <v>123</v>
      </c>
      <c r="E1368" s="2142">
        <v>67.400000000000006</v>
      </c>
      <c r="F1368" s="2142">
        <v>21829</v>
      </c>
      <c r="G1368" s="2142">
        <v>1471274.6</v>
      </c>
      <c r="H1368" s="3557">
        <v>42459</v>
      </c>
      <c r="I1368" s="2142">
        <v>301275</v>
      </c>
    </row>
    <row r="1369" spans="1:9" s="2139" customFormat="1" hidden="1">
      <c r="A1369" s="2140" t="s">
        <v>3832</v>
      </c>
      <c r="B1369" s="2141" t="s">
        <v>3054</v>
      </c>
      <c r="C1369" s="2141" t="s">
        <v>3161</v>
      </c>
      <c r="D1369" s="2141">
        <v>36</v>
      </c>
      <c r="E1369" s="2142">
        <v>56.32</v>
      </c>
      <c r="F1369" s="2142">
        <v>23086.01</v>
      </c>
      <c r="G1369" s="2142">
        <v>1300204.0832</v>
      </c>
      <c r="H1369" s="2143">
        <v>42445</v>
      </c>
      <c r="I1369" s="2142">
        <v>1300204</v>
      </c>
    </row>
    <row r="1370" spans="1:9" s="2139" customFormat="1" hidden="1">
      <c r="A1370" s="2140" t="s">
        <v>4563</v>
      </c>
      <c r="B1370" s="2141" t="s">
        <v>3055</v>
      </c>
      <c r="C1370" s="2141" t="s">
        <v>3161</v>
      </c>
      <c r="D1370" s="3396">
        <v>186</v>
      </c>
      <c r="E1370" s="2142">
        <v>58.89</v>
      </c>
      <c r="F1370" s="2142">
        <v>18029</v>
      </c>
      <c r="G1370" s="2142">
        <v>1061727.81</v>
      </c>
      <c r="H1370" s="3557">
        <v>42440</v>
      </c>
      <c r="I1370" s="2142">
        <v>1061728</v>
      </c>
    </row>
    <row r="1371" spans="1:9" s="2139" customFormat="1" hidden="1">
      <c r="A1371" s="2140" t="s">
        <v>5796</v>
      </c>
      <c r="B1371" s="2141" t="s">
        <v>3057</v>
      </c>
      <c r="C1371" s="2141" t="s">
        <v>3161</v>
      </c>
      <c r="D1371" s="2141">
        <v>109</v>
      </c>
      <c r="E1371" s="2142">
        <v>74.44</v>
      </c>
      <c r="F1371" s="2142">
        <v>28119</v>
      </c>
      <c r="G1371" s="2142">
        <v>2093178.3599999999</v>
      </c>
      <c r="H1371" s="2143">
        <v>42426</v>
      </c>
      <c r="I1371" s="2142">
        <v>753178</v>
      </c>
    </row>
    <row r="1372" spans="1:9" s="2139" customFormat="1" hidden="1">
      <c r="A1372" s="2140" t="s">
        <v>5145</v>
      </c>
      <c r="B1372" s="2141" t="s">
        <v>3056</v>
      </c>
      <c r="C1372" s="2141" t="s">
        <v>3161</v>
      </c>
      <c r="D1372" s="2141">
        <v>97</v>
      </c>
      <c r="E1372" s="2142">
        <v>79.89</v>
      </c>
      <c r="F1372" s="2142">
        <v>26775.89</v>
      </c>
      <c r="G1372" s="2142">
        <v>2139125.8520999998</v>
      </c>
      <c r="H1372" s="2143">
        <v>42394</v>
      </c>
      <c r="I1372" s="2142">
        <v>2139126</v>
      </c>
    </row>
    <row r="1373" spans="1:9" s="2139" customFormat="1" hidden="1">
      <c r="A1373" s="2140" t="s">
        <v>4518</v>
      </c>
      <c r="B1373" s="2141" t="s">
        <v>3055</v>
      </c>
      <c r="C1373" s="2141" t="s">
        <v>3161</v>
      </c>
      <c r="D1373" s="3396">
        <v>122</v>
      </c>
      <c r="E1373" s="2142">
        <v>67.400000000000006</v>
      </c>
      <c r="F1373" s="2142">
        <v>21829</v>
      </c>
      <c r="G1373" s="2142">
        <v>1471274.6</v>
      </c>
      <c r="H1373" s="3557">
        <v>42367</v>
      </c>
      <c r="I1373" s="2142">
        <v>1471275</v>
      </c>
    </row>
    <row r="1374" spans="1:9" s="2139" customFormat="1" hidden="1">
      <c r="A1374" s="2140" t="s">
        <v>3869</v>
      </c>
      <c r="B1374" s="2141" t="s">
        <v>3054</v>
      </c>
      <c r="C1374" s="2141" t="s">
        <v>3161</v>
      </c>
      <c r="D1374" s="2141">
        <v>90</v>
      </c>
      <c r="E1374" s="2142">
        <v>121.24</v>
      </c>
      <c r="F1374" s="2142">
        <v>23668</v>
      </c>
      <c r="G1374" s="2142">
        <v>2869508.32</v>
      </c>
      <c r="H1374" s="2143">
        <v>42363</v>
      </c>
      <c r="I1374" s="2142">
        <v>1439508</v>
      </c>
    </row>
    <row r="1375" spans="1:9" s="2139" customFormat="1" hidden="1">
      <c r="A1375" s="2140" t="s">
        <v>3877</v>
      </c>
      <c r="B1375" s="2141" t="s">
        <v>3054</v>
      </c>
      <c r="C1375" s="2141" t="s">
        <v>3161</v>
      </c>
      <c r="D1375" s="2141">
        <v>109</v>
      </c>
      <c r="E1375" s="2142">
        <v>80.150000000000006</v>
      </c>
      <c r="F1375" s="2142">
        <v>23571</v>
      </c>
      <c r="G1375" s="2142">
        <v>1889215.6500000001</v>
      </c>
      <c r="H1375" s="2143">
        <v>42363</v>
      </c>
      <c r="I1375" s="2142">
        <v>949216</v>
      </c>
    </row>
    <row r="1376" spans="1:9" s="2139" customFormat="1" hidden="1">
      <c r="A1376" s="2140" t="s">
        <v>3878</v>
      </c>
      <c r="B1376" s="2141" t="s">
        <v>3054</v>
      </c>
      <c r="C1376" s="2141" t="s">
        <v>3161</v>
      </c>
      <c r="D1376" s="2141">
        <v>110</v>
      </c>
      <c r="E1376" s="2142">
        <v>54.67</v>
      </c>
      <c r="F1376" s="2142">
        <v>23571</v>
      </c>
      <c r="G1376" s="2142">
        <v>1288626.57</v>
      </c>
      <c r="H1376" s="2143">
        <v>42363</v>
      </c>
      <c r="I1376" s="2142">
        <v>648627</v>
      </c>
    </row>
    <row r="1377" spans="1:9" s="2139" customFormat="1" hidden="1">
      <c r="A1377" s="2140" t="s">
        <v>3887</v>
      </c>
      <c r="B1377" s="2141" t="s">
        <v>3054</v>
      </c>
      <c r="C1377" s="2141" t="s">
        <v>3161</v>
      </c>
      <c r="D1377" s="2141">
        <v>147</v>
      </c>
      <c r="E1377" s="2142">
        <v>63.49</v>
      </c>
      <c r="F1377" s="2142">
        <v>19206</v>
      </c>
      <c r="G1377" s="2142">
        <v>1219388.94</v>
      </c>
      <c r="H1377" s="2143">
        <v>42363</v>
      </c>
      <c r="I1377" s="2142">
        <v>619389</v>
      </c>
    </row>
    <row r="1378" spans="1:9" s="2139" customFormat="1" hidden="1">
      <c r="A1378" s="2140" t="s">
        <v>3889</v>
      </c>
      <c r="B1378" s="2141" t="s">
        <v>3054</v>
      </c>
      <c r="C1378" s="2141" t="s">
        <v>3161</v>
      </c>
      <c r="D1378" s="2141">
        <v>150</v>
      </c>
      <c r="E1378" s="2142">
        <v>89.06</v>
      </c>
      <c r="F1378" s="2142">
        <v>19206</v>
      </c>
      <c r="G1378" s="2142">
        <v>1710486.36</v>
      </c>
      <c r="H1378" s="2143">
        <v>42363</v>
      </c>
      <c r="I1378" s="2142">
        <v>860486</v>
      </c>
    </row>
    <row r="1379" spans="1:9" s="2139" customFormat="1" hidden="1">
      <c r="A1379" s="2140" t="s">
        <v>3890</v>
      </c>
      <c r="B1379" s="2141" t="s">
        <v>3054</v>
      </c>
      <c r="C1379" s="2141" t="s">
        <v>3161</v>
      </c>
      <c r="D1379" s="2141">
        <v>151</v>
      </c>
      <c r="E1379" s="2142">
        <v>72.3</v>
      </c>
      <c r="F1379" s="2142">
        <v>19206</v>
      </c>
      <c r="G1379" s="2142">
        <v>1388593.8</v>
      </c>
      <c r="H1379" s="2143">
        <v>42363</v>
      </c>
      <c r="I1379" s="2142">
        <v>698594</v>
      </c>
    </row>
    <row r="1380" spans="1:9" s="2139" customFormat="1" hidden="1">
      <c r="A1380" s="2140" t="s">
        <v>3891</v>
      </c>
      <c r="B1380" s="2141" t="s">
        <v>3054</v>
      </c>
      <c r="C1380" s="2141" t="s">
        <v>3161</v>
      </c>
      <c r="D1380" s="2141">
        <v>152</v>
      </c>
      <c r="E1380" s="2142">
        <v>74.069999999999993</v>
      </c>
      <c r="F1380" s="2142">
        <v>19206</v>
      </c>
      <c r="G1380" s="2142">
        <v>1422588.42</v>
      </c>
      <c r="H1380" s="2143">
        <v>42363</v>
      </c>
      <c r="I1380" s="2142">
        <v>712588</v>
      </c>
    </row>
    <row r="1381" spans="1:9" s="2139" customFormat="1" hidden="1">
      <c r="A1381" s="2140" t="s">
        <v>3895</v>
      </c>
      <c r="B1381" s="2141" t="s">
        <v>3054</v>
      </c>
      <c r="C1381" s="2141" t="s">
        <v>3161</v>
      </c>
      <c r="D1381" s="2141">
        <v>161</v>
      </c>
      <c r="E1381" s="2142">
        <v>62.69</v>
      </c>
      <c r="F1381" s="2142">
        <v>19206</v>
      </c>
      <c r="G1381" s="2142">
        <v>1204024.1399999999</v>
      </c>
      <c r="H1381" s="2143">
        <v>42363</v>
      </c>
      <c r="I1381" s="2142">
        <v>604024</v>
      </c>
    </row>
    <row r="1382" spans="1:9" s="2139" customFormat="1" hidden="1">
      <c r="A1382" s="2140" t="s">
        <v>3896</v>
      </c>
      <c r="B1382" s="2141" t="s">
        <v>3054</v>
      </c>
      <c r="C1382" s="2141" t="s">
        <v>3161</v>
      </c>
      <c r="D1382" s="2141">
        <v>162</v>
      </c>
      <c r="E1382" s="2142">
        <v>106.33</v>
      </c>
      <c r="F1382" s="2142">
        <v>19206</v>
      </c>
      <c r="G1382" s="2142">
        <v>2042173.98</v>
      </c>
      <c r="H1382" s="2143">
        <v>42363</v>
      </c>
      <c r="I1382" s="2142">
        <v>1022174</v>
      </c>
    </row>
    <row r="1383" spans="1:9" s="2139" customFormat="1" hidden="1">
      <c r="A1383" s="2140" t="s">
        <v>3897</v>
      </c>
      <c r="B1383" s="2141" t="s">
        <v>3054</v>
      </c>
      <c r="C1383" s="2141" t="s">
        <v>3161</v>
      </c>
      <c r="D1383" s="2141">
        <v>163</v>
      </c>
      <c r="E1383" s="2142">
        <v>79.11</v>
      </c>
      <c r="F1383" s="2142">
        <v>19206</v>
      </c>
      <c r="G1383" s="2142">
        <v>1519386.66</v>
      </c>
      <c r="H1383" s="2143">
        <v>42363</v>
      </c>
      <c r="I1383" s="2142">
        <v>769387</v>
      </c>
    </row>
    <row r="1384" spans="1:9" s="2139" customFormat="1" hidden="1">
      <c r="A1384" s="2140" t="s">
        <v>5157</v>
      </c>
      <c r="B1384" s="2141" t="s">
        <v>3056</v>
      </c>
      <c r="C1384" s="2141" t="s">
        <v>3161</v>
      </c>
      <c r="D1384" s="2141">
        <v>110</v>
      </c>
      <c r="E1384" s="2142">
        <v>68.2</v>
      </c>
      <c r="F1384" s="2142">
        <v>26775.88</v>
      </c>
      <c r="G1384" s="2142">
        <v>1826115.0160000001</v>
      </c>
      <c r="H1384" s="2143">
        <v>42360</v>
      </c>
      <c r="I1384" s="2142">
        <v>1826115</v>
      </c>
    </row>
    <row r="1385" spans="1:9" s="2139" customFormat="1" hidden="1">
      <c r="A1385" s="2140" t="s">
        <v>5863</v>
      </c>
      <c r="B1385" s="2141" t="s">
        <v>3057</v>
      </c>
      <c r="C1385" s="2141" t="s">
        <v>3161</v>
      </c>
      <c r="D1385" s="2141">
        <v>195</v>
      </c>
      <c r="E1385" s="2142">
        <v>84.01</v>
      </c>
      <c r="F1385" s="2142">
        <v>18483.36</v>
      </c>
      <c r="G1385" s="2142">
        <v>1552787.0736000002</v>
      </c>
      <c r="H1385" s="2143">
        <v>42356</v>
      </c>
      <c r="I1385" s="2142">
        <v>1552787</v>
      </c>
    </row>
    <row r="1386" spans="1:9" s="2139" customFormat="1" hidden="1">
      <c r="A1386" s="2140" t="s">
        <v>5864</v>
      </c>
      <c r="B1386" s="2141" t="s">
        <v>3057</v>
      </c>
      <c r="C1386" s="2141" t="s">
        <v>3161</v>
      </c>
      <c r="D1386" s="2141">
        <v>196</v>
      </c>
      <c r="E1386" s="2142">
        <v>70.569999999999993</v>
      </c>
      <c r="F1386" s="2142">
        <v>15286.24</v>
      </c>
      <c r="G1386" s="2142">
        <v>1078749.9567999998</v>
      </c>
      <c r="H1386" s="2143">
        <v>42356</v>
      </c>
      <c r="I1386" s="2142">
        <v>1078750</v>
      </c>
    </row>
    <row r="1387" spans="1:9" s="2139" customFormat="1" hidden="1">
      <c r="A1387" s="2140" t="s">
        <v>5757</v>
      </c>
      <c r="B1387" s="2141" t="s">
        <v>3057</v>
      </c>
      <c r="C1387" s="2141" t="s">
        <v>3161</v>
      </c>
      <c r="D1387" s="2141">
        <v>43</v>
      </c>
      <c r="E1387" s="2142">
        <v>72.53</v>
      </c>
      <c r="F1387" s="2142">
        <v>16684.97</v>
      </c>
      <c r="G1387" s="2142">
        <v>1210160.8741000001</v>
      </c>
      <c r="H1387" s="2143">
        <v>42352</v>
      </c>
      <c r="I1387" s="2142">
        <v>1210161</v>
      </c>
    </row>
    <row r="1388" spans="1:9" s="2139" customFormat="1" hidden="1">
      <c r="A1388" s="2140" t="s">
        <v>5758</v>
      </c>
      <c r="B1388" s="2141" t="s">
        <v>3057</v>
      </c>
      <c r="C1388" s="2141" t="s">
        <v>3161</v>
      </c>
      <c r="D1388" s="2141">
        <v>45</v>
      </c>
      <c r="E1388" s="2142">
        <v>72.53</v>
      </c>
      <c r="F1388" s="2142">
        <v>16684.97</v>
      </c>
      <c r="G1388" s="2142">
        <v>1210160.8741000001</v>
      </c>
      <c r="H1388" s="2143">
        <v>42352</v>
      </c>
      <c r="I1388" s="2142">
        <v>1210161</v>
      </c>
    </row>
    <row r="1389" spans="1:9" s="2139" customFormat="1" hidden="1">
      <c r="A1389" s="2140" t="s">
        <v>4454</v>
      </c>
      <c r="B1389" s="2141" t="s">
        <v>3055</v>
      </c>
      <c r="C1389" s="2141" t="s">
        <v>3161</v>
      </c>
      <c r="D1389" s="3396">
        <v>30</v>
      </c>
      <c r="E1389" s="2142">
        <v>72.33</v>
      </c>
      <c r="F1389" s="2142">
        <v>21174.13</v>
      </c>
      <c r="G1389" s="2142">
        <v>1531524.8229</v>
      </c>
      <c r="H1389" s="3557">
        <v>42346</v>
      </c>
      <c r="I1389" s="2142">
        <v>1531525</v>
      </c>
    </row>
    <row r="1390" spans="1:9" s="2139" customFormat="1" hidden="1">
      <c r="A1390" s="2140" t="s">
        <v>3842</v>
      </c>
      <c r="B1390" s="2141" t="s">
        <v>3054</v>
      </c>
      <c r="C1390" s="2141" t="s">
        <v>3161</v>
      </c>
      <c r="D1390" s="2141">
        <v>51</v>
      </c>
      <c r="E1390" s="2142">
        <v>47.94</v>
      </c>
      <c r="F1390" s="2142">
        <v>16781.02</v>
      </c>
      <c r="G1390" s="2142">
        <v>804482.09880000004</v>
      </c>
      <c r="H1390" s="2143">
        <v>42342</v>
      </c>
      <c r="I1390" s="2142">
        <v>804482</v>
      </c>
    </row>
    <row r="1391" spans="1:9" s="2139" customFormat="1" hidden="1">
      <c r="A1391" s="2140" t="s">
        <v>3865</v>
      </c>
      <c r="B1391" s="2141" t="s">
        <v>3054</v>
      </c>
      <c r="C1391" s="2141" t="s">
        <v>3161</v>
      </c>
      <c r="D1391" s="2141">
        <v>82</v>
      </c>
      <c r="E1391" s="2142">
        <v>85.92</v>
      </c>
      <c r="F1391" s="2142">
        <v>22895</v>
      </c>
      <c r="G1391" s="2142">
        <v>1967138.4000000001</v>
      </c>
      <c r="H1391" s="2143">
        <v>42328</v>
      </c>
      <c r="I1391" s="2142">
        <v>1967138</v>
      </c>
    </row>
    <row r="1392" spans="1:9" s="2139" customFormat="1" hidden="1">
      <c r="A1392" s="2140" t="s">
        <v>5097</v>
      </c>
      <c r="B1392" s="2141" t="s">
        <v>3056</v>
      </c>
      <c r="C1392" s="2141" t="s">
        <v>3161</v>
      </c>
      <c r="D1392" s="2141">
        <v>1</v>
      </c>
      <c r="E1392" s="2142">
        <v>133.08000000000001</v>
      </c>
      <c r="F1392" s="2142">
        <v>27604</v>
      </c>
      <c r="G1392" s="2142">
        <v>3673540.3200000003</v>
      </c>
      <c r="H1392" s="2143">
        <v>42314</v>
      </c>
      <c r="I1392" s="2142">
        <v>3673540</v>
      </c>
    </row>
    <row r="1393" spans="1:9" s="2139" customFormat="1" hidden="1">
      <c r="A1393" s="2140" t="s">
        <v>5793</v>
      </c>
      <c r="B1393" s="2141" t="s">
        <v>3057</v>
      </c>
      <c r="C1393" s="2141" t="s">
        <v>3161</v>
      </c>
      <c r="D1393" s="2141">
        <v>106</v>
      </c>
      <c r="E1393" s="2142">
        <v>65.67</v>
      </c>
      <c r="F1393" s="2142">
        <v>27604</v>
      </c>
      <c r="G1393" s="2142">
        <v>1812754.68</v>
      </c>
      <c r="H1393" s="2143">
        <v>42306</v>
      </c>
      <c r="I1393" s="2142">
        <v>912755</v>
      </c>
    </row>
    <row r="1394" spans="1:9" s="2139" customFormat="1" hidden="1">
      <c r="A1394" s="2140" t="s">
        <v>5127</v>
      </c>
      <c r="B1394" s="2141" t="s">
        <v>3056</v>
      </c>
      <c r="C1394" s="2141" t="s">
        <v>3161</v>
      </c>
      <c r="D1394" s="2141">
        <v>66</v>
      </c>
      <c r="E1394" s="2142">
        <v>85.41</v>
      </c>
      <c r="F1394" s="2142">
        <v>28119</v>
      </c>
      <c r="G1394" s="2142">
        <v>2401643.79</v>
      </c>
      <c r="H1394" s="2143">
        <v>42304</v>
      </c>
      <c r="I1394" s="2142">
        <v>2401644</v>
      </c>
    </row>
    <row r="1395" spans="1:9" s="2139" customFormat="1" hidden="1">
      <c r="A1395" s="2140" t="s">
        <v>5148</v>
      </c>
      <c r="B1395" s="2141" t="s">
        <v>3056</v>
      </c>
      <c r="C1395" s="2141" t="s">
        <v>3161</v>
      </c>
      <c r="D1395" s="2141">
        <v>100</v>
      </c>
      <c r="E1395" s="2142">
        <v>68.77</v>
      </c>
      <c r="F1395" s="2142">
        <v>27604</v>
      </c>
      <c r="G1395" s="2142">
        <v>1898327.0799999998</v>
      </c>
      <c r="H1395" s="2143">
        <v>42304</v>
      </c>
      <c r="I1395" s="2142">
        <v>1898327</v>
      </c>
    </row>
    <row r="1396" spans="1:9" s="2139" customFormat="1" hidden="1">
      <c r="A1396" s="2140" t="s">
        <v>4560</v>
      </c>
      <c r="B1396" s="2141" t="s">
        <v>3055</v>
      </c>
      <c r="C1396" s="2141" t="s">
        <v>3161</v>
      </c>
      <c r="D1396" s="3396">
        <v>182</v>
      </c>
      <c r="E1396" s="2142">
        <v>36.65</v>
      </c>
      <c r="F1396" s="2142">
        <v>15160.14</v>
      </c>
      <c r="G1396" s="2142">
        <v>555619.13099999994</v>
      </c>
      <c r="H1396" s="3557">
        <v>42300</v>
      </c>
      <c r="I1396" s="2142">
        <v>555619</v>
      </c>
    </row>
    <row r="1397" spans="1:9" s="2139" customFormat="1" hidden="1">
      <c r="A1397" s="2140" t="s">
        <v>5251</v>
      </c>
      <c r="B1397" s="2141" t="s">
        <v>3056</v>
      </c>
      <c r="C1397" s="2141" t="s">
        <v>3161</v>
      </c>
      <c r="D1397" s="2141">
        <v>233</v>
      </c>
      <c r="E1397" s="2142">
        <v>48.01</v>
      </c>
      <c r="F1397" s="2142">
        <v>20085</v>
      </c>
      <c r="G1397" s="2142">
        <v>964280.85</v>
      </c>
      <c r="H1397" s="2143">
        <v>42293</v>
      </c>
      <c r="I1397" s="2142">
        <v>964281</v>
      </c>
    </row>
    <row r="1398" spans="1:9" s="2139" customFormat="1" hidden="1">
      <c r="A1398" s="2140" t="s">
        <v>4570</v>
      </c>
      <c r="B1398" s="2141" t="s">
        <v>3055</v>
      </c>
      <c r="C1398" s="2141" t="s">
        <v>3161</v>
      </c>
      <c r="D1398" s="3396">
        <v>199</v>
      </c>
      <c r="E1398" s="2142">
        <v>26.91</v>
      </c>
      <c r="F1398" s="2142">
        <v>20529</v>
      </c>
      <c r="G1398" s="2142">
        <v>552435.39</v>
      </c>
      <c r="H1398" s="3557">
        <v>42291</v>
      </c>
      <c r="I1398" s="2142">
        <v>552435</v>
      </c>
    </row>
    <row r="1399" spans="1:9" s="2139" customFormat="1" hidden="1">
      <c r="A1399" s="2140" t="s">
        <v>4571</v>
      </c>
      <c r="B1399" s="2141" t="s">
        <v>3055</v>
      </c>
      <c r="C1399" s="2141" t="s">
        <v>3161</v>
      </c>
      <c r="D1399" s="3396">
        <v>200</v>
      </c>
      <c r="E1399" s="2142">
        <v>26.91</v>
      </c>
      <c r="F1399" s="2142">
        <v>18029</v>
      </c>
      <c r="G1399" s="2142">
        <v>485160.39</v>
      </c>
      <c r="H1399" s="3557">
        <v>42291</v>
      </c>
      <c r="I1399" s="2142">
        <v>485160</v>
      </c>
    </row>
    <row r="1400" spans="1:9" s="2139" customFormat="1" hidden="1">
      <c r="A1400" s="2140" t="s">
        <v>4444</v>
      </c>
      <c r="B1400" s="2141" t="s">
        <v>3055</v>
      </c>
      <c r="C1400" s="2141" t="s">
        <v>3161</v>
      </c>
      <c r="D1400" s="3396">
        <v>13</v>
      </c>
      <c r="E1400" s="2142">
        <v>38.369999999999997</v>
      </c>
      <c r="F1400" s="2142">
        <v>20661</v>
      </c>
      <c r="G1400" s="2142">
        <v>792762.57</v>
      </c>
      <c r="H1400" s="3557">
        <v>42278</v>
      </c>
      <c r="I1400" s="2142">
        <v>792763</v>
      </c>
    </row>
    <row r="1401" spans="1:9" s="2139" customFormat="1" hidden="1">
      <c r="A1401" s="2140" t="s">
        <v>4502</v>
      </c>
      <c r="B1401" s="2141" t="s">
        <v>3055</v>
      </c>
      <c r="C1401" s="2141" t="s">
        <v>3161</v>
      </c>
      <c r="D1401" s="3396">
        <v>96</v>
      </c>
      <c r="E1401" s="2142">
        <v>75.95</v>
      </c>
      <c r="F1401" s="2142">
        <v>17488.14</v>
      </c>
      <c r="G1401" s="2142">
        <v>1328224.233</v>
      </c>
      <c r="H1401" s="3557">
        <v>42278</v>
      </c>
      <c r="I1401" s="2142">
        <v>1328224</v>
      </c>
    </row>
    <row r="1402" spans="1:9" s="2139" customFormat="1" hidden="1">
      <c r="A1402" s="2140" t="s">
        <v>4566</v>
      </c>
      <c r="B1402" s="2141" t="s">
        <v>3055</v>
      </c>
      <c r="C1402" s="2141" t="s">
        <v>3161</v>
      </c>
      <c r="D1402" s="3396">
        <v>191</v>
      </c>
      <c r="E1402" s="2142">
        <v>46.83</v>
      </c>
      <c r="F1402" s="2142">
        <v>17488.13</v>
      </c>
      <c r="G1402" s="2142">
        <v>818969.12789999996</v>
      </c>
      <c r="H1402" s="3557">
        <v>42278</v>
      </c>
      <c r="I1402" s="2142">
        <v>818969</v>
      </c>
    </row>
    <row r="1403" spans="1:9" s="2139" customFormat="1" hidden="1">
      <c r="A1403" s="2140" t="s">
        <v>4494</v>
      </c>
      <c r="B1403" s="2141" t="s">
        <v>3055</v>
      </c>
      <c r="C1403" s="2141" t="s">
        <v>3161</v>
      </c>
      <c r="D1403" s="3396">
        <v>78</v>
      </c>
      <c r="E1403" s="2142">
        <v>43.89</v>
      </c>
      <c r="F1403" s="2142">
        <v>15629</v>
      </c>
      <c r="G1403" s="2142">
        <v>685956.81</v>
      </c>
      <c r="H1403" s="3557">
        <v>42275</v>
      </c>
      <c r="I1403" s="2142">
        <v>685957</v>
      </c>
    </row>
    <row r="1404" spans="1:9" s="2139" customFormat="1" hidden="1">
      <c r="A1404" s="2140" t="s">
        <v>5816</v>
      </c>
      <c r="B1404" s="2141" t="s">
        <v>3057</v>
      </c>
      <c r="C1404" s="2141" t="s">
        <v>3161</v>
      </c>
      <c r="D1404" s="2141">
        <v>131</v>
      </c>
      <c r="E1404" s="2142">
        <v>46.39</v>
      </c>
      <c r="F1404" s="2142">
        <v>19570</v>
      </c>
      <c r="G1404" s="2142">
        <v>907852.3</v>
      </c>
      <c r="H1404" s="2143">
        <v>42273</v>
      </c>
      <c r="I1404" s="2142">
        <v>907852</v>
      </c>
    </row>
    <row r="1405" spans="1:9" s="2139" customFormat="1" hidden="1">
      <c r="A1405" s="2140" t="s">
        <v>5240</v>
      </c>
      <c r="B1405" s="2141" t="s">
        <v>3056</v>
      </c>
      <c r="C1405" s="2141" t="s">
        <v>3161</v>
      </c>
      <c r="D1405" s="2141">
        <v>220</v>
      </c>
      <c r="E1405" s="2142">
        <v>49.73</v>
      </c>
      <c r="F1405" s="2142">
        <v>20600</v>
      </c>
      <c r="G1405" s="2142">
        <v>1024437.9999999999</v>
      </c>
      <c r="H1405" s="2143">
        <v>42272</v>
      </c>
      <c r="I1405" s="2142">
        <v>1024438</v>
      </c>
    </row>
    <row r="1406" spans="1:9" s="2139" customFormat="1" hidden="1">
      <c r="A1406" s="2140" t="s">
        <v>5188</v>
      </c>
      <c r="B1406" s="2141" t="s">
        <v>3056</v>
      </c>
      <c r="C1406" s="2141" t="s">
        <v>3161</v>
      </c>
      <c r="D1406" s="2141">
        <v>155</v>
      </c>
      <c r="E1406" s="2142">
        <v>93.03</v>
      </c>
      <c r="F1406" s="2142">
        <v>26775.88</v>
      </c>
      <c r="G1406" s="2142">
        <v>2490960.1164000002</v>
      </c>
      <c r="H1406" s="2143">
        <v>42268</v>
      </c>
      <c r="I1406" s="2142">
        <v>2490960</v>
      </c>
    </row>
    <row r="1407" spans="1:9" s="2139" customFormat="1" hidden="1">
      <c r="A1407" s="2140" t="s">
        <v>5823</v>
      </c>
      <c r="B1407" s="2141" t="s">
        <v>3057</v>
      </c>
      <c r="C1407" s="2141" t="s">
        <v>3161</v>
      </c>
      <c r="D1407" s="2141">
        <v>141</v>
      </c>
      <c r="E1407" s="2142">
        <v>31.31</v>
      </c>
      <c r="F1407" s="2142">
        <v>20085</v>
      </c>
      <c r="G1407" s="2142">
        <v>628861.35</v>
      </c>
      <c r="H1407" s="2143">
        <v>42266</v>
      </c>
      <c r="I1407" s="2142">
        <v>318861</v>
      </c>
    </row>
    <row r="1408" spans="1:9" s="2139" customFormat="1" hidden="1">
      <c r="A1408" s="2140" t="s">
        <v>4497</v>
      </c>
      <c r="B1408" s="2141" t="s">
        <v>3055</v>
      </c>
      <c r="C1408" s="2141" t="s">
        <v>3161</v>
      </c>
      <c r="D1408" s="3396">
        <v>81</v>
      </c>
      <c r="E1408" s="2142">
        <v>59.36</v>
      </c>
      <c r="F1408" s="2142">
        <v>22329</v>
      </c>
      <c r="G1408" s="2142">
        <v>1325449.44</v>
      </c>
      <c r="H1408" s="3557">
        <v>42262</v>
      </c>
      <c r="I1408" s="2142">
        <v>1325449</v>
      </c>
    </row>
    <row r="1409" spans="1:9" s="2139" customFormat="1" hidden="1">
      <c r="A1409" s="2140" t="s">
        <v>5124</v>
      </c>
      <c r="B1409" s="2141" t="s">
        <v>3056</v>
      </c>
      <c r="C1409" s="2141" t="s">
        <v>3161</v>
      </c>
      <c r="D1409" s="2141">
        <v>61</v>
      </c>
      <c r="E1409" s="2142">
        <v>27.76</v>
      </c>
      <c r="F1409" s="2142">
        <v>18700</v>
      </c>
      <c r="G1409" s="2142">
        <v>519112.00000000006</v>
      </c>
      <c r="H1409" s="2143">
        <v>42257</v>
      </c>
      <c r="I1409" s="2142">
        <v>519112</v>
      </c>
    </row>
    <row r="1410" spans="1:9" s="2139" customFormat="1" hidden="1">
      <c r="A1410" s="2140" t="s">
        <v>5125</v>
      </c>
      <c r="B1410" s="2141" t="s">
        <v>3056</v>
      </c>
      <c r="C1410" s="2141" t="s">
        <v>3161</v>
      </c>
      <c r="D1410" s="2141">
        <v>62</v>
      </c>
      <c r="E1410" s="2142">
        <v>20.38</v>
      </c>
      <c r="F1410" s="2142">
        <v>18700</v>
      </c>
      <c r="G1410" s="2142">
        <v>381106</v>
      </c>
      <c r="H1410" s="2143">
        <v>42257</v>
      </c>
      <c r="I1410" s="2142">
        <v>381106</v>
      </c>
    </row>
    <row r="1411" spans="1:9" s="2139" customFormat="1" hidden="1">
      <c r="A1411" s="2140" t="s">
        <v>5108</v>
      </c>
      <c r="B1411" s="2141" t="s">
        <v>3056</v>
      </c>
      <c r="C1411" s="2141" t="s">
        <v>3161</v>
      </c>
      <c r="D1411" s="2141">
        <v>25</v>
      </c>
      <c r="E1411" s="2142">
        <v>41.12</v>
      </c>
      <c r="F1411" s="2142">
        <v>20600</v>
      </c>
      <c r="G1411" s="2142">
        <v>847072</v>
      </c>
      <c r="H1411" s="2143">
        <v>42256</v>
      </c>
      <c r="I1411" s="2142">
        <v>847072</v>
      </c>
    </row>
    <row r="1412" spans="1:9" s="2139" customFormat="1" hidden="1">
      <c r="A1412" s="2140" t="s">
        <v>4459</v>
      </c>
      <c r="B1412" s="2141" t="s">
        <v>3055</v>
      </c>
      <c r="C1412" s="2141" t="s">
        <v>3161</v>
      </c>
      <c r="D1412" s="3396">
        <v>36</v>
      </c>
      <c r="E1412" s="2142">
        <v>67.41</v>
      </c>
      <c r="F1412" s="2142">
        <v>21829</v>
      </c>
      <c r="G1412" s="2142">
        <v>1471492.89</v>
      </c>
      <c r="H1412" s="3557">
        <v>42255</v>
      </c>
      <c r="I1412" s="2142">
        <v>1471493</v>
      </c>
    </row>
    <row r="1413" spans="1:9" s="2139" customFormat="1" hidden="1">
      <c r="A1413" s="2140" t="s">
        <v>4554</v>
      </c>
      <c r="B1413" s="2141" t="s">
        <v>3055</v>
      </c>
      <c r="C1413" s="2141" t="s">
        <v>3161</v>
      </c>
      <c r="D1413" s="3396">
        <v>175</v>
      </c>
      <c r="E1413" s="2142">
        <v>83.28</v>
      </c>
      <c r="F1413" s="2142">
        <v>22329</v>
      </c>
      <c r="G1413" s="2142">
        <v>1859559.12</v>
      </c>
      <c r="H1413" s="3557">
        <v>42255</v>
      </c>
      <c r="I1413" s="2142">
        <v>1859559</v>
      </c>
    </row>
    <row r="1414" spans="1:9" s="2139" customFormat="1" hidden="1">
      <c r="A1414" s="2140" t="s">
        <v>3817</v>
      </c>
      <c r="B1414" s="2141" t="s">
        <v>3054</v>
      </c>
      <c r="C1414" s="2141" t="s">
        <v>3161</v>
      </c>
      <c r="D1414" s="2141">
        <v>19</v>
      </c>
      <c r="E1414" s="2142">
        <v>45.97</v>
      </c>
      <c r="F1414" s="2142">
        <v>17600</v>
      </c>
      <c r="G1414" s="2142">
        <v>809072</v>
      </c>
      <c r="H1414" s="2143">
        <v>42254</v>
      </c>
      <c r="I1414" s="2142">
        <v>809072</v>
      </c>
    </row>
    <row r="1415" spans="1:9" s="2139" customFormat="1" hidden="1">
      <c r="A1415" s="2140" t="s">
        <v>3818</v>
      </c>
      <c r="B1415" s="2141" t="s">
        <v>3054</v>
      </c>
      <c r="C1415" s="2141" t="s">
        <v>3161</v>
      </c>
      <c r="D1415" s="2141">
        <v>20</v>
      </c>
      <c r="E1415" s="2142">
        <v>46.66</v>
      </c>
      <c r="F1415" s="2142">
        <v>17600</v>
      </c>
      <c r="G1415" s="2142">
        <v>821215.99999999988</v>
      </c>
      <c r="H1415" s="2143">
        <v>42254</v>
      </c>
      <c r="I1415" s="2142">
        <v>821216</v>
      </c>
    </row>
    <row r="1416" spans="1:9" s="2139" customFormat="1" hidden="1">
      <c r="A1416" s="2140" t="s">
        <v>4602</v>
      </c>
      <c r="B1416" s="2141" t="s">
        <v>3055</v>
      </c>
      <c r="C1416" s="2141" t="s">
        <v>3161</v>
      </c>
      <c r="D1416" s="3396">
        <v>240</v>
      </c>
      <c r="E1416" s="2142">
        <v>38.409999999999997</v>
      </c>
      <c r="F1416" s="2142">
        <v>20661</v>
      </c>
      <c r="G1416" s="2142">
        <v>793589.00999999989</v>
      </c>
      <c r="H1416" s="3557">
        <v>42253</v>
      </c>
      <c r="I1416" s="2142">
        <v>793589</v>
      </c>
    </row>
    <row r="1417" spans="1:9" s="2139" customFormat="1" hidden="1">
      <c r="A1417" s="2140" t="s">
        <v>4540</v>
      </c>
      <c r="B1417" s="2141" t="s">
        <v>3055</v>
      </c>
      <c r="C1417" s="2141" t="s">
        <v>3161</v>
      </c>
      <c r="D1417" s="3396">
        <v>157</v>
      </c>
      <c r="E1417" s="2142">
        <v>32.06</v>
      </c>
      <c r="F1417" s="2142">
        <v>22727.11</v>
      </c>
      <c r="G1417" s="2142">
        <v>728631.14660000009</v>
      </c>
      <c r="H1417" s="3557">
        <v>42249</v>
      </c>
      <c r="I1417" s="2142">
        <v>728631</v>
      </c>
    </row>
    <row r="1418" spans="1:9" s="2139" customFormat="1" hidden="1">
      <c r="A1418" s="2140" t="s">
        <v>5177</v>
      </c>
      <c r="B1418" s="2141" t="s">
        <v>3056</v>
      </c>
      <c r="C1418" s="2141" t="s">
        <v>3161</v>
      </c>
      <c r="D1418" s="2141">
        <v>138</v>
      </c>
      <c r="E1418" s="2142">
        <v>18.5</v>
      </c>
      <c r="F1418" s="2142">
        <v>19482.490000000002</v>
      </c>
      <c r="G1418" s="2142">
        <v>360426.065</v>
      </c>
      <c r="H1418" s="2143">
        <v>42249</v>
      </c>
      <c r="I1418" s="2142">
        <v>360426</v>
      </c>
    </row>
    <row r="1419" spans="1:9" s="2139" customFormat="1" hidden="1">
      <c r="A1419" s="2140" t="s">
        <v>5204</v>
      </c>
      <c r="B1419" s="2141" t="s">
        <v>3056</v>
      </c>
      <c r="C1419" s="2141" t="s">
        <v>3161</v>
      </c>
      <c r="D1419" s="2141">
        <v>175</v>
      </c>
      <c r="E1419" s="2142">
        <v>29.53</v>
      </c>
      <c r="F1419" s="2142">
        <v>16285.32</v>
      </c>
      <c r="G1419" s="2142">
        <v>480905.49959999998</v>
      </c>
      <c r="H1419" s="2143">
        <v>42249</v>
      </c>
      <c r="I1419" s="2142">
        <v>480905</v>
      </c>
    </row>
    <row r="1420" spans="1:9" s="2139" customFormat="1" hidden="1">
      <c r="A1420" s="2140" t="s">
        <v>3912</v>
      </c>
      <c r="B1420" s="2141" t="s">
        <v>3054</v>
      </c>
      <c r="C1420" s="2141" t="s">
        <v>3161</v>
      </c>
      <c r="D1420" s="2141">
        <v>181</v>
      </c>
      <c r="E1420" s="2142">
        <v>63.05</v>
      </c>
      <c r="F1420" s="2142">
        <v>19206</v>
      </c>
      <c r="G1420" s="2142">
        <v>1210938.3</v>
      </c>
      <c r="H1420" s="2143">
        <v>42246</v>
      </c>
      <c r="I1420" s="2142">
        <v>1210938</v>
      </c>
    </row>
    <row r="1421" spans="1:9" s="2139" customFormat="1" hidden="1">
      <c r="A1421" s="2140" t="s">
        <v>3913</v>
      </c>
      <c r="B1421" s="2141" t="s">
        <v>3054</v>
      </c>
      <c r="C1421" s="2141" t="s">
        <v>3161</v>
      </c>
      <c r="D1421" s="2141">
        <v>182</v>
      </c>
      <c r="E1421" s="2142">
        <v>54.6</v>
      </c>
      <c r="F1421" s="2142">
        <v>19206</v>
      </c>
      <c r="G1421" s="2142">
        <v>1048647.6000000001</v>
      </c>
      <c r="H1421" s="2143">
        <v>42246</v>
      </c>
      <c r="I1421" s="2142">
        <v>1048648</v>
      </c>
    </row>
    <row r="1422" spans="1:9" s="2139" customFormat="1" hidden="1">
      <c r="A1422" s="2140" t="s">
        <v>3914</v>
      </c>
      <c r="B1422" s="2141" t="s">
        <v>3054</v>
      </c>
      <c r="C1422" s="2141" t="s">
        <v>3161</v>
      </c>
      <c r="D1422" s="2141">
        <v>183</v>
      </c>
      <c r="E1422" s="2142">
        <v>39.97</v>
      </c>
      <c r="F1422" s="2142">
        <v>19206</v>
      </c>
      <c r="G1422" s="2142">
        <v>767663.82</v>
      </c>
      <c r="H1422" s="2143">
        <v>42246</v>
      </c>
      <c r="I1422" s="2142">
        <v>767664</v>
      </c>
    </row>
    <row r="1423" spans="1:9" s="2139" customFormat="1" hidden="1">
      <c r="A1423" s="2140" t="s">
        <v>4475</v>
      </c>
      <c r="B1423" s="2141" t="s">
        <v>3055</v>
      </c>
      <c r="C1423" s="2141" t="s">
        <v>3161</v>
      </c>
      <c r="D1423" s="3396">
        <v>55</v>
      </c>
      <c r="E1423" s="2142">
        <v>40.369999999999997</v>
      </c>
      <c r="F1423" s="2142">
        <v>19800</v>
      </c>
      <c r="G1423" s="2142">
        <v>799326</v>
      </c>
      <c r="H1423" s="3557">
        <v>42240</v>
      </c>
      <c r="I1423" s="2142">
        <v>799326</v>
      </c>
    </row>
    <row r="1424" spans="1:9" s="2139" customFormat="1" hidden="1">
      <c r="A1424" s="2140" t="s">
        <v>4482</v>
      </c>
      <c r="B1424" s="2141" t="s">
        <v>3055</v>
      </c>
      <c r="C1424" s="2141" t="s">
        <v>3161</v>
      </c>
      <c r="D1424" s="3396">
        <v>63</v>
      </c>
      <c r="E1424" s="2142">
        <v>67.540000000000006</v>
      </c>
      <c r="F1424" s="2142">
        <v>19913.13</v>
      </c>
      <c r="G1424" s="2142">
        <v>1344932.8002000002</v>
      </c>
      <c r="H1424" s="3557">
        <v>42240</v>
      </c>
      <c r="I1424" s="2142">
        <v>1344933</v>
      </c>
    </row>
    <row r="1425" spans="1:9" s="2139" customFormat="1" hidden="1">
      <c r="A1425" s="2140" t="s">
        <v>5242</v>
      </c>
      <c r="B1425" s="2141" t="s">
        <v>3056</v>
      </c>
      <c r="C1425" s="2141" t="s">
        <v>3161</v>
      </c>
      <c r="D1425" s="2141">
        <v>222</v>
      </c>
      <c r="E1425" s="2142">
        <v>48.01</v>
      </c>
      <c r="F1425" s="2142">
        <v>20085</v>
      </c>
      <c r="G1425" s="2142">
        <v>964280.85</v>
      </c>
      <c r="H1425" s="2143">
        <v>42239</v>
      </c>
      <c r="I1425" s="2142">
        <v>964281</v>
      </c>
    </row>
    <row r="1426" spans="1:9" s="2139" customFormat="1" hidden="1">
      <c r="A1426" s="2140" t="s">
        <v>4501</v>
      </c>
      <c r="B1426" s="2141" t="s">
        <v>3055</v>
      </c>
      <c r="C1426" s="2141" t="s">
        <v>3161</v>
      </c>
      <c r="D1426" s="3396">
        <v>95</v>
      </c>
      <c r="E1426" s="2142">
        <v>48.56</v>
      </c>
      <c r="F1426" s="2142">
        <v>23260.61</v>
      </c>
      <c r="G1426" s="2142">
        <v>1129535.2216</v>
      </c>
      <c r="H1426" s="3557">
        <v>42238</v>
      </c>
      <c r="I1426" s="2142">
        <v>1129535</v>
      </c>
    </row>
    <row r="1427" spans="1:9" s="2139" customFormat="1" hidden="1">
      <c r="A1427" s="2140" t="s">
        <v>3821</v>
      </c>
      <c r="B1427" s="2141" t="s">
        <v>3054</v>
      </c>
      <c r="C1427" s="2141" t="s">
        <v>3161</v>
      </c>
      <c r="D1427" s="2141">
        <v>23</v>
      </c>
      <c r="E1427" s="2142">
        <v>46.64</v>
      </c>
      <c r="F1427" s="2142">
        <v>16781</v>
      </c>
      <c r="G1427" s="2142">
        <v>782665.84</v>
      </c>
      <c r="H1427" s="2143">
        <v>42237</v>
      </c>
      <c r="I1427" s="2142">
        <v>782666</v>
      </c>
    </row>
    <row r="1428" spans="1:9" s="2139" customFormat="1" hidden="1">
      <c r="A1428" s="2140" t="s">
        <v>5764</v>
      </c>
      <c r="B1428" s="2141" t="s">
        <v>3057</v>
      </c>
      <c r="C1428" s="2141" t="s">
        <v>3161</v>
      </c>
      <c r="D1428" s="2141">
        <v>57</v>
      </c>
      <c r="E1428" s="2142">
        <v>83.99</v>
      </c>
      <c r="F1428" s="2142">
        <v>22479.75</v>
      </c>
      <c r="G1428" s="2142">
        <v>1888074.2024999999</v>
      </c>
      <c r="H1428" s="2143">
        <v>42237</v>
      </c>
      <c r="I1428" s="2142">
        <v>1888074</v>
      </c>
    </row>
    <row r="1429" spans="1:9" s="2139" customFormat="1" hidden="1">
      <c r="A1429" s="2140" t="s">
        <v>4600</v>
      </c>
      <c r="B1429" s="2141" t="s">
        <v>3055</v>
      </c>
      <c r="C1429" s="2141" t="s">
        <v>3161</v>
      </c>
      <c r="D1429" s="3396">
        <v>237</v>
      </c>
      <c r="E1429" s="2142">
        <v>38.92</v>
      </c>
      <c r="F1429" s="2142">
        <v>20661</v>
      </c>
      <c r="G1429" s="2142">
        <v>804126.12</v>
      </c>
      <c r="H1429" s="3557">
        <v>42236</v>
      </c>
      <c r="I1429" s="2142">
        <v>804126</v>
      </c>
    </row>
    <row r="1430" spans="1:9" s="2139" customFormat="1" hidden="1">
      <c r="A1430" s="2140" t="s">
        <v>5142</v>
      </c>
      <c r="B1430" s="2141" t="s">
        <v>3056</v>
      </c>
      <c r="C1430" s="2141" t="s">
        <v>3161</v>
      </c>
      <c r="D1430" s="2141">
        <v>91</v>
      </c>
      <c r="E1430" s="2142">
        <v>146.51</v>
      </c>
      <c r="F1430" s="2142">
        <v>25477.045999999998</v>
      </c>
      <c r="G1430" s="2142">
        <v>3732642</v>
      </c>
      <c r="H1430" s="2143">
        <v>42236</v>
      </c>
      <c r="I1430" s="2142">
        <v>3732642</v>
      </c>
    </row>
    <row r="1431" spans="1:9" s="2139" customFormat="1" hidden="1">
      <c r="A1431" s="2140" t="s">
        <v>5227</v>
      </c>
      <c r="B1431" s="2141" t="s">
        <v>3056</v>
      </c>
      <c r="C1431" s="2141" t="s">
        <v>3161</v>
      </c>
      <c r="D1431" s="2141">
        <v>205</v>
      </c>
      <c r="E1431" s="2142">
        <v>48.01</v>
      </c>
      <c r="F1431" s="2142">
        <v>19482.46</v>
      </c>
      <c r="G1431" s="2142">
        <v>935352.90459999989</v>
      </c>
      <c r="H1431" s="2143">
        <v>42236</v>
      </c>
      <c r="I1431" s="2142">
        <v>935353</v>
      </c>
    </row>
    <row r="1432" spans="1:9" s="2139" customFormat="1" hidden="1">
      <c r="A1432" s="2140" t="s">
        <v>5206</v>
      </c>
      <c r="B1432" s="2141" t="s">
        <v>3056</v>
      </c>
      <c r="C1432" s="2141" t="s">
        <v>3161</v>
      </c>
      <c r="D1432" s="2141">
        <v>179</v>
      </c>
      <c r="E1432" s="2142">
        <v>44.13</v>
      </c>
      <c r="F1432" s="2142">
        <v>16285.34</v>
      </c>
      <c r="G1432" s="2142">
        <v>718672.05420000001</v>
      </c>
      <c r="H1432" s="2143">
        <v>42235</v>
      </c>
      <c r="I1432" s="2142">
        <v>718672</v>
      </c>
    </row>
    <row r="1433" spans="1:9" s="2139" customFormat="1" hidden="1">
      <c r="A1433" s="2140" t="s">
        <v>5232</v>
      </c>
      <c r="B1433" s="2141" t="s">
        <v>3056</v>
      </c>
      <c r="C1433" s="2141" t="s">
        <v>3161</v>
      </c>
      <c r="D1433" s="2141">
        <v>211</v>
      </c>
      <c r="E1433" s="2142">
        <v>48.01</v>
      </c>
      <c r="F1433" s="2142">
        <v>19482.46</v>
      </c>
      <c r="G1433" s="2142">
        <v>935352.90459999989</v>
      </c>
      <c r="H1433" s="2143">
        <v>42233</v>
      </c>
      <c r="I1433" s="2142">
        <v>935353</v>
      </c>
    </row>
    <row r="1434" spans="1:9" s="2139" customFormat="1" hidden="1">
      <c r="A1434" s="2140" t="s">
        <v>5151</v>
      </c>
      <c r="B1434" s="2141" t="s">
        <v>3056</v>
      </c>
      <c r="C1434" s="2141" t="s">
        <v>3161</v>
      </c>
      <c r="D1434" s="2141">
        <v>103</v>
      </c>
      <c r="E1434" s="2142">
        <v>68.77</v>
      </c>
      <c r="F1434" s="2142">
        <v>26775.88</v>
      </c>
      <c r="G1434" s="2142">
        <v>1841377.2675999999</v>
      </c>
      <c r="H1434" s="2143">
        <v>42231</v>
      </c>
      <c r="I1434" s="2142">
        <v>1841377</v>
      </c>
    </row>
    <row r="1435" spans="1:9" s="2139" customFormat="1" hidden="1">
      <c r="A1435" s="2140" t="s">
        <v>5218</v>
      </c>
      <c r="B1435" s="2141" t="s">
        <v>3056</v>
      </c>
      <c r="C1435" s="2141" t="s">
        <v>3161</v>
      </c>
      <c r="D1435" s="2141">
        <v>193</v>
      </c>
      <c r="E1435" s="2142">
        <v>19.309999999999999</v>
      </c>
      <c r="F1435" s="2142">
        <v>26775.87</v>
      </c>
      <c r="G1435" s="2142">
        <v>517042.04969999997</v>
      </c>
      <c r="H1435" s="2143">
        <v>42231</v>
      </c>
      <c r="I1435" s="2142">
        <v>517042</v>
      </c>
    </row>
    <row r="1436" spans="1:9" s="2139" customFormat="1" hidden="1">
      <c r="A1436" s="2140" t="s">
        <v>5126</v>
      </c>
      <c r="B1436" s="2141" t="s">
        <v>3056</v>
      </c>
      <c r="C1436" s="2141" t="s">
        <v>3161</v>
      </c>
      <c r="D1436" s="2141">
        <v>65</v>
      </c>
      <c r="E1436" s="2142">
        <v>47.4</v>
      </c>
      <c r="F1436" s="2142">
        <v>19482.45</v>
      </c>
      <c r="G1436" s="2142">
        <v>923468.13</v>
      </c>
      <c r="H1436" s="2143">
        <v>42230</v>
      </c>
      <c r="I1436" s="2142">
        <v>923468</v>
      </c>
    </row>
    <row r="1437" spans="1:9" s="2139" customFormat="1" hidden="1">
      <c r="A1437" s="2140" t="s">
        <v>5184</v>
      </c>
      <c r="B1437" s="2141" t="s">
        <v>3056</v>
      </c>
      <c r="C1437" s="2141" t="s">
        <v>3161</v>
      </c>
      <c r="D1437" s="2141">
        <v>150</v>
      </c>
      <c r="E1437" s="2142">
        <v>95.48</v>
      </c>
      <c r="F1437" s="2142">
        <v>28119</v>
      </c>
      <c r="G1437" s="2142">
        <v>2684802.12</v>
      </c>
      <c r="H1437" s="2143">
        <v>42230</v>
      </c>
      <c r="I1437" s="2142">
        <v>2684802</v>
      </c>
    </row>
    <row r="1438" spans="1:9" s="2139" customFormat="1" hidden="1">
      <c r="A1438" s="2140" t="s">
        <v>5109</v>
      </c>
      <c r="B1438" s="2141" t="s">
        <v>3056</v>
      </c>
      <c r="C1438" s="2141" t="s">
        <v>3161</v>
      </c>
      <c r="D1438" s="2141">
        <v>26</v>
      </c>
      <c r="E1438" s="2142">
        <v>54.49</v>
      </c>
      <c r="F1438" s="2142">
        <v>19982.009999999998</v>
      </c>
      <c r="G1438" s="2142">
        <v>1088819.7249</v>
      </c>
      <c r="H1438" s="2143">
        <v>42229</v>
      </c>
      <c r="I1438" s="2142">
        <v>1088820</v>
      </c>
    </row>
    <row r="1439" spans="1:9" s="2139" customFormat="1" hidden="1">
      <c r="A1439" s="2140" t="s">
        <v>4539</v>
      </c>
      <c r="B1439" s="2141" t="s">
        <v>3055</v>
      </c>
      <c r="C1439" s="2141" t="s">
        <v>3161</v>
      </c>
      <c r="D1439" s="3396">
        <v>156</v>
      </c>
      <c r="E1439" s="2142">
        <v>26.27</v>
      </c>
      <c r="F1439" s="2142">
        <v>19206.009999999998</v>
      </c>
      <c r="G1439" s="2142">
        <v>504541.88269999996</v>
      </c>
      <c r="H1439" s="3557">
        <v>42228</v>
      </c>
      <c r="I1439" s="2142">
        <v>504542</v>
      </c>
    </row>
    <row r="1440" spans="1:9" s="2139" customFormat="1" hidden="1">
      <c r="A1440" s="2140" t="s">
        <v>3892</v>
      </c>
      <c r="B1440" s="2141" t="s">
        <v>3054</v>
      </c>
      <c r="C1440" s="2141" t="s">
        <v>3161</v>
      </c>
      <c r="D1440" s="2141">
        <v>157</v>
      </c>
      <c r="E1440" s="2142">
        <v>47.19</v>
      </c>
      <c r="F1440" s="2142">
        <v>18300</v>
      </c>
      <c r="G1440" s="2142">
        <v>863577</v>
      </c>
      <c r="H1440" s="2143">
        <v>42227</v>
      </c>
      <c r="I1440" s="2142">
        <v>863577</v>
      </c>
    </row>
    <row r="1441" spans="1:9" s="2139" customFormat="1" hidden="1">
      <c r="A1441" s="2140" t="s">
        <v>3893</v>
      </c>
      <c r="B1441" s="2141" t="s">
        <v>3054</v>
      </c>
      <c r="C1441" s="2141" t="s">
        <v>3161</v>
      </c>
      <c r="D1441" s="2141">
        <v>158</v>
      </c>
      <c r="E1441" s="2142">
        <v>43.39</v>
      </c>
      <c r="F1441" s="2142">
        <v>18100</v>
      </c>
      <c r="G1441" s="2142">
        <v>785359</v>
      </c>
      <c r="H1441" s="2143">
        <v>42227</v>
      </c>
      <c r="I1441" s="2142">
        <v>785359</v>
      </c>
    </row>
    <row r="1442" spans="1:9" s="2139" customFormat="1" hidden="1">
      <c r="A1442" s="2140" t="s">
        <v>3894</v>
      </c>
      <c r="B1442" s="2141" t="s">
        <v>3054</v>
      </c>
      <c r="C1442" s="2141" t="s">
        <v>3161</v>
      </c>
      <c r="D1442" s="2141">
        <v>159</v>
      </c>
      <c r="E1442" s="2142">
        <v>62.04</v>
      </c>
      <c r="F1442" s="2142">
        <v>18100</v>
      </c>
      <c r="G1442" s="2142">
        <v>1122924</v>
      </c>
      <c r="H1442" s="2143">
        <v>42227</v>
      </c>
      <c r="I1442" s="2142">
        <v>1122924</v>
      </c>
    </row>
    <row r="1443" spans="1:9" s="2139" customFormat="1" hidden="1">
      <c r="A1443" s="2140" t="s">
        <v>3951</v>
      </c>
      <c r="B1443" s="2141" t="s">
        <v>3054</v>
      </c>
      <c r="C1443" s="2141" t="s">
        <v>3161</v>
      </c>
      <c r="D1443" s="2141">
        <v>225</v>
      </c>
      <c r="E1443" s="2142">
        <v>34.81</v>
      </c>
      <c r="F1443" s="2142">
        <v>18236</v>
      </c>
      <c r="G1443" s="2142">
        <v>634795.16</v>
      </c>
      <c r="H1443" s="2143">
        <v>42221</v>
      </c>
      <c r="I1443" s="2142">
        <v>634795</v>
      </c>
    </row>
    <row r="1444" spans="1:9" s="2139" customFormat="1" hidden="1">
      <c r="A1444" s="2140" t="s">
        <v>3952</v>
      </c>
      <c r="B1444" s="2141" t="s">
        <v>3054</v>
      </c>
      <c r="C1444" s="2141" t="s">
        <v>3161</v>
      </c>
      <c r="D1444" s="2141">
        <v>226</v>
      </c>
      <c r="E1444" s="2142">
        <v>36.08</v>
      </c>
      <c r="F1444" s="2142">
        <v>20176</v>
      </c>
      <c r="G1444" s="2142">
        <v>727950.08</v>
      </c>
      <c r="H1444" s="2143">
        <v>42221</v>
      </c>
      <c r="I1444" s="2142">
        <v>727950</v>
      </c>
    </row>
    <row r="1445" spans="1:9" s="2139" customFormat="1" hidden="1">
      <c r="A1445" s="2140" t="s">
        <v>5753</v>
      </c>
      <c r="B1445" s="2141" t="s">
        <v>3057</v>
      </c>
      <c r="C1445" s="2141" t="s">
        <v>3161</v>
      </c>
      <c r="D1445" s="2141">
        <v>39</v>
      </c>
      <c r="E1445" s="2142">
        <v>88.9</v>
      </c>
      <c r="F1445" s="2142">
        <v>15286.23</v>
      </c>
      <c r="G1445" s="2142">
        <v>1358945.8470000001</v>
      </c>
      <c r="H1445" s="2143">
        <v>42220</v>
      </c>
      <c r="I1445" s="2142">
        <v>1358946</v>
      </c>
    </row>
    <row r="1446" spans="1:9" s="2139" customFormat="1" hidden="1">
      <c r="A1446" s="2140" t="s">
        <v>4441</v>
      </c>
      <c r="B1446" s="2141" t="s">
        <v>3055</v>
      </c>
      <c r="C1446" s="2141" t="s">
        <v>3161</v>
      </c>
      <c r="D1446" s="3396">
        <v>10</v>
      </c>
      <c r="E1446" s="2142">
        <v>38.93</v>
      </c>
      <c r="F1446" s="2142">
        <v>20661.009999999998</v>
      </c>
      <c r="G1446" s="2142">
        <v>804333.1192999999</v>
      </c>
      <c r="H1446" s="3557">
        <v>42219</v>
      </c>
      <c r="I1446" s="2142">
        <v>804333</v>
      </c>
    </row>
    <row r="1447" spans="1:9" s="2139" customFormat="1" hidden="1">
      <c r="A1447" s="2140" t="s">
        <v>5875</v>
      </c>
      <c r="B1447" s="2141" t="s">
        <v>3057</v>
      </c>
      <c r="C1447" s="2141" t="s">
        <v>3161</v>
      </c>
      <c r="D1447" s="2141">
        <v>210</v>
      </c>
      <c r="E1447" s="2142">
        <v>64.36</v>
      </c>
      <c r="F1447" s="2142">
        <v>15286.23</v>
      </c>
      <c r="G1447" s="2142">
        <v>983821.76279999991</v>
      </c>
      <c r="H1447" s="2143">
        <v>42216</v>
      </c>
      <c r="I1447" s="2142">
        <v>983822</v>
      </c>
    </row>
    <row r="1448" spans="1:9" s="2139" customFormat="1" hidden="1">
      <c r="A1448" s="2140" t="s">
        <v>4467</v>
      </c>
      <c r="B1448" s="2141" t="s">
        <v>3055</v>
      </c>
      <c r="C1448" s="2141" t="s">
        <v>3161</v>
      </c>
      <c r="D1448" s="3396">
        <v>45</v>
      </c>
      <c r="E1448" s="2142">
        <v>42.94</v>
      </c>
      <c r="F1448" s="2142">
        <v>15629</v>
      </c>
      <c r="G1448" s="2142">
        <v>671109.26</v>
      </c>
      <c r="H1448" s="3557">
        <v>42210</v>
      </c>
      <c r="I1448" s="2142">
        <v>671109</v>
      </c>
    </row>
    <row r="1449" spans="1:9" s="2139" customFormat="1" hidden="1">
      <c r="A1449" s="2140" t="s">
        <v>5770</v>
      </c>
      <c r="B1449" s="2141" t="s">
        <v>3057</v>
      </c>
      <c r="C1449" s="2141" t="s">
        <v>3161</v>
      </c>
      <c r="D1449" s="2141">
        <v>67</v>
      </c>
      <c r="E1449" s="2142">
        <v>104.56</v>
      </c>
      <c r="F1449" s="2142">
        <v>28119</v>
      </c>
      <c r="G1449" s="2142">
        <v>2940122.64</v>
      </c>
      <c r="H1449" s="2143">
        <v>42189</v>
      </c>
      <c r="I1449" s="2142">
        <v>590123</v>
      </c>
    </row>
    <row r="1450" spans="1:9" s="2139" customFormat="1" hidden="1">
      <c r="A1450" s="2140" t="s">
        <v>5215</v>
      </c>
      <c r="B1450" s="2141" t="s">
        <v>3056</v>
      </c>
      <c r="C1450" s="2141" t="s">
        <v>3161</v>
      </c>
      <c r="D1450" s="2141">
        <v>190</v>
      </c>
      <c r="E1450" s="2142">
        <v>64.8</v>
      </c>
      <c r="F1450" s="2142">
        <v>27604</v>
      </c>
      <c r="G1450" s="2142">
        <v>1788739.2</v>
      </c>
      <c r="H1450" s="2143">
        <v>42188</v>
      </c>
      <c r="I1450" s="2142">
        <v>1788739</v>
      </c>
    </row>
    <row r="1451" spans="1:9" s="2139" customFormat="1" hidden="1">
      <c r="A1451" s="2140" t="s">
        <v>5180</v>
      </c>
      <c r="B1451" s="2141" t="s">
        <v>3056</v>
      </c>
      <c r="C1451" s="2141" t="s">
        <v>3161</v>
      </c>
      <c r="D1451" s="2141">
        <v>145</v>
      </c>
      <c r="E1451" s="2142">
        <v>48.97</v>
      </c>
      <c r="F1451" s="2142">
        <v>21630</v>
      </c>
      <c r="G1451" s="2142">
        <v>1059221.0999999999</v>
      </c>
      <c r="H1451" s="2143">
        <v>42187</v>
      </c>
      <c r="I1451" s="2142">
        <v>1059221</v>
      </c>
    </row>
    <row r="1452" spans="1:9" s="2139" customFormat="1" hidden="1">
      <c r="A1452" s="2140" t="s">
        <v>4533</v>
      </c>
      <c r="B1452" s="2141" t="s">
        <v>3055</v>
      </c>
      <c r="C1452" s="2141" t="s">
        <v>3161</v>
      </c>
      <c r="D1452" s="3396">
        <v>148</v>
      </c>
      <c r="E1452" s="2142">
        <v>81.400000000000006</v>
      </c>
      <c r="F1452" s="2142">
        <v>19832</v>
      </c>
      <c r="G1452" s="2142">
        <v>1614324.8</v>
      </c>
      <c r="H1452" s="3557">
        <v>42157</v>
      </c>
      <c r="I1452" s="2142">
        <v>1614325</v>
      </c>
    </row>
    <row r="1453" spans="1:9" s="2139" customFormat="1" hidden="1">
      <c r="A1453" s="2140" t="s">
        <v>5136</v>
      </c>
      <c r="B1453" s="2141" t="s">
        <v>3056</v>
      </c>
      <c r="C1453" s="2141" t="s">
        <v>3161</v>
      </c>
      <c r="D1453" s="2141">
        <v>78</v>
      </c>
      <c r="E1453" s="2142">
        <v>107.42</v>
      </c>
      <c r="F1453" s="2142">
        <v>25007</v>
      </c>
      <c r="G1453" s="2142">
        <v>2686251.94</v>
      </c>
      <c r="H1453" s="2143">
        <v>42140</v>
      </c>
      <c r="I1453" s="2142">
        <v>2686252</v>
      </c>
    </row>
    <row r="1454" spans="1:9" s="2139" customFormat="1" hidden="1">
      <c r="A1454" s="2140" t="s">
        <v>5840</v>
      </c>
      <c r="B1454" s="2141" t="s">
        <v>3057</v>
      </c>
      <c r="C1454" s="2141" t="s">
        <v>3161</v>
      </c>
      <c r="D1454" s="2141">
        <v>166</v>
      </c>
      <c r="E1454" s="2142">
        <v>84.01</v>
      </c>
      <c r="F1454" s="2142">
        <v>27275.43</v>
      </c>
      <c r="G1454" s="2142">
        <v>2291408.8743000003</v>
      </c>
      <c r="H1454" s="2143">
        <v>42135</v>
      </c>
      <c r="I1454" s="2142">
        <v>2291409</v>
      </c>
    </row>
    <row r="1455" spans="1:9" s="2139" customFormat="1" hidden="1">
      <c r="A1455" s="2140" t="s">
        <v>3861</v>
      </c>
      <c r="B1455" s="2141" t="s">
        <v>3054</v>
      </c>
      <c r="C1455" s="2141" t="s">
        <v>3161</v>
      </c>
      <c r="D1455" s="2141">
        <v>78</v>
      </c>
      <c r="E1455" s="2142">
        <v>106.13</v>
      </c>
      <c r="F1455" s="2142">
        <v>17800</v>
      </c>
      <c r="G1455" s="2142">
        <v>1889114</v>
      </c>
      <c r="H1455" s="2143">
        <v>42131</v>
      </c>
      <c r="I1455" s="2142">
        <v>1889114</v>
      </c>
    </row>
    <row r="1456" spans="1:9" s="2139" customFormat="1" hidden="1">
      <c r="A1456" s="2140" t="s">
        <v>4545</v>
      </c>
      <c r="B1456" s="2141" t="s">
        <v>3055</v>
      </c>
      <c r="C1456" s="2141" t="s">
        <v>3161</v>
      </c>
      <c r="D1456" s="3396">
        <v>162</v>
      </c>
      <c r="E1456" s="2142">
        <v>20.2</v>
      </c>
      <c r="F1456" s="2142">
        <v>21300</v>
      </c>
      <c r="G1456" s="2142">
        <v>430260</v>
      </c>
      <c r="H1456" s="3557">
        <v>42126</v>
      </c>
      <c r="I1456" s="2142">
        <v>220260</v>
      </c>
    </row>
    <row r="1457" spans="1:9" s="2139" customFormat="1" hidden="1">
      <c r="A1457" s="2140" t="s">
        <v>3834</v>
      </c>
      <c r="B1457" s="2141" t="s">
        <v>3054</v>
      </c>
      <c r="C1457" s="2141" t="s">
        <v>3161</v>
      </c>
      <c r="D1457" s="2141">
        <v>38</v>
      </c>
      <c r="E1457" s="2142">
        <v>86.16</v>
      </c>
      <c r="F1457" s="2142">
        <v>23800</v>
      </c>
      <c r="G1457" s="2142">
        <v>2050608</v>
      </c>
      <c r="H1457" s="2143">
        <v>42115</v>
      </c>
      <c r="I1457" s="2142">
        <v>2050608</v>
      </c>
    </row>
    <row r="1458" spans="1:9" s="2139" customFormat="1" hidden="1">
      <c r="A1458" s="2140" t="s">
        <v>3880</v>
      </c>
      <c r="B1458" s="2141" t="s">
        <v>3054</v>
      </c>
      <c r="C1458" s="2141" t="s">
        <v>3161</v>
      </c>
      <c r="D1458" s="2141">
        <v>119</v>
      </c>
      <c r="E1458" s="2142">
        <v>65.150000000000006</v>
      </c>
      <c r="F1458" s="2142">
        <v>17072</v>
      </c>
      <c r="G1458" s="2142">
        <v>1112240.8</v>
      </c>
      <c r="H1458" s="2143">
        <v>42115</v>
      </c>
      <c r="I1458" s="2142">
        <v>1112241</v>
      </c>
    </row>
    <row r="1459" spans="1:9" s="2139" customFormat="1" hidden="1">
      <c r="A1459" s="2140" t="s">
        <v>4517</v>
      </c>
      <c r="B1459" s="2141" t="s">
        <v>3055</v>
      </c>
      <c r="C1459" s="2141" t="s">
        <v>3161</v>
      </c>
      <c r="D1459" s="3396">
        <v>121</v>
      </c>
      <c r="E1459" s="2142">
        <v>79.94</v>
      </c>
      <c r="F1459" s="2142">
        <v>21829</v>
      </c>
      <c r="G1459" s="2142">
        <v>1745010.26</v>
      </c>
      <c r="H1459" s="3557">
        <v>42115</v>
      </c>
      <c r="I1459" s="2142">
        <v>1745010</v>
      </c>
    </row>
    <row r="1460" spans="1:9" s="2139" customFormat="1" hidden="1">
      <c r="A1460" s="2140" t="s">
        <v>4641</v>
      </c>
      <c r="B1460" s="2141" t="s">
        <v>3055</v>
      </c>
      <c r="C1460" s="2141" t="s">
        <v>3168</v>
      </c>
      <c r="D1460" s="3396">
        <v>86</v>
      </c>
      <c r="E1460" s="2142">
        <v>43.97</v>
      </c>
      <c r="F1460" s="2142">
        <v>13677</v>
      </c>
      <c r="G1460" s="2142">
        <v>601377.68999999994</v>
      </c>
      <c r="H1460" s="3557">
        <v>42555</v>
      </c>
      <c r="I1460" s="2142">
        <v>601378</v>
      </c>
    </row>
    <row r="1461" spans="1:9" s="2139" customFormat="1" hidden="1">
      <c r="A1461" s="2140" t="s">
        <v>3992</v>
      </c>
      <c r="B1461" s="2141" t="s">
        <v>3054</v>
      </c>
      <c r="C1461" s="2141" t="s">
        <v>3168</v>
      </c>
      <c r="D1461" s="2141">
        <v>62</v>
      </c>
      <c r="E1461" s="2142">
        <v>65.87</v>
      </c>
      <c r="F1461" s="2142">
        <v>14100</v>
      </c>
      <c r="G1461" s="2142">
        <v>928767.00000000012</v>
      </c>
      <c r="H1461" s="2143">
        <v>42553</v>
      </c>
      <c r="I1461" s="2142">
        <v>928767</v>
      </c>
    </row>
    <row r="1462" spans="1:9" s="2139" customFormat="1" hidden="1">
      <c r="A1462" s="2140" t="s">
        <v>3993</v>
      </c>
      <c r="B1462" s="2141" t="s">
        <v>3054</v>
      </c>
      <c r="C1462" s="2141" t="s">
        <v>3168</v>
      </c>
      <c r="D1462" s="2141">
        <v>63</v>
      </c>
      <c r="E1462" s="2142">
        <v>55.87</v>
      </c>
      <c r="F1462" s="2142">
        <v>13800</v>
      </c>
      <c r="G1462" s="2142">
        <v>771006</v>
      </c>
      <c r="H1462" s="2143">
        <v>42553</v>
      </c>
      <c r="I1462" s="2142">
        <v>771006</v>
      </c>
    </row>
    <row r="1463" spans="1:9" s="2139" customFormat="1" hidden="1">
      <c r="A1463" s="2140" t="s">
        <v>4740</v>
      </c>
      <c r="B1463" s="2141" t="s">
        <v>3055</v>
      </c>
      <c r="C1463" s="2141" t="s">
        <v>3168</v>
      </c>
      <c r="D1463" s="3396">
        <v>233</v>
      </c>
      <c r="E1463" s="2142">
        <v>38.81</v>
      </c>
      <c r="F1463" s="2142">
        <v>16537</v>
      </c>
      <c r="G1463" s="2142">
        <v>641800.97000000009</v>
      </c>
      <c r="H1463" s="3557">
        <v>42551</v>
      </c>
      <c r="I1463" s="2142">
        <v>641801</v>
      </c>
    </row>
    <row r="1464" spans="1:9" s="2139" customFormat="1" hidden="1">
      <c r="A1464" s="2140" t="s">
        <v>5272</v>
      </c>
      <c r="B1464" s="2141" t="s">
        <v>3056</v>
      </c>
      <c r="C1464" s="2141" t="s">
        <v>3168</v>
      </c>
      <c r="D1464" s="2141">
        <v>18</v>
      </c>
      <c r="E1464" s="2142">
        <v>98.21</v>
      </c>
      <c r="F1464" s="2142">
        <v>20980</v>
      </c>
      <c r="G1464" s="2142">
        <v>2060445.7999999998</v>
      </c>
      <c r="H1464" s="2143">
        <v>42550</v>
      </c>
      <c r="I1464" s="2142">
        <v>2060446</v>
      </c>
    </row>
    <row r="1465" spans="1:9" s="2139" customFormat="1" hidden="1">
      <c r="A1465" s="2140" t="s">
        <v>5266</v>
      </c>
      <c r="B1465" s="2141" t="s">
        <v>3056</v>
      </c>
      <c r="C1465" s="2141" t="s">
        <v>3168</v>
      </c>
      <c r="D1465" s="2141">
        <v>11</v>
      </c>
      <c r="E1465" s="2142">
        <v>71.650000000000006</v>
      </c>
      <c r="F1465" s="2142">
        <v>20734</v>
      </c>
      <c r="G1465" s="2142">
        <v>1485591.1</v>
      </c>
      <c r="H1465" s="2143">
        <v>42546</v>
      </c>
      <c r="I1465" s="2142">
        <v>305591</v>
      </c>
    </row>
    <row r="1466" spans="1:9" s="2139" customFormat="1" hidden="1">
      <c r="A1466" s="2140" t="s">
        <v>5289</v>
      </c>
      <c r="B1466" s="2141" t="s">
        <v>3056</v>
      </c>
      <c r="C1466" s="2141" t="s">
        <v>3168</v>
      </c>
      <c r="D1466" s="2141">
        <v>138</v>
      </c>
      <c r="E1466" s="2142">
        <v>50.03</v>
      </c>
      <c r="F1466" s="2142">
        <v>14790</v>
      </c>
      <c r="G1466" s="2142">
        <v>739943.70000000007</v>
      </c>
      <c r="H1466" s="2143">
        <v>42513</v>
      </c>
      <c r="I1466" s="2142">
        <v>739944</v>
      </c>
    </row>
    <row r="1467" spans="1:9" s="2139" customFormat="1" hidden="1">
      <c r="A1467" s="2140" t="s">
        <v>5273</v>
      </c>
      <c r="B1467" s="2141" t="s">
        <v>3056</v>
      </c>
      <c r="C1467" s="2141" t="s">
        <v>3168</v>
      </c>
      <c r="D1467" s="2141">
        <v>19</v>
      </c>
      <c r="E1467" s="2142">
        <v>45.45</v>
      </c>
      <c r="F1467" s="2142">
        <v>15800</v>
      </c>
      <c r="G1467" s="2142">
        <v>718110</v>
      </c>
      <c r="H1467" s="2143">
        <v>42507</v>
      </c>
      <c r="I1467" s="2142">
        <v>718110</v>
      </c>
    </row>
    <row r="1468" spans="1:9" s="2139" customFormat="1" hidden="1">
      <c r="A1468" s="2140" t="s">
        <v>5278</v>
      </c>
      <c r="B1468" s="2141" t="s">
        <v>3056</v>
      </c>
      <c r="C1468" s="2141" t="s">
        <v>3168</v>
      </c>
      <c r="D1468" s="2141">
        <v>39</v>
      </c>
      <c r="E1468" s="2142">
        <v>58.25</v>
      </c>
      <c r="F1468" s="2142">
        <v>19642.009999999998</v>
      </c>
      <c r="G1468" s="2142">
        <v>1144147.0825</v>
      </c>
      <c r="H1468" s="2143">
        <v>42505</v>
      </c>
      <c r="I1468" s="2142">
        <v>1144147</v>
      </c>
    </row>
    <row r="1469" spans="1:9" s="2139" customFormat="1" hidden="1">
      <c r="A1469" s="2140" t="s">
        <v>5279</v>
      </c>
      <c r="B1469" s="2141" t="s">
        <v>3056</v>
      </c>
      <c r="C1469" s="2141" t="s">
        <v>3168</v>
      </c>
      <c r="D1469" s="2141">
        <v>40</v>
      </c>
      <c r="E1469" s="2142">
        <v>53.63</v>
      </c>
      <c r="F1469" s="2142">
        <v>19137</v>
      </c>
      <c r="G1469" s="2142">
        <v>1026317.31</v>
      </c>
      <c r="H1469" s="2143">
        <v>42482</v>
      </c>
      <c r="I1469" s="2142">
        <v>1026317</v>
      </c>
    </row>
    <row r="1470" spans="1:9" s="2139" customFormat="1" hidden="1">
      <c r="A1470" s="2140" t="s">
        <v>5280</v>
      </c>
      <c r="B1470" s="2141" t="s">
        <v>3056</v>
      </c>
      <c r="C1470" s="2141" t="s">
        <v>3168</v>
      </c>
      <c r="D1470" s="2141">
        <v>41</v>
      </c>
      <c r="E1470" s="2142">
        <v>53.63</v>
      </c>
      <c r="F1470" s="2142">
        <v>19137</v>
      </c>
      <c r="G1470" s="2142">
        <v>1026317.31</v>
      </c>
      <c r="H1470" s="2143">
        <v>42482</v>
      </c>
      <c r="I1470" s="2142">
        <v>1026317</v>
      </c>
    </row>
    <row r="1471" spans="1:9" s="2139" customFormat="1" hidden="1">
      <c r="A1471" s="2140" t="s">
        <v>4738</v>
      </c>
      <c r="B1471" s="2141" t="s">
        <v>3055</v>
      </c>
      <c r="C1471" s="2141" t="s">
        <v>3168</v>
      </c>
      <c r="D1471" s="3396">
        <v>231</v>
      </c>
      <c r="E1471" s="2142">
        <v>38.21</v>
      </c>
      <c r="F1471" s="2142">
        <v>16537</v>
      </c>
      <c r="G1471" s="2142">
        <v>631878.77</v>
      </c>
      <c r="H1471" s="3557">
        <v>42451</v>
      </c>
      <c r="I1471" s="2142">
        <v>631879</v>
      </c>
    </row>
    <row r="1472" spans="1:9" s="2139" customFormat="1" hidden="1">
      <c r="A1472" s="2140" t="s">
        <v>4739</v>
      </c>
      <c r="B1472" s="2141" t="s">
        <v>3055</v>
      </c>
      <c r="C1472" s="2141" t="s">
        <v>3168</v>
      </c>
      <c r="D1472" s="3396">
        <v>232</v>
      </c>
      <c r="E1472" s="2142">
        <v>38.76</v>
      </c>
      <c r="F1472" s="2142">
        <v>16537</v>
      </c>
      <c r="G1472" s="2142">
        <v>640974.12</v>
      </c>
      <c r="H1472" s="3557">
        <v>42451</v>
      </c>
      <c r="I1472" s="2142">
        <v>640974</v>
      </c>
    </row>
    <row r="1473" spans="1:9" s="2139" customFormat="1" hidden="1">
      <c r="A1473" s="2140" t="s">
        <v>5264</v>
      </c>
      <c r="B1473" s="2141" t="s">
        <v>3056</v>
      </c>
      <c r="C1473" s="2141" t="s">
        <v>3168</v>
      </c>
      <c r="D1473" s="2141">
        <v>9</v>
      </c>
      <c r="E1473" s="2142">
        <v>121.97</v>
      </c>
      <c r="F1473" s="2142">
        <v>20806</v>
      </c>
      <c r="G1473" s="2142">
        <v>2537707.8199999998</v>
      </c>
      <c r="H1473" s="2143">
        <v>42449</v>
      </c>
      <c r="I1473" s="2142">
        <v>2537708</v>
      </c>
    </row>
    <row r="1474" spans="1:9" s="2139" customFormat="1" hidden="1">
      <c r="A1474" s="2140" t="s">
        <v>5265</v>
      </c>
      <c r="B1474" s="2141" t="s">
        <v>3056</v>
      </c>
      <c r="C1474" s="2141" t="s">
        <v>3168</v>
      </c>
      <c r="D1474" s="2141">
        <v>10</v>
      </c>
      <c r="E1474" s="2142">
        <v>71.650000000000006</v>
      </c>
      <c r="F1474" s="2142">
        <v>20291</v>
      </c>
      <c r="G1474" s="2142">
        <v>1453850.1500000001</v>
      </c>
      <c r="H1474" s="2143">
        <v>42449</v>
      </c>
      <c r="I1474" s="2142">
        <v>1453850</v>
      </c>
    </row>
    <row r="1475" spans="1:9" s="2139" customFormat="1" hidden="1">
      <c r="A1475" s="2140" t="s">
        <v>4027</v>
      </c>
      <c r="B1475" s="2141" t="s">
        <v>3054</v>
      </c>
      <c r="C1475" s="2141" t="s">
        <v>3168</v>
      </c>
      <c r="D1475" s="2141">
        <v>183</v>
      </c>
      <c r="E1475" s="2142">
        <v>39.979999999999997</v>
      </c>
      <c r="F1475" s="2142">
        <v>14800</v>
      </c>
      <c r="G1475" s="2142">
        <v>591704</v>
      </c>
      <c r="H1475" s="2143">
        <v>42429</v>
      </c>
      <c r="I1475" s="2142">
        <v>591704</v>
      </c>
    </row>
    <row r="1476" spans="1:9" s="2139" customFormat="1" hidden="1">
      <c r="A1476" s="2140" t="s">
        <v>5286</v>
      </c>
      <c r="B1476" s="2141" t="s">
        <v>3056</v>
      </c>
      <c r="C1476" s="2141" t="s">
        <v>3168</v>
      </c>
      <c r="D1476" s="2141">
        <v>56</v>
      </c>
      <c r="E1476" s="2142">
        <v>47.12</v>
      </c>
      <c r="F1476" s="2142">
        <v>15800</v>
      </c>
      <c r="G1476" s="2142">
        <v>744496</v>
      </c>
      <c r="H1476" s="2143">
        <v>42383</v>
      </c>
      <c r="I1476" s="2142">
        <v>744496</v>
      </c>
    </row>
    <row r="1477" spans="1:9" s="2139" customFormat="1" hidden="1">
      <c r="A1477" s="2140" t="s">
        <v>4716</v>
      </c>
      <c r="B1477" s="2141" t="s">
        <v>3055</v>
      </c>
      <c r="C1477" s="2141" t="s">
        <v>3168</v>
      </c>
      <c r="D1477" s="3396">
        <v>200</v>
      </c>
      <c r="E1477" s="2142">
        <v>26.8</v>
      </c>
      <c r="F1477" s="2142">
        <v>16509.400000000001</v>
      </c>
      <c r="G1477" s="2142">
        <v>442451.92000000004</v>
      </c>
      <c r="H1477" s="3557">
        <v>42358</v>
      </c>
      <c r="I1477" s="2142">
        <v>442452</v>
      </c>
    </row>
    <row r="1478" spans="1:9" s="2139" customFormat="1" hidden="1">
      <c r="A1478" s="2140" t="s">
        <v>5281</v>
      </c>
      <c r="B1478" s="2141" t="s">
        <v>3056</v>
      </c>
      <c r="C1478" s="2141" t="s">
        <v>3168</v>
      </c>
      <c r="D1478" s="2141">
        <v>45</v>
      </c>
      <c r="E1478" s="2142">
        <v>79.09</v>
      </c>
      <c r="F1478" s="2142">
        <v>20734</v>
      </c>
      <c r="G1478" s="2142">
        <v>1639852.06</v>
      </c>
      <c r="H1478" s="2143">
        <v>42329</v>
      </c>
      <c r="I1478" s="2142">
        <v>1639852</v>
      </c>
    </row>
    <row r="1479" spans="1:9" s="2139" customFormat="1" hidden="1">
      <c r="A1479" s="2140" t="s">
        <v>4695</v>
      </c>
      <c r="B1479" s="2141" t="s">
        <v>3055</v>
      </c>
      <c r="C1479" s="2141" t="s">
        <v>3168</v>
      </c>
      <c r="D1479" s="3396">
        <v>167</v>
      </c>
      <c r="E1479" s="2142">
        <v>66.819999999999993</v>
      </c>
      <c r="F1479" s="2142">
        <v>16509.400000000001</v>
      </c>
      <c r="G1479" s="2142">
        <v>1103158.108</v>
      </c>
      <c r="H1479" s="3557">
        <v>42320</v>
      </c>
      <c r="I1479" s="2142">
        <v>1103158</v>
      </c>
    </row>
    <row r="1480" spans="1:9" s="2139" customFormat="1" hidden="1">
      <c r="A1480" s="2140" t="s">
        <v>3991</v>
      </c>
      <c r="B1480" s="2141" t="s">
        <v>3054</v>
      </c>
      <c r="C1480" s="2141" t="s">
        <v>3168</v>
      </c>
      <c r="D1480" s="2141">
        <v>61</v>
      </c>
      <c r="E1480" s="2142">
        <v>49.41</v>
      </c>
      <c r="F1480" s="2142">
        <v>14100</v>
      </c>
      <c r="G1480" s="2142">
        <v>696681</v>
      </c>
      <c r="H1480" s="2143">
        <v>42295</v>
      </c>
      <c r="I1480" s="2142">
        <v>696681</v>
      </c>
    </row>
    <row r="1481" spans="1:9" s="2139" customFormat="1" hidden="1">
      <c r="A1481" s="2140" t="s">
        <v>4702</v>
      </c>
      <c r="B1481" s="2141" t="s">
        <v>3055</v>
      </c>
      <c r="C1481" s="2141" t="s">
        <v>3168</v>
      </c>
      <c r="D1481" s="3396">
        <v>178</v>
      </c>
      <c r="E1481" s="2142">
        <v>36.450000000000003</v>
      </c>
      <c r="F1481" s="2142">
        <v>13677.01</v>
      </c>
      <c r="G1481" s="2142">
        <v>498527.01450000005</v>
      </c>
      <c r="H1481" s="3557">
        <v>42243</v>
      </c>
      <c r="I1481" s="2142">
        <v>498527</v>
      </c>
    </row>
    <row r="1482" spans="1:9" s="2139" customFormat="1" hidden="1">
      <c r="A1482" s="2140" t="s">
        <v>4034</v>
      </c>
      <c r="B1482" s="2141" t="s">
        <v>3054</v>
      </c>
      <c r="C1482" s="2141" t="s">
        <v>3168</v>
      </c>
      <c r="D1482" s="2141">
        <v>191</v>
      </c>
      <c r="E1482" s="2142">
        <v>34.76</v>
      </c>
      <c r="F1482" s="2142">
        <v>14100</v>
      </c>
      <c r="G1482" s="2142">
        <v>490116</v>
      </c>
      <c r="H1482" s="2143">
        <v>42223</v>
      </c>
      <c r="I1482" s="2142">
        <v>490116</v>
      </c>
    </row>
    <row r="1483" spans="1:9" s="2139" customFormat="1" hidden="1">
      <c r="A1483" s="2140" t="s">
        <v>4690</v>
      </c>
      <c r="B1483" s="2141" t="s">
        <v>3055</v>
      </c>
      <c r="C1483" s="2141" t="s">
        <v>3168</v>
      </c>
      <c r="D1483" s="3396">
        <v>159</v>
      </c>
      <c r="E1483" s="2142">
        <v>42.23</v>
      </c>
      <c r="F1483" s="2142">
        <v>14300</v>
      </c>
      <c r="G1483" s="2142">
        <v>603889</v>
      </c>
      <c r="H1483" s="3557">
        <v>42222</v>
      </c>
      <c r="I1483" s="2142">
        <v>603889</v>
      </c>
    </row>
    <row r="1484" spans="1:9" s="2139" customFormat="1" hidden="1">
      <c r="A1484" s="2140" t="s">
        <v>5263</v>
      </c>
      <c r="B1484" s="2141" t="s">
        <v>3056</v>
      </c>
      <c r="C1484" s="2141" t="s">
        <v>3168</v>
      </c>
      <c r="D1484" s="2141">
        <v>8</v>
      </c>
      <c r="E1484" s="2142">
        <v>75.91</v>
      </c>
      <c r="F1484" s="2142">
        <v>20806</v>
      </c>
      <c r="G1484" s="2142">
        <v>1579383.46</v>
      </c>
      <c r="H1484" s="2143">
        <v>42218</v>
      </c>
      <c r="I1484" s="2142">
        <v>1579383</v>
      </c>
    </row>
    <row r="1485" spans="1:9" s="2139" customFormat="1" hidden="1">
      <c r="A1485" s="2140" t="s">
        <v>4693</v>
      </c>
      <c r="B1485" s="2141" t="s">
        <v>3055</v>
      </c>
      <c r="C1485" s="2141" t="s">
        <v>3168</v>
      </c>
      <c r="D1485" s="3396">
        <v>162</v>
      </c>
      <c r="E1485" s="2142">
        <v>20.309999999999999</v>
      </c>
      <c r="F1485" s="2142">
        <v>13677.01</v>
      </c>
      <c r="G1485" s="2142">
        <v>277780.07309999998</v>
      </c>
      <c r="H1485" s="3557">
        <v>42198</v>
      </c>
      <c r="I1485" s="2142">
        <v>277780</v>
      </c>
    </row>
    <row r="1486" spans="1:9" s="2139" customFormat="1" hidden="1">
      <c r="A1486" s="2140" t="s">
        <v>4694</v>
      </c>
      <c r="B1486" s="2141" t="s">
        <v>3055</v>
      </c>
      <c r="C1486" s="2141" t="s">
        <v>3168</v>
      </c>
      <c r="D1486" s="3396">
        <v>163</v>
      </c>
      <c r="E1486" s="2142">
        <v>40.39</v>
      </c>
      <c r="F1486" s="2142">
        <v>13677</v>
      </c>
      <c r="G1486" s="2142">
        <v>552414.03</v>
      </c>
      <c r="H1486" s="3557">
        <v>42198</v>
      </c>
      <c r="I1486" s="2142">
        <v>552414</v>
      </c>
    </row>
    <row r="1487" spans="1:9" s="2139" customFormat="1" hidden="1">
      <c r="A1487" s="2140" t="s">
        <v>3981</v>
      </c>
      <c r="B1487" s="2141" t="s">
        <v>3054</v>
      </c>
      <c r="C1487" s="2141" t="s">
        <v>3168</v>
      </c>
      <c r="D1487" s="2141">
        <v>50</v>
      </c>
      <c r="E1487" s="2142">
        <v>47.95</v>
      </c>
      <c r="F1487" s="2142">
        <v>13800</v>
      </c>
      <c r="G1487" s="2142">
        <v>661710</v>
      </c>
      <c r="H1487" s="2143">
        <v>42187</v>
      </c>
      <c r="I1487" s="2142">
        <v>661710</v>
      </c>
    </row>
    <row r="1488" spans="1:9" s="2139" customFormat="1" hidden="1">
      <c r="A1488" s="2140" t="s">
        <v>4704</v>
      </c>
      <c r="B1488" s="2141" t="s">
        <v>3055</v>
      </c>
      <c r="C1488" s="2141" t="s">
        <v>3168</v>
      </c>
      <c r="D1488" s="3396">
        <v>181</v>
      </c>
      <c r="E1488" s="2142">
        <v>58.64</v>
      </c>
      <c r="F1488" s="2142">
        <v>14300</v>
      </c>
      <c r="G1488" s="2142">
        <v>838552</v>
      </c>
      <c r="H1488" s="3557">
        <v>42150</v>
      </c>
      <c r="I1488" s="2142">
        <v>838552</v>
      </c>
    </row>
    <row r="1489" spans="1:9" s="2139" customFormat="1" hidden="1">
      <c r="A1489" s="2140" t="s">
        <v>4696</v>
      </c>
      <c r="B1489" s="2141" t="s">
        <v>3055</v>
      </c>
      <c r="C1489" s="2141" t="s">
        <v>3168</v>
      </c>
      <c r="D1489" s="3396">
        <v>170</v>
      </c>
      <c r="E1489" s="2142">
        <v>71.760000000000005</v>
      </c>
      <c r="F1489" s="2142">
        <v>14800</v>
      </c>
      <c r="G1489" s="2142">
        <v>1062048</v>
      </c>
      <c r="H1489" s="3557">
        <v>42129</v>
      </c>
      <c r="I1489" s="2142">
        <v>1062048</v>
      </c>
    </row>
    <row r="1490" spans="1:9" s="2139" customFormat="1" hidden="1">
      <c r="A1490" s="2140" t="s">
        <v>3979</v>
      </c>
      <c r="B1490" s="2141" t="s">
        <v>3054</v>
      </c>
      <c r="C1490" s="2141" t="s">
        <v>3168</v>
      </c>
      <c r="D1490" s="2141">
        <v>48</v>
      </c>
      <c r="E1490" s="2142">
        <v>48.53</v>
      </c>
      <c r="F1490" s="2142">
        <v>13386</v>
      </c>
      <c r="G1490" s="2142">
        <v>649622.57999999996</v>
      </c>
      <c r="H1490" s="2143">
        <v>42087</v>
      </c>
      <c r="I1490" s="2142">
        <v>649623</v>
      </c>
    </row>
    <row r="1491" spans="1:9" s="2139" customFormat="1" hidden="1">
      <c r="A1491" s="2140" t="s">
        <v>4624</v>
      </c>
      <c r="B1491" s="2141" t="s">
        <v>3055</v>
      </c>
      <c r="C1491" s="2141" t="s">
        <v>3168</v>
      </c>
      <c r="D1491" s="3396">
        <v>59</v>
      </c>
      <c r="E1491" s="2142">
        <v>53.22</v>
      </c>
      <c r="F1491" s="2142">
        <v>14380</v>
      </c>
      <c r="G1491" s="2142">
        <v>765303.6</v>
      </c>
      <c r="H1491" s="3557">
        <v>41956</v>
      </c>
      <c r="I1491" s="2142">
        <v>765304</v>
      </c>
    </row>
    <row r="1492" spans="1:9" s="2139" customFormat="1" hidden="1">
      <c r="A1492" s="2140" t="s">
        <v>3980</v>
      </c>
      <c r="B1492" s="2141" t="s">
        <v>3054</v>
      </c>
      <c r="C1492" s="2141" t="s">
        <v>3168</v>
      </c>
      <c r="D1492" s="2141">
        <v>49</v>
      </c>
      <c r="E1492" s="2142">
        <v>47.38</v>
      </c>
      <c r="F1492" s="2142">
        <v>13800</v>
      </c>
      <c r="G1492" s="2142">
        <v>653844</v>
      </c>
      <c r="H1492" s="2143">
        <v>41926</v>
      </c>
      <c r="I1492" s="2142">
        <v>653844</v>
      </c>
    </row>
    <row r="1493" spans="1:9" s="2139" customFormat="1" hidden="1">
      <c r="A1493" s="2140" t="s">
        <v>3967</v>
      </c>
      <c r="B1493" s="2141" t="s">
        <v>3054</v>
      </c>
      <c r="C1493" s="2141" t="s">
        <v>3168</v>
      </c>
      <c r="D1493" s="2141">
        <v>28</v>
      </c>
      <c r="E1493" s="2142">
        <v>68.81</v>
      </c>
      <c r="F1493" s="2142">
        <v>18800</v>
      </c>
      <c r="G1493" s="2142">
        <v>1293628</v>
      </c>
      <c r="H1493" s="2143">
        <v>41925</v>
      </c>
      <c r="I1493" s="2142">
        <v>1293628</v>
      </c>
    </row>
    <row r="1494" spans="1:9" s="2139" customFormat="1" hidden="1">
      <c r="A1494" s="2140" t="s">
        <v>4692</v>
      </c>
      <c r="B1494" s="2141" t="s">
        <v>3055</v>
      </c>
      <c r="C1494" s="2141" t="s">
        <v>3168</v>
      </c>
      <c r="D1494" s="3396">
        <v>161</v>
      </c>
      <c r="E1494" s="2142">
        <v>23.77</v>
      </c>
      <c r="F1494" s="2142">
        <v>14100</v>
      </c>
      <c r="G1494" s="2142">
        <v>335157</v>
      </c>
      <c r="H1494" s="3557">
        <v>41924</v>
      </c>
      <c r="I1494" s="2142">
        <v>335157</v>
      </c>
    </row>
    <row r="1495" spans="1:9" s="2139" customFormat="1" hidden="1">
      <c r="A1495" s="2140" t="s">
        <v>3968</v>
      </c>
      <c r="B1495" s="2141" t="s">
        <v>3054</v>
      </c>
      <c r="C1495" s="2141" t="s">
        <v>3168</v>
      </c>
      <c r="D1495" s="2141">
        <v>29</v>
      </c>
      <c r="E1495" s="2142">
        <v>68.78</v>
      </c>
      <c r="F1495" s="2142">
        <v>18236</v>
      </c>
      <c r="G1495" s="2142">
        <v>1254272.08</v>
      </c>
      <c r="H1495" s="2143">
        <v>41921</v>
      </c>
      <c r="I1495" s="2142">
        <v>1254272</v>
      </c>
    </row>
    <row r="1496" spans="1:9" s="2139" customFormat="1" hidden="1">
      <c r="A1496" s="2140" t="s">
        <v>3969</v>
      </c>
      <c r="B1496" s="2141" t="s">
        <v>3054</v>
      </c>
      <c r="C1496" s="2141" t="s">
        <v>3168</v>
      </c>
      <c r="D1496" s="2141">
        <v>30</v>
      </c>
      <c r="E1496" s="2142">
        <v>68.78</v>
      </c>
      <c r="F1496" s="2142">
        <v>18235.9843</v>
      </c>
      <c r="G1496" s="2142">
        <v>1254271.000154</v>
      </c>
      <c r="H1496" s="2143">
        <v>41921</v>
      </c>
      <c r="I1496" s="2142">
        <v>1254271</v>
      </c>
    </row>
    <row r="1497" spans="1:9" s="2139" customFormat="1" hidden="1">
      <c r="A1497" s="2140" t="s">
        <v>4666</v>
      </c>
      <c r="B1497" s="2141" t="s">
        <v>3055</v>
      </c>
      <c r="C1497" s="2141" t="s">
        <v>3168</v>
      </c>
      <c r="D1497" s="3396">
        <v>128</v>
      </c>
      <c r="E1497" s="2142">
        <v>67.12</v>
      </c>
      <c r="F1497" s="2142">
        <v>15800</v>
      </c>
      <c r="G1497" s="2142">
        <v>1060496</v>
      </c>
      <c r="H1497" s="3557">
        <v>41921</v>
      </c>
      <c r="I1497" s="2142">
        <v>1060496</v>
      </c>
    </row>
    <row r="1498" spans="1:9" s="2139" customFormat="1" hidden="1">
      <c r="A1498" s="2140" t="s">
        <v>4673</v>
      </c>
      <c r="B1498" s="2141" t="s">
        <v>3055</v>
      </c>
      <c r="C1498" s="2141" t="s">
        <v>3168</v>
      </c>
      <c r="D1498" s="3396">
        <v>136</v>
      </c>
      <c r="E1498" s="2142">
        <v>44.02</v>
      </c>
      <c r="F1498" s="2142">
        <v>15800</v>
      </c>
      <c r="G1498" s="2142">
        <v>695516</v>
      </c>
      <c r="H1498" s="3557">
        <v>41921</v>
      </c>
      <c r="I1498" s="2142">
        <v>695516</v>
      </c>
    </row>
    <row r="1499" spans="1:9" s="2139" customFormat="1" hidden="1">
      <c r="A1499" s="2140" t="s">
        <v>4682</v>
      </c>
      <c r="B1499" s="2141" t="s">
        <v>3055</v>
      </c>
      <c r="C1499" s="2141" t="s">
        <v>3168</v>
      </c>
      <c r="D1499" s="3396">
        <v>147</v>
      </c>
      <c r="E1499" s="2142">
        <v>118.57</v>
      </c>
      <c r="F1499" s="2142">
        <v>19000</v>
      </c>
      <c r="G1499" s="2142">
        <v>2252830</v>
      </c>
      <c r="H1499" s="3557">
        <v>41921</v>
      </c>
      <c r="I1499" s="2142">
        <v>2252830</v>
      </c>
    </row>
    <row r="1500" spans="1:9" s="2139" customFormat="1" hidden="1">
      <c r="A1500" s="2140" t="s">
        <v>4047</v>
      </c>
      <c r="B1500" s="2141" t="s">
        <v>3054</v>
      </c>
      <c r="C1500" s="2141" t="s">
        <v>3168</v>
      </c>
      <c r="D1500" s="2141">
        <v>212</v>
      </c>
      <c r="E1500" s="2142">
        <v>69.09</v>
      </c>
      <c r="F1500" s="2142">
        <v>15800</v>
      </c>
      <c r="G1500" s="2142">
        <v>1091622</v>
      </c>
      <c r="H1500" s="2143">
        <v>41912</v>
      </c>
      <c r="I1500" s="2142">
        <v>235572</v>
      </c>
    </row>
    <row r="1501" spans="1:9" s="2139" customFormat="1" hidden="1">
      <c r="A1501" s="2140" t="s">
        <v>4706</v>
      </c>
      <c r="B1501" s="2141" t="s">
        <v>3055</v>
      </c>
      <c r="C1501" s="2141" t="s">
        <v>3168</v>
      </c>
      <c r="D1501" s="3396">
        <v>188</v>
      </c>
      <c r="E1501" s="2142">
        <v>25.61</v>
      </c>
      <c r="F1501" s="2142">
        <v>14100</v>
      </c>
      <c r="G1501" s="2142">
        <v>361101</v>
      </c>
      <c r="H1501" s="3557">
        <v>41911</v>
      </c>
      <c r="I1501" s="2142">
        <v>361101</v>
      </c>
    </row>
    <row r="1502" spans="1:9" s="2139" customFormat="1" hidden="1">
      <c r="A1502" s="2140" t="s">
        <v>4707</v>
      </c>
      <c r="B1502" s="2141" t="s">
        <v>3055</v>
      </c>
      <c r="C1502" s="2141" t="s">
        <v>3168</v>
      </c>
      <c r="D1502" s="3396">
        <v>189</v>
      </c>
      <c r="E1502" s="2142">
        <v>44.64</v>
      </c>
      <c r="F1502" s="2142">
        <v>14300</v>
      </c>
      <c r="G1502" s="2142">
        <v>638352</v>
      </c>
      <c r="H1502" s="3557">
        <v>41911</v>
      </c>
      <c r="I1502" s="2142">
        <v>638352</v>
      </c>
    </row>
    <row r="1503" spans="1:9" s="2139" customFormat="1" hidden="1">
      <c r="A1503" s="2140" t="s">
        <v>4630</v>
      </c>
      <c r="B1503" s="2141" t="s">
        <v>3055</v>
      </c>
      <c r="C1503" s="2141" t="s">
        <v>3168</v>
      </c>
      <c r="D1503" s="3396">
        <v>67</v>
      </c>
      <c r="E1503" s="2142">
        <v>93.71</v>
      </c>
      <c r="F1503" s="2142">
        <v>19100</v>
      </c>
      <c r="G1503" s="2142">
        <v>1789860.9999999998</v>
      </c>
      <c r="H1503" s="3557">
        <v>41909</v>
      </c>
      <c r="I1503" s="2142">
        <v>703995</v>
      </c>
    </row>
    <row r="1504" spans="1:9" s="2139" customFormat="1" hidden="1">
      <c r="A1504" s="2140" t="s">
        <v>3966</v>
      </c>
      <c r="B1504" s="2141" t="s">
        <v>3054</v>
      </c>
      <c r="C1504" s="2141" t="s">
        <v>3168</v>
      </c>
      <c r="D1504" s="2141">
        <v>27</v>
      </c>
      <c r="E1504" s="2142">
        <v>106.45</v>
      </c>
      <c r="F1504" s="2142">
        <v>19100</v>
      </c>
      <c r="G1504" s="2142">
        <v>2033195</v>
      </c>
      <c r="H1504" s="2143">
        <v>41908</v>
      </c>
      <c r="I1504" s="2142">
        <v>2033195</v>
      </c>
    </row>
    <row r="1505" spans="1:9" s="2139" customFormat="1" hidden="1">
      <c r="A1505" s="2140" t="s">
        <v>3983</v>
      </c>
      <c r="B1505" s="2141" t="s">
        <v>3054</v>
      </c>
      <c r="C1505" s="2141" t="s">
        <v>3168</v>
      </c>
      <c r="D1505" s="2141">
        <v>52</v>
      </c>
      <c r="E1505" s="2142">
        <v>47.97</v>
      </c>
      <c r="F1505" s="2142">
        <v>13800</v>
      </c>
      <c r="G1505" s="2142">
        <v>661986</v>
      </c>
      <c r="H1505" s="2143">
        <v>41908</v>
      </c>
      <c r="I1505" s="2142">
        <v>661986</v>
      </c>
    </row>
    <row r="1506" spans="1:9" s="2139" customFormat="1" hidden="1">
      <c r="A1506" s="2140" t="s">
        <v>3984</v>
      </c>
      <c r="B1506" s="2141" t="s">
        <v>3054</v>
      </c>
      <c r="C1506" s="2141" t="s">
        <v>3168</v>
      </c>
      <c r="D1506" s="2141">
        <v>53</v>
      </c>
      <c r="E1506" s="2142">
        <v>74.78</v>
      </c>
      <c r="F1506" s="2142">
        <v>14100</v>
      </c>
      <c r="G1506" s="2142">
        <v>1054398</v>
      </c>
      <c r="H1506" s="2143">
        <v>41908</v>
      </c>
      <c r="I1506" s="2142">
        <v>1054398</v>
      </c>
    </row>
    <row r="1507" spans="1:9" s="2139" customFormat="1" hidden="1">
      <c r="A1507" s="2140" t="s">
        <v>4000</v>
      </c>
      <c r="B1507" s="2141" t="s">
        <v>3054</v>
      </c>
      <c r="C1507" s="2141" t="s">
        <v>3168</v>
      </c>
      <c r="D1507" s="2141">
        <v>72</v>
      </c>
      <c r="E1507" s="2142">
        <v>58.7</v>
      </c>
      <c r="F1507" s="2142">
        <v>14500</v>
      </c>
      <c r="G1507" s="2142">
        <v>851150</v>
      </c>
      <c r="H1507" s="2143">
        <v>41908</v>
      </c>
      <c r="I1507" s="2142">
        <v>182455</v>
      </c>
    </row>
    <row r="1508" spans="1:9" s="2139" customFormat="1" hidden="1">
      <c r="A1508" s="2140" t="s">
        <v>4018</v>
      </c>
      <c r="B1508" s="2141" t="s">
        <v>3054</v>
      </c>
      <c r="C1508" s="2141" t="s">
        <v>3168</v>
      </c>
      <c r="D1508" s="2141">
        <v>173</v>
      </c>
      <c r="E1508" s="2142">
        <v>51.06</v>
      </c>
      <c r="F1508" s="2142">
        <v>19100</v>
      </c>
      <c r="G1508" s="2142">
        <v>975246</v>
      </c>
      <c r="H1508" s="2143">
        <v>41908</v>
      </c>
      <c r="I1508" s="2142">
        <v>495246</v>
      </c>
    </row>
    <row r="1509" spans="1:9" s="2139" customFormat="1" hidden="1">
      <c r="A1509" s="2140" t="s">
        <v>4019</v>
      </c>
      <c r="B1509" s="2141" t="s">
        <v>3054</v>
      </c>
      <c r="C1509" s="2141" t="s">
        <v>3168</v>
      </c>
      <c r="D1509" s="2141">
        <v>175</v>
      </c>
      <c r="E1509" s="2142">
        <v>43.32</v>
      </c>
      <c r="F1509" s="2142">
        <v>18800</v>
      </c>
      <c r="G1509" s="2142">
        <v>814416</v>
      </c>
      <c r="H1509" s="2143">
        <v>41908</v>
      </c>
      <c r="I1509" s="2142">
        <v>414416</v>
      </c>
    </row>
    <row r="1510" spans="1:9" s="2139" customFormat="1" hidden="1">
      <c r="A1510" s="2140" t="s">
        <v>4020</v>
      </c>
      <c r="B1510" s="2141" t="s">
        <v>3054</v>
      </c>
      <c r="C1510" s="2141" t="s">
        <v>3168</v>
      </c>
      <c r="D1510" s="2141">
        <v>176</v>
      </c>
      <c r="E1510" s="2142">
        <v>40.229999999999997</v>
      </c>
      <c r="F1510" s="2142">
        <v>18800</v>
      </c>
      <c r="G1510" s="2142">
        <v>756323.99999999988</v>
      </c>
      <c r="H1510" s="2143">
        <v>41908</v>
      </c>
      <c r="I1510" s="2142">
        <v>756324</v>
      </c>
    </row>
    <row r="1511" spans="1:9" s="2139" customFormat="1" hidden="1">
      <c r="A1511" s="2140" t="s">
        <v>4021</v>
      </c>
      <c r="B1511" s="2141" t="s">
        <v>3054</v>
      </c>
      <c r="C1511" s="2141" t="s">
        <v>3168</v>
      </c>
      <c r="D1511" s="2141">
        <v>177</v>
      </c>
      <c r="E1511" s="2142">
        <v>71.36</v>
      </c>
      <c r="F1511" s="2142">
        <v>19100</v>
      </c>
      <c r="G1511" s="2142">
        <v>1362976</v>
      </c>
      <c r="H1511" s="2143">
        <v>41908</v>
      </c>
      <c r="I1511" s="2142">
        <v>1362976</v>
      </c>
    </row>
    <row r="1512" spans="1:9" s="2139" customFormat="1" hidden="1">
      <c r="A1512" s="2140" t="s">
        <v>4022</v>
      </c>
      <c r="B1512" s="2141" t="s">
        <v>3054</v>
      </c>
      <c r="C1512" s="2141" t="s">
        <v>3168</v>
      </c>
      <c r="D1512" s="2141">
        <v>178</v>
      </c>
      <c r="E1512" s="2142">
        <v>69.760000000000005</v>
      </c>
      <c r="F1512" s="2142">
        <v>14500</v>
      </c>
      <c r="G1512" s="2142">
        <v>1011520.0000000001</v>
      </c>
      <c r="H1512" s="2143">
        <v>41908</v>
      </c>
      <c r="I1512" s="2142">
        <v>1011520</v>
      </c>
    </row>
    <row r="1513" spans="1:9" s="2139" customFormat="1" hidden="1">
      <c r="A1513" s="2140" t="s">
        <v>4023</v>
      </c>
      <c r="B1513" s="2141" t="s">
        <v>3054</v>
      </c>
      <c r="C1513" s="2141" t="s">
        <v>3168</v>
      </c>
      <c r="D1513" s="2141">
        <v>179</v>
      </c>
      <c r="E1513" s="2142">
        <v>68.44</v>
      </c>
      <c r="F1513" s="2142">
        <v>14500</v>
      </c>
      <c r="G1513" s="2142">
        <v>992380</v>
      </c>
      <c r="H1513" s="2143">
        <v>41908</v>
      </c>
      <c r="I1513" s="2142">
        <v>502380</v>
      </c>
    </row>
    <row r="1514" spans="1:9" s="2139" customFormat="1" hidden="1">
      <c r="A1514" s="2140" t="s">
        <v>4028</v>
      </c>
      <c r="B1514" s="2141" t="s">
        <v>3054</v>
      </c>
      <c r="C1514" s="2141" t="s">
        <v>3168</v>
      </c>
      <c r="D1514" s="2141">
        <v>185</v>
      </c>
      <c r="E1514" s="2142">
        <v>54.89</v>
      </c>
      <c r="F1514" s="2142">
        <v>13800</v>
      </c>
      <c r="G1514" s="2142">
        <v>757482</v>
      </c>
      <c r="H1514" s="2143">
        <v>41908</v>
      </c>
      <c r="I1514" s="2142">
        <v>387482</v>
      </c>
    </row>
    <row r="1515" spans="1:9" s="2139" customFormat="1" hidden="1">
      <c r="A1515" s="2140" t="s">
        <v>4029</v>
      </c>
      <c r="B1515" s="2141" t="s">
        <v>3054</v>
      </c>
      <c r="C1515" s="2141" t="s">
        <v>3168</v>
      </c>
      <c r="D1515" s="2141">
        <v>186</v>
      </c>
      <c r="E1515" s="2142">
        <v>57.89</v>
      </c>
      <c r="F1515" s="2142">
        <v>13800</v>
      </c>
      <c r="G1515" s="2142">
        <v>798882</v>
      </c>
      <c r="H1515" s="2143">
        <v>41908</v>
      </c>
      <c r="I1515" s="2142">
        <v>408882</v>
      </c>
    </row>
    <row r="1516" spans="1:9" s="2139" customFormat="1" hidden="1">
      <c r="A1516" s="2140" t="s">
        <v>4030</v>
      </c>
      <c r="B1516" s="2141" t="s">
        <v>3054</v>
      </c>
      <c r="C1516" s="2141" t="s">
        <v>3168</v>
      </c>
      <c r="D1516" s="2141">
        <v>187</v>
      </c>
      <c r="E1516" s="2142">
        <v>58.54</v>
      </c>
      <c r="F1516" s="2142">
        <v>13800</v>
      </c>
      <c r="G1516" s="2142">
        <v>807852</v>
      </c>
      <c r="H1516" s="2143">
        <v>41908</v>
      </c>
      <c r="I1516" s="2142">
        <v>807852</v>
      </c>
    </row>
    <row r="1517" spans="1:9" s="2139" customFormat="1" hidden="1">
      <c r="A1517" s="2140" t="s">
        <v>4031</v>
      </c>
      <c r="B1517" s="2141" t="s">
        <v>3054</v>
      </c>
      <c r="C1517" s="2141" t="s">
        <v>3168</v>
      </c>
      <c r="D1517" s="2141">
        <v>188</v>
      </c>
      <c r="E1517" s="2142">
        <v>51.9</v>
      </c>
      <c r="F1517" s="2142">
        <v>13800</v>
      </c>
      <c r="G1517" s="2142">
        <v>716220</v>
      </c>
      <c r="H1517" s="2143">
        <v>41908</v>
      </c>
      <c r="I1517" s="2142">
        <v>716220</v>
      </c>
    </row>
    <row r="1518" spans="1:9" s="2139" customFormat="1" hidden="1">
      <c r="A1518" s="2140" t="s">
        <v>4032</v>
      </c>
      <c r="B1518" s="2141" t="s">
        <v>3054</v>
      </c>
      <c r="C1518" s="2141" t="s">
        <v>3168</v>
      </c>
      <c r="D1518" s="2141">
        <v>189</v>
      </c>
      <c r="E1518" s="2142">
        <v>55.89</v>
      </c>
      <c r="F1518" s="2142">
        <v>13800</v>
      </c>
      <c r="G1518" s="2142">
        <v>771282</v>
      </c>
      <c r="H1518" s="2143">
        <v>41908</v>
      </c>
      <c r="I1518" s="2142">
        <v>391282</v>
      </c>
    </row>
    <row r="1519" spans="1:9" s="2139" customFormat="1" hidden="1">
      <c r="A1519" s="2140" t="s">
        <v>4033</v>
      </c>
      <c r="B1519" s="2141" t="s">
        <v>3054</v>
      </c>
      <c r="C1519" s="2141" t="s">
        <v>3168</v>
      </c>
      <c r="D1519" s="2141">
        <v>190</v>
      </c>
      <c r="E1519" s="2142">
        <v>51.46</v>
      </c>
      <c r="F1519" s="2142">
        <v>14100</v>
      </c>
      <c r="G1519" s="2142">
        <v>725586</v>
      </c>
      <c r="H1519" s="2143">
        <v>41908</v>
      </c>
      <c r="I1519" s="2142">
        <v>365586</v>
      </c>
    </row>
    <row r="1520" spans="1:9" s="2139" customFormat="1" hidden="1">
      <c r="A1520" s="2140" t="s">
        <v>4627</v>
      </c>
      <c r="B1520" s="2141" t="s">
        <v>3055</v>
      </c>
      <c r="C1520" s="2141" t="s">
        <v>3168</v>
      </c>
      <c r="D1520" s="3396">
        <v>63</v>
      </c>
      <c r="E1520" s="2142">
        <v>117.83</v>
      </c>
      <c r="F1520" s="2142">
        <v>19100</v>
      </c>
      <c r="G1520" s="2142">
        <v>2250553</v>
      </c>
      <c r="H1520" s="3557">
        <v>41908</v>
      </c>
      <c r="I1520" s="2142">
        <v>1138507</v>
      </c>
    </row>
    <row r="1521" spans="1:9" s="2139" customFormat="1" hidden="1">
      <c r="A1521" s="2140" t="s">
        <v>4683</v>
      </c>
      <c r="B1521" s="2141" t="s">
        <v>3055</v>
      </c>
      <c r="C1521" s="2141" t="s">
        <v>3168</v>
      </c>
      <c r="D1521" s="3396">
        <v>150</v>
      </c>
      <c r="E1521" s="2142">
        <v>81.069999999999993</v>
      </c>
      <c r="F1521" s="2142">
        <v>14300</v>
      </c>
      <c r="G1521" s="2142">
        <v>1159301</v>
      </c>
      <c r="H1521" s="3557">
        <v>41907</v>
      </c>
      <c r="I1521" s="2142">
        <v>1159301</v>
      </c>
    </row>
    <row r="1522" spans="1:9" s="2139" customFormat="1" hidden="1">
      <c r="A1522" s="2140" t="s">
        <v>4633</v>
      </c>
      <c r="B1522" s="2141" t="s">
        <v>3055</v>
      </c>
      <c r="C1522" s="2141" t="s">
        <v>3168</v>
      </c>
      <c r="D1522" s="3396">
        <v>71</v>
      </c>
      <c r="E1522" s="2142">
        <v>47.67</v>
      </c>
      <c r="F1522" s="2142">
        <v>14500</v>
      </c>
      <c r="G1522" s="2142">
        <v>691215</v>
      </c>
      <c r="H1522" s="3557">
        <v>41906</v>
      </c>
      <c r="I1522" s="2142">
        <v>158030</v>
      </c>
    </row>
    <row r="1523" spans="1:9" s="2139" customFormat="1" hidden="1">
      <c r="A1523" s="2140" t="s">
        <v>4634</v>
      </c>
      <c r="B1523" s="2141" t="s">
        <v>3055</v>
      </c>
      <c r="C1523" s="2141" t="s">
        <v>3168</v>
      </c>
      <c r="D1523" s="3396">
        <v>72</v>
      </c>
      <c r="E1523" s="2142">
        <v>59.11</v>
      </c>
      <c r="F1523" s="2142">
        <v>14800</v>
      </c>
      <c r="G1523" s="2142">
        <v>874828</v>
      </c>
      <c r="H1523" s="3557">
        <v>41906</v>
      </c>
      <c r="I1523" s="2142">
        <v>181784</v>
      </c>
    </row>
    <row r="1524" spans="1:9" s="2139" customFormat="1" hidden="1">
      <c r="A1524" s="2140" t="s">
        <v>4636</v>
      </c>
      <c r="B1524" s="2141" t="s">
        <v>3055</v>
      </c>
      <c r="C1524" s="2141" t="s">
        <v>3168</v>
      </c>
      <c r="D1524" s="3396">
        <v>79</v>
      </c>
      <c r="E1524" s="2142">
        <v>28.98</v>
      </c>
      <c r="F1524" s="2142">
        <v>14500</v>
      </c>
      <c r="G1524" s="2142">
        <v>420210</v>
      </c>
      <c r="H1524" s="3557">
        <v>41906</v>
      </c>
      <c r="I1524" s="2142">
        <v>215575</v>
      </c>
    </row>
    <row r="1525" spans="1:9" s="2139" customFormat="1" hidden="1">
      <c r="A1525" s="2140" t="s">
        <v>4637</v>
      </c>
      <c r="B1525" s="2141" t="s">
        <v>3055</v>
      </c>
      <c r="C1525" s="2141" t="s">
        <v>3168</v>
      </c>
      <c r="D1525" s="3396">
        <v>80</v>
      </c>
      <c r="E1525" s="2142">
        <v>16.510000000000002</v>
      </c>
      <c r="F1525" s="2142">
        <v>14800</v>
      </c>
      <c r="G1525" s="2142">
        <v>244348.00000000003</v>
      </c>
      <c r="H1525" s="3557">
        <v>41906</v>
      </c>
      <c r="I1525" s="2142">
        <v>90496</v>
      </c>
    </row>
    <row r="1526" spans="1:9" s="2139" customFormat="1" hidden="1">
      <c r="A1526" s="2140" t="s">
        <v>4646</v>
      </c>
      <c r="B1526" s="2141" t="s">
        <v>3055</v>
      </c>
      <c r="C1526" s="2141" t="s">
        <v>3168</v>
      </c>
      <c r="D1526" s="3396">
        <v>93</v>
      </c>
      <c r="E1526" s="2142">
        <v>172.77</v>
      </c>
      <c r="F1526" s="2142">
        <v>18800</v>
      </c>
      <c r="G1526" s="2142">
        <v>3248076</v>
      </c>
      <c r="H1526" s="3557">
        <v>41906</v>
      </c>
      <c r="I1526" s="2142">
        <v>1602204</v>
      </c>
    </row>
    <row r="1527" spans="1:9" s="2139" customFormat="1" hidden="1">
      <c r="A1527" s="2140" t="s">
        <v>4647</v>
      </c>
      <c r="B1527" s="2141" t="s">
        <v>3055</v>
      </c>
      <c r="C1527" s="2141" t="s">
        <v>3168</v>
      </c>
      <c r="D1527" s="3396">
        <v>95</v>
      </c>
      <c r="E1527" s="2142">
        <v>135.65</v>
      </c>
      <c r="F1527" s="2142">
        <v>19100</v>
      </c>
      <c r="G1527" s="2142">
        <v>2590915</v>
      </c>
      <c r="H1527" s="3557">
        <v>41906</v>
      </c>
      <c r="I1527" s="2142">
        <v>531543</v>
      </c>
    </row>
    <row r="1528" spans="1:9" s="2139" customFormat="1" hidden="1">
      <c r="A1528" s="2140" t="s">
        <v>4665</v>
      </c>
      <c r="B1528" s="2141" t="s">
        <v>3055</v>
      </c>
      <c r="C1528" s="2141" t="s">
        <v>3168</v>
      </c>
      <c r="D1528" s="3396">
        <v>127</v>
      </c>
      <c r="E1528" s="2142">
        <v>67.12</v>
      </c>
      <c r="F1528" s="2142">
        <v>15800</v>
      </c>
      <c r="G1528" s="2142">
        <v>1060496</v>
      </c>
      <c r="H1528" s="3557">
        <v>41906</v>
      </c>
      <c r="I1528" s="2142">
        <v>219028</v>
      </c>
    </row>
    <row r="1529" spans="1:9" s="2139" customFormat="1" hidden="1">
      <c r="A1529" s="2140" t="s">
        <v>4688</v>
      </c>
      <c r="B1529" s="2141" t="s">
        <v>3055</v>
      </c>
      <c r="C1529" s="2141" t="s">
        <v>3168</v>
      </c>
      <c r="D1529" s="3396">
        <v>157</v>
      </c>
      <c r="E1529" s="2142">
        <v>31.93</v>
      </c>
      <c r="F1529" s="2142">
        <v>14100</v>
      </c>
      <c r="G1529" s="2142">
        <v>450213</v>
      </c>
      <c r="H1529" s="3557">
        <v>41906</v>
      </c>
      <c r="I1529" s="2142">
        <v>450213</v>
      </c>
    </row>
    <row r="1530" spans="1:9" s="2139" customFormat="1" hidden="1">
      <c r="A1530" s="2140" t="s">
        <v>5275</v>
      </c>
      <c r="B1530" s="2141" t="s">
        <v>3056</v>
      </c>
      <c r="C1530" s="2141" t="s">
        <v>3168</v>
      </c>
      <c r="D1530" s="2141">
        <v>35</v>
      </c>
      <c r="E1530" s="2142">
        <v>106.67</v>
      </c>
      <c r="F1530" s="2142">
        <v>20734</v>
      </c>
      <c r="G1530" s="2142">
        <v>2211695.7800000003</v>
      </c>
      <c r="H1530" s="2143">
        <v>41906</v>
      </c>
      <c r="I1530" s="2142">
        <v>230002</v>
      </c>
    </row>
    <row r="1531" spans="1:9" s="2139" customFormat="1" hidden="1">
      <c r="A1531" s="2140" t="s">
        <v>5276</v>
      </c>
      <c r="B1531" s="2141" t="s">
        <v>3056</v>
      </c>
      <c r="C1531" s="2141" t="s">
        <v>3168</v>
      </c>
      <c r="D1531" s="2141">
        <v>36</v>
      </c>
      <c r="E1531" s="2142">
        <v>71.650000000000006</v>
      </c>
      <c r="F1531" s="2142">
        <v>20734</v>
      </c>
      <c r="G1531" s="2142">
        <v>1485591.1</v>
      </c>
      <c r="H1531" s="2143">
        <v>41906</v>
      </c>
      <c r="I1531" s="2142">
        <v>169874</v>
      </c>
    </row>
    <row r="1532" spans="1:9" s="2139" customFormat="1" hidden="1">
      <c r="A1532" s="2140" t="s">
        <v>5277</v>
      </c>
      <c r="B1532" s="2141" t="s">
        <v>3056</v>
      </c>
      <c r="C1532" s="2141" t="s">
        <v>3168</v>
      </c>
      <c r="D1532" s="2141">
        <v>38</v>
      </c>
      <c r="E1532" s="2142">
        <v>151.79</v>
      </c>
      <c r="F1532" s="2142">
        <v>19642</v>
      </c>
      <c r="G1532" s="2142">
        <v>2981459.1799999997</v>
      </c>
      <c r="H1532" s="2143">
        <v>41906</v>
      </c>
      <c r="I1532" s="2142">
        <v>339591</v>
      </c>
    </row>
    <row r="1533" spans="1:9" s="2139" customFormat="1" hidden="1">
      <c r="A1533" s="2140" t="s">
        <v>5290</v>
      </c>
      <c r="B1533" s="2141" t="s">
        <v>3056</v>
      </c>
      <c r="C1533" s="2141" t="s">
        <v>3168</v>
      </c>
      <c r="D1533" s="2141">
        <v>141</v>
      </c>
      <c r="E1533" s="2142">
        <v>50.03</v>
      </c>
      <c r="F1533" s="2142">
        <v>15800</v>
      </c>
      <c r="G1533" s="2142">
        <v>790474</v>
      </c>
      <c r="H1533" s="2143">
        <v>41906</v>
      </c>
      <c r="I1533" s="2142">
        <v>90455</v>
      </c>
    </row>
    <row r="1534" spans="1:9" s="2139" customFormat="1" hidden="1">
      <c r="A1534" s="2140" t="s">
        <v>5291</v>
      </c>
      <c r="B1534" s="2141" t="s">
        <v>3056</v>
      </c>
      <c r="C1534" s="2141" t="s">
        <v>3168</v>
      </c>
      <c r="D1534" s="2141">
        <v>142</v>
      </c>
      <c r="E1534" s="2142">
        <v>50.03</v>
      </c>
      <c r="F1534" s="2142">
        <v>15800</v>
      </c>
      <c r="G1534" s="2142">
        <v>790474</v>
      </c>
      <c r="H1534" s="2143">
        <v>41906</v>
      </c>
      <c r="I1534" s="2142">
        <v>90455</v>
      </c>
    </row>
    <row r="1535" spans="1:9" s="2139" customFormat="1" hidden="1">
      <c r="A1535" s="2140" t="s">
        <v>4003</v>
      </c>
      <c r="B1535" s="2141" t="s">
        <v>3054</v>
      </c>
      <c r="C1535" s="2141" t="s">
        <v>3168</v>
      </c>
      <c r="D1535" s="2141">
        <v>83</v>
      </c>
      <c r="E1535" s="2142">
        <v>191.14</v>
      </c>
      <c r="F1535" s="2142">
        <v>19100</v>
      </c>
      <c r="G1535" s="2142">
        <v>3650773.9999999995</v>
      </c>
      <c r="H1535" s="2143">
        <v>41904</v>
      </c>
      <c r="I1535" s="2142">
        <v>1830774</v>
      </c>
    </row>
    <row r="1536" spans="1:9" s="2139" customFormat="1" hidden="1">
      <c r="A1536" s="2140" t="s">
        <v>4004</v>
      </c>
      <c r="B1536" s="2141" t="s">
        <v>3054</v>
      </c>
      <c r="C1536" s="2141" t="s">
        <v>3168</v>
      </c>
      <c r="D1536" s="2141">
        <v>85</v>
      </c>
      <c r="E1536" s="2142">
        <v>59.52</v>
      </c>
      <c r="F1536" s="2142">
        <v>14500</v>
      </c>
      <c r="G1536" s="2142">
        <v>863040</v>
      </c>
      <c r="H1536" s="2143">
        <v>41904</v>
      </c>
      <c r="I1536" s="2142">
        <v>443040</v>
      </c>
    </row>
    <row r="1537" spans="1:9" s="2139" customFormat="1" hidden="1">
      <c r="A1537" s="2140" t="s">
        <v>4008</v>
      </c>
      <c r="B1537" s="2141" t="s">
        <v>3054</v>
      </c>
      <c r="C1537" s="2141" t="s">
        <v>3168</v>
      </c>
      <c r="D1537" s="2141">
        <v>150</v>
      </c>
      <c r="E1537" s="2142">
        <v>89.07</v>
      </c>
      <c r="F1537" s="2142">
        <v>19100</v>
      </c>
      <c r="G1537" s="2142">
        <v>1701236.9999999998</v>
      </c>
      <c r="H1537" s="2143">
        <v>41904</v>
      </c>
      <c r="I1537" s="2142">
        <v>1701237</v>
      </c>
    </row>
    <row r="1538" spans="1:9" s="2139" customFormat="1" hidden="1">
      <c r="A1538" s="2140" t="s">
        <v>4009</v>
      </c>
      <c r="B1538" s="2141" t="s">
        <v>3054</v>
      </c>
      <c r="C1538" s="2141" t="s">
        <v>3168</v>
      </c>
      <c r="D1538" s="2141">
        <v>151</v>
      </c>
      <c r="E1538" s="2142">
        <v>72.31</v>
      </c>
      <c r="F1538" s="2142">
        <v>18800</v>
      </c>
      <c r="G1538" s="2142">
        <v>1359428</v>
      </c>
      <c r="H1538" s="2143">
        <v>41904</v>
      </c>
      <c r="I1538" s="2142">
        <v>1359428</v>
      </c>
    </row>
    <row r="1539" spans="1:9" s="2139" customFormat="1" hidden="1">
      <c r="A1539" s="2140" t="s">
        <v>4010</v>
      </c>
      <c r="B1539" s="2141" t="s">
        <v>3054</v>
      </c>
      <c r="C1539" s="2141" t="s">
        <v>3168</v>
      </c>
      <c r="D1539" s="2141">
        <v>152</v>
      </c>
      <c r="E1539" s="2142">
        <v>74.08</v>
      </c>
      <c r="F1539" s="2142">
        <v>18800</v>
      </c>
      <c r="G1539" s="2142">
        <v>1392704</v>
      </c>
      <c r="H1539" s="2143">
        <v>41904</v>
      </c>
      <c r="I1539" s="2142">
        <v>1392704</v>
      </c>
    </row>
    <row r="1540" spans="1:9" s="2139" customFormat="1" hidden="1">
      <c r="A1540" s="2140" t="s">
        <v>4011</v>
      </c>
      <c r="B1540" s="2141" t="s">
        <v>3054</v>
      </c>
      <c r="C1540" s="2141" t="s">
        <v>3168</v>
      </c>
      <c r="D1540" s="2141">
        <v>153</v>
      </c>
      <c r="E1540" s="2142">
        <v>63.5</v>
      </c>
      <c r="F1540" s="2142">
        <v>13800</v>
      </c>
      <c r="G1540" s="2142">
        <v>876300</v>
      </c>
      <c r="H1540" s="2143">
        <v>41904</v>
      </c>
      <c r="I1540" s="2142">
        <v>876300</v>
      </c>
    </row>
    <row r="1541" spans="1:9" s="2139" customFormat="1" hidden="1">
      <c r="A1541" s="2140" t="s">
        <v>4012</v>
      </c>
      <c r="B1541" s="2141" t="s">
        <v>3054</v>
      </c>
      <c r="C1541" s="2141" t="s">
        <v>3168</v>
      </c>
      <c r="D1541" s="2141">
        <v>155</v>
      </c>
      <c r="E1541" s="2142">
        <v>89.36</v>
      </c>
      <c r="F1541" s="2142">
        <v>13800</v>
      </c>
      <c r="G1541" s="2142">
        <v>1233168</v>
      </c>
      <c r="H1541" s="2143">
        <v>41904</v>
      </c>
      <c r="I1541" s="2142">
        <v>1233168</v>
      </c>
    </row>
    <row r="1542" spans="1:9" s="2139" customFormat="1" hidden="1">
      <c r="A1542" s="2140" t="s">
        <v>4013</v>
      </c>
      <c r="B1542" s="2141" t="s">
        <v>3054</v>
      </c>
      <c r="C1542" s="2141" t="s">
        <v>3168</v>
      </c>
      <c r="D1542" s="2141">
        <v>161</v>
      </c>
      <c r="E1542" s="2142">
        <v>62.7</v>
      </c>
      <c r="F1542" s="2142">
        <v>18700</v>
      </c>
      <c r="G1542" s="2142">
        <v>1172490</v>
      </c>
      <c r="H1542" s="2143">
        <v>41904</v>
      </c>
      <c r="I1542" s="2142">
        <v>1172490</v>
      </c>
    </row>
    <row r="1543" spans="1:9" s="2139" customFormat="1" hidden="1">
      <c r="A1543" s="2140" t="s">
        <v>4014</v>
      </c>
      <c r="B1543" s="2141" t="s">
        <v>3054</v>
      </c>
      <c r="C1543" s="2141" t="s">
        <v>3168</v>
      </c>
      <c r="D1543" s="2141">
        <v>163</v>
      </c>
      <c r="E1543" s="2142">
        <v>79.12</v>
      </c>
      <c r="F1543" s="2142">
        <v>19100</v>
      </c>
      <c r="G1543" s="2142">
        <v>1511192</v>
      </c>
      <c r="H1543" s="2143">
        <v>41904</v>
      </c>
      <c r="I1543" s="2142">
        <v>1511192</v>
      </c>
    </row>
    <row r="1544" spans="1:9" s="2139" customFormat="1" hidden="1">
      <c r="A1544" s="2140" t="s">
        <v>4700</v>
      </c>
      <c r="B1544" s="2141" t="s">
        <v>3055</v>
      </c>
      <c r="C1544" s="2141" t="s">
        <v>3168</v>
      </c>
      <c r="D1544" s="3396">
        <v>176</v>
      </c>
      <c r="E1544" s="2142">
        <v>127.09</v>
      </c>
      <c r="F1544" s="2142">
        <v>19100</v>
      </c>
      <c r="G1544" s="2142">
        <v>2427419</v>
      </c>
      <c r="H1544" s="3557">
        <v>41904</v>
      </c>
      <c r="I1544" s="2142">
        <v>474101</v>
      </c>
    </row>
    <row r="1545" spans="1:9" s="2139" customFormat="1" hidden="1">
      <c r="A1545" s="2140" t="s">
        <v>4701</v>
      </c>
      <c r="B1545" s="2141" t="s">
        <v>3055</v>
      </c>
      <c r="C1545" s="2141" t="s">
        <v>3168</v>
      </c>
      <c r="D1545" s="3396">
        <v>177</v>
      </c>
      <c r="E1545" s="2142">
        <v>67.95</v>
      </c>
      <c r="F1545" s="2142">
        <v>15000</v>
      </c>
      <c r="G1545" s="2142">
        <v>1019250</v>
      </c>
      <c r="H1545" s="3557">
        <v>41904</v>
      </c>
      <c r="I1545" s="2142">
        <v>217350</v>
      </c>
    </row>
    <row r="1546" spans="1:9" s="2139" customFormat="1" hidden="1">
      <c r="A1546" s="2140" t="s">
        <v>4709</v>
      </c>
      <c r="B1546" s="2141" t="s">
        <v>3055</v>
      </c>
      <c r="C1546" s="2141" t="s">
        <v>3168</v>
      </c>
      <c r="D1546" s="3396">
        <v>191</v>
      </c>
      <c r="E1546" s="2142">
        <v>46.64</v>
      </c>
      <c r="F1546" s="2142">
        <v>13871</v>
      </c>
      <c r="G1546" s="2142">
        <v>646943.44000000006</v>
      </c>
      <c r="H1546" s="3557">
        <v>41904</v>
      </c>
      <c r="I1546" s="2142">
        <v>646943</v>
      </c>
    </row>
    <row r="1547" spans="1:9" s="2139" customFormat="1" hidden="1">
      <c r="A1547" s="2140" t="s">
        <v>4710</v>
      </c>
      <c r="B1547" s="2141" t="s">
        <v>3055</v>
      </c>
      <c r="C1547" s="2141" t="s">
        <v>3168</v>
      </c>
      <c r="D1547" s="3396">
        <v>192</v>
      </c>
      <c r="E1547" s="2142">
        <v>44.02</v>
      </c>
      <c r="F1547" s="2142">
        <v>13677</v>
      </c>
      <c r="G1547" s="2142">
        <v>602061.54</v>
      </c>
      <c r="H1547" s="3557">
        <v>41904</v>
      </c>
      <c r="I1547" s="2142">
        <v>602062</v>
      </c>
    </row>
    <row r="1548" spans="1:9" s="2139" customFormat="1" hidden="1">
      <c r="A1548" s="2140" t="s">
        <v>4711</v>
      </c>
      <c r="B1548" s="2141" t="s">
        <v>3055</v>
      </c>
      <c r="C1548" s="2141" t="s">
        <v>3168</v>
      </c>
      <c r="D1548" s="3396">
        <v>193</v>
      </c>
      <c r="E1548" s="2142">
        <v>44.02</v>
      </c>
      <c r="F1548" s="2142">
        <v>13677</v>
      </c>
      <c r="G1548" s="2142">
        <v>602061.54</v>
      </c>
      <c r="H1548" s="3557">
        <v>41904</v>
      </c>
      <c r="I1548" s="2142">
        <v>602062</v>
      </c>
    </row>
    <row r="1549" spans="1:9" s="2139" customFormat="1" hidden="1">
      <c r="A1549" s="2140" t="s">
        <v>4712</v>
      </c>
      <c r="B1549" s="2141" t="s">
        <v>3055</v>
      </c>
      <c r="C1549" s="2141" t="s">
        <v>3168</v>
      </c>
      <c r="D1549" s="3396">
        <v>195</v>
      </c>
      <c r="E1549" s="2142">
        <v>42.48</v>
      </c>
      <c r="F1549" s="2142">
        <v>13677</v>
      </c>
      <c r="G1549" s="2142">
        <v>580998.96</v>
      </c>
      <c r="H1549" s="3557">
        <v>41904</v>
      </c>
      <c r="I1549" s="2142">
        <v>580999</v>
      </c>
    </row>
    <row r="1550" spans="1:9" s="2139" customFormat="1" hidden="1">
      <c r="A1550" s="2140" t="s">
        <v>4713</v>
      </c>
      <c r="B1550" s="2141" t="s">
        <v>3055</v>
      </c>
      <c r="C1550" s="2141" t="s">
        <v>3168</v>
      </c>
      <c r="D1550" s="3396">
        <v>196</v>
      </c>
      <c r="E1550" s="2142">
        <v>42.48</v>
      </c>
      <c r="F1550" s="2142">
        <v>13677</v>
      </c>
      <c r="G1550" s="2142">
        <v>580998.96</v>
      </c>
      <c r="H1550" s="3557">
        <v>41904</v>
      </c>
      <c r="I1550" s="2142">
        <v>580999</v>
      </c>
    </row>
    <row r="1551" spans="1:9" s="2139" customFormat="1" hidden="1">
      <c r="A1551" s="2140" t="s">
        <v>4723</v>
      </c>
      <c r="B1551" s="2141" t="s">
        <v>3055</v>
      </c>
      <c r="C1551" s="2141" t="s">
        <v>3168</v>
      </c>
      <c r="D1551" s="3396">
        <v>208</v>
      </c>
      <c r="E1551" s="2142">
        <v>67.13</v>
      </c>
      <c r="F1551" s="2142">
        <v>18236</v>
      </c>
      <c r="G1551" s="2142">
        <v>1224182.68</v>
      </c>
      <c r="H1551" s="3557">
        <v>41904</v>
      </c>
      <c r="I1551" s="2142">
        <v>1224183</v>
      </c>
    </row>
    <row r="1552" spans="1:9" s="2139" customFormat="1" hidden="1">
      <c r="A1552" s="2140" t="s">
        <v>4724</v>
      </c>
      <c r="B1552" s="2141" t="s">
        <v>3055</v>
      </c>
      <c r="C1552" s="2141" t="s">
        <v>3168</v>
      </c>
      <c r="D1552" s="3396">
        <v>209</v>
      </c>
      <c r="E1552" s="2142">
        <v>67.13</v>
      </c>
      <c r="F1552" s="2142">
        <v>18236</v>
      </c>
      <c r="G1552" s="2142">
        <v>1224182.68</v>
      </c>
      <c r="H1552" s="3557">
        <v>41904</v>
      </c>
      <c r="I1552" s="2142">
        <v>1224183</v>
      </c>
    </row>
    <row r="1553" spans="1:9" s="2139" customFormat="1" hidden="1">
      <c r="A1553" s="2140" t="s">
        <v>4725</v>
      </c>
      <c r="B1553" s="2141" t="s">
        <v>3055</v>
      </c>
      <c r="C1553" s="2141" t="s">
        <v>3168</v>
      </c>
      <c r="D1553" s="3396">
        <v>210</v>
      </c>
      <c r="E1553" s="2142">
        <v>67.13</v>
      </c>
      <c r="F1553" s="2142">
        <v>18236</v>
      </c>
      <c r="G1553" s="2142">
        <v>1224182.68</v>
      </c>
      <c r="H1553" s="3557">
        <v>41904</v>
      </c>
      <c r="I1553" s="2142">
        <v>1224183</v>
      </c>
    </row>
    <row r="1554" spans="1:9" s="2139" customFormat="1" hidden="1">
      <c r="A1554" s="2140" t="s">
        <v>4726</v>
      </c>
      <c r="B1554" s="2141" t="s">
        <v>3055</v>
      </c>
      <c r="C1554" s="2141" t="s">
        <v>3168</v>
      </c>
      <c r="D1554" s="3396">
        <v>211</v>
      </c>
      <c r="E1554" s="2142">
        <v>67.13</v>
      </c>
      <c r="F1554" s="2142">
        <v>18236</v>
      </c>
      <c r="G1554" s="2142">
        <v>1224182.68</v>
      </c>
      <c r="H1554" s="3557">
        <v>41904</v>
      </c>
      <c r="I1554" s="2142">
        <v>1224183</v>
      </c>
    </row>
    <row r="1555" spans="1:9" s="2139" customFormat="1" hidden="1">
      <c r="A1555" s="2140" t="s">
        <v>4727</v>
      </c>
      <c r="B1555" s="2141" t="s">
        <v>3055</v>
      </c>
      <c r="C1555" s="2141" t="s">
        <v>3168</v>
      </c>
      <c r="D1555" s="3396">
        <v>212</v>
      </c>
      <c r="E1555" s="2142">
        <v>70.319999999999993</v>
      </c>
      <c r="F1555" s="2142">
        <v>18527</v>
      </c>
      <c r="G1555" s="2142">
        <v>1302818.6399999999</v>
      </c>
      <c r="H1555" s="3557">
        <v>41904</v>
      </c>
      <c r="I1555" s="2142">
        <v>1302819</v>
      </c>
    </row>
    <row r="1556" spans="1:9" s="2139" customFormat="1" hidden="1">
      <c r="A1556" s="2140" t="s">
        <v>4002</v>
      </c>
      <c r="B1556" s="2141" t="s">
        <v>3054</v>
      </c>
      <c r="C1556" s="2141" t="s">
        <v>3168</v>
      </c>
      <c r="D1556" s="2141">
        <v>80</v>
      </c>
      <c r="E1556" s="2142">
        <v>46.85</v>
      </c>
      <c r="F1556" s="2142">
        <v>13800</v>
      </c>
      <c r="G1556" s="2142">
        <v>646530</v>
      </c>
      <c r="H1556" s="2143">
        <v>41902</v>
      </c>
      <c r="I1556" s="2142">
        <v>157496</v>
      </c>
    </row>
    <row r="1557" spans="1:9" s="2139" customFormat="1" hidden="1">
      <c r="A1557" s="2140" t="s">
        <v>4619</v>
      </c>
      <c r="B1557" s="2141" t="s">
        <v>3055</v>
      </c>
      <c r="C1557" s="2141" t="s">
        <v>3168</v>
      </c>
      <c r="D1557" s="3396">
        <v>53</v>
      </c>
      <c r="E1557" s="2142">
        <v>48.87</v>
      </c>
      <c r="F1557" s="2142">
        <v>14100</v>
      </c>
      <c r="G1557" s="2142">
        <v>689067</v>
      </c>
      <c r="H1557" s="3557">
        <v>41902</v>
      </c>
      <c r="I1557" s="2142">
        <v>689067</v>
      </c>
    </row>
    <row r="1558" spans="1:9" s="2139" customFormat="1" hidden="1">
      <c r="A1558" s="2140" t="s">
        <v>4620</v>
      </c>
      <c r="B1558" s="2141" t="s">
        <v>3055</v>
      </c>
      <c r="C1558" s="2141" t="s">
        <v>3168</v>
      </c>
      <c r="D1558" s="3396">
        <v>55</v>
      </c>
      <c r="E1558" s="2142">
        <v>40.200000000000003</v>
      </c>
      <c r="F1558" s="2142">
        <v>14100</v>
      </c>
      <c r="G1558" s="2142">
        <v>566820</v>
      </c>
      <c r="H1558" s="3557">
        <v>41902</v>
      </c>
      <c r="I1558" s="2142">
        <v>566820</v>
      </c>
    </row>
    <row r="1559" spans="1:9" s="2139" customFormat="1" hidden="1">
      <c r="A1559" s="2140" t="s">
        <v>4621</v>
      </c>
      <c r="B1559" s="2141" t="s">
        <v>3055</v>
      </c>
      <c r="C1559" s="2141" t="s">
        <v>3168</v>
      </c>
      <c r="D1559" s="3396">
        <v>56</v>
      </c>
      <c r="E1559" s="2142">
        <v>43.97</v>
      </c>
      <c r="F1559" s="2142">
        <v>14100</v>
      </c>
      <c r="G1559" s="2142">
        <v>619977</v>
      </c>
      <c r="H1559" s="3557">
        <v>41902</v>
      </c>
      <c r="I1559" s="2142">
        <v>619977</v>
      </c>
    </row>
    <row r="1560" spans="1:9" s="2139" customFormat="1" hidden="1">
      <c r="A1560" s="2140" t="s">
        <v>4689</v>
      </c>
      <c r="B1560" s="2141" t="s">
        <v>3055</v>
      </c>
      <c r="C1560" s="2141" t="s">
        <v>3168</v>
      </c>
      <c r="D1560" s="3396">
        <v>158</v>
      </c>
      <c r="E1560" s="2142">
        <v>31.93</v>
      </c>
      <c r="F1560" s="2142">
        <v>14100</v>
      </c>
      <c r="G1560" s="2142">
        <v>450213</v>
      </c>
      <c r="H1560" s="3557">
        <v>41902</v>
      </c>
      <c r="I1560" s="2142">
        <v>450213</v>
      </c>
    </row>
    <row r="1561" spans="1:9" s="2139" customFormat="1" hidden="1">
      <c r="A1561" s="2140" t="s">
        <v>3965</v>
      </c>
      <c r="B1561" s="2141" t="s">
        <v>3054</v>
      </c>
      <c r="C1561" s="2141" t="s">
        <v>3168</v>
      </c>
      <c r="D1561" s="2141">
        <v>18</v>
      </c>
      <c r="E1561" s="2142">
        <v>46.02</v>
      </c>
      <c r="F1561" s="2142">
        <v>13800</v>
      </c>
      <c r="G1561" s="2142">
        <v>635076</v>
      </c>
      <c r="H1561" s="2143">
        <v>41900</v>
      </c>
      <c r="I1561" s="2142">
        <v>635076</v>
      </c>
    </row>
    <row r="1562" spans="1:9" s="2139" customFormat="1" hidden="1">
      <c r="A1562" s="2140" t="s">
        <v>3977</v>
      </c>
      <c r="B1562" s="2141" t="s">
        <v>3054</v>
      </c>
      <c r="C1562" s="2141" t="s">
        <v>3168</v>
      </c>
      <c r="D1562" s="2141">
        <v>46</v>
      </c>
      <c r="E1562" s="2142">
        <v>37.01</v>
      </c>
      <c r="F1562" s="2142">
        <v>13800</v>
      </c>
      <c r="G1562" s="2142">
        <v>510738</v>
      </c>
      <c r="H1562" s="2143">
        <v>41900</v>
      </c>
      <c r="I1562" s="2142">
        <v>510738</v>
      </c>
    </row>
    <row r="1563" spans="1:9" s="2139" customFormat="1" hidden="1">
      <c r="A1563" s="2140" t="s">
        <v>4040</v>
      </c>
      <c r="B1563" s="2141" t="s">
        <v>3054</v>
      </c>
      <c r="C1563" s="2141" t="s">
        <v>3168</v>
      </c>
      <c r="D1563" s="2141">
        <v>201</v>
      </c>
      <c r="E1563" s="2142">
        <v>49.49</v>
      </c>
      <c r="F1563" s="2142">
        <v>14100</v>
      </c>
      <c r="G1563" s="2142">
        <v>697809</v>
      </c>
      <c r="H1563" s="2143">
        <v>41900</v>
      </c>
      <c r="I1563" s="2142">
        <v>697809</v>
      </c>
    </row>
    <row r="1564" spans="1:9" s="2139" customFormat="1" hidden="1">
      <c r="A1564" s="2140" t="s">
        <v>3970</v>
      </c>
      <c r="B1564" s="2141" t="s">
        <v>3054</v>
      </c>
      <c r="C1564" s="2141" t="s">
        <v>3168</v>
      </c>
      <c r="D1564" s="2141">
        <v>33</v>
      </c>
      <c r="E1564" s="2142">
        <v>68.78</v>
      </c>
      <c r="F1564" s="2142">
        <v>18800</v>
      </c>
      <c r="G1564" s="2142">
        <v>1293064</v>
      </c>
      <c r="H1564" s="2143">
        <v>41898</v>
      </c>
      <c r="I1564" s="2142">
        <v>1293064</v>
      </c>
    </row>
    <row r="1565" spans="1:9" s="2139" customFormat="1" hidden="1">
      <c r="A1565" s="2140" t="s">
        <v>4715</v>
      </c>
      <c r="B1565" s="2141" t="s">
        <v>3055</v>
      </c>
      <c r="C1565" s="2141" t="s">
        <v>3168</v>
      </c>
      <c r="D1565" s="3396">
        <v>199</v>
      </c>
      <c r="E1565" s="2142">
        <v>26.8</v>
      </c>
      <c r="F1565" s="2142">
        <v>15000</v>
      </c>
      <c r="G1565" s="2142">
        <v>402000</v>
      </c>
      <c r="H1565" s="3557">
        <v>41898</v>
      </c>
      <c r="I1565" s="2142">
        <v>102000</v>
      </c>
    </row>
    <row r="1566" spans="1:9" s="2139" customFormat="1" hidden="1">
      <c r="A1566" s="2140" t="s">
        <v>4041</v>
      </c>
      <c r="B1566" s="2141" t="s">
        <v>3054</v>
      </c>
      <c r="C1566" s="2141" t="s">
        <v>3168</v>
      </c>
      <c r="D1566" s="2141">
        <v>203</v>
      </c>
      <c r="E1566" s="2142">
        <v>45.8</v>
      </c>
      <c r="F1566" s="2142">
        <v>13800</v>
      </c>
      <c r="G1566" s="2142">
        <v>632040</v>
      </c>
      <c r="H1566" s="2143">
        <v>41897</v>
      </c>
      <c r="I1566" s="2142">
        <v>632040</v>
      </c>
    </row>
    <row r="1567" spans="1:9" s="2139" customFormat="1" hidden="1">
      <c r="A1567" s="2140" t="s">
        <v>4617</v>
      </c>
      <c r="B1567" s="2141" t="s">
        <v>3055</v>
      </c>
      <c r="C1567" s="2141" t="s">
        <v>3168</v>
      </c>
      <c r="D1567" s="3396">
        <v>51</v>
      </c>
      <c r="E1567" s="2142">
        <v>33.9</v>
      </c>
      <c r="F1567" s="2142">
        <v>14100</v>
      </c>
      <c r="G1567" s="2142">
        <v>477990</v>
      </c>
      <c r="H1567" s="3557">
        <v>41896</v>
      </c>
      <c r="I1567" s="2142">
        <v>141797</v>
      </c>
    </row>
    <row r="1568" spans="1:9" s="2139" customFormat="1" hidden="1">
      <c r="A1568" s="2140" t="s">
        <v>4618</v>
      </c>
      <c r="B1568" s="2141" t="s">
        <v>3055</v>
      </c>
      <c r="C1568" s="2141" t="s">
        <v>3168</v>
      </c>
      <c r="D1568" s="3396">
        <v>52</v>
      </c>
      <c r="E1568" s="2142">
        <v>57.16</v>
      </c>
      <c r="F1568" s="2142">
        <v>14300</v>
      </c>
      <c r="G1568" s="2142">
        <v>817388</v>
      </c>
      <c r="H1568" s="3557">
        <v>41896</v>
      </c>
      <c r="I1568" s="2142">
        <v>213823</v>
      </c>
    </row>
    <row r="1569" spans="1:9" s="2139" customFormat="1" hidden="1">
      <c r="A1569" s="2140" t="s">
        <v>3982</v>
      </c>
      <c r="B1569" s="2141" t="s">
        <v>3054</v>
      </c>
      <c r="C1569" s="2141" t="s">
        <v>3168</v>
      </c>
      <c r="D1569" s="2141">
        <v>51</v>
      </c>
      <c r="E1569" s="2142">
        <v>47.95</v>
      </c>
      <c r="F1569" s="2142">
        <v>13800</v>
      </c>
      <c r="G1569" s="2142">
        <v>661710</v>
      </c>
      <c r="H1569" s="2143">
        <v>41895</v>
      </c>
      <c r="I1569" s="2142">
        <v>661710</v>
      </c>
    </row>
    <row r="1570" spans="1:9" s="2139" customFormat="1" hidden="1">
      <c r="A1570" s="2140" t="s">
        <v>3988</v>
      </c>
      <c r="B1570" s="2141" t="s">
        <v>3054</v>
      </c>
      <c r="C1570" s="2141" t="s">
        <v>3168</v>
      </c>
      <c r="D1570" s="2141">
        <v>58</v>
      </c>
      <c r="E1570" s="2142">
        <v>27.64</v>
      </c>
      <c r="F1570" s="2142">
        <v>13800</v>
      </c>
      <c r="G1570" s="2142">
        <v>381432</v>
      </c>
      <c r="H1570" s="2143">
        <v>41895</v>
      </c>
      <c r="I1570" s="2142">
        <v>201432</v>
      </c>
    </row>
    <row r="1571" spans="1:9" s="2139" customFormat="1" hidden="1">
      <c r="A1571" s="2140" t="s">
        <v>4622</v>
      </c>
      <c r="B1571" s="2141" t="s">
        <v>3055</v>
      </c>
      <c r="C1571" s="2141" t="s">
        <v>3168</v>
      </c>
      <c r="D1571" s="3396">
        <v>57</v>
      </c>
      <c r="E1571" s="2142">
        <v>48.36</v>
      </c>
      <c r="F1571" s="2142">
        <v>14800</v>
      </c>
      <c r="G1571" s="2142">
        <v>715728</v>
      </c>
      <c r="H1571" s="3557">
        <v>41894</v>
      </c>
      <c r="I1571" s="2142">
        <v>715728</v>
      </c>
    </row>
    <row r="1572" spans="1:9" s="2139" customFormat="1" hidden="1">
      <c r="A1572" s="2140" t="s">
        <v>4628</v>
      </c>
      <c r="B1572" s="2141" t="s">
        <v>3055</v>
      </c>
      <c r="C1572" s="2141" t="s">
        <v>3168</v>
      </c>
      <c r="D1572" s="3396">
        <v>65</v>
      </c>
      <c r="E1572" s="2142">
        <v>118.94</v>
      </c>
      <c r="F1572" s="2142">
        <v>18800</v>
      </c>
      <c r="G1572" s="2142">
        <v>2236072</v>
      </c>
      <c r="H1572" s="3557">
        <v>41894</v>
      </c>
      <c r="I1572" s="2142">
        <v>516072</v>
      </c>
    </row>
    <row r="1573" spans="1:9" s="2139" customFormat="1" hidden="1">
      <c r="A1573" s="2140" t="s">
        <v>4629</v>
      </c>
      <c r="B1573" s="2141" t="s">
        <v>3055</v>
      </c>
      <c r="C1573" s="2141" t="s">
        <v>3168</v>
      </c>
      <c r="D1573" s="3396">
        <v>66</v>
      </c>
      <c r="E1573" s="2142">
        <v>94.74</v>
      </c>
      <c r="F1573" s="2142">
        <v>18800</v>
      </c>
      <c r="G1573" s="2142">
        <v>1781112</v>
      </c>
      <c r="H1573" s="3557">
        <v>41894</v>
      </c>
      <c r="I1573" s="2142">
        <v>401112</v>
      </c>
    </row>
    <row r="1574" spans="1:9" s="2139" customFormat="1" hidden="1">
      <c r="A1574" s="2140" t="s">
        <v>3971</v>
      </c>
      <c r="B1574" s="2141" t="s">
        <v>3054</v>
      </c>
      <c r="C1574" s="2141" t="s">
        <v>3168</v>
      </c>
      <c r="D1574" s="2141">
        <v>35</v>
      </c>
      <c r="E1574" s="2142">
        <v>68.260000000000005</v>
      </c>
      <c r="F1574" s="2142">
        <v>18800</v>
      </c>
      <c r="G1574" s="2142">
        <v>1283288</v>
      </c>
      <c r="H1574" s="2143"/>
      <c r="I1574" s="2142">
        <v>320000</v>
      </c>
    </row>
    <row r="1575" spans="1:9" s="2139" customFormat="1" hidden="1">
      <c r="A1575" s="2140" t="s">
        <v>3972</v>
      </c>
      <c r="B1575" s="2141" t="s">
        <v>3054</v>
      </c>
      <c r="C1575" s="2141" t="s">
        <v>3168</v>
      </c>
      <c r="D1575" s="2141">
        <v>38</v>
      </c>
      <c r="E1575" s="2142">
        <v>86.31</v>
      </c>
      <c r="F1575" s="2142">
        <v>18800</v>
      </c>
      <c r="G1575" s="2142">
        <v>1622628</v>
      </c>
      <c r="H1575" s="2143"/>
      <c r="I1575" s="2142">
        <v>56926</v>
      </c>
    </row>
    <row r="1576" spans="1:9" s="2139" customFormat="1" hidden="1">
      <c r="A1576" s="2140" t="s">
        <v>3973</v>
      </c>
      <c r="B1576" s="2141" t="s">
        <v>3054</v>
      </c>
      <c r="C1576" s="2141" t="s">
        <v>3168</v>
      </c>
      <c r="D1576" s="2141">
        <v>39</v>
      </c>
      <c r="E1576" s="2142">
        <v>64.900000000000006</v>
      </c>
      <c r="F1576" s="2142">
        <v>18800</v>
      </c>
      <c r="G1576" s="2142">
        <v>1220120</v>
      </c>
      <c r="H1576" s="2143"/>
      <c r="I1576" s="2142">
        <v>142166</v>
      </c>
    </row>
    <row r="1577" spans="1:9" s="2139" customFormat="1" hidden="1">
      <c r="A1577" s="2140" t="s">
        <v>3974</v>
      </c>
      <c r="B1577" s="2141" t="s">
        <v>3054</v>
      </c>
      <c r="C1577" s="2141" t="s">
        <v>3168</v>
      </c>
      <c r="D1577" s="2141">
        <v>40</v>
      </c>
      <c r="E1577" s="2142">
        <v>69.62</v>
      </c>
      <c r="F1577" s="2142">
        <v>19100</v>
      </c>
      <c r="G1577" s="2142">
        <v>1329742</v>
      </c>
      <c r="H1577" s="2143"/>
      <c r="I1577" s="2142">
        <v>156391</v>
      </c>
    </row>
    <row r="1578" spans="1:9" s="2139" customFormat="1" hidden="1">
      <c r="A1578" s="2140" t="s">
        <v>3975</v>
      </c>
      <c r="B1578" s="2141" t="s">
        <v>3054</v>
      </c>
      <c r="C1578" s="2141" t="s">
        <v>3168</v>
      </c>
      <c r="D1578" s="2141">
        <v>41</v>
      </c>
      <c r="E1578" s="2142">
        <v>48.27</v>
      </c>
      <c r="F1578" s="2142">
        <v>14500</v>
      </c>
      <c r="G1578" s="2142">
        <v>699915</v>
      </c>
      <c r="H1578" s="2143"/>
      <c r="I1578" s="2142">
        <v>88813</v>
      </c>
    </row>
    <row r="1579" spans="1:9" s="2139" customFormat="1" hidden="1">
      <c r="A1579" s="2140" t="s">
        <v>3976</v>
      </c>
      <c r="B1579" s="2141" t="s">
        <v>3054</v>
      </c>
      <c r="C1579" s="2141" t="s">
        <v>3168</v>
      </c>
      <c r="D1579" s="2141">
        <v>42</v>
      </c>
      <c r="E1579" s="2142">
        <v>62.7</v>
      </c>
      <c r="F1579" s="2142">
        <v>14800</v>
      </c>
      <c r="G1579" s="2142">
        <v>927960</v>
      </c>
      <c r="H1579" s="2143"/>
      <c r="I1579" s="2142">
        <v>100018</v>
      </c>
    </row>
    <row r="1580" spans="1:9" s="2139" customFormat="1" hidden="1">
      <c r="A1580" s="2140" t="s">
        <v>3985</v>
      </c>
      <c r="B1580" s="2141" t="s">
        <v>3054</v>
      </c>
      <c r="C1580" s="2141" t="s">
        <v>3168</v>
      </c>
      <c r="D1580" s="2141">
        <v>55</v>
      </c>
      <c r="E1580" s="2142">
        <v>6.16</v>
      </c>
      <c r="F1580" s="2142">
        <v>13800</v>
      </c>
      <c r="G1580" s="2142">
        <v>85008</v>
      </c>
      <c r="H1580" s="2143"/>
      <c r="I1580" s="2142">
        <v>92102</v>
      </c>
    </row>
    <row r="1581" spans="1:9" s="2139" customFormat="1" hidden="1">
      <c r="A1581" s="2140" t="s">
        <v>3986</v>
      </c>
      <c r="B1581" s="2141" t="s">
        <v>3054</v>
      </c>
      <c r="C1581" s="2141" t="s">
        <v>3168</v>
      </c>
      <c r="D1581" s="2141">
        <v>56</v>
      </c>
      <c r="E1581" s="2142">
        <v>23.77</v>
      </c>
      <c r="F1581" s="2142">
        <v>14100</v>
      </c>
      <c r="G1581" s="2142">
        <v>335157</v>
      </c>
      <c r="H1581" s="2143"/>
      <c r="I1581" s="2142">
        <v>87730</v>
      </c>
    </row>
    <row r="1582" spans="1:9" s="2139" customFormat="1" hidden="1">
      <c r="A1582" s="2140" t="s">
        <v>3987</v>
      </c>
      <c r="B1582" s="2141" t="s">
        <v>3054</v>
      </c>
      <c r="C1582" s="2141" t="s">
        <v>3168</v>
      </c>
      <c r="D1582" s="2141">
        <v>57</v>
      </c>
      <c r="E1582" s="2142">
        <v>25.34</v>
      </c>
      <c r="F1582" s="2142">
        <v>13800</v>
      </c>
      <c r="G1582" s="2142">
        <v>349692</v>
      </c>
      <c r="H1582" s="2143"/>
      <c r="I1582" s="2142">
        <v>102754</v>
      </c>
    </row>
    <row r="1583" spans="1:9" s="2139" customFormat="1" hidden="1">
      <c r="A1583" s="2140" t="s">
        <v>3990</v>
      </c>
      <c r="B1583" s="2141" t="s">
        <v>3054</v>
      </c>
      <c r="C1583" s="2141" t="s">
        <v>3168</v>
      </c>
      <c r="D1583" s="2141">
        <v>60</v>
      </c>
      <c r="E1583" s="2142">
        <v>45.6</v>
      </c>
      <c r="F1583" s="2142">
        <v>13800</v>
      </c>
      <c r="G1583" s="2142">
        <v>629280</v>
      </c>
      <c r="H1583" s="2143"/>
      <c r="I1583" s="2142">
        <v>155858</v>
      </c>
    </row>
    <row r="1584" spans="1:9" s="2139" customFormat="1" hidden="1">
      <c r="A1584" s="2140" t="s">
        <v>3996</v>
      </c>
      <c r="B1584" s="2141" t="s">
        <v>3054</v>
      </c>
      <c r="C1584" s="2141" t="s">
        <v>3168</v>
      </c>
      <c r="D1584" s="2141">
        <v>68</v>
      </c>
      <c r="E1584" s="2142">
        <v>50.96</v>
      </c>
      <c r="F1584" s="2142">
        <v>14800</v>
      </c>
      <c r="G1584" s="2142">
        <v>754208</v>
      </c>
      <c r="H1584" s="2143"/>
      <c r="I1584" s="2142">
        <v>84745</v>
      </c>
    </row>
    <row r="1585" spans="1:9" s="2139" customFormat="1" hidden="1">
      <c r="A1585" s="2140" t="s">
        <v>3997</v>
      </c>
      <c r="B1585" s="2141" t="s">
        <v>3054</v>
      </c>
      <c r="C1585" s="2141" t="s">
        <v>3168</v>
      </c>
      <c r="D1585" s="2141">
        <v>69</v>
      </c>
      <c r="E1585" s="2142">
        <v>50.15</v>
      </c>
      <c r="F1585" s="2142">
        <v>14500</v>
      </c>
      <c r="G1585" s="2142">
        <v>727175</v>
      </c>
      <c r="H1585" s="2143"/>
      <c r="I1585" s="2142">
        <v>80722</v>
      </c>
    </row>
    <row r="1586" spans="1:9" s="2139" customFormat="1" hidden="1">
      <c r="A1586" s="2140" t="s">
        <v>3998</v>
      </c>
      <c r="B1586" s="2141" t="s">
        <v>3054</v>
      </c>
      <c r="C1586" s="2141" t="s">
        <v>3168</v>
      </c>
      <c r="D1586" s="2141">
        <v>70</v>
      </c>
      <c r="E1586" s="2142">
        <v>49.88</v>
      </c>
      <c r="F1586" s="2142">
        <v>14500</v>
      </c>
      <c r="G1586" s="2142">
        <v>723260</v>
      </c>
      <c r="H1586" s="2143"/>
      <c r="I1586" s="2142">
        <v>80722</v>
      </c>
    </row>
    <row r="1587" spans="1:9" s="2139" customFormat="1" hidden="1">
      <c r="A1587" s="2140" t="s">
        <v>3999</v>
      </c>
      <c r="B1587" s="2141" t="s">
        <v>3054</v>
      </c>
      <c r="C1587" s="2141" t="s">
        <v>3168</v>
      </c>
      <c r="D1587" s="2141">
        <v>71</v>
      </c>
      <c r="E1587" s="2142">
        <v>50.15</v>
      </c>
      <c r="F1587" s="2142">
        <v>14800</v>
      </c>
      <c r="G1587" s="2142">
        <v>742220</v>
      </c>
      <c r="H1587" s="2143"/>
      <c r="I1587" s="2142">
        <v>101587</v>
      </c>
    </row>
    <row r="1588" spans="1:9" s="2139" customFormat="1" hidden="1">
      <c r="A1588" s="2140" t="s">
        <v>4005</v>
      </c>
      <c r="B1588" s="2141" t="s">
        <v>3054</v>
      </c>
      <c r="C1588" s="2141" t="s">
        <v>3168</v>
      </c>
      <c r="D1588" s="2141">
        <v>87</v>
      </c>
      <c r="E1588" s="2142">
        <v>40.86</v>
      </c>
      <c r="F1588" s="2142">
        <v>14500</v>
      </c>
      <c r="G1588" s="2142">
        <v>592470</v>
      </c>
      <c r="H1588" s="2143"/>
      <c r="I1588" s="2142">
        <v>133372</v>
      </c>
    </row>
    <row r="1589" spans="1:9" s="2139" customFormat="1" hidden="1">
      <c r="A1589" s="2140" t="s">
        <v>4006</v>
      </c>
      <c r="B1589" s="2141" t="s">
        <v>3054</v>
      </c>
      <c r="C1589" s="2141" t="s">
        <v>3168</v>
      </c>
      <c r="D1589" s="2141">
        <v>88</v>
      </c>
      <c r="E1589" s="2142">
        <v>26.58</v>
      </c>
      <c r="F1589" s="2142">
        <v>14800</v>
      </c>
      <c r="G1589" s="2142">
        <v>393384</v>
      </c>
      <c r="H1589" s="2143"/>
      <c r="I1589" s="2142">
        <v>99960</v>
      </c>
    </row>
    <row r="1590" spans="1:9" s="2139" customFormat="1" hidden="1">
      <c r="A1590" s="2140" t="s">
        <v>4007</v>
      </c>
      <c r="B1590" s="2141" t="s">
        <v>3054</v>
      </c>
      <c r="C1590" s="2141" t="s">
        <v>3168</v>
      </c>
      <c r="D1590" s="2141">
        <v>97</v>
      </c>
      <c r="E1590" s="2142">
        <v>45.47</v>
      </c>
      <c r="F1590" s="2142">
        <v>14800</v>
      </c>
      <c r="G1590" s="2142">
        <v>672956</v>
      </c>
      <c r="H1590" s="2143"/>
      <c r="I1590" s="2142">
        <v>40000</v>
      </c>
    </row>
    <row r="1591" spans="1:9" s="2139" customFormat="1" hidden="1">
      <c r="A1591" s="2140" t="s">
        <v>4017</v>
      </c>
      <c r="B1591" s="2141" t="s">
        <v>3054</v>
      </c>
      <c r="C1591" s="2141" t="s">
        <v>3168</v>
      </c>
      <c r="D1591" s="2141">
        <v>171</v>
      </c>
      <c r="E1591" s="2142">
        <v>64.680000000000007</v>
      </c>
      <c r="F1591" s="2142">
        <v>18800</v>
      </c>
      <c r="G1591" s="2142">
        <v>1215984.0000000002</v>
      </c>
      <c r="H1591" s="2143"/>
      <c r="I1591" s="2142">
        <v>263576</v>
      </c>
    </row>
    <row r="1592" spans="1:9" s="2139" customFormat="1" hidden="1">
      <c r="A1592" s="2140" t="s">
        <v>4024</v>
      </c>
      <c r="B1592" s="2141" t="s">
        <v>3054</v>
      </c>
      <c r="C1592" s="2141" t="s">
        <v>3168</v>
      </c>
      <c r="D1592" s="2141">
        <v>180</v>
      </c>
      <c r="E1592" s="2142">
        <v>53.57</v>
      </c>
      <c r="F1592" s="2142">
        <v>14800</v>
      </c>
      <c r="G1592" s="2142">
        <v>792836</v>
      </c>
      <c r="H1592" s="2143"/>
      <c r="I1592" s="2142">
        <v>100300</v>
      </c>
    </row>
    <row r="1593" spans="1:9" s="2139" customFormat="1" hidden="1">
      <c r="A1593" s="2140" t="s">
        <v>4025</v>
      </c>
      <c r="B1593" s="2141" t="s">
        <v>3054</v>
      </c>
      <c r="C1593" s="2141" t="s">
        <v>3168</v>
      </c>
      <c r="D1593" s="2141">
        <v>181</v>
      </c>
      <c r="E1593" s="2142">
        <v>63.06</v>
      </c>
      <c r="F1593" s="2142">
        <v>14500</v>
      </c>
      <c r="G1593" s="2142">
        <v>914370</v>
      </c>
      <c r="H1593" s="2143"/>
      <c r="I1593" s="2142">
        <v>100279</v>
      </c>
    </row>
    <row r="1594" spans="1:9" s="2139" customFormat="1" hidden="1">
      <c r="A1594" s="2140" t="s">
        <v>4026</v>
      </c>
      <c r="B1594" s="2141" t="s">
        <v>3054</v>
      </c>
      <c r="C1594" s="2141" t="s">
        <v>3168</v>
      </c>
      <c r="D1594" s="2141">
        <v>182</v>
      </c>
      <c r="E1594" s="2142">
        <v>54.61</v>
      </c>
      <c r="F1594" s="2142">
        <v>14500</v>
      </c>
      <c r="G1594" s="2142">
        <v>791845</v>
      </c>
      <c r="H1594" s="2143"/>
      <c r="I1594" s="2142">
        <v>93612</v>
      </c>
    </row>
    <row r="1595" spans="1:9" s="2139" customFormat="1" hidden="1">
      <c r="A1595" s="2140" t="s">
        <v>4042</v>
      </c>
      <c r="B1595" s="2141" t="s">
        <v>3054</v>
      </c>
      <c r="C1595" s="2141" t="s">
        <v>3168</v>
      </c>
      <c r="D1595" s="2141">
        <v>205</v>
      </c>
      <c r="E1595" s="2142">
        <v>47.37</v>
      </c>
      <c r="F1595" s="2142">
        <v>14800</v>
      </c>
      <c r="G1595" s="2142">
        <v>701076</v>
      </c>
      <c r="H1595" s="2143"/>
      <c r="I1595" s="2142">
        <v>82865</v>
      </c>
    </row>
    <row r="1596" spans="1:9" s="2139" customFormat="1" hidden="1">
      <c r="A1596" s="2140" t="s">
        <v>4043</v>
      </c>
      <c r="B1596" s="2141" t="s">
        <v>3054</v>
      </c>
      <c r="C1596" s="2141" t="s">
        <v>3168</v>
      </c>
      <c r="D1596" s="2141">
        <v>206</v>
      </c>
      <c r="E1596" s="2142">
        <v>43.42</v>
      </c>
      <c r="F1596" s="2142">
        <v>14500</v>
      </c>
      <c r="G1596" s="2142">
        <v>629590</v>
      </c>
      <c r="H1596" s="2143"/>
      <c r="I1596" s="2142">
        <v>73559</v>
      </c>
    </row>
    <row r="1597" spans="1:9" s="2139" customFormat="1" hidden="1">
      <c r="A1597" s="2140" t="s">
        <v>4044</v>
      </c>
      <c r="B1597" s="2141" t="s">
        <v>3054</v>
      </c>
      <c r="C1597" s="2141" t="s">
        <v>3168</v>
      </c>
      <c r="D1597" s="2141">
        <v>207</v>
      </c>
      <c r="E1597" s="2142">
        <v>109.79</v>
      </c>
      <c r="F1597" s="2142">
        <v>19100</v>
      </c>
      <c r="G1597" s="2142">
        <v>2096989.0000000002</v>
      </c>
      <c r="H1597" s="2143"/>
      <c r="I1597" s="2142">
        <v>249179</v>
      </c>
    </row>
    <row r="1598" spans="1:9" s="2139" customFormat="1" hidden="1">
      <c r="A1598" s="2140" t="s">
        <v>4045</v>
      </c>
      <c r="B1598" s="2141" t="s">
        <v>3054</v>
      </c>
      <c r="C1598" s="2141" t="s">
        <v>3168</v>
      </c>
      <c r="D1598" s="2141">
        <v>208</v>
      </c>
      <c r="E1598" s="2142">
        <v>67.94</v>
      </c>
      <c r="F1598" s="2142">
        <v>18800</v>
      </c>
      <c r="G1598" s="2142">
        <v>1277272</v>
      </c>
      <c r="H1598" s="2143"/>
      <c r="I1598" s="2142">
        <v>142053</v>
      </c>
    </row>
    <row r="1599" spans="1:9" s="2139" customFormat="1" hidden="1">
      <c r="A1599" s="2140" t="s">
        <v>4760</v>
      </c>
      <c r="B1599" s="3560" t="s">
        <v>3055</v>
      </c>
      <c r="C1599" s="2141" t="s">
        <v>3180</v>
      </c>
      <c r="D1599" s="3396">
        <v>110</v>
      </c>
      <c r="E1599" s="2142">
        <v>39.53</v>
      </c>
      <c r="F1599" s="2142">
        <v>14468.53</v>
      </c>
      <c r="G1599" s="2142">
        <v>571941</v>
      </c>
      <c r="H1599" s="3557">
        <v>42983</v>
      </c>
      <c r="I1599" s="2142">
        <v>571941</v>
      </c>
    </row>
    <row r="1600" spans="1:9" s="2139" customFormat="1" hidden="1">
      <c r="A1600" s="2140" t="s">
        <v>4755</v>
      </c>
      <c r="B1600" s="3560" t="s">
        <v>3055</v>
      </c>
      <c r="C1600" s="2141" t="s">
        <v>3180</v>
      </c>
      <c r="D1600" s="3396">
        <v>47</v>
      </c>
      <c r="E1600" s="2142">
        <v>21.33</v>
      </c>
      <c r="F1600" s="2142">
        <v>14916</v>
      </c>
      <c r="G1600" s="2142">
        <v>318158</v>
      </c>
      <c r="H1600" s="3557">
        <v>42980</v>
      </c>
      <c r="I1600" s="2142">
        <v>318158</v>
      </c>
    </row>
    <row r="1601" spans="1:9" s="2139" customFormat="1" hidden="1">
      <c r="A1601" s="2140" t="s">
        <v>4758</v>
      </c>
      <c r="B1601" s="3560" t="s">
        <v>3055</v>
      </c>
      <c r="C1601" s="2141" t="s">
        <v>3180</v>
      </c>
      <c r="D1601" s="3396">
        <v>87</v>
      </c>
      <c r="E1601" s="2142">
        <v>8.1999999999999993</v>
      </c>
      <c r="F1601" s="2142">
        <v>15594.02</v>
      </c>
      <c r="G1601" s="2142">
        <v>127871</v>
      </c>
      <c r="H1601" s="3557">
        <v>42980</v>
      </c>
      <c r="I1601" s="2142">
        <v>127871</v>
      </c>
    </row>
    <row r="1602" spans="1:9" s="2139" customFormat="1" hidden="1">
      <c r="A1602" s="2140" t="s">
        <v>4067</v>
      </c>
      <c r="B1602" s="3560" t="s">
        <v>3054</v>
      </c>
      <c r="C1602" s="2141" t="s">
        <v>3180</v>
      </c>
      <c r="D1602" s="3396">
        <v>123</v>
      </c>
      <c r="E1602" s="2142">
        <v>100.48</v>
      </c>
      <c r="F1602" s="2142">
        <v>15800</v>
      </c>
      <c r="G1602" s="2142">
        <v>1587584</v>
      </c>
      <c r="H1602" s="3557">
        <v>42978</v>
      </c>
      <c r="I1602" s="2142">
        <v>95684</v>
      </c>
    </row>
    <row r="1603" spans="1:9" s="2139" customFormat="1" hidden="1">
      <c r="A1603" s="2140" t="s">
        <v>4066</v>
      </c>
      <c r="B1603" s="3560" t="s">
        <v>3054</v>
      </c>
      <c r="C1603" s="2141" t="s">
        <v>3180</v>
      </c>
      <c r="D1603" s="3396">
        <v>118</v>
      </c>
      <c r="E1603" s="2142">
        <v>56.89</v>
      </c>
      <c r="F1603" s="2142">
        <v>18193</v>
      </c>
      <c r="G1603" s="2142">
        <v>1034999.77</v>
      </c>
      <c r="H1603" s="3557">
        <v>42855</v>
      </c>
      <c r="I1603" s="2142">
        <v>1035000</v>
      </c>
    </row>
    <row r="1604" spans="1:9" s="2139" customFormat="1" hidden="1">
      <c r="A1604" s="2140" t="s">
        <v>4746</v>
      </c>
      <c r="B1604" s="3560" t="s">
        <v>3055</v>
      </c>
      <c r="C1604" s="2141" t="s">
        <v>3180</v>
      </c>
      <c r="D1604" s="3396">
        <v>17</v>
      </c>
      <c r="E1604" s="2142">
        <v>73.540000000000006</v>
      </c>
      <c r="F1604" s="2142">
        <v>20935.518</v>
      </c>
      <c r="G1604" s="2142">
        <v>1539597.9937200001</v>
      </c>
      <c r="H1604" s="3557">
        <v>42852</v>
      </c>
      <c r="I1604" s="2142">
        <v>1539598</v>
      </c>
    </row>
    <row r="1605" spans="1:9" s="2139" customFormat="1" hidden="1">
      <c r="A1605" s="2140" t="s">
        <v>4751</v>
      </c>
      <c r="B1605" s="3560" t="s">
        <v>3055</v>
      </c>
      <c r="C1605" s="2141" t="s">
        <v>3180</v>
      </c>
      <c r="D1605" s="3396">
        <v>22</v>
      </c>
      <c r="E1605" s="2142">
        <v>42.81</v>
      </c>
      <c r="F1605" s="2142">
        <v>14468.512000000001</v>
      </c>
      <c r="G1605" s="2142">
        <v>619396.99872000003</v>
      </c>
      <c r="H1605" s="3557">
        <v>42852</v>
      </c>
      <c r="I1605" s="2142">
        <v>619397</v>
      </c>
    </row>
    <row r="1606" spans="1:9" s="2139" customFormat="1" hidden="1">
      <c r="A1606" s="2140" t="s">
        <v>4072</v>
      </c>
      <c r="B1606" s="2141" t="s">
        <v>3054</v>
      </c>
      <c r="C1606" s="2141" t="s">
        <v>3180</v>
      </c>
      <c r="D1606" s="2141">
        <v>142</v>
      </c>
      <c r="E1606" s="2142">
        <v>32.43</v>
      </c>
      <c r="F1606" s="2142">
        <v>14916</v>
      </c>
      <c r="G1606" s="2142">
        <v>483725.88</v>
      </c>
      <c r="H1606" s="2143">
        <v>42587</v>
      </c>
      <c r="I1606" s="2142">
        <v>483726</v>
      </c>
    </row>
    <row r="1607" spans="1:9" s="2139" customFormat="1" hidden="1">
      <c r="A1607" s="2140" t="s">
        <v>4059</v>
      </c>
      <c r="B1607" s="2141" t="s">
        <v>3054</v>
      </c>
      <c r="C1607" s="2141" t="s">
        <v>3180</v>
      </c>
      <c r="D1607" s="2141">
        <v>11</v>
      </c>
      <c r="E1607" s="2142">
        <v>6</v>
      </c>
      <c r="F1607" s="2142">
        <v>14468.5</v>
      </c>
      <c r="G1607" s="2142">
        <v>86811</v>
      </c>
      <c r="H1607" s="2143">
        <v>42557</v>
      </c>
      <c r="I1607" s="2142">
        <v>86811</v>
      </c>
    </row>
    <row r="1608" spans="1:9" s="2139" customFormat="1" hidden="1">
      <c r="A1608" s="2140" t="s">
        <v>4775</v>
      </c>
      <c r="B1608" s="2141" t="s">
        <v>3055</v>
      </c>
      <c r="C1608" s="2141" t="s">
        <v>3191</v>
      </c>
      <c r="D1608" s="3396">
        <v>7</v>
      </c>
      <c r="E1608" s="2142">
        <v>64.739999999999995</v>
      </c>
      <c r="F1608" s="2142">
        <v>19839.41</v>
      </c>
      <c r="G1608" s="2142">
        <v>1284403.4034</v>
      </c>
      <c r="H1608" s="3557">
        <v>42547</v>
      </c>
      <c r="I1608" s="2142">
        <v>1284403</v>
      </c>
    </row>
    <row r="1609" spans="1:9" s="2139" customFormat="1" hidden="1">
      <c r="A1609" s="2140" t="s">
        <v>4770</v>
      </c>
      <c r="B1609" s="2141" t="s">
        <v>3055</v>
      </c>
      <c r="C1609" s="2141" t="s">
        <v>3180</v>
      </c>
      <c r="D1609" s="3396">
        <v>137</v>
      </c>
      <c r="E1609" s="2142">
        <v>41.32</v>
      </c>
      <c r="F1609" s="2142">
        <v>14916</v>
      </c>
      <c r="G1609" s="2142">
        <v>616329.12</v>
      </c>
      <c r="H1609" s="3557">
        <v>42542</v>
      </c>
      <c r="I1609" s="2142">
        <v>616329</v>
      </c>
    </row>
    <row r="1610" spans="1:9" s="2139" customFormat="1" hidden="1">
      <c r="A1610" s="2140" t="s">
        <v>4761</v>
      </c>
      <c r="B1610" s="2141" t="s">
        <v>3055</v>
      </c>
      <c r="C1610" s="2141" t="s">
        <v>3180</v>
      </c>
      <c r="D1610" s="3396">
        <v>119</v>
      </c>
      <c r="E1610" s="2142">
        <v>40.49</v>
      </c>
      <c r="F1610" s="2142">
        <v>14916</v>
      </c>
      <c r="G1610" s="2142">
        <v>603948.84000000008</v>
      </c>
      <c r="H1610" s="3557">
        <v>42512</v>
      </c>
      <c r="I1610" s="2142">
        <v>603949</v>
      </c>
    </row>
    <row r="1611" spans="1:9" s="2139" customFormat="1" hidden="1">
      <c r="A1611" s="2140" t="s">
        <v>4757</v>
      </c>
      <c r="B1611" s="2141" t="s">
        <v>3055</v>
      </c>
      <c r="C1611" s="2141" t="s">
        <v>3180</v>
      </c>
      <c r="D1611" s="3396">
        <v>79</v>
      </c>
      <c r="E1611" s="2142">
        <v>23.68</v>
      </c>
      <c r="F1611" s="2142">
        <v>15126.18</v>
      </c>
      <c r="G1611" s="2142">
        <v>358187.9424</v>
      </c>
      <c r="H1611" s="3557">
        <v>42478</v>
      </c>
      <c r="I1611" s="2142">
        <v>358188</v>
      </c>
    </row>
    <row r="1612" spans="1:9" s="2139" customFormat="1" hidden="1">
      <c r="A1612" s="2140" t="s">
        <v>4776</v>
      </c>
      <c r="B1612" s="2141" t="s">
        <v>3055</v>
      </c>
      <c r="C1612" s="2141" t="s">
        <v>3191</v>
      </c>
      <c r="D1612" s="3396">
        <v>10</v>
      </c>
      <c r="E1612" s="2142">
        <v>45.64</v>
      </c>
      <c r="F1612" s="2142">
        <v>13372.41</v>
      </c>
      <c r="G1612" s="2142">
        <v>610316.79240000003</v>
      </c>
      <c r="H1612" s="3557">
        <v>42477</v>
      </c>
      <c r="I1612" s="2142">
        <v>610317</v>
      </c>
    </row>
    <row r="1613" spans="1:9" s="2139" customFormat="1" hidden="1">
      <c r="A1613" s="2140" t="s">
        <v>4764</v>
      </c>
      <c r="B1613" s="2141" t="s">
        <v>3055</v>
      </c>
      <c r="C1613" s="2141" t="s">
        <v>3180</v>
      </c>
      <c r="D1613" s="3396">
        <v>130</v>
      </c>
      <c r="E1613" s="2142">
        <v>41.02</v>
      </c>
      <c r="F1613" s="2142">
        <v>14916</v>
      </c>
      <c r="G1613" s="2142">
        <v>611854.32000000007</v>
      </c>
      <c r="H1613" s="3557">
        <v>42436</v>
      </c>
      <c r="I1613" s="2142">
        <v>311854</v>
      </c>
    </row>
    <row r="1614" spans="1:9" s="2139" customFormat="1" hidden="1">
      <c r="A1614" s="2140" t="s">
        <v>4064</v>
      </c>
      <c r="B1614" s="2141" t="s">
        <v>3054</v>
      </c>
      <c r="C1614" s="2141" t="s">
        <v>3180</v>
      </c>
      <c r="D1614" s="2141">
        <v>81</v>
      </c>
      <c r="E1614" s="2142">
        <v>13.83</v>
      </c>
      <c r="F1614" s="2142">
        <v>17628</v>
      </c>
      <c r="G1614" s="2142">
        <v>243795.24</v>
      </c>
      <c r="H1614" s="2143">
        <v>42421</v>
      </c>
      <c r="I1614" s="2142">
        <v>243795</v>
      </c>
    </row>
    <row r="1615" spans="1:9" s="2139" customFormat="1" hidden="1">
      <c r="A1615" s="2140" t="s">
        <v>4068</v>
      </c>
      <c r="B1615" s="2141" t="s">
        <v>3054</v>
      </c>
      <c r="C1615" s="2141" t="s">
        <v>3180</v>
      </c>
      <c r="D1615" s="2141">
        <v>129</v>
      </c>
      <c r="E1615" s="2142">
        <v>62.91</v>
      </c>
      <c r="F1615" s="2142">
        <v>21583</v>
      </c>
      <c r="G1615" s="2142">
        <v>1357786.53</v>
      </c>
      <c r="H1615" s="2143">
        <v>42373</v>
      </c>
      <c r="I1615" s="2142">
        <v>1357787</v>
      </c>
    </row>
    <row r="1616" spans="1:9" s="2139" customFormat="1" hidden="1">
      <c r="A1616" s="2140" t="s">
        <v>4069</v>
      </c>
      <c r="B1616" s="2141" t="s">
        <v>3054</v>
      </c>
      <c r="C1616" s="2141" t="s">
        <v>3180</v>
      </c>
      <c r="D1616" s="2141">
        <v>130</v>
      </c>
      <c r="E1616" s="2142">
        <v>48.44</v>
      </c>
      <c r="F1616" s="2142">
        <v>21583</v>
      </c>
      <c r="G1616" s="2142">
        <v>1045480.5199999999</v>
      </c>
      <c r="H1616" s="2143">
        <v>42367</v>
      </c>
      <c r="I1616" s="2142">
        <v>1045481</v>
      </c>
    </row>
    <row r="1617" spans="1:9" s="2139" customFormat="1" hidden="1">
      <c r="A1617" s="2140" t="s">
        <v>4763</v>
      </c>
      <c r="B1617" s="2141" t="s">
        <v>3055</v>
      </c>
      <c r="C1617" s="2141" t="s">
        <v>3180</v>
      </c>
      <c r="D1617" s="3396">
        <v>129</v>
      </c>
      <c r="E1617" s="2142">
        <v>40.97</v>
      </c>
      <c r="F1617" s="2142">
        <v>14916</v>
      </c>
      <c r="G1617" s="2142">
        <v>611108.52</v>
      </c>
      <c r="H1617" s="3557">
        <v>42354</v>
      </c>
      <c r="I1617" s="2142">
        <v>611109</v>
      </c>
    </row>
    <row r="1618" spans="1:9" s="2139" customFormat="1" hidden="1">
      <c r="A1618" s="2140" t="s">
        <v>4062</v>
      </c>
      <c r="B1618" s="2141" t="s">
        <v>3054</v>
      </c>
      <c r="C1618" s="2141" t="s">
        <v>3180</v>
      </c>
      <c r="D1618" s="2141">
        <v>52</v>
      </c>
      <c r="E1618" s="2142">
        <v>45.69</v>
      </c>
      <c r="F1618" s="2142">
        <v>18193</v>
      </c>
      <c r="G1618" s="2142">
        <v>831238.16999999993</v>
      </c>
      <c r="H1618" s="2143">
        <v>42342</v>
      </c>
      <c r="I1618" s="2142">
        <v>831238</v>
      </c>
    </row>
    <row r="1619" spans="1:9" s="2139" customFormat="1" hidden="1">
      <c r="A1619" s="2140" t="s">
        <v>4060</v>
      </c>
      <c r="B1619" s="2141" t="s">
        <v>3054</v>
      </c>
      <c r="C1619" s="2141" t="s">
        <v>3180</v>
      </c>
      <c r="D1619" s="2141">
        <v>12</v>
      </c>
      <c r="E1619" s="2142">
        <v>9.07</v>
      </c>
      <c r="F1619" s="2142">
        <v>14916</v>
      </c>
      <c r="G1619" s="2142">
        <v>135288.12</v>
      </c>
      <c r="H1619" s="2143">
        <v>42341</v>
      </c>
      <c r="I1619" s="2142">
        <v>135288</v>
      </c>
    </row>
    <row r="1620" spans="1:9" s="2139" customFormat="1" hidden="1">
      <c r="A1620" s="2140" t="s">
        <v>4745</v>
      </c>
      <c r="B1620" s="2141" t="s">
        <v>3055</v>
      </c>
      <c r="C1620" s="2141" t="s">
        <v>3180</v>
      </c>
      <c r="D1620" s="3396">
        <v>16</v>
      </c>
      <c r="E1620" s="2142">
        <v>68.58</v>
      </c>
      <c r="F1620" s="2142">
        <v>21583</v>
      </c>
      <c r="G1620" s="2142">
        <v>1480162.14</v>
      </c>
      <c r="H1620" s="3557">
        <v>42340</v>
      </c>
      <c r="I1620" s="2142">
        <v>1480162</v>
      </c>
    </row>
    <row r="1621" spans="1:9" s="2139" customFormat="1" hidden="1">
      <c r="A1621" s="2140" t="s">
        <v>4752</v>
      </c>
      <c r="B1621" s="2141" t="s">
        <v>3055</v>
      </c>
      <c r="C1621" s="2141" t="s">
        <v>3180</v>
      </c>
      <c r="D1621" s="3396">
        <v>23</v>
      </c>
      <c r="E1621" s="2142">
        <v>47.14</v>
      </c>
      <c r="F1621" s="2142">
        <v>14916</v>
      </c>
      <c r="G1621" s="2142">
        <v>703140.24</v>
      </c>
      <c r="H1621" s="3557">
        <v>42340</v>
      </c>
      <c r="I1621" s="2142">
        <v>703140</v>
      </c>
    </row>
    <row r="1622" spans="1:9" s="2139" customFormat="1" hidden="1">
      <c r="A1622" s="2140" t="s">
        <v>4765</v>
      </c>
      <c r="B1622" s="2141" t="s">
        <v>3055</v>
      </c>
      <c r="C1622" s="2141" t="s">
        <v>3180</v>
      </c>
      <c r="D1622" s="3396">
        <v>131</v>
      </c>
      <c r="E1622" s="2142">
        <v>41.06</v>
      </c>
      <c r="F1622" s="2142">
        <v>14916</v>
      </c>
      <c r="G1622" s="2142">
        <v>612450.96000000008</v>
      </c>
      <c r="H1622" s="3557">
        <v>42340</v>
      </c>
      <c r="I1622" s="2142">
        <v>612451</v>
      </c>
    </row>
    <row r="1623" spans="1:9" s="2139" customFormat="1" hidden="1">
      <c r="A1623" s="2140" t="s">
        <v>4774</v>
      </c>
      <c r="B1623" s="2141" t="s">
        <v>3055</v>
      </c>
      <c r="C1623" s="2141" t="s">
        <v>3191</v>
      </c>
      <c r="D1623" s="3396">
        <v>6</v>
      </c>
      <c r="E1623" s="2142">
        <v>71.209999999999994</v>
      </c>
      <c r="F1623" s="2142">
        <v>19839.41</v>
      </c>
      <c r="G1623" s="2142">
        <v>1412764.3860999998</v>
      </c>
      <c r="H1623" s="3557">
        <v>42322</v>
      </c>
      <c r="I1623" s="2142">
        <v>1412764</v>
      </c>
    </row>
    <row r="1624" spans="1:9" s="2139" customFormat="1" hidden="1">
      <c r="A1624" s="2140" t="s">
        <v>4777</v>
      </c>
      <c r="B1624" s="2141" t="s">
        <v>3055</v>
      </c>
      <c r="C1624" s="2141" t="s">
        <v>3191</v>
      </c>
      <c r="D1624" s="3396">
        <v>11</v>
      </c>
      <c r="E1624" s="2142">
        <v>43.52</v>
      </c>
      <c r="F1624" s="2142">
        <v>13372.42</v>
      </c>
      <c r="G1624" s="2142">
        <v>581967.71840000001</v>
      </c>
      <c r="H1624" s="3557">
        <v>42322</v>
      </c>
      <c r="I1624" s="2142">
        <v>581968</v>
      </c>
    </row>
    <row r="1625" spans="1:9" s="2139" customFormat="1" hidden="1">
      <c r="A1625" s="2140" t="s">
        <v>4061</v>
      </c>
      <c r="B1625" s="2141" t="s">
        <v>3054</v>
      </c>
      <c r="C1625" s="2141" t="s">
        <v>3180</v>
      </c>
      <c r="D1625" s="2141">
        <v>26</v>
      </c>
      <c r="E1625" s="2142">
        <v>31.32</v>
      </c>
      <c r="F1625" s="2142">
        <v>14468.52</v>
      </c>
      <c r="G1625" s="2142">
        <v>453154.04639999999</v>
      </c>
      <c r="H1625" s="2143">
        <v>42314</v>
      </c>
      <c r="I1625" s="2142">
        <v>453154</v>
      </c>
    </row>
    <row r="1626" spans="1:9" s="2139" customFormat="1" hidden="1">
      <c r="A1626" s="2140" t="s">
        <v>4787</v>
      </c>
      <c r="B1626" s="2141" t="s">
        <v>3055</v>
      </c>
      <c r="C1626" s="2141" t="s">
        <v>3191</v>
      </c>
      <c r="D1626" s="3396">
        <v>48</v>
      </c>
      <c r="E1626" s="2142">
        <v>40.369999999999997</v>
      </c>
      <c r="F1626" s="2142">
        <v>13786</v>
      </c>
      <c r="G1626" s="2142">
        <v>556540.81999999995</v>
      </c>
      <c r="H1626" s="3557">
        <v>42297</v>
      </c>
      <c r="I1626" s="2142">
        <v>556541</v>
      </c>
    </row>
    <row r="1627" spans="1:9" s="2139" customFormat="1" hidden="1">
      <c r="A1627" s="2140" t="s">
        <v>4788</v>
      </c>
      <c r="B1627" s="2141" t="s">
        <v>3055</v>
      </c>
      <c r="C1627" s="2141" t="s">
        <v>3191</v>
      </c>
      <c r="D1627" s="3396">
        <v>49</v>
      </c>
      <c r="E1627" s="2142">
        <v>40.42</v>
      </c>
      <c r="F1627" s="2142">
        <v>13786</v>
      </c>
      <c r="G1627" s="2142">
        <v>557230.12</v>
      </c>
      <c r="H1627" s="3557">
        <v>42297</v>
      </c>
      <c r="I1627" s="2142">
        <v>557230</v>
      </c>
    </row>
    <row r="1628" spans="1:9" s="2139" customFormat="1" hidden="1">
      <c r="A1628" s="2140" t="s">
        <v>4789</v>
      </c>
      <c r="B1628" s="2141" t="s">
        <v>3055</v>
      </c>
      <c r="C1628" s="2141" t="s">
        <v>3191</v>
      </c>
      <c r="D1628" s="3396">
        <v>50</v>
      </c>
      <c r="E1628" s="2142">
        <v>40.47</v>
      </c>
      <c r="F1628" s="2142">
        <v>13786</v>
      </c>
      <c r="G1628" s="2142">
        <v>557919.42000000004</v>
      </c>
      <c r="H1628" s="3557">
        <v>42297</v>
      </c>
      <c r="I1628" s="2142">
        <v>557919</v>
      </c>
    </row>
    <row r="1629" spans="1:9" s="2139" customFormat="1" hidden="1">
      <c r="A1629" s="2140" t="s">
        <v>4782</v>
      </c>
      <c r="B1629" s="2141" t="s">
        <v>3055</v>
      </c>
      <c r="C1629" s="2141" t="s">
        <v>3191</v>
      </c>
      <c r="D1629" s="3396">
        <v>18</v>
      </c>
      <c r="E1629" s="2142">
        <v>36.520000000000003</v>
      </c>
      <c r="F1629" s="2142">
        <v>13786</v>
      </c>
      <c r="G1629" s="2142">
        <v>503464.72000000003</v>
      </c>
      <c r="H1629" s="3557">
        <v>42292</v>
      </c>
      <c r="I1629" s="2142">
        <v>503465</v>
      </c>
    </row>
    <row r="1630" spans="1:9" s="2139" customFormat="1" hidden="1">
      <c r="A1630" s="2140" t="s">
        <v>4785</v>
      </c>
      <c r="B1630" s="2141" t="s">
        <v>3055</v>
      </c>
      <c r="C1630" s="2141" t="s">
        <v>3191</v>
      </c>
      <c r="D1630" s="3396">
        <v>45</v>
      </c>
      <c r="E1630" s="2142">
        <v>40.22</v>
      </c>
      <c r="F1630" s="2142">
        <v>13786</v>
      </c>
      <c r="G1630" s="2142">
        <v>554472.92000000004</v>
      </c>
      <c r="H1630" s="3557">
        <v>42277</v>
      </c>
      <c r="I1630" s="2142">
        <v>554473</v>
      </c>
    </row>
    <row r="1631" spans="1:9" s="2139" customFormat="1" hidden="1">
      <c r="A1631" s="2140" t="s">
        <v>4771</v>
      </c>
      <c r="B1631" s="2141" t="s">
        <v>3055</v>
      </c>
      <c r="C1631" s="2141" t="s">
        <v>3191</v>
      </c>
      <c r="D1631" s="3396">
        <v>2</v>
      </c>
      <c r="E1631" s="2142">
        <v>68</v>
      </c>
      <c r="F1631" s="2142">
        <v>19839.41</v>
      </c>
      <c r="G1631" s="2142">
        <v>1349079.88</v>
      </c>
      <c r="H1631" s="3557">
        <v>42249</v>
      </c>
      <c r="I1631" s="2142">
        <v>1349080</v>
      </c>
    </row>
    <row r="1632" spans="1:9" s="2139" customFormat="1" hidden="1">
      <c r="A1632" s="2140" t="s">
        <v>4780</v>
      </c>
      <c r="B1632" s="2141" t="s">
        <v>3055</v>
      </c>
      <c r="C1632" s="2141" t="s">
        <v>3191</v>
      </c>
      <c r="D1632" s="3396">
        <v>15</v>
      </c>
      <c r="E1632" s="2142">
        <v>49.3</v>
      </c>
      <c r="F1632" s="2142">
        <v>13372.43</v>
      </c>
      <c r="G1632" s="2142">
        <v>659260.799</v>
      </c>
      <c r="H1632" s="3557">
        <v>42249</v>
      </c>
      <c r="I1632" s="2142">
        <v>659261</v>
      </c>
    </row>
    <row r="1633" spans="1:9" s="2139" customFormat="1" hidden="1">
      <c r="A1633" s="2140" t="s">
        <v>4773</v>
      </c>
      <c r="B1633" s="2141" t="s">
        <v>3055</v>
      </c>
      <c r="C1633" s="2141" t="s">
        <v>3191</v>
      </c>
      <c r="D1633" s="3396">
        <v>5</v>
      </c>
      <c r="E1633" s="2142">
        <v>67.97</v>
      </c>
      <c r="F1633" s="2142">
        <v>19839.400000000001</v>
      </c>
      <c r="G1633" s="2142">
        <v>1348484.0180000002</v>
      </c>
      <c r="H1633" s="3557">
        <v>42247</v>
      </c>
      <c r="I1633" s="2142">
        <v>1348484</v>
      </c>
    </row>
    <row r="1634" spans="1:9" s="2139" customFormat="1" hidden="1">
      <c r="A1634" s="2140" t="s">
        <v>4778</v>
      </c>
      <c r="B1634" s="2141" t="s">
        <v>3055</v>
      </c>
      <c r="C1634" s="2141" t="s">
        <v>3191</v>
      </c>
      <c r="D1634" s="3396">
        <v>12</v>
      </c>
      <c r="E1634" s="2142">
        <v>44.58</v>
      </c>
      <c r="F1634" s="2142">
        <v>13372.43</v>
      </c>
      <c r="G1634" s="2142">
        <v>596142.92940000002</v>
      </c>
      <c r="H1634" s="3557">
        <v>42247</v>
      </c>
      <c r="I1634" s="2142">
        <v>596143</v>
      </c>
    </row>
    <row r="1635" spans="1:9" s="2139" customFormat="1" hidden="1">
      <c r="A1635" s="2140" t="s">
        <v>4772</v>
      </c>
      <c r="B1635" s="2141" t="s">
        <v>3055</v>
      </c>
      <c r="C1635" s="2141" t="s">
        <v>3191</v>
      </c>
      <c r="D1635" s="3396">
        <v>3</v>
      </c>
      <c r="E1635" s="2142">
        <v>67.959999999999994</v>
      </c>
      <c r="F1635" s="2142">
        <v>19839.41</v>
      </c>
      <c r="G1635" s="2142">
        <v>1348286.3035999998</v>
      </c>
      <c r="H1635" s="3557">
        <v>42229</v>
      </c>
      <c r="I1635" s="2142">
        <v>1348286</v>
      </c>
    </row>
    <row r="1636" spans="1:9" s="2139" customFormat="1" hidden="1">
      <c r="A1636" s="2140" t="s">
        <v>4779</v>
      </c>
      <c r="B1636" s="2141" t="s">
        <v>3055</v>
      </c>
      <c r="C1636" s="2141" t="s">
        <v>3191</v>
      </c>
      <c r="D1636" s="3396">
        <v>13</v>
      </c>
      <c r="E1636" s="2142">
        <v>44.56</v>
      </c>
      <c r="F1636" s="2142">
        <v>13372.42</v>
      </c>
      <c r="G1636" s="2142">
        <v>595875.03520000004</v>
      </c>
      <c r="H1636" s="3557">
        <v>42229</v>
      </c>
      <c r="I1636" s="2142">
        <v>595875</v>
      </c>
    </row>
    <row r="1637" spans="1:9" s="2139" customFormat="1" hidden="1">
      <c r="A1637" s="2140" t="s">
        <v>4762</v>
      </c>
      <c r="B1637" s="2141" t="s">
        <v>3055</v>
      </c>
      <c r="C1637" s="2141" t="s">
        <v>3180</v>
      </c>
      <c r="D1637" s="3396">
        <v>125</v>
      </c>
      <c r="E1637" s="2142">
        <v>40.76</v>
      </c>
      <c r="F1637" s="2142">
        <v>14916</v>
      </c>
      <c r="G1637" s="2142">
        <v>607976.15999999992</v>
      </c>
      <c r="H1637" s="3557">
        <v>42206</v>
      </c>
      <c r="I1637" s="2142">
        <v>60798</v>
      </c>
    </row>
    <row r="1638" spans="1:9" s="2139" customFormat="1" hidden="1">
      <c r="A1638" s="2140" t="s">
        <v>4756</v>
      </c>
      <c r="B1638" s="2141" t="s">
        <v>3055</v>
      </c>
      <c r="C1638" s="2141" t="s">
        <v>3180</v>
      </c>
      <c r="D1638" s="3396">
        <v>67</v>
      </c>
      <c r="E1638" s="2142">
        <v>25.84</v>
      </c>
      <c r="F1638" s="2142">
        <v>14916</v>
      </c>
      <c r="G1638" s="2142">
        <v>385429.44</v>
      </c>
      <c r="H1638" s="3557">
        <v>42195</v>
      </c>
      <c r="I1638" s="2142">
        <v>38543</v>
      </c>
    </row>
    <row r="1639" spans="1:9" s="2139" customFormat="1" hidden="1">
      <c r="A1639" s="2140" t="s">
        <v>4769</v>
      </c>
      <c r="B1639" s="2141" t="s">
        <v>3055</v>
      </c>
      <c r="C1639" s="2141" t="s">
        <v>3180</v>
      </c>
      <c r="D1639" s="3396">
        <v>136</v>
      </c>
      <c r="E1639" s="2142">
        <v>41.27</v>
      </c>
      <c r="F1639" s="2142">
        <v>14916</v>
      </c>
      <c r="G1639" s="2142">
        <v>615583.32000000007</v>
      </c>
      <c r="H1639" s="3557">
        <v>42159</v>
      </c>
      <c r="I1639" s="2142">
        <v>123117</v>
      </c>
    </row>
    <row r="1640" spans="1:9" s="2139" customFormat="1" hidden="1">
      <c r="A1640" s="2140" t="s">
        <v>4747</v>
      </c>
      <c r="B1640" s="2141" t="s">
        <v>3055</v>
      </c>
      <c r="C1640" s="2141" t="s">
        <v>3180</v>
      </c>
      <c r="D1640" s="3396">
        <v>18</v>
      </c>
      <c r="E1640" s="2142">
        <v>66.099999999999994</v>
      </c>
      <c r="F1640" s="2142">
        <v>21583</v>
      </c>
      <c r="G1640" s="2142">
        <v>1426636.2999999998</v>
      </c>
      <c r="H1640" s="3557">
        <v>42150</v>
      </c>
      <c r="I1640" s="2142">
        <v>285327</v>
      </c>
    </row>
    <row r="1641" spans="1:9" s="2139" customFormat="1" hidden="1">
      <c r="A1641" s="2140" t="s">
        <v>4748</v>
      </c>
      <c r="B1641" s="2141" t="s">
        <v>3055</v>
      </c>
      <c r="C1641" s="2141" t="s">
        <v>3180</v>
      </c>
      <c r="D1641" s="3396">
        <v>19</v>
      </c>
      <c r="E1641" s="2142">
        <v>81.44</v>
      </c>
      <c r="F1641" s="2142">
        <v>22148</v>
      </c>
      <c r="G1641" s="2142">
        <v>1803733.1199999999</v>
      </c>
      <c r="H1641" s="3557">
        <v>42150</v>
      </c>
      <c r="I1641" s="2142">
        <v>360747</v>
      </c>
    </row>
    <row r="1642" spans="1:9" s="2139" customFormat="1" hidden="1">
      <c r="A1642" s="2140" t="s">
        <v>4749</v>
      </c>
      <c r="B1642" s="2141" t="s">
        <v>3055</v>
      </c>
      <c r="C1642" s="2141" t="s">
        <v>3180</v>
      </c>
      <c r="D1642" s="3396">
        <v>20</v>
      </c>
      <c r="E1642" s="2142">
        <v>44.75</v>
      </c>
      <c r="F1642" s="2142">
        <v>15594</v>
      </c>
      <c r="G1642" s="2142">
        <v>697831.5</v>
      </c>
      <c r="H1642" s="3557">
        <v>42150</v>
      </c>
      <c r="I1642" s="2142">
        <v>139566</v>
      </c>
    </row>
    <row r="1643" spans="1:9" s="2139" customFormat="1" hidden="1">
      <c r="A1643" s="2140" t="s">
        <v>4750</v>
      </c>
      <c r="B1643" s="2141" t="s">
        <v>3055</v>
      </c>
      <c r="C1643" s="2141" t="s">
        <v>3180</v>
      </c>
      <c r="D1643" s="3396">
        <v>21</v>
      </c>
      <c r="E1643" s="2142">
        <v>46.6</v>
      </c>
      <c r="F1643" s="2142">
        <v>14916</v>
      </c>
      <c r="G1643" s="2142">
        <v>695085.6</v>
      </c>
      <c r="H1643" s="3557">
        <v>42150</v>
      </c>
      <c r="I1643" s="2142">
        <v>139017</v>
      </c>
    </row>
    <row r="1644" spans="1:9" s="2139" customFormat="1" hidden="1">
      <c r="A1644" s="2140" t="s">
        <v>6020</v>
      </c>
      <c r="B1644" s="3560" t="s">
        <v>3057</v>
      </c>
      <c r="C1644" s="2141" t="s">
        <v>3142</v>
      </c>
      <c r="D1644" s="3396">
        <v>343</v>
      </c>
      <c r="E1644" s="2142">
        <v>62.37</v>
      </c>
      <c r="F1644" s="2142">
        <v>18707</v>
      </c>
      <c r="G1644" s="2142">
        <v>1166755.5899999999</v>
      </c>
      <c r="H1644" s="3557">
        <v>42759</v>
      </c>
      <c r="I1644" s="2142">
        <v>1166756</v>
      </c>
    </row>
    <row r="1645" spans="1:9" s="2139" customFormat="1" hidden="1">
      <c r="A1645" s="2140" t="s">
        <v>6047</v>
      </c>
      <c r="B1645" s="3560" t="s">
        <v>3057</v>
      </c>
      <c r="C1645" s="2141" t="s">
        <v>3142</v>
      </c>
      <c r="D1645" s="3396">
        <v>458</v>
      </c>
      <c r="E1645" s="2142">
        <v>40.72</v>
      </c>
      <c r="F1645" s="2142">
        <v>15597</v>
      </c>
      <c r="G1645" s="2142">
        <v>635109.84</v>
      </c>
      <c r="H1645" s="3557">
        <v>42759</v>
      </c>
      <c r="I1645" s="2142">
        <v>635110</v>
      </c>
    </row>
    <row r="1646" spans="1:9" s="2139" customFormat="1" hidden="1">
      <c r="A1646" s="2140" t="s">
        <v>4096</v>
      </c>
      <c r="B1646" s="3560" t="s">
        <v>3054</v>
      </c>
      <c r="C1646" s="2141" t="s">
        <v>3142</v>
      </c>
      <c r="D1646" s="3396">
        <v>50</v>
      </c>
      <c r="E1646" s="2142">
        <v>63.44</v>
      </c>
      <c r="F1646" s="2142">
        <v>14356</v>
      </c>
      <c r="G1646" s="2142">
        <v>910745</v>
      </c>
      <c r="H1646" s="3557">
        <v>42987</v>
      </c>
      <c r="I1646" s="2142">
        <v>910745</v>
      </c>
    </row>
    <row r="1647" spans="1:9" s="2139" customFormat="1" hidden="1">
      <c r="A1647" s="2140" t="s">
        <v>6781</v>
      </c>
      <c r="B1647" s="3560">
        <v>12</v>
      </c>
      <c r="C1647" s="2141" t="s">
        <v>3142</v>
      </c>
      <c r="D1647" s="3396">
        <v>20</v>
      </c>
      <c r="E1647" s="2142">
        <v>60.59</v>
      </c>
      <c r="F1647" s="2142">
        <v>15403.614100000001</v>
      </c>
      <c r="G1647" s="2142">
        <v>933304.9783190001</v>
      </c>
      <c r="H1647" s="3557">
        <v>42755</v>
      </c>
      <c r="I1647" s="2142">
        <v>929146</v>
      </c>
    </row>
    <row r="1648" spans="1:9" s="2139" customFormat="1" hidden="1">
      <c r="A1648" s="2140" t="s">
        <v>5916</v>
      </c>
      <c r="B1648" s="3560" t="s">
        <v>3057</v>
      </c>
      <c r="C1648" s="2141" t="s">
        <v>3142</v>
      </c>
      <c r="D1648" s="3396">
        <v>51</v>
      </c>
      <c r="E1648" s="2142">
        <v>70.98</v>
      </c>
      <c r="F1648" s="2142">
        <v>19981.994928</v>
      </c>
      <c r="G1648" s="2142">
        <v>1418321.9999894402</v>
      </c>
      <c r="H1648" s="3557">
        <v>42746</v>
      </c>
      <c r="I1648" s="2142">
        <v>1418322</v>
      </c>
    </row>
    <row r="1649" spans="1:9" s="2139" customFormat="1" hidden="1">
      <c r="A1649" s="2140" t="s">
        <v>4315</v>
      </c>
      <c r="B1649" s="3560" t="s">
        <v>3054</v>
      </c>
      <c r="C1649" s="2141" t="s">
        <v>3142</v>
      </c>
      <c r="D1649" s="3396">
        <v>331</v>
      </c>
      <c r="E1649" s="2142">
        <v>70.62</v>
      </c>
      <c r="F1649" s="2142">
        <v>12853.610875099999</v>
      </c>
      <c r="G1649" s="2142">
        <v>907721.99999956205</v>
      </c>
      <c r="H1649" s="3557">
        <v>42932</v>
      </c>
      <c r="I1649" s="2142">
        <v>907722</v>
      </c>
    </row>
    <row r="1650" spans="1:9" s="2139" customFormat="1" hidden="1">
      <c r="A1650" s="2140" t="s">
        <v>5929</v>
      </c>
      <c r="B1650" s="2141" t="s">
        <v>3057</v>
      </c>
      <c r="C1650" s="2141" t="s">
        <v>3142</v>
      </c>
      <c r="D1650" s="2141">
        <v>79</v>
      </c>
      <c r="E1650" s="2142">
        <v>29.42</v>
      </c>
      <c r="F1650" s="2142">
        <v>18477</v>
      </c>
      <c r="G1650" s="2142">
        <v>543593.34000000008</v>
      </c>
      <c r="H1650" s="2143">
        <v>42726</v>
      </c>
      <c r="I1650" s="2142">
        <v>273593</v>
      </c>
    </row>
    <row r="1651" spans="1:9" s="2139" customFormat="1" hidden="1">
      <c r="A1651" s="2140" t="s">
        <v>5930</v>
      </c>
      <c r="B1651" s="2141" t="s">
        <v>3057</v>
      </c>
      <c r="C1651" s="2141" t="s">
        <v>3142</v>
      </c>
      <c r="D1651" s="2141">
        <v>80</v>
      </c>
      <c r="E1651" s="2142">
        <v>79.739999999999995</v>
      </c>
      <c r="F1651" s="2142">
        <v>19626</v>
      </c>
      <c r="G1651" s="2142">
        <v>1564977.24</v>
      </c>
      <c r="H1651" s="2143">
        <v>42726</v>
      </c>
      <c r="I1651" s="2142">
        <v>784977</v>
      </c>
    </row>
    <row r="1652" spans="1:9" s="2139" customFormat="1" hidden="1">
      <c r="A1652" s="2140" t="s">
        <v>5931</v>
      </c>
      <c r="B1652" s="2141" t="s">
        <v>3057</v>
      </c>
      <c r="C1652" s="2141" t="s">
        <v>3142</v>
      </c>
      <c r="D1652" s="2141">
        <v>81</v>
      </c>
      <c r="E1652" s="2142">
        <v>74.36</v>
      </c>
      <c r="F1652" s="2142">
        <v>19287</v>
      </c>
      <c r="G1652" s="2142">
        <v>1434181.32</v>
      </c>
      <c r="H1652" s="2143">
        <v>42726</v>
      </c>
      <c r="I1652" s="2142">
        <v>724181</v>
      </c>
    </row>
    <row r="1653" spans="1:9" s="2139" customFormat="1" hidden="1">
      <c r="A1653" s="2140" t="s">
        <v>5934</v>
      </c>
      <c r="B1653" s="2141" t="s">
        <v>3057</v>
      </c>
      <c r="C1653" s="2141" t="s">
        <v>3142</v>
      </c>
      <c r="D1653" s="2141">
        <v>90</v>
      </c>
      <c r="E1653" s="2142">
        <v>31.4</v>
      </c>
      <c r="F1653" s="2142">
        <v>17908</v>
      </c>
      <c r="G1653" s="2142">
        <v>562311.19999999995</v>
      </c>
      <c r="H1653" s="2143">
        <v>42726</v>
      </c>
      <c r="I1653" s="2142">
        <v>282311</v>
      </c>
    </row>
    <row r="1654" spans="1:9" s="2139" customFormat="1" hidden="1">
      <c r="A1654" s="2140" t="s">
        <v>5935</v>
      </c>
      <c r="B1654" s="2141" t="s">
        <v>3057</v>
      </c>
      <c r="C1654" s="2141" t="s">
        <v>3142</v>
      </c>
      <c r="D1654" s="2141">
        <v>91</v>
      </c>
      <c r="E1654" s="2142">
        <v>30.66</v>
      </c>
      <c r="F1654" s="2142">
        <v>17908</v>
      </c>
      <c r="G1654" s="2142">
        <v>549059.28</v>
      </c>
      <c r="H1654" s="2143">
        <v>42726</v>
      </c>
      <c r="I1654" s="2142">
        <v>279059</v>
      </c>
    </row>
    <row r="1655" spans="1:9" s="2139" customFormat="1" hidden="1">
      <c r="A1655" s="2140" t="s">
        <v>5966</v>
      </c>
      <c r="B1655" s="2141" t="s">
        <v>3057</v>
      </c>
      <c r="C1655" s="2141" t="s">
        <v>3142</v>
      </c>
      <c r="D1655" s="2141">
        <v>160</v>
      </c>
      <c r="E1655" s="2142">
        <v>11.74</v>
      </c>
      <c r="F1655" s="2142">
        <v>19227</v>
      </c>
      <c r="G1655" s="2142">
        <v>225724.98</v>
      </c>
      <c r="H1655" s="2143">
        <v>42726</v>
      </c>
      <c r="I1655" s="2142">
        <v>225725</v>
      </c>
    </row>
    <row r="1656" spans="1:9" s="2139" customFormat="1" hidden="1">
      <c r="A1656" s="2140" t="s">
        <v>5989</v>
      </c>
      <c r="B1656" s="2141" t="s">
        <v>3057</v>
      </c>
      <c r="C1656" s="2141" t="s">
        <v>3142</v>
      </c>
      <c r="D1656" s="2141">
        <v>192</v>
      </c>
      <c r="E1656" s="2142">
        <v>69.97</v>
      </c>
      <c r="F1656" s="2142">
        <v>17884</v>
      </c>
      <c r="G1656" s="2142">
        <v>1251343.48</v>
      </c>
      <c r="H1656" s="2143">
        <v>42726</v>
      </c>
      <c r="I1656" s="2142">
        <v>631343</v>
      </c>
    </row>
    <row r="1657" spans="1:9" s="2139" customFormat="1" hidden="1">
      <c r="A1657" s="2140" t="s">
        <v>5990</v>
      </c>
      <c r="B1657" s="2141" t="s">
        <v>3057</v>
      </c>
      <c r="C1657" s="2141" t="s">
        <v>3142</v>
      </c>
      <c r="D1657" s="2141">
        <v>196</v>
      </c>
      <c r="E1657" s="2142">
        <v>62.26</v>
      </c>
      <c r="F1657" s="2142">
        <v>17884</v>
      </c>
      <c r="G1657" s="2142">
        <v>1113457.8399999999</v>
      </c>
      <c r="H1657" s="2143">
        <v>42726</v>
      </c>
      <c r="I1657" s="2142">
        <v>563458</v>
      </c>
    </row>
    <row r="1658" spans="1:9" s="2139" customFormat="1" hidden="1">
      <c r="A1658" s="2140" t="s">
        <v>5991</v>
      </c>
      <c r="B1658" s="2141" t="s">
        <v>3057</v>
      </c>
      <c r="C1658" s="2141" t="s">
        <v>3142</v>
      </c>
      <c r="D1658" s="2141">
        <v>197</v>
      </c>
      <c r="E1658" s="2142">
        <v>31.81</v>
      </c>
      <c r="F1658" s="2142">
        <v>17908</v>
      </c>
      <c r="G1658" s="2142">
        <v>569653.48</v>
      </c>
      <c r="H1658" s="2143">
        <v>42726</v>
      </c>
      <c r="I1658" s="2142">
        <v>289653</v>
      </c>
    </row>
    <row r="1659" spans="1:9" s="2139" customFormat="1" hidden="1">
      <c r="A1659" s="2140" t="s">
        <v>6021</v>
      </c>
      <c r="B1659" s="2141" t="s">
        <v>3057</v>
      </c>
      <c r="C1659" s="2141" t="s">
        <v>3142</v>
      </c>
      <c r="D1659" s="2141">
        <v>345</v>
      </c>
      <c r="E1659" s="2142">
        <v>48.29</v>
      </c>
      <c r="F1659" s="2142">
        <v>18707</v>
      </c>
      <c r="G1659" s="2142">
        <v>903361.03</v>
      </c>
      <c r="H1659" s="2143">
        <v>42726</v>
      </c>
      <c r="I1659" s="2142">
        <v>453361</v>
      </c>
    </row>
    <row r="1660" spans="1:9" s="2139" customFormat="1" hidden="1">
      <c r="A1660" s="2140" t="s">
        <v>6022</v>
      </c>
      <c r="B1660" s="2141" t="s">
        <v>3057</v>
      </c>
      <c r="C1660" s="2141" t="s">
        <v>3142</v>
      </c>
      <c r="D1660" s="2141">
        <v>346</v>
      </c>
      <c r="E1660" s="2142">
        <v>47.56</v>
      </c>
      <c r="F1660" s="2142">
        <v>18707</v>
      </c>
      <c r="G1660" s="2142">
        <v>889704.92</v>
      </c>
      <c r="H1660" s="2143">
        <v>42726</v>
      </c>
      <c r="I1660" s="2142">
        <v>449705</v>
      </c>
    </row>
    <row r="1661" spans="1:9" s="2139" customFormat="1" hidden="1">
      <c r="A1661" s="2140" t="s">
        <v>6025</v>
      </c>
      <c r="B1661" s="2141" t="s">
        <v>3057</v>
      </c>
      <c r="C1661" s="2141" t="s">
        <v>3142</v>
      </c>
      <c r="D1661" s="2141">
        <v>371</v>
      </c>
      <c r="E1661" s="2142">
        <v>34.979999999999997</v>
      </c>
      <c r="F1661" s="2142">
        <v>18707</v>
      </c>
      <c r="G1661" s="2142">
        <v>654370.86</v>
      </c>
      <c r="H1661" s="2143">
        <v>42726</v>
      </c>
      <c r="I1661" s="2142">
        <v>654371</v>
      </c>
    </row>
    <row r="1662" spans="1:9" s="2139" customFormat="1" hidden="1">
      <c r="A1662" s="2140" t="s">
        <v>5926</v>
      </c>
      <c r="B1662" s="2141" t="s">
        <v>3057</v>
      </c>
      <c r="C1662" s="2141" t="s">
        <v>3142</v>
      </c>
      <c r="D1662" s="2141">
        <v>66</v>
      </c>
      <c r="E1662" s="2142">
        <v>22.01</v>
      </c>
      <c r="F1662" s="2142">
        <v>19227</v>
      </c>
      <c r="G1662" s="2142">
        <v>423186.27</v>
      </c>
      <c r="H1662" s="2143">
        <v>42725</v>
      </c>
      <c r="I1662" s="2142">
        <v>213186</v>
      </c>
    </row>
    <row r="1663" spans="1:9" s="2139" customFormat="1" hidden="1">
      <c r="A1663" s="2140" t="s">
        <v>5005</v>
      </c>
      <c r="B1663" s="2141" t="s">
        <v>3055</v>
      </c>
      <c r="C1663" s="2141" t="s">
        <v>3142</v>
      </c>
      <c r="D1663" s="3396">
        <v>279</v>
      </c>
      <c r="E1663" s="2142">
        <v>62.68</v>
      </c>
      <c r="F1663" s="2142">
        <v>18100</v>
      </c>
      <c r="G1663" s="2142">
        <v>1134508</v>
      </c>
      <c r="H1663" s="3557">
        <v>42715</v>
      </c>
      <c r="I1663" s="2142">
        <v>1134508</v>
      </c>
    </row>
    <row r="1664" spans="1:9" s="2139" customFormat="1" hidden="1">
      <c r="A1664" s="2140" t="s">
        <v>6776</v>
      </c>
      <c r="B1664" s="2141">
        <v>12</v>
      </c>
      <c r="C1664" s="2141" t="s">
        <v>3142</v>
      </c>
      <c r="D1664" s="2141">
        <v>1</v>
      </c>
      <c r="E1664" s="2142">
        <v>76.14</v>
      </c>
      <c r="F1664" s="2142">
        <v>18610</v>
      </c>
      <c r="G1664" s="2142">
        <v>1416965.4</v>
      </c>
      <c r="H1664" s="2143">
        <v>42713</v>
      </c>
      <c r="I1664" s="2142">
        <v>50000</v>
      </c>
    </row>
    <row r="1665" spans="1:9" s="2139" customFormat="1" hidden="1">
      <c r="A1665" s="2140" t="s">
        <v>6793</v>
      </c>
      <c r="B1665" s="2141">
        <v>12</v>
      </c>
      <c r="C1665" s="2141" t="s">
        <v>3142</v>
      </c>
      <c r="D1665" s="2141">
        <v>60</v>
      </c>
      <c r="E1665" s="2142">
        <v>63.96</v>
      </c>
      <c r="F1665" s="2142">
        <v>20130</v>
      </c>
      <c r="G1665" s="2142">
        <v>1287514.8</v>
      </c>
      <c r="H1665" s="2143">
        <v>42713</v>
      </c>
      <c r="I1665" s="2142">
        <v>50000</v>
      </c>
    </row>
    <row r="1666" spans="1:9" s="2139" customFormat="1" hidden="1">
      <c r="A1666" s="2140" t="s">
        <v>6794</v>
      </c>
      <c r="B1666" s="2141">
        <v>12</v>
      </c>
      <c r="C1666" s="2141" t="s">
        <v>3142</v>
      </c>
      <c r="D1666" s="2141">
        <v>61</v>
      </c>
      <c r="E1666" s="2142">
        <v>65.180000000000007</v>
      </c>
      <c r="F1666" s="2142">
        <v>22150</v>
      </c>
      <c r="G1666" s="2142">
        <v>1443737.0000000002</v>
      </c>
      <c r="H1666" s="2143">
        <v>42713</v>
      </c>
      <c r="I1666" s="2142">
        <v>50000</v>
      </c>
    </row>
    <row r="1667" spans="1:9" s="2139" customFormat="1" hidden="1">
      <c r="A1667" s="2140" t="s">
        <v>6805</v>
      </c>
      <c r="B1667" s="2141">
        <v>12</v>
      </c>
      <c r="C1667" s="2141" t="s">
        <v>3142</v>
      </c>
      <c r="D1667" s="2141">
        <v>77</v>
      </c>
      <c r="E1667" s="2142">
        <v>54.11</v>
      </c>
      <c r="F1667" s="2142">
        <v>20030</v>
      </c>
      <c r="G1667" s="2142">
        <v>1083823.3</v>
      </c>
      <c r="H1667" s="2143">
        <v>42713</v>
      </c>
      <c r="I1667" s="2142">
        <v>1079016</v>
      </c>
    </row>
    <row r="1668" spans="1:9" s="2139" customFormat="1" hidden="1">
      <c r="A1668" s="2140" t="s">
        <v>6845</v>
      </c>
      <c r="B1668" s="2141">
        <v>12</v>
      </c>
      <c r="C1668" s="2141" t="s">
        <v>3142</v>
      </c>
      <c r="D1668" s="2141">
        <v>159</v>
      </c>
      <c r="E1668" s="2142">
        <v>85.79</v>
      </c>
      <c r="F1668" s="2142">
        <v>20080</v>
      </c>
      <c r="G1668" s="2142">
        <v>1722663.2000000002</v>
      </c>
      <c r="H1668" s="2143">
        <v>42713</v>
      </c>
      <c r="I1668" s="2142">
        <v>1715033</v>
      </c>
    </row>
    <row r="1669" spans="1:9" s="2139" customFormat="1" hidden="1">
      <c r="A1669" s="2140" t="s">
        <v>6874</v>
      </c>
      <c r="B1669" s="2141">
        <v>12</v>
      </c>
      <c r="C1669" s="2141" t="s">
        <v>3142</v>
      </c>
      <c r="D1669" s="2141">
        <v>221</v>
      </c>
      <c r="E1669" s="2142">
        <v>25.39</v>
      </c>
      <c r="F1669" s="2142">
        <v>19000</v>
      </c>
      <c r="G1669" s="2142">
        <v>482410</v>
      </c>
      <c r="H1669" s="2143">
        <v>42713</v>
      </c>
      <c r="I1669" s="2142">
        <v>240320</v>
      </c>
    </row>
    <row r="1670" spans="1:9" s="2139" customFormat="1" hidden="1">
      <c r="A1670" s="2140" t="s">
        <v>6323</v>
      </c>
      <c r="B1670" s="2141">
        <v>9</v>
      </c>
      <c r="C1670" s="2141" t="s">
        <v>3142</v>
      </c>
      <c r="D1670" s="2141">
        <v>32</v>
      </c>
      <c r="E1670" s="2142">
        <v>80.510000000000005</v>
      </c>
      <c r="F1670" s="2142">
        <v>18025</v>
      </c>
      <c r="G1670" s="2142">
        <v>1451192.75</v>
      </c>
      <c r="H1670" s="2143">
        <v>42703</v>
      </c>
      <c r="I1670" s="2142">
        <v>1451193</v>
      </c>
    </row>
    <row r="1671" spans="1:9" s="2139" customFormat="1" hidden="1">
      <c r="A1671" s="2140" t="s">
        <v>6601</v>
      </c>
      <c r="B1671" s="2141">
        <v>11</v>
      </c>
      <c r="C1671" s="2141" t="s">
        <v>3142</v>
      </c>
      <c r="D1671" s="2141">
        <v>79</v>
      </c>
      <c r="E1671" s="2142">
        <v>25.17</v>
      </c>
      <c r="F1671" s="2142">
        <v>16984.72</v>
      </c>
      <c r="G1671" s="2142">
        <v>427505.40240000008</v>
      </c>
      <c r="H1671" s="2143">
        <v>42694</v>
      </c>
      <c r="I1671" s="2142">
        <v>427845</v>
      </c>
    </row>
    <row r="1672" spans="1:9" s="2139" customFormat="1" hidden="1">
      <c r="A1672" s="2140" t="s">
        <v>6800</v>
      </c>
      <c r="B1672" s="2141">
        <v>12</v>
      </c>
      <c r="C1672" s="2141" t="s">
        <v>3142</v>
      </c>
      <c r="D1672" s="2141">
        <v>69</v>
      </c>
      <c r="E1672" s="2142">
        <v>65.489999999999995</v>
      </c>
      <c r="F1672" s="2142">
        <v>18930</v>
      </c>
      <c r="G1672" s="2142">
        <v>1239725.7</v>
      </c>
      <c r="H1672" s="2143">
        <v>42678</v>
      </c>
      <c r="I1672" s="2142">
        <v>626129</v>
      </c>
    </row>
    <row r="1673" spans="1:9" s="2139" customFormat="1" hidden="1">
      <c r="A1673" s="2140" t="s">
        <v>6848</v>
      </c>
      <c r="B1673" s="2141">
        <v>12</v>
      </c>
      <c r="C1673" s="2141" t="s">
        <v>3142</v>
      </c>
      <c r="D1673" s="2141">
        <v>163</v>
      </c>
      <c r="E1673" s="2142">
        <v>51.77</v>
      </c>
      <c r="F1673" s="2142">
        <v>18459.09</v>
      </c>
      <c r="G1673" s="2142">
        <v>955627.08930000011</v>
      </c>
      <c r="H1673" s="2143">
        <v>42675</v>
      </c>
      <c r="I1673" s="2142">
        <v>951381</v>
      </c>
    </row>
    <row r="1674" spans="1:9" s="2139" customFormat="1" hidden="1">
      <c r="A1674" s="2140" t="s">
        <v>6880</v>
      </c>
      <c r="B1674" s="2141">
        <v>12</v>
      </c>
      <c r="C1674" s="2141" t="s">
        <v>3142</v>
      </c>
      <c r="D1674" s="2141">
        <v>231</v>
      </c>
      <c r="E1674" s="2142">
        <v>83.19</v>
      </c>
      <c r="F1674" s="2142">
        <v>17980</v>
      </c>
      <c r="G1674" s="2142">
        <v>1495756.2</v>
      </c>
      <c r="H1674" s="2143">
        <v>42662</v>
      </c>
      <c r="I1674" s="2142">
        <v>309104</v>
      </c>
    </row>
    <row r="1675" spans="1:9" s="2139" customFormat="1" hidden="1">
      <c r="A1675" s="2140" t="s">
        <v>6881</v>
      </c>
      <c r="B1675" s="2141">
        <v>12</v>
      </c>
      <c r="C1675" s="2141" t="s">
        <v>3142</v>
      </c>
      <c r="D1675" s="2141">
        <v>232</v>
      </c>
      <c r="E1675" s="2142">
        <v>83.19</v>
      </c>
      <c r="F1675" s="2142">
        <v>17980</v>
      </c>
      <c r="G1675" s="2142">
        <v>1495756.2</v>
      </c>
      <c r="H1675" s="2143">
        <v>42662</v>
      </c>
      <c r="I1675" s="2142">
        <v>309104</v>
      </c>
    </row>
    <row r="1676" spans="1:9" s="2139" customFormat="1" hidden="1">
      <c r="A1676" s="2140" t="s">
        <v>6865</v>
      </c>
      <c r="B1676" s="2141">
        <v>12</v>
      </c>
      <c r="C1676" s="2141" t="s">
        <v>3142</v>
      </c>
      <c r="D1676" s="2141">
        <v>210</v>
      </c>
      <c r="E1676" s="2142">
        <v>58.26</v>
      </c>
      <c r="F1676" s="2142">
        <v>14894.34</v>
      </c>
      <c r="G1676" s="2142">
        <v>867744.24839999992</v>
      </c>
      <c r="H1676" s="2143">
        <v>42655</v>
      </c>
      <c r="I1676" s="2142">
        <v>863872</v>
      </c>
    </row>
    <row r="1677" spans="1:9" s="2139" customFormat="1" hidden="1">
      <c r="A1677" s="2140" t="s">
        <v>6828</v>
      </c>
      <c r="B1677" s="2141">
        <v>12</v>
      </c>
      <c r="C1677" s="2141" t="s">
        <v>3142</v>
      </c>
      <c r="D1677" s="2141">
        <v>130</v>
      </c>
      <c r="E1677" s="2142">
        <v>23.67</v>
      </c>
      <c r="F1677" s="2142">
        <v>15355</v>
      </c>
      <c r="G1677" s="2142">
        <v>363452.85000000003</v>
      </c>
      <c r="H1677" s="2143">
        <v>42643</v>
      </c>
      <c r="I1677" s="2142">
        <v>50000</v>
      </c>
    </row>
    <row r="1678" spans="1:9" s="2139" customFormat="1" hidden="1">
      <c r="A1678" s="2140" t="s">
        <v>4928</v>
      </c>
      <c r="B1678" s="2141" t="s">
        <v>3055</v>
      </c>
      <c r="C1678" s="2141" t="s">
        <v>3142</v>
      </c>
      <c r="D1678" s="3396">
        <v>171</v>
      </c>
      <c r="E1678" s="2142">
        <v>51.73</v>
      </c>
      <c r="F1678" s="2142">
        <v>16386.5</v>
      </c>
      <c r="G1678" s="2142">
        <v>847673.6449999999</v>
      </c>
      <c r="H1678" s="3557">
        <v>42636</v>
      </c>
      <c r="I1678" s="2142">
        <v>847674</v>
      </c>
    </row>
    <row r="1679" spans="1:9" s="2139" customFormat="1" hidden="1">
      <c r="A1679" s="2140" t="s">
        <v>4819</v>
      </c>
      <c r="B1679" s="2141" t="s">
        <v>3055</v>
      </c>
      <c r="C1679" s="2141" t="s">
        <v>3142</v>
      </c>
      <c r="D1679" s="3396">
        <v>33</v>
      </c>
      <c r="E1679" s="2142">
        <v>73.209999999999994</v>
      </c>
      <c r="F1679" s="2142">
        <v>18032.009999999998</v>
      </c>
      <c r="G1679" s="2142">
        <v>1320123.4520999999</v>
      </c>
      <c r="H1679" s="3557">
        <v>42633</v>
      </c>
      <c r="I1679" s="2142">
        <v>1320123</v>
      </c>
    </row>
    <row r="1680" spans="1:9" s="2139" customFormat="1" hidden="1">
      <c r="A1680" s="2140" t="s">
        <v>4846</v>
      </c>
      <c r="B1680" s="2141" t="s">
        <v>3055</v>
      </c>
      <c r="C1680" s="2141" t="s">
        <v>3142</v>
      </c>
      <c r="D1680" s="3396">
        <v>65</v>
      </c>
      <c r="E1680" s="2142">
        <v>41.45</v>
      </c>
      <c r="F1680" s="2142">
        <v>15694.52</v>
      </c>
      <c r="G1680" s="2142">
        <v>650537.85400000005</v>
      </c>
      <c r="H1680" s="3557">
        <v>42633</v>
      </c>
      <c r="I1680" s="2142">
        <v>650538</v>
      </c>
    </row>
    <row r="1681" spans="1:9" s="2139" customFormat="1" hidden="1">
      <c r="A1681" s="2140" t="s">
        <v>6338</v>
      </c>
      <c r="B1681" s="2141">
        <v>9</v>
      </c>
      <c r="C1681" s="2141" t="s">
        <v>3142</v>
      </c>
      <c r="D1681" s="2141">
        <v>62</v>
      </c>
      <c r="E1681" s="2142">
        <v>70.27</v>
      </c>
      <c r="F1681" s="2142">
        <v>13905</v>
      </c>
      <c r="G1681" s="2142">
        <v>977104.35</v>
      </c>
      <c r="H1681" s="2143">
        <v>42632</v>
      </c>
      <c r="I1681" s="2142">
        <v>109322</v>
      </c>
    </row>
    <row r="1682" spans="1:9" s="2139" customFormat="1" hidden="1">
      <c r="A1682" s="2140" t="s">
        <v>4291</v>
      </c>
      <c r="B1682" s="2141" t="s">
        <v>3054</v>
      </c>
      <c r="C1682" s="2141" t="s">
        <v>3142</v>
      </c>
      <c r="D1682" s="2141">
        <v>292</v>
      </c>
      <c r="E1682" s="2142">
        <v>28.28</v>
      </c>
      <c r="F1682" s="2142">
        <v>15617.01</v>
      </c>
      <c r="G1682" s="2142">
        <v>441649.0428</v>
      </c>
      <c r="H1682" s="2143">
        <v>42626</v>
      </c>
      <c r="I1682" s="2142">
        <v>441649</v>
      </c>
    </row>
    <row r="1683" spans="1:9" s="2139" customFormat="1" hidden="1">
      <c r="A1683" s="2140" t="s">
        <v>6871</v>
      </c>
      <c r="B1683" s="2141">
        <v>12</v>
      </c>
      <c r="C1683" s="2141" t="s">
        <v>3142</v>
      </c>
      <c r="D1683" s="2141">
        <v>218</v>
      </c>
      <c r="E1683" s="2142">
        <v>47.61</v>
      </c>
      <c r="F1683" s="2142">
        <v>14385.11</v>
      </c>
      <c r="G1683" s="2142">
        <v>684875.0871</v>
      </c>
      <c r="H1683" s="2143">
        <v>42621</v>
      </c>
      <c r="I1683" s="2142">
        <v>681854</v>
      </c>
    </row>
    <row r="1684" spans="1:9" s="2139" customFormat="1" hidden="1">
      <c r="A1684" s="2140" t="s">
        <v>6591</v>
      </c>
      <c r="B1684" s="2141">
        <v>11</v>
      </c>
      <c r="C1684" s="2141" t="s">
        <v>3142</v>
      </c>
      <c r="D1684" s="2141">
        <v>42</v>
      </c>
      <c r="E1684" s="2142">
        <v>85.5</v>
      </c>
      <c r="F1684" s="2142">
        <v>18540</v>
      </c>
      <c r="G1684" s="2142">
        <v>1585170</v>
      </c>
      <c r="H1684" s="2143">
        <v>42613</v>
      </c>
      <c r="I1684" s="2142">
        <v>1569967</v>
      </c>
    </row>
    <row r="1685" spans="1:9" s="2139" customFormat="1" hidden="1">
      <c r="A1685" s="2140" t="s">
        <v>4810</v>
      </c>
      <c r="B1685" s="2141" t="s">
        <v>3055</v>
      </c>
      <c r="C1685" s="2141" t="s">
        <v>3142</v>
      </c>
      <c r="D1685" s="3396">
        <v>23</v>
      </c>
      <c r="E1685" s="2142">
        <v>72.349999999999994</v>
      </c>
      <c r="F1685" s="2142">
        <v>18031.21</v>
      </c>
      <c r="G1685" s="2142">
        <v>1304558.0434999999</v>
      </c>
      <c r="H1685" s="3557">
        <v>42611</v>
      </c>
      <c r="I1685" s="2142">
        <v>1304558</v>
      </c>
    </row>
    <row r="1686" spans="1:9" s="2139" customFormat="1" hidden="1">
      <c r="A1686" s="2140" t="s">
        <v>4907</v>
      </c>
      <c r="B1686" s="2141" t="s">
        <v>3055</v>
      </c>
      <c r="C1686" s="2141" t="s">
        <v>3142</v>
      </c>
      <c r="D1686" s="3396">
        <v>145</v>
      </c>
      <c r="E1686" s="2142">
        <v>22.2</v>
      </c>
      <c r="F1686" s="2142">
        <v>15811</v>
      </c>
      <c r="G1686" s="2142">
        <v>351004.2</v>
      </c>
      <c r="H1686" s="3557">
        <v>42611</v>
      </c>
      <c r="I1686" s="2142">
        <v>351004</v>
      </c>
    </row>
    <row r="1687" spans="1:9" s="2139" customFormat="1" hidden="1">
      <c r="A1687" s="2140" t="s">
        <v>4951</v>
      </c>
      <c r="B1687" s="2141" t="s">
        <v>3055</v>
      </c>
      <c r="C1687" s="2141" t="s">
        <v>3142</v>
      </c>
      <c r="D1687" s="3396">
        <v>203</v>
      </c>
      <c r="E1687" s="2142">
        <v>86.18</v>
      </c>
      <c r="F1687" s="2142">
        <v>18500</v>
      </c>
      <c r="G1687" s="2142">
        <v>1594330.0000000002</v>
      </c>
      <c r="H1687" s="3557">
        <v>42605</v>
      </c>
      <c r="I1687" s="2142">
        <v>1594330</v>
      </c>
    </row>
    <row r="1688" spans="1:9" s="2139" customFormat="1" hidden="1">
      <c r="A1688" s="2140" t="s">
        <v>6849</v>
      </c>
      <c r="B1688" s="2141">
        <v>12</v>
      </c>
      <c r="C1688" s="2141" t="s">
        <v>3142</v>
      </c>
      <c r="D1688" s="2141">
        <v>165</v>
      </c>
      <c r="E1688" s="2142">
        <v>49.34</v>
      </c>
      <c r="F1688" s="2142">
        <v>20130</v>
      </c>
      <c r="G1688" s="2142">
        <v>993214.20000000007</v>
      </c>
      <c r="H1688" s="2143">
        <v>42600</v>
      </c>
      <c r="I1688" s="2142">
        <v>211398</v>
      </c>
    </row>
    <row r="1689" spans="1:9" s="2139" customFormat="1" hidden="1">
      <c r="A1689" s="2140" t="s">
        <v>6791</v>
      </c>
      <c r="B1689" s="2141">
        <v>12</v>
      </c>
      <c r="C1689" s="2141" t="s">
        <v>3142</v>
      </c>
      <c r="D1689" s="2141">
        <v>52</v>
      </c>
      <c r="E1689" s="2142">
        <v>56.32</v>
      </c>
      <c r="F1689" s="2142">
        <v>17280.490000000002</v>
      </c>
      <c r="G1689" s="2142">
        <v>973237.19680000015</v>
      </c>
      <c r="H1689" s="2143">
        <v>42599</v>
      </c>
      <c r="I1689" s="2142">
        <v>968917</v>
      </c>
    </row>
    <row r="1690" spans="1:9" s="2139" customFormat="1" hidden="1">
      <c r="A1690" s="2140" t="s">
        <v>6817</v>
      </c>
      <c r="B1690" s="2141">
        <v>12</v>
      </c>
      <c r="C1690" s="2141" t="s">
        <v>3142</v>
      </c>
      <c r="D1690" s="2141">
        <v>110</v>
      </c>
      <c r="E1690" s="2142">
        <v>44.55</v>
      </c>
      <c r="F1690" s="2142">
        <v>14088.5</v>
      </c>
      <c r="G1690" s="2142">
        <v>627642.67499999993</v>
      </c>
      <c r="H1690" s="2143">
        <v>42599</v>
      </c>
      <c r="I1690" s="2142">
        <v>624825</v>
      </c>
    </row>
    <row r="1691" spans="1:9" s="2139" customFormat="1" hidden="1">
      <c r="A1691" s="2140" t="s">
        <v>6863</v>
      </c>
      <c r="B1691" s="2141">
        <v>12</v>
      </c>
      <c r="C1691" s="2141" t="s">
        <v>3142</v>
      </c>
      <c r="D1691" s="2141">
        <v>207</v>
      </c>
      <c r="E1691" s="2142">
        <v>10.51</v>
      </c>
      <c r="F1691" s="2142">
        <v>15584.7</v>
      </c>
      <c r="G1691" s="2142">
        <v>163795.19700000001</v>
      </c>
      <c r="H1691" s="2143">
        <v>42599</v>
      </c>
      <c r="I1691" s="2142">
        <v>163016</v>
      </c>
    </row>
    <row r="1692" spans="1:9" s="2139" customFormat="1" hidden="1">
      <c r="A1692" s="2140" t="s">
        <v>6891</v>
      </c>
      <c r="B1692" s="2141">
        <v>12</v>
      </c>
      <c r="C1692" s="2141" t="s">
        <v>3142</v>
      </c>
      <c r="D1692" s="2141">
        <v>250</v>
      </c>
      <c r="E1692" s="2142">
        <v>83.19</v>
      </c>
      <c r="F1692" s="2142">
        <v>18078.509999999998</v>
      </c>
      <c r="G1692" s="2142">
        <v>1503951.2468999999</v>
      </c>
      <c r="H1692" s="2143">
        <v>42599</v>
      </c>
      <c r="I1692" s="2142">
        <v>1497262</v>
      </c>
    </row>
    <row r="1693" spans="1:9" s="2139" customFormat="1" hidden="1">
      <c r="A1693" s="2140" t="s">
        <v>6892</v>
      </c>
      <c r="B1693" s="2141">
        <v>12</v>
      </c>
      <c r="C1693" s="2141" t="s">
        <v>3142</v>
      </c>
      <c r="D1693" s="2141">
        <v>251</v>
      </c>
      <c r="E1693" s="2142">
        <v>87.15</v>
      </c>
      <c r="F1693" s="2142">
        <v>19076</v>
      </c>
      <c r="G1693" s="2142">
        <v>1662473.4000000001</v>
      </c>
      <c r="H1693" s="2143">
        <v>42599</v>
      </c>
      <c r="I1693" s="2142">
        <v>1655034</v>
      </c>
    </row>
    <row r="1694" spans="1:9" s="2139" customFormat="1" hidden="1">
      <c r="A1694" s="2140" t="s">
        <v>6795</v>
      </c>
      <c r="B1694" s="2141">
        <v>12</v>
      </c>
      <c r="C1694" s="2141" t="s">
        <v>3142</v>
      </c>
      <c r="D1694" s="2141">
        <v>62</v>
      </c>
      <c r="E1694" s="2142">
        <v>52.38</v>
      </c>
      <c r="F1694" s="2142">
        <v>19123.509999999998</v>
      </c>
      <c r="G1694" s="2142">
        <v>1001689.4538</v>
      </c>
      <c r="H1694" s="2143">
        <v>42595</v>
      </c>
      <c r="I1694" s="2142">
        <v>997291</v>
      </c>
    </row>
    <row r="1695" spans="1:9" s="2139" customFormat="1" hidden="1">
      <c r="A1695" s="2140" t="s">
        <v>4140</v>
      </c>
      <c r="B1695" s="2141" t="s">
        <v>3054</v>
      </c>
      <c r="C1695" s="2141" t="s">
        <v>3142</v>
      </c>
      <c r="D1695" s="2141">
        <v>116</v>
      </c>
      <c r="E1695" s="2142">
        <v>48.07</v>
      </c>
      <c r="F1695" s="2142">
        <v>17694.400000000001</v>
      </c>
      <c r="G1695" s="2142">
        <v>850569.80800000008</v>
      </c>
      <c r="H1695" s="2143">
        <v>42582</v>
      </c>
      <c r="I1695" s="2142">
        <v>850570</v>
      </c>
    </row>
    <row r="1696" spans="1:9" s="2139" customFormat="1" hidden="1">
      <c r="A1696" s="2140" t="s">
        <v>4107</v>
      </c>
      <c r="B1696" s="2141" t="s">
        <v>3054</v>
      </c>
      <c r="C1696" s="2141" t="s">
        <v>3142</v>
      </c>
      <c r="D1696" s="2141">
        <v>67</v>
      </c>
      <c r="E1696" s="2142">
        <v>67.31</v>
      </c>
      <c r="F1696" s="2142">
        <v>16034.55</v>
      </c>
      <c r="G1696" s="2142">
        <v>1079285.5604999999</v>
      </c>
      <c r="H1696" s="2143">
        <v>42573</v>
      </c>
      <c r="I1696" s="2142">
        <v>1079286</v>
      </c>
    </row>
    <row r="1697" spans="1:9" s="2139" customFormat="1" hidden="1">
      <c r="A1697" s="2140" t="s">
        <v>4835</v>
      </c>
      <c r="B1697" s="2141" t="s">
        <v>3055</v>
      </c>
      <c r="C1697" s="2141" t="s">
        <v>3142</v>
      </c>
      <c r="D1697" s="3396">
        <v>52</v>
      </c>
      <c r="E1697" s="2142">
        <v>41.76</v>
      </c>
      <c r="F1697" s="2142">
        <v>15889.39</v>
      </c>
      <c r="G1697" s="2142">
        <v>663540.9264</v>
      </c>
      <c r="H1697" s="3557">
        <v>42573</v>
      </c>
      <c r="I1697" s="2142">
        <v>663541</v>
      </c>
    </row>
    <row r="1698" spans="1:9" s="2139" customFormat="1" hidden="1">
      <c r="A1698" s="2140" t="s">
        <v>4094</v>
      </c>
      <c r="B1698" s="2141" t="s">
        <v>3054</v>
      </c>
      <c r="C1698" s="2141" t="s">
        <v>3142</v>
      </c>
      <c r="D1698" s="2141">
        <v>47</v>
      </c>
      <c r="E1698" s="2142">
        <v>63.32</v>
      </c>
      <c r="F1698" s="2142">
        <v>14356</v>
      </c>
      <c r="G1698" s="2142">
        <v>909021.92</v>
      </c>
      <c r="H1698" s="2143">
        <v>42567</v>
      </c>
      <c r="I1698" s="2142">
        <v>909022</v>
      </c>
    </row>
    <row r="1699" spans="1:9" s="2139" customFormat="1" hidden="1">
      <c r="A1699" s="2140" t="s">
        <v>6592</v>
      </c>
      <c r="B1699" s="2141">
        <v>11</v>
      </c>
      <c r="C1699" s="2141" t="s">
        <v>3142</v>
      </c>
      <c r="D1699" s="2141">
        <v>45</v>
      </c>
      <c r="E1699" s="2142">
        <v>97.03</v>
      </c>
      <c r="F1699" s="2142">
        <v>13905</v>
      </c>
      <c r="G1699" s="2142">
        <v>1349202.15</v>
      </c>
      <c r="H1699" s="2143">
        <v>42567</v>
      </c>
      <c r="I1699" s="2142">
        <v>1356016</v>
      </c>
    </row>
    <row r="1700" spans="1:9" s="2139" customFormat="1" hidden="1">
      <c r="A1700" s="2140" t="s">
        <v>4110</v>
      </c>
      <c r="B1700" s="2141" t="s">
        <v>3054</v>
      </c>
      <c r="C1700" s="2141" t="s">
        <v>3142</v>
      </c>
      <c r="D1700" s="2141">
        <v>70</v>
      </c>
      <c r="E1700" s="2142">
        <v>46.6</v>
      </c>
      <c r="F1700" s="2142">
        <v>14841</v>
      </c>
      <c r="G1700" s="2142">
        <v>691590.6</v>
      </c>
      <c r="H1700" s="2143">
        <v>42566</v>
      </c>
      <c r="I1700" s="2142">
        <v>691591</v>
      </c>
    </row>
    <row r="1701" spans="1:9" s="2139" customFormat="1" hidden="1">
      <c r="A1701" s="2140" t="s">
        <v>4883</v>
      </c>
      <c r="B1701" s="2141" t="s">
        <v>3055</v>
      </c>
      <c r="C1701" s="2141" t="s">
        <v>3142</v>
      </c>
      <c r="D1701" s="3396">
        <v>117</v>
      </c>
      <c r="E1701" s="2142">
        <v>47.23</v>
      </c>
      <c r="F1701" s="2142">
        <v>15811</v>
      </c>
      <c r="G1701" s="2142">
        <v>746753.52999999991</v>
      </c>
      <c r="H1701" s="3557">
        <v>42566</v>
      </c>
      <c r="I1701" s="2142">
        <v>746754</v>
      </c>
    </row>
    <row r="1702" spans="1:9" s="2139" customFormat="1" hidden="1">
      <c r="A1702" s="2140" t="s">
        <v>4236</v>
      </c>
      <c r="B1702" s="2141" t="s">
        <v>3054</v>
      </c>
      <c r="C1702" s="2141" t="s">
        <v>3142</v>
      </c>
      <c r="D1702" s="2141">
        <v>227</v>
      </c>
      <c r="E1702" s="2142">
        <v>74.17</v>
      </c>
      <c r="F1702" s="2142">
        <v>17491.72</v>
      </c>
      <c r="G1702" s="2142">
        <v>1297360.8724000002</v>
      </c>
      <c r="H1702" s="2143">
        <v>42561</v>
      </c>
      <c r="I1702" s="2142">
        <v>1297361</v>
      </c>
    </row>
    <row r="1703" spans="1:9" s="2139" customFormat="1" hidden="1">
      <c r="A1703" s="2140" t="s">
        <v>6642</v>
      </c>
      <c r="B1703" s="2141">
        <v>11</v>
      </c>
      <c r="C1703" s="2141" t="s">
        <v>3142</v>
      </c>
      <c r="D1703" s="2141">
        <v>158</v>
      </c>
      <c r="E1703" s="2142">
        <v>87.64</v>
      </c>
      <c r="F1703" s="2142">
        <v>18316.73</v>
      </c>
      <c r="G1703" s="2142">
        <v>1605278.2172000001</v>
      </c>
      <c r="H1703" s="2143">
        <v>42556</v>
      </c>
      <c r="I1703" s="2142">
        <v>1606194</v>
      </c>
    </row>
    <row r="1704" spans="1:9" s="2139" customFormat="1" hidden="1">
      <c r="A1704" s="2140" t="s">
        <v>6867</v>
      </c>
      <c r="B1704" s="2141">
        <v>12</v>
      </c>
      <c r="C1704" s="2141" t="s">
        <v>3142</v>
      </c>
      <c r="D1704" s="2141">
        <v>212</v>
      </c>
      <c r="E1704" s="2142">
        <v>47.61</v>
      </c>
      <c r="F1704" s="2142">
        <v>15355</v>
      </c>
      <c r="G1704" s="2142">
        <v>731051.55</v>
      </c>
      <c r="H1704" s="2143">
        <v>42556</v>
      </c>
      <c r="I1704" s="2142">
        <v>727827</v>
      </c>
    </row>
    <row r="1705" spans="1:9" s="2139" customFormat="1" hidden="1">
      <c r="A1705" s="2140" t="s">
        <v>6593</v>
      </c>
      <c r="B1705" s="2141">
        <v>11</v>
      </c>
      <c r="C1705" s="2141" t="s">
        <v>3142</v>
      </c>
      <c r="D1705" s="2141">
        <v>48</v>
      </c>
      <c r="E1705" s="2142">
        <v>181.35</v>
      </c>
      <c r="F1705" s="2142">
        <v>18540</v>
      </c>
      <c r="G1705" s="2142">
        <v>3362229</v>
      </c>
      <c r="H1705" s="2143">
        <v>42555</v>
      </c>
      <c r="I1705" s="2142">
        <v>3364268</v>
      </c>
    </row>
    <row r="1706" spans="1:9" s="2139" customFormat="1" hidden="1">
      <c r="A1706" s="2140" t="s">
        <v>6634</v>
      </c>
      <c r="B1706" s="2141">
        <v>11</v>
      </c>
      <c r="C1706" s="2141" t="s">
        <v>3142</v>
      </c>
      <c r="D1706" s="2141">
        <v>148</v>
      </c>
      <c r="E1706" s="2142">
        <v>109.34</v>
      </c>
      <c r="F1706" s="2142">
        <v>19570</v>
      </c>
      <c r="G1706" s="2142">
        <v>2139783.8000000003</v>
      </c>
      <c r="H1706" s="2143">
        <v>42555</v>
      </c>
      <c r="I1706" s="2142">
        <v>1070958</v>
      </c>
    </row>
    <row r="1707" spans="1:9" s="2139" customFormat="1" hidden="1">
      <c r="A1707" s="2140" t="s">
        <v>4934</v>
      </c>
      <c r="B1707" s="2141" t="s">
        <v>3055</v>
      </c>
      <c r="C1707" s="2141" t="s">
        <v>3142</v>
      </c>
      <c r="D1707" s="3396">
        <v>178</v>
      </c>
      <c r="E1707" s="2142">
        <v>72.59</v>
      </c>
      <c r="F1707" s="2142">
        <v>16005.01</v>
      </c>
      <c r="G1707" s="2142">
        <v>1161803.6759000001</v>
      </c>
      <c r="H1707" s="3557">
        <v>42553</v>
      </c>
      <c r="I1707" s="2142">
        <v>1161804</v>
      </c>
    </row>
    <row r="1708" spans="1:9" s="2139" customFormat="1" hidden="1">
      <c r="A1708" s="2140" t="s">
        <v>4125</v>
      </c>
      <c r="B1708" s="2141" t="s">
        <v>3054</v>
      </c>
      <c r="C1708" s="2141" t="s">
        <v>3142</v>
      </c>
      <c r="D1708" s="2141">
        <v>91</v>
      </c>
      <c r="E1708" s="2142">
        <v>80.83</v>
      </c>
      <c r="F1708" s="2142">
        <v>16139.08</v>
      </c>
      <c r="G1708" s="2142">
        <v>1304521.8363999999</v>
      </c>
      <c r="H1708" s="2143">
        <v>42552</v>
      </c>
      <c r="I1708" s="2142">
        <v>1304522</v>
      </c>
    </row>
    <row r="1709" spans="1:9" s="2139" customFormat="1" hidden="1">
      <c r="A1709" s="2140" t="s">
        <v>4314</v>
      </c>
      <c r="B1709" s="2141" t="s">
        <v>3054</v>
      </c>
      <c r="C1709" s="2141" t="s">
        <v>3142</v>
      </c>
      <c r="D1709" s="2141">
        <v>330</v>
      </c>
      <c r="E1709" s="2142">
        <v>67.59</v>
      </c>
      <c r="F1709" s="2142">
        <v>15254.38</v>
      </c>
      <c r="G1709" s="2142">
        <v>1031043.5442</v>
      </c>
      <c r="H1709" s="2143">
        <v>42552</v>
      </c>
      <c r="I1709" s="2142">
        <v>1031044</v>
      </c>
    </row>
    <row r="1710" spans="1:9" s="2139" customFormat="1" hidden="1">
      <c r="A1710" s="2140" t="s">
        <v>6308</v>
      </c>
      <c r="B1710" s="2141">
        <v>9</v>
      </c>
      <c r="C1710" s="2141" t="s">
        <v>3142</v>
      </c>
      <c r="D1710" s="2141">
        <v>1</v>
      </c>
      <c r="E1710" s="2142">
        <v>104.74</v>
      </c>
      <c r="F1710" s="2142">
        <v>21630</v>
      </c>
      <c r="G1710" s="2142">
        <v>2265526</v>
      </c>
      <c r="H1710" s="2143">
        <v>42552</v>
      </c>
      <c r="I1710" s="2142">
        <v>2265526</v>
      </c>
    </row>
    <row r="1711" spans="1:9" s="2139" customFormat="1" hidden="1">
      <c r="A1711" s="2140" t="s">
        <v>6594</v>
      </c>
      <c r="B1711" s="2141">
        <v>11</v>
      </c>
      <c r="C1711" s="2141" t="s">
        <v>3142</v>
      </c>
      <c r="D1711" s="2141">
        <v>49</v>
      </c>
      <c r="E1711" s="2142">
        <v>185.67</v>
      </c>
      <c r="F1711" s="2142">
        <v>19570</v>
      </c>
      <c r="G1711" s="2142">
        <v>3633561.9</v>
      </c>
      <c r="H1711" s="2143">
        <v>42552</v>
      </c>
      <c r="I1711" s="2142">
        <v>1885715</v>
      </c>
    </row>
    <row r="1712" spans="1:9" s="2139" customFormat="1" hidden="1">
      <c r="A1712" s="2140" t="s">
        <v>6618</v>
      </c>
      <c r="B1712" s="2141">
        <v>11</v>
      </c>
      <c r="C1712" s="2141" t="s">
        <v>3142</v>
      </c>
      <c r="D1712" s="2141">
        <v>126</v>
      </c>
      <c r="E1712" s="2142">
        <v>36.299999999999997</v>
      </c>
      <c r="F1712" s="2142">
        <v>17510</v>
      </c>
      <c r="G1712" s="2142">
        <v>635613</v>
      </c>
      <c r="H1712" s="2143">
        <v>42552</v>
      </c>
      <c r="I1712" s="2142">
        <v>325963</v>
      </c>
    </row>
    <row r="1713" spans="1:9" s="2139" customFormat="1" hidden="1">
      <c r="A1713" s="2140" t="s">
        <v>4166</v>
      </c>
      <c r="B1713" s="2141" t="s">
        <v>3054</v>
      </c>
      <c r="C1713" s="2141" t="s">
        <v>3142</v>
      </c>
      <c r="D1713" s="2141">
        <v>145</v>
      </c>
      <c r="E1713" s="2142">
        <v>72.58</v>
      </c>
      <c r="F1713" s="2142">
        <v>17199.28</v>
      </c>
      <c r="G1713" s="2142">
        <v>1248323.7423999999</v>
      </c>
      <c r="H1713" s="2143">
        <v>42551</v>
      </c>
      <c r="I1713" s="2142">
        <v>1248324</v>
      </c>
    </row>
    <row r="1714" spans="1:9" s="2139" customFormat="1" hidden="1">
      <c r="A1714" s="2140" t="s">
        <v>6327</v>
      </c>
      <c r="B1714" s="2141">
        <v>9</v>
      </c>
      <c r="C1714" s="2141" t="s">
        <v>3142</v>
      </c>
      <c r="D1714" s="2141">
        <v>43</v>
      </c>
      <c r="E1714" s="2142">
        <v>45.64</v>
      </c>
      <c r="F1714" s="2142">
        <v>13905</v>
      </c>
      <c r="G1714" s="2142">
        <v>634624.19999999995</v>
      </c>
      <c r="H1714" s="2143">
        <v>42550</v>
      </c>
      <c r="I1714" s="2142">
        <v>634624</v>
      </c>
    </row>
    <row r="1715" spans="1:9" s="2139" customFormat="1" hidden="1">
      <c r="A1715" s="2140" t="s">
        <v>6370</v>
      </c>
      <c r="B1715" s="2141">
        <v>9</v>
      </c>
      <c r="C1715" s="2141" t="s">
        <v>3142</v>
      </c>
      <c r="D1715" s="2141">
        <v>217</v>
      </c>
      <c r="E1715" s="2142">
        <v>122.93</v>
      </c>
      <c r="F1715" s="2142">
        <v>20909</v>
      </c>
      <c r="G1715" s="2142">
        <v>2570343.37</v>
      </c>
      <c r="H1715" s="2143">
        <v>42548</v>
      </c>
      <c r="I1715" s="2142">
        <v>2570343</v>
      </c>
    </row>
    <row r="1716" spans="1:9" s="2139" customFormat="1" hidden="1">
      <c r="A1716" s="2140" t="s">
        <v>6316</v>
      </c>
      <c r="B1716" s="2141">
        <v>9</v>
      </c>
      <c r="C1716" s="2141" t="s">
        <v>3142</v>
      </c>
      <c r="D1716" s="2141">
        <v>11</v>
      </c>
      <c r="E1716" s="2142">
        <v>79.75</v>
      </c>
      <c r="F1716" s="2142">
        <v>17983.8</v>
      </c>
      <c r="G1716" s="2142">
        <v>1434208.05</v>
      </c>
      <c r="H1716" s="2143">
        <v>42546</v>
      </c>
      <c r="I1716" s="2142">
        <v>1434208</v>
      </c>
    </row>
    <row r="1717" spans="1:9" s="2139" customFormat="1" hidden="1">
      <c r="A1717" s="2140" t="s">
        <v>6331</v>
      </c>
      <c r="B1717" s="2141">
        <v>9</v>
      </c>
      <c r="C1717" s="2141" t="s">
        <v>3142</v>
      </c>
      <c r="D1717" s="2141">
        <v>49</v>
      </c>
      <c r="E1717" s="2142">
        <v>45.64</v>
      </c>
      <c r="F1717" s="2142">
        <v>13487.85</v>
      </c>
      <c r="G1717" s="2142">
        <v>615585.47400000005</v>
      </c>
      <c r="H1717" s="2143">
        <v>42546</v>
      </c>
      <c r="I1717" s="2142">
        <v>615585</v>
      </c>
    </row>
    <row r="1718" spans="1:9" s="2139" customFormat="1" hidden="1">
      <c r="A1718" s="2140" t="s">
        <v>6311</v>
      </c>
      <c r="B1718" s="2141">
        <v>9</v>
      </c>
      <c r="C1718" s="2141" t="s">
        <v>3142</v>
      </c>
      <c r="D1718" s="2141">
        <v>5</v>
      </c>
      <c r="E1718" s="2142">
        <v>71.400000000000006</v>
      </c>
      <c r="F1718" s="2142">
        <v>18283.7</v>
      </c>
      <c r="G1718" s="2142">
        <v>1305456.1800000002</v>
      </c>
      <c r="H1718" s="2143">
        <v>42545</v>
      </c>
      <c r="I1718" s="2142">
        <v>1305456</v>
      </c>
    </row>
    <row r="1719" spans="1:9" s="2139" customFormat="1" hidden="1">
      <c r="A1719" s="2140" t="s">
        <v>4150</v>
      </c>
      <c r="B1719" s="2141" t="s">
        <v>3054</v>
      </c>
      <c r="C1719" s="2141" t="s">
        <v>3142</v>
      </c>
      <c r="D1719" s="2141">
        <v>127</v>
      </c>
      <c r="E1719" s="2142">
        <v>51.14</v>
      </c>
      <c r="F1719" s="2142">
        <v>15220.46</v>
      </c>
      <c r="G1719" s="2142">
        <v>778374.32439999992</v>
      </c>
      <c r="H1719" s="2143">
        <v>42544</v>
      </c>
      <c r="I1719" s="2142">
        <v>778374</v>
      </c>
    </row>
    <row r="1720" spans="1:9" s="2139" customFormat="1" hidden="1">
      <c r="A1720" s="2140" t="s">
        <v>6309</v>
      </c>
      <c r="B1720" s="2141">
        <v>9</v>
      </c>
      <c r="C1720" s="2141" t="s">
        <v>3142</v>
      </c>
      <c r="D1720" s="2141">
        <v>2</v>
      </c>
      <c r="E1720" s="2142">
        <v>74.06</v>
      </c>
      <c r="F1720" s="2142">
        <v>18540</v>
      </c>
      <c r="G1720" s="2142">
        <v>1373072.4000000001</v>
      </c>
      <c r="H1720" s="2143">
        <v>42544</v>
      </c>
      <c r="I1720" s="2142">
        <v>693072</v>
      </c>
    </row>
    <row r="1721" spans="1:9" s="2139" customFormat="1" hidden="1">
      <c r="A1721" s="2140" t="s">
        <v>6320</v>
      </c>
      <c r="B1721" s="2141">
        <v>9</v>
      </c>
      <c r="C1721" s="2141" t="s">
        <v>3142</v>
      </c>
      <c r="D1721" s="2141">
        <v>21</v>
      </c>
      <c r="E1721" s="2142">
        <v>79.75</v>
      </c>
      <c r="F1721" s="2142">
        <v>17983.8</v>
      </c>
      <c r="G1721" s="2142">
        <v>1434208.05</v>
      </c>
      <c r="H1721" s="2143">
        <v>42543</v>
      </c>
      <c r="I1721" s="2142">
        <v>1434208</v>
      </c>
    </row>
    <row r="1722" spans="1:9" s="2139" customFormat="1" hidden="1">
      <c r="A1722" s="2140" t="s">
        <v>4221</v>
      </c>
      <c r="B1722" s="2141" t="s">
        <v>3054</v>
      </c>
      <c r="C1722" s="2141" t="s">
        <v>3142</v>
      </c>
      <c r="D1722" s="2141">
        <v>210</v>
      </c>
      <c r="E1722" s="2142">
        <v>70.7</v>
      </c>
      <c r="F1722" s="2142">
        <v>18029.400000000001</v>
      </c>
      <c r="G1722" s="2142">
        <v>1274678.58</v>
      </c>
      <c r="H1722" s="2143">
        <v>42541</v>
      </c>
      <c r="I1722" s="2142">
        <v>1274679</v>
      </c>
    </row>
    <row r="1723" spans="1:9" s="2139" customFormat="1" hidden="1">
      <c r="A1723" s="2140" t="s">
        <v>6371</v>
      </c>
      <c r="B1723" s="2141">
        <v>9</v>
      </c>
      <c r="C1723" s="2141" t="s">
        <v>3142</v>
      </c>
      <c r="D1723" s="2141">
        <v>229</v>
      </c>
      <c r="E1723" s="2142">
        <v>114.65</v>
      </c>
      <c r="F1723" s="2142">
        <v>20084.997820000001</v>
      </c>
      <c r="G1723" s="2142">
        <v>2302745.0000630002</v>
      </c>
      <c r="H1723" s="2143">
        <v>42541</v>
      </c>
      <c r="I1723" s="2142">
        <v>2302745</v>
      </c>
    </row>
    <row r="1724" spans="1:9" s="2139" customFormat="1" hidden="1">
      <c r="A1724" s="2140" t="s">
        <v>6368</v>
      </c>
      <c r="B1724" s="2141">
        <v>9</v>
      </c>
      <c r="C1724" s="2141" t="s">
        <v>3142</v>
      </c>
      <c r="D1724" s="2141">
        <v>210</v>
      </c>
      <c r="E1724" s="2142">
        <v>84.58</v>
      </c>
      <c r="F1724" s="2142">
        <v>20085</v>
      </c>
      <c r="G1724" s="2142">
        <v>1698789.3</v>
      </c>
      <c r="H1724" s="2143">
        <v>42539</v>
      </c>
      <c r="I1724" s="2142">
        <v>1698789</v>
      </c>
    </row>
    <row r="1725" spans="1:9" s="2139" customFormat="1" hidden="1">
      <c r="A1725" s="2140" t="s">
        <v>6322</v>
      </c>
      <c r="B1725" s="2141">
        <v>9</v>
      </c>
      <c r="C1725" s="2141" t="s">
        <v>3142</v>
      </c>
      <c r="D1725" s="2141">
        <v>28</v>
      </c>
      <c r="E1725" s="2142">
        <v>75.34</v>
      </c>
      <c r="F1725" s="2142">
        <v>16984.7</v>
      </c>
      <c r="G1725" s="2142">
        <v>1279627.2980000002</v>
      </c>
      <c r="H1725" s="2143">
        <v>42538</v>
      </c>
      <c r="I1725" s="2142">
        <v>1279627</v>
      </c>
    </row>
    <row r="1726" spans="1:9" s="2139" customFormat="1" hidden="1">
      <c r="A1726" s="2140" t="s">
        <v>6614</v>
      </c>
      <c r="B1726" s="2141">
        <v>11</v>
      </c>
      <c r="C1726" s="2141" t="s">
        <v>3142</v>
      </c>
      <c r="D1726" s="2141">
        <v>108</v>
      </c>
      <c r="E1726" s="2142">
        <v>88.59</v>
      </c>
      <c r="F1726" s="2142">
        <v>13905</v>
      </c>
      <c r="G1726" s="2142">
        <v>1231843.95</v>
      </c>
      <c r="H1726" s="2143">
        <v>42536</v>
      </c>
      <c r="I1726" s="2142">
        <v>622539</v>
      </c>
    </row>
    <row r="1727" spans="1:9" s="2139" customFormat="1" hidden="1">
      <c r="A1727" s="2140" t="s">
        <v>6630</v>
      </c>
      <c r="B1727" s="2141">
        <v>11</v>
      </c>
      <c r="C1727" s="2141" t="s">
        <v>3142</v>
      </c>
      <c r="D1727" s="2141">
        <v>142</v>
      </c>
      <c r="E1727" s="2142">
        <v>193.35</v>
      </c>
      <c r="F1727" s="2142">
        <v>22117.497157000002</v>
      </c>
      <c r="G1727" s="2142">
        <v>4276418.0753059499</v>
      </c>
      <c r="H1727" s="2143">
        <v>42536</v>
      </c>
      <c r="I1727" s="2142">
        <v>4278851</v>
      </c>
    </row>
    <row r="1728" spans="1:9" s="2139" customFormat="1" hidden="1">
      <c r="A1728" s="2140" t="s">
        <v>4316</v>
      </c>
      <c r="B1728" s="2141" t="s">
        <v>3054</v>
      </c>
      <c r="C1728" s="2141" t="s">
        <v>3142</v>
      </c>
      <c r="D1728" s="2141">
        <v>332</v>
      </c>
      <c r="E1728" s="2142">
        <v>72.78</v>
      </c>
      <c r="F1728" s="2142">
        <v>12926.99</v>
      </c>
      <c r="G1728" s="2142">
        <v>940826.33219999995</v>
      </c>
      <c r="H1728" s="2143">
        <v>42535</v>
      </c>
      <c r="I1728" s="2142">
        <v>940826</v>
      </c>
    </row>
    <row r="1729" spans="1:9" s="2139" customFormat="1" hidden="1">
      <c r="A1729" s="2140" t="s">
        <v>6583</v>
      </c>
      <c r="B1729" s="2141">
        <v>11</v>
      </c>
      <c r="C1729" s="2141" t="s">
        <v>3142</v>
      </c>
      <c r="D1729" s="2141">
        <v>3</v>
      </c>
      <c r="E1729" s="2142">
        <v>101.31</v>
      </c>
      <c r="F1729" s="2142">
        <v>18540</v>
      </c>
      <c r="G1729" s="2142">
        <v>1878287.4000000001</v>
      </c>
      <c r="H1729" s="2143">
        <v>42527</v>
      </c>
      <c r="I1729" s="2142">
        <v>1879585</v>
      </c>
    </row>
    <row r="1730" spans="1:9" s="2139" customFormat="1" hidden="1">
      <c r="A1730" s="2140" t="s">
        <v>4910</v>
      </c>
      <c r="B1730" s="2141" t="s">
        <v>3055</v>
      </c>
      <c r="C1730" s="2141" t="s">
        <v>3142</v>
      </c>
      <c r="D1730" s="3396">
        <v>148</v>
      </c>
      <c r="E1730" s="2142">
        <v>70.680000000000007</v>
      </c>
      <c r="F1730" s="2142">
        <v>17385</v>
      </c>
      <c r="G1730" s="2142">
        <v>1228771.8</v>
      </c>
      <c r="H1730" s="3557">
        <v>42526</v>
      </c>
      <c r="I1730" s="2142">
        <v>1228772</v>
      </c>
    </row>
    <row r="1731" spans="1:9" s="2139" customFormat="1" hidden="1">
      <c r="A1731" s="2140" t="s">
        <v>6813</v>
      </c>
      <c r="B1731" s="2141">
        <v>12</v>
      </c>
      <c r="C1731" s="2141" t="s">
        <v>3142</v>
      </c>
      <c r="D1731" s="2141">
        <v>100</v>
      </c>
      <c r="E1731" s="2142">
        <v>100.98</v>
      </c>
      <c r="F1731" s="2142">
        <v>14830</v>
      </c>
      <c r="G1731" s="2142">
        <v>1497533.4000000001</v>
      </c>
      <c r="H1731" s="2143">
        <v>42521</v>
      </c>
      <c r="I1731" s="2142">
        <v>1491008</v>
      </c>
    </row>
    <row r="1732" spans="1:9" s="2139" customFormat="1" hidden="1">
      <c r="A1732" s="2140" t="s">
        <v>6872</v>
      </c>
      <c r="B1732" s="2141">
        <v>12</v>
      </c>
      <c r="C1732" s="2141" t="s">
        <v>3142</v>
      </c>
      <c r="D1732" s="2141">
        <v>219</v>
      </c>
      <c r="E1732" s="2142">
        <v>47.61</v>
      </c>
      <c r="F1732" s="2142">
        <v>14830</v>
      </c>
      <c r="G1732" s="2142">
        <v>706056.3</v>
      </c>
      <c r="H1732" s="2143">
        <v>42518</v>
      </c>
      <c r="I1732" s="2142">
        <v>702942</v>
      </c>
    </row>
    <row r="1733" spans="1:9" s="2139" customFormat="1" hidden="1">
      <c r="A1733" s="2140" t="s">
        <v>6604</v>
      </c>
      <c r="B1733" s="2141">
        <v>11</v>
      </c>
      <c r="C1733" s="2141" t="s">
        <v>3142</v>
      </c>
      <c r="D1733" s="2141">
        <v>85</v>
      </c>
      <c r="E1733" s="2142">
        <v>94.83</v>
      </c>
      <c r="F1733" s="2142">
        <v>19570</v>
      </c>
      <c r="G1733" s="2142">
        <v>1855823.0999999999</v>
      </c>
      <c r="H1733" s="2143">
        <v>42517</v>
      </c>
      <c r="I1733" s="2142">
        <v>1856997</v>
      </c>
    </row>
    <row r="1734" spans="1:9" s="2139" customFormat="1" hidden="1">
      <c r="A1734" s="2140" t="s">
        <v>6820</v>
      </c>
      <c r="B1734" s="2141">
        <v>12</v>
      </c>
      <c r="C1734" s="2141" t="s">
        <v>3142</v>
      </c>
      <c r="D1734" s="2141">
        <v>117</v>
      </c>
      <c r="E1734" s="2142">
        <v>75.56</v>
      </c>
      <c r="F1734" s="2142">
        <v>15912.85</v>
      </c>
      <c r="G1734" s="2142">
        <v>1202374.946</v>
      </c>
      <c r="H1734" s="2143">
        <v>42517</v>
      </c>
      <c r="I1734" s="2142">
        <v>1197124</v>
      </c>
    </row>
    <row r="1735" spans="1:9" s="2139" customFormat="1" hidden="1">
      <c r="A1735" s="2140" t="s">
        <v>4254</v>
      </c>
      <c r="B1735" s="2141" t="s">
        <v>3054</v>
      </c>
      <c r="C1735" s="2141" t="s">
        <v>3142</v>
      </c>
      <c r="D1735" s="2141">
        <v>247</v>
      </c>
      <c r="E1735" s="2142">
        <v>34.54</v>
      </c>
      <c r="F1735" s="2142">
        <v>15900</v>
      </c>
      <c r="G1735" s="2142">
        <v>549186</v>
      </c>
      <c r="H1735" s="2143">
        <v>42516</v>
      </c>
      <c r="I1735" s="2142">
        <v>549186</v>
      </c>
    </row>
    <row r="1736" spans="1:9" s="2139" customFormat="1" hidden="1">
      <c r="A1736" s="2140" t="s">
        <v>6786</v>
      </c>
      <c r="B1736" s="2141">
        <v>12</v>
      </c>
      <c r="C1736" s="2141" t="s">
        <v>3142</v>
      </c>
      <c r="D1736" s="2141">
        <v>38</v>
      </c>
      <c r="E1736" s="2142">
        <v>91.85</v>
      </c>
      <c r="F1736" s="2142">
        <v>17644.3</v>
      </c>
      <c r="G1736" s="2142">
        <v>1620628.9549999998</v>
      </c>
      <c r="H1736" s="2143">
        <v>42513</v>
      </c>
      <c r="I1736" s="2142">
        <v>1613395</v>
      </c>
    </row>
    <row r="1737" spans="1:9" s="2139" customFormat="1" hidden="1">
      <c r="A1737" s="2140" t="s">
        <v>6839</v>
      </c>
      <c r="B1737" s="2141">
        <v>12</v>
      </c>
      <c r="C1737" s="2141" t="s">
        <v>3142</v>
      </c>
      <c r="D1737" s="2141">
        <v>151</v>
      </c>
      <c r="E1737" s="2142">
        <v>69.900000000000006</v>
      </c>
      <c r="F1737" s="2142">
        <v>17770</v>
      </c>
      <c r="G1737" s="2142">
        <v>1242123</v>
      </c>
      <c r="H1737" s="2143">
        <v>42510</v>
      </c>
      <c r="I1737" s="2142">
        <v>1236614</v>
      </c>
    </row>
    <row r="1738" spans="1:9" s="2139" customFormat="1" hidden="1">
      <c r="A1738" s="2140" t="s">
        <v>6785</v>
      </c>
      <c r="B1738" s="2141">
        <v>12</v>
      </c>
      <c r="C1738" s="2141" t="s">
        <v>3142</v>
      </c>
      <c r="D1738" s="2141">
        <v>37</v>
      </c>
      <c r="E1738" s="2142">
        <v>91.85</v>
      </c>
      <c r="F1738" s="2142">
        <v>17644.3</v>
      </c>
      <c r="G1738" s="2142">
        <v>1620628.9549999998</v>
      </c>
      <c r="H1738" s="2143">
        <v>42503</v>
      </c>
      <c r="I1738" s="2142">
        <v>1613395</v>
      </c>
    </row>
    <row r="1739" spans="1:9" s="2139" customFormat="1" hidden="1">
      <c r="A1739" s="2140" t="s">
        <v>6837</v>
      </c>
      <c r="B1739" s="2141">
        <v>12</v>
      </c>
      <c r="C1739" s="2141" t="s">
        <v>3142</v>
      </c>
      <c r="D1739" s="2141">
        <v>142</v>
      </c>
      <c r="E1739" s="2142">
        <v>64.92</v>
      </c>
      <c r="F1739" s="2142">
        <v>14385.1</v>
      </c>
      <c r="G1739" s="2142">
        <v>933880.69200000004</v>
      </c>
      <c r="H1739" s="2143">
        <v>42500</v>
      </c>
      <c r="I1739" s="2142">
        <v>929709</v>
      </c>
    </row>
    <row r="1740" spans="1:9" s="2139" customFormat="1" hidden="1">
      <c r="A1740" s="2140" t="s">
        <v>6835</v>
      </c>
      <c r="B1740" s="2141">
        <v>12</v>
      </c>
      <c r="C1740" s="2141" t="s">
        <v>3142</v>
      </c>
      <c r="D1740" s="2141">
        <v>140</v>
      </c>
      <c r="E1740" s="2142">
        <v>75.56</v>
      </c>
      <c r="F1740" s="2142">
        <v>14830</v>
      </c>
      <c r="G1740" s="2142">
        <v>1120554.8</v>
      </c>
      <c r="H1740" s="2143">
        <v>42498</v>
      </c>
      <c r="I1740" s="2142">
        <v>1115661</v>
      </c>
    </row>
    <row r="1741" spans="1:9" s="2139" customFormat="1" hidden="1">
      <c r="A1741" s="2140" t="s">
        <v>6796</v>
      </c>
      <c r="B1741" s="2141">
        <v>12</v>
      </c>
      <c r="C1741" s="2141" t="s">
        <v>3142</v>
      </c>
      <c r="D1741" s="2141">
        <v>63</v>
      </c>
      <c r="E1741" s="2142">
        <v>52.99</v>
      </c>
      <c r="F1741" s="2142">
        <v>21466.11</v>
      </c>
      <c r="G1741" s="2142">
        <v>1137489.1689000002</v>
      </c>
      <c r="H1741" s="2143">
        <v>42486</v>
      </c>
      <c r="I1741" s="2142">
        <v>1132552</v>
      </c>
    </row>
    <row r="1742" spans="1:9" s="2139" customFormat="1" hidden="1">
      <c r="A1742" s="2140" t="s">
        <v>6783</v>
      </c>
      <c r="B1742" s="2141">
        <v>12</v>
      </c>
      <c r="C1742" s="2141" t="s">
        <v>3142</v>
      </c>
      <c r="D1742" s="2141">
        <v>26</v>
      </c>
      <c r="E1742" s="2142">
        <v>70.209999999999994</v>
      </c>
      <c r="F1742" s="2142">
        <v>15403.59</v>
      </c>
      <c r="G1742" s="2142">
        <v>1081486.0538999999</v>
      </c>
      <c r="H1742" s="2143">
        <v>42483</v>
      </c>
      <c r="I1742" s="2142">
        <v>1076557</v>
      </c>
    </row>
    <row r="1743" spans="1:9" s="2139" customFormat="1" hidden="1">
      <c r="A1743" s="2140" t="s">
        <v>6784</v>
      </c>
      <c r="B1743" s="2141">
        <v>12</v>
      </c>
      <c r="C1743" s="2141" t="s">
        <v>3142</v>
      </c>
      <c r="D1743" s="2141">
        <v>27</v>
      </c>
      <c r="E1743" s="2142">
        <v>70.209999999999994</v>
      </c>
      <c r="F1743" s="2142">
        <v>15403.59</v>
      </c>
      <c r="G1743" s="2142">
        <v>1081486.0538999999</v>
      </c>
      <c r="H1743" s="2143">
        <v>42483</v>
      </c>
      <c r="I1743" s="2142">
        <v>1076557</v>
      </c>
    </row>
    <row r="1744" spans="1:9" s="2139" customFormat="1" hidden="1">
      <c r="A1744" s="2140" t="s">
        <v>6840</v>
      </c>
      <c r="B1744" s="2141">
        <v>12</v>
      </c>
      <c r="C1744" s="2141" t="s">
        <v>3142</v>
      </c>
      <c r="D1744" s="2141">
        <v>152</v>
      </c>
      <c r="E1744" s="2142">
        <v>23.7</v>
      </c>
      <c r="F1744" s="2142">
        <v>19580</v>
      </c>
      <c r="G1744" s="2142">
        <v>464046</v>
      </c>
      <c r="H1744" s="2143">
        <v>42477</v>
      </c>
      <c r="I1744" s="2142">
        <v>461892</v>
      </c>
    </row>
    <row r="1745" spans="1:9" s="2139" customFormat="1" hidden="1">
      <c r="A1745" s="2140" t="s">
        <v>6797</v>
      </c>
      <c r="B1745" s="2141">
        <v>12</v>
      </c>
      <c r="C1745" s="2141" t="s">
        <v>3142</v>
      </c>
      <c r="D1745" s="2141">
        <v>65</v>
      </c>
      <c r="E1745" s="2142">
        <v>83.19</v>
      </c>
      <c r="F1745" s="2142">
        <v>18190</v>
      </c>
      <c r="G1745" s="2142">
        <v>1513226.0999999999</v>
      </c>
      <c r="H1745" s="2143">
        <v>42476</v>
      </c>
      <c r="I1745" s="2142">
        <v>1506496</v>
      </c>
    </row>
    <row r="1746" spans="1:9" s="2139" customFormat="1" hidden="1">
      <c r="A1746" s="2140" t="s">
        <v>6889</v>
      </c>
      <c r="B1746" s="2141">
        <v>12</v>
      </c>
      <c r="C1746" s="2141" t="s">
        <v>3142</v>
      </c>
      <c r="D1746" s="2141">
        <v>248</v>
      </c>
      <c r="E1746" s="2142">
        <v>83.19</v>
      </c>
      <c r="F1746" s="2142">
        <v>19030</v>
      </c>
      <c r="G1746" s="2142">
        <v>1583105.7</v>
      </c>
      <c r="H1746" s="2143">
        <v>42476</v>
      </c>
      <c r="I1746" s="2142">
        <v>1576065</v>
      </c>
    </row>
    <row r="1747" spans="1:9" s="2139" customFormat="1" hidden="1">
      <c r="A1747" s="2140" t="s">
        <v>4217</v>
      </c>
      <c r="B1747" s="2141" t="s">
        <v>3054</v>
      </c>
      <c r="C1747" s="2141" t="s">
        <v>3142</v>
      </c>
      <c r="D1747" s="2141">
        <v>206</v>
      </c>
      <c r="E1747" s="2142">
        <v>74.52</v>
      </c>
      <c r="F1747" s="2142">
        <v>18033.024691300001</v>
      </c>
      <c r="G1747" s="2142">
        <v>1343820.9999956761</v>
      </c>
      <c r="H1747" s="2143">
        <v>42475</v>
      </c>
      <c r="I1747" s="2142">
        <v>1343821</v>
      </c>
    </row>
    <row r="1748" spans="1:9" s="2139" customFormat="1" hidden="1">
      <c r="A1748" s="2140" t="s">
        <v>6869</v>
      </c>
      <c r="B1748" s="2141">
        <v>12</v>
      </c>
      <c r="C1748" s="2141" t="s">
        <v>3142</v>
      </c>
      <c r="D1748" s="2141">
        <v>215</v>
      </c>
      <c r="E1748" s="2142">
        <v>49.87</v>
      </c>
      <c r="F1748" s="2142">
        <v>19030.009999999998</v>
      </c>
      <c r="G1748" s="2142">
        <v>949026</v>
      </c>
      <c r="H1748" s="2143">
        <v>42475</v>
      </c>
      <c r="I1748" s="2142">
        <v>944840</v>
      </c>
    </row>
    <row r="1749" spans="1:9" s="2139" customFormat="1" hidden="1">
      <c r="A1749" s="2140" t="s">
        <v>6819</v>
      </c>
      <c r="B1749" s="2141">
        <v>12</v>
      </c>
      <c r="C1749" s="2141" t="s">
        <v>3142</v>
      </c>
      <c r="D1749" s="2141">
        <v>115</v>
      </c>
      <c r="E1749" s="2142">
        <v>17.13</v>
      </c>
      <c r="F1749" s="2142">
        <v>18190.009999999998</v>
      </c>
      <c r="G1749" s="2142">
        <v>311594.87129999994</v>
      </c>
      <c r="H1749" s="2143">
        <v>42459</v>
      </c>
      <c r="I1749" s="2142">
        <v>310140</v>
      </c>
    </row>
    <row r="1750" spans="1:9" s="2139" customFormat="1" hidden="1">
      <c r="A1750" s="2140" t="s">
        <v>4273</v>
      </c>
      <c r="B1750" s="2141" t="s">
        <v>3054</v>
      </c>
      <c r="C1750" s="2141" t="s">
        <v>3142</v>
      </c>
      <c r="D1750" s="2141">
        <v>269</v>
      </c>
      <c r="E1750" s="2142">
        <v>83.79</v>
      </c>
      <c r="F1750" s="2142">
        <v>16300</v>
      </c>
      <c r="G1750" s="2142">
        <v>1365777</v>
      </c>
      <c r="H1750" s="2143">
        <v>42450</v>
      </c>
      <c r="I1750" s="2142">
        <v>1365777</v>
      </c>
    </row>
    <row r="1751" spans="1:9" s="2139" customFormat="1" hidden="1">
      <c r="A1751" s="2140" t="s">
        <v>5467</v>
      </c>
      <c r="B1751" s="2141" t="s">
        <v>3056</v>
      </c>
      <c r="C1751" s="2141" t="s">
        <v>3142</v>
      </c>
      <c r="D1751" s="2141">
        <v>186</v>
      </c>
      <c r="E1751" s="2142">
        <v>123.24</v>
      </c>
      <c r="F1751" s="2142">
        <v>19300</v>
      </c>
      <c r="G1751" s="2142">
        <v>2378532</v>
      </c>
      <c r="H1751" s="2143">
        <v>42397</v>
      </c>
      <c r="I1751" s="2142">
        <v>1198532</v>
      </c>
    </row>
    <row r="1752" spans="1:9" s="2139" customFormat="1" hidden="1">
      <c r="A1752" s="2140" t="s">
        <v>5962</v>
      </c>
      <c r="B1752" s="2141" t="s">
        <v>3057</v>
      </c>
      <c r="C1752" s="2141" t="s">
        <v>3142</v>
      </c>
      <c r="D1752" s="2141">
        <v>155</v>
      </c>
      <c r="E1752" s="2142">
        <v>70.44</v>
      </c>
      <c r="F1752" s="2142">
        <v>19300</v>
      </c>
      <c r="G1752" s="2142">
        <v>1359492</v>
      </c>
      <c r="H1752" s="2143">
        <v>42397</v>
      </c>
      <c r="I1752" s="2142">
        <v>689492</v>
      </c>
    </row>
    <row r="1753" spans="1:9" s="2139" customFormat="1" hidden="1">
      <c r="A1753" s="2140" t="s">
        <v>6023</v>
      </c>
      <c r="B1753" s="2141" t="s">
        <v>3057</v>
      </c>
      <c r="C1753" s="2141" t="s">
        <v>3142</v>
      </c>
      <c r="D1753" s="2141">
        <v>352</v>
      </c>
      <c r="E1753" s="2142">
        <v>140.65</v>
      </c>
      <c r="F1753" s="2142">
        <v>19546</v>
      </c>
      <c r="G1753" s="2142">
        <v>2749144.9</v>
      </c>
      <c r="H1753" s="2143">
        <v>42360</v>
      </c>
      <c r="I1753" s="2142">
        <v>2749145</v>
      </c>
    </row>
    <row r="1754" spans="1:9" s="2139" customFormat="1" hidden="1">
      <c r="A1754" s="2140" t="s">
        <v>6789</v>
      </c>
      <c r="B1754" s="2141">
        <v>12</v>
      </c>
      <c r="C1754" s="2141" t="s">
        <v>3142</v>
      </c>
      <c r="D1754" s="2141">
        <v>46</v>
      </c>
      <c r="E1754" s="2142">
        <v>52.41</v>
      </c>
      <c r="F1754" s="2142">
        <v>18030</v>
      </c>
      <c r="G1754" s="2142">
        <v>944952.29999999993</v>
      </c>
      <c r="H1754" s="2143">
        <v>42356</v>
      </c>
      <c r="I1754" s="2142">
        <v>190805</v>
      </c>
    </row>
    <row r="1755" spans="1:9" s="2139" customFormat="1" hidden="1">
      <c r="A1755" s="2140" t="s">
        <v>6879</v>
      </c>
      <c r="B1755" s="2141">
        <v>12</v>
      </c>
      <c r="C1755" s="2141" t="s">
        <v>3142</v>
      </c>
      <c r="D1755" s="2141">
        <v>230</v>
      </c>
      <c r="E1755" s="2142">
        <v>82.71</v>
      </c>
      <c r="F1755" s="2142">
        <v>17980</v>
      </c>
      <c r="G1755" s="2142">
        <v>1487125.7999999998</v>
      </c>
      <c r="H1755" s="2143">
        <v>42355</v>
      </c>
      <c r="I1755" s="2142">
        <v>300473</v>
      </c>
    </row>
    <row r="1756" spans="1:9" s="2139" customFormat="1" hidden="1">
      <c r="A1756" s="2140" t="s">
        <v>6859</v>
      </c>
      <c r="B1756" s="2141">
        <v>12</v>
      </c>
      <c r="C1756" s="2141" t="s">
        <v>3142</v>
      </c>
      <c r="D1756" s="2141">
        <v>195</v>
      </c>
      <c r="E1756" s="2142">
        <v>86.89</v>
      </c>
      <c r="F1756" s="2142">
        <v>20080</v>
      </c>
      <c r="G1756" s="2142">
        <v>1744751.2</v>
      </c>
      <c r="H1756" s="2143">
        <v>42347</v>
      </c>
      <c r="I1756" s="2142">
        <v>877121</v>
      </c>
    </row>
    <row r="1757" spans="1:9" s="2139" customFormat="1" hidden="1">
      <c r="A1757" s="2140" t="s">
        <v>6860</v>
      </c>
      <c r="B1757" s="2141">
        <v>12</v>
      </c>
      <c r="C1757" s="2141" t="s">
        <v>3142</v>
      </c>
      <c r="D1757" s="2141">
        <v>196</v>
      </c>
      <c r="E1757" s="2142">
        <v>85.28</v>
      </c>
      <c r="F1757" s="2142">
        <v>20080</v>
      </c>
      <c r="G1757" s="2142">
        <v>1712422.4</v>
      </c>
      <c r="H1757" s="2143">
        <v>42347</v>
      </c>
      <c r="I1757" s="2142">
        <v>854792</v>
      </c>
    </row>
    <row r="1758" spans="1:9" s="2139" customFormat="1" hidden="1">
      <c r="A1758" s="2140" t="s">
        <v>6850</v>
      </c>
      <c r="B1758" s="2141">
        <v>12</v>
      </c>
      <c r="C1758" s="2141" t="s">
        <v>3142</v>
      </c>
      <c r="D1758" s="2141">
        <v>166</v>
      </c>
      <c r="E1758" s="2142">
        <v>43.76</v>
      </c>
      <c r="F1758" s="2142">
        <v>19030</v>
      </c>
      <c r="G1758" s="2142">
        <v>832752.79999999993</v>
      </c>
      <c r="H1758" s="2143">
        <v>42339</v>
      </c>
      <c r="I1758" s="2142">
        <v>178947</v>
      </c>
    </row>
    <row r="1759" spans="1:9" s="2139" customFormat="1" hidden="1">
      <c r="A1759" s="2140" t="s">
        <v>6843</v>
      </c>
      <c r="B1759" s="2141">
        <v>12</v>
      </c>
      <c r="C1759" s="2141" t="s">
        <v>3142</v>
      </c>
      <c r="D1759" s="2141">
        <v>157</v>
      </c>
      <c r="E1759" s="2142">
        <v>48.3</v>
      </c>
      <c r="F1759" s="2142">
        <v>19555</v>
      </c>
      <c r="G1759" s="2142">
        <v>944506.5</v>
      </c>
      <c r="H1759" s="2143">
        <v>42314</v>
      </c>
      <c r="I1759" s="2142">
        <v>190400</v>
      </c>
    </row>
    <row r="1760" spans="1:9" s="2139" customFormat="1" hidden="1">
      <c r="A1760" s="2140" t="s">
        <v>4793</v>
      </c>
      <c r="B1760" s="2141" t="s">
        <v>3055</v>
      </c>
      <c r="C1760" s="2141" t="s">
        <v>3142</v>
      </c>
      <c r="D1760" s="3396">
        <v>5</v>
      </c>
      <c r="E1760" s="2142">
        <v>72.430000000000007</v>
      </c>
      <c r="F1760" s="2142">
        <v>16229.34</v>
      </c>
      <c r="G1760" s="2142">
        <v>1175491.0962</v>
      </c>
      <c r="H1760" s="3557">
        <v>42307</v>
      </c>
      <c r="I1760" s="2142">
        <v>1175491</v>
      </c>
    </row>
    <row r="1761" spans="1:9" s="2139" customFormat="1" hidden="1">
      <c r="A1761" s="2140" t="s">
        <v>5492</v>
      </c>
      <c r="B1761" s="2141" t="s">
        <v>3056</v>
      </c>
      <c r="C1761" s="2141" t="s">
        <v>3142</v>
      </c>
      <c r="D1761" s="2141">
        <v>241</v>
      </c>
      <c r="E1761" s="2142">
        <v>79.63</v>
      </c>
      <c r="F1761" s="2142">
        <v>19590.003769999999</v>
      </c>
      <c r="G1761" s="2142">
        <v>1559952.0002050998</v>
      </c>
      <c r="H1761" s="2143">
        <v>42304</v>
      </c>
      <c r="I1761" s="2142">
        <v>1559952</v>
      </c>
    </row>
    <row r="1762" spans="1:9" s="2139" customFormat="1" hidden="1">
      <c r="A1762" s="2140" t="s">
        <v>5421</v>
      </c>
      <c r="B1762" s="2141" t="s">
        <v>3056</v>
      </c>
      <c r="C1762" s="2141" t="s">
        <v>3142</v>
      </c>
      <c r="D1762" s="2141">
        <v>121</v>
      </c>
      <c r="E1762" s="2142">
        <v>80</v>
      </c>
      <c r="F1762" s="2142">
        <v>14590</v>
      </c>
      <c r="G1762" s="2142">
        <v>1167200</v>
      </c>
      <c r="H1762" s="2143">
        <v>42300</v>
      </c>
      <c r="I1762" s="2142">
        <v>1167200</v>
      </c>
    </row>
    <row r="1763" spans="1:9" s="2139" customFormat="1" hidden="1">
      <c r="A1763" s="2140" t="s">
        <v>5422</v>
      </c>
      <c r="B1763" s="2141" t="s">
        <v>3056</v>
      </c>
      <c r="C1763" s="2141" t="s">
        <v>3142</v>
      </c>
      <c r="D1763" s="2141">
        <v>122</v>
      </c>
      <c r="E1763" s="2142">
        <v>81.849999999999994</v>
      </c>
      <c r="F1763" s="2142">
        <v>14590</v>
      </c>
      <c r="G1763" s="2142">
        <v>1194192</v>
      </c>
      <c r="H1763" s="2143">
        <v>42300</v>
      </c>
      <c r="I1763" s="2142">
        <v>1195359</v>
      </c>
    </row>
    <row r="1764" spans="1:9" s="2139" customFormat="1" hidden="1">
      <c r="A1764" s="2140" t="s">
        <v>6788</v>
      </c>
      <c r="B1764" s="2141">
        <v>12</v>
      </c>
      <c r="C1764" s="2141" t="s">
        <v>3142</v>
      </c>
      <c r="D1764" s="2141">
        <v>43</v>
      </c>
      <c r="E1764" s="2142">
        <v>49.5</v>
      </c>
      <c r="F1764" s="2142">
        <v>18190</v>
      </c>
      <c r="G1764" s="2142">
        <v>900405</v>
      </c>
      <c r="H1764" s="2143">
        <v>42291</v>
      </c>
      <c r="I1764" s="2142">
        <v>184771</v>
      </c>
    </row>
    <row r="1765" spans="1:9" s="2139" customFormat="1" hidden="1">
      <c r="A1765" s="2140" t="s">
        <v>6809</v>
      </c>
      <c r="B1765" s="2141">
        <v>12</v>
      </c>
      <c r="C1765" s="2141" t="s">
        <v>3142</v>
      </c>
      <c r="D1765" s="2141">
        <v>86</v>
      </c>
      <c r="E1765" s="2142">
        <v>41.81</v>
      </c>
      <c r="F1765" s="2142">
        <v>14888</v>
      </c>
      <c r="G1765" s="2142">
        <v>622467.28</v>
      </c>
      <c r="H1765" s="2143">
        <v>42291</v>
      </c>
      <c r="I1765" s="2142">
        <v>139639</v>
      </c>
    </row>
    <row r="1766" spans="1:9" s="2139" customFormat="1" hidden="1">
      <c r="A1766" s="2140" t="s">
        <v>6854</v>
      </c>
      <c r="B1766" s="2141">
        <v>12</v>
      </c>
      <c r="C1766" s="2141" t="s">
        <v>3142</v>
      </c>
      <c r="D1766" s="2141">
        <v>170</v>
      </c>
      <c r="E1766" s="2142">
        <v>44.69</v>
      </c>
      <c r="F1766" s="2142">
        <v>19554.956170000001</v>
      </c>
      <c r="G1766" s="2142">
        <v>873910.99123729998</v>
      </c>
      <c r="H1766" s="2143">
        <v>42289</v>
      </c>
      <c r="I1766" s="2142">
        <v>870000</v>
      </c>
    </row>
    <row r="1767" spans="1:9" s="2139" customFormat="1" hidden="1">
      <c r="A1767" s="2140" t="s">
        <v>4270</v>
      </c>
      <c r="B1767" s="2141" t="s">
        <v>3054</v>
      </c>
      <c r="C1767" s="2141" t="s">
        <v>3142</v>
      </c>
      <c r="D1767" s="2141">
        <v>266</v>
      </c>
      <c r="E1767" s="2142">
        <v>60.06</v>
      </c>
      <c r="F1767" s="2142">
        <v>15730.39</v>
      </c>
      <c r="G1767" s="2142">
        <v>944767.22340000002</v>
      </c>
      <c r="H1767" s="2143">
        <v>42269</v>
      </c>
      <c r="I1767" s="2142">
        <v>944767</v>
      </c>
    </row>
    <row r="1768" spans="1:9" s="2139" customFormat="1" hidden="1">
      <c r="A1768" s="2140" t="s">
        <v>4915</v>
      </c>
      <c r="B1768" s="2141" t="s">
        <v>3055</v>
      </c>
      <c r="C1768" s="2141" t="s">
        <v>3142</v>
      </c>
      <c r="D1768" s="3396">
        <v>153</v>
      </c>
      <c r="E1768" s="2142">
        <v>74.13</v>
      </c>
      <c r="F1768" s="2142">
        <v>18169.46</v>
      </c>
      <c r="G1768" s="2142">
        <v>1346902.0697999999</v>
      </c>
      <c r="H1768" s="3557">
        <v>42257</v>
      </c>
      <c r="I1768" s="2142">
        <v>1346902</v>
      </c>
    </row>
    <row r="1769" spans="1:9" s="2139" customFormat="1" hidden="1">
      <c r="A1769" s="2140" t="s">
        <v>6856</v>
      </c>
      <c r="B1769" s="2141">
        <v>12</v>
      </c>
      <c r="C1769" s="2141" t="s">
        <v>3142</v>
      </c>
      <c r="D1769" s="2141">
        <v>177</v>
      </c>
      <c r="E1769" s="2142">
        <v>41.57</v>
      </c>
      <c r="F1769" s="2142">
        <v>17770</v>
      </c>
      <c r="G1769" s="2142">
        <v>738698.9</v>
      </c>
      <c r="H1769" s="2143">
        <v>42243</v>
      </c>
      <c r="I1769" s="2142">
        <v>155500</v>
      </c>
    </row>
    <row r="1770" spans="1:9" s="2139" customFormat="1" hidden="1">
      <c r="A1770" s="2140" t="s">
        <v>4869</v>
      </c>
      <c r="B1770" s="2141" t="s">
        <v>3055</v>
      </c>
      <c r="C1770" s="2141" t="s">
        <v>3142</v>
      </c>
      <c r="D1770" s="3396">
        <v>95</v>
      </c>
      <c r="E1770" s="2142">
        <v>167.03</v>
      </c>
      <c r="F1770" s="2142">
        <v>17568</v>
      </c>
      <c r="G1770" s="2142">
        <v>2934383.04</v>
      </c>
      <c r="H1770" s="3557">
        <v>42235</v>
      </c>
      <c r="I1770" s="2142">
        <v>2934383</v>
      </c>
    </row>
    <row r="1771" spans="1:9" s="2139" customFormat="1" hidden="1">
      <c r="A1771" s="2140" t="s">
        <v>4101</v>
      </c>
      <c r="B1771" s="2141" t="s">
        <v>3054</v>
      </c>
      <c r="C1771" s="2141" t="s">
        <v>3142</v>
      </c>
      <c r="D1771" s="2141">
        <v>60</v>
      </c>
      <c r="E1771" s="2142">
        <v>39.94</v>
      </c>
      <c r="F1771" s="2142">
        <v>14719.78</v>
      </c>
      <c r="G1771" s="2142">
        <v>587908.01320000004</v>
      </c>
      <c r="H1771" s="2143">
        <v>42234</v>
      </c>
      <c r="I1771" s="2142">
        <v>587908</v>
      </c>
    </row>
    <row r="1772" spans="1:9" s="2139" customFormat="1" hidden="1">
      <c r="A1772" s="2140" t="s">
        <v>4160</v>
      </c>
      <c r="B1772" s="2141" t="s">
        <v>3054</v>
      </c>
      <c r="C1772" s="2141" t="s">
        <v>3142</v>
      </c>
      <c r="D1772" s="2141">
        <v>138</v>
      </c>
      <c r="E1772" s="2142">
        <v>51</v>
      </c>
      <c r="F1772" s="2142">
        <v>15716.08</v>
      </c>
      <c r="G1772" s="2142">
        <v>801520.08</v>
      </c>
      <c r="H1772" s="2143">
        <v>42226</v>
      </c>
      <c r="I1772" s="2142">
        <v>801520</v>
      </c>
    </row>
    <row r="1773" spans="1:9" s="2139" customFormat="1" hidden="1">
      <c r="A1773" s="2140" t="s">
        <v>6836</v>
      </c>
      <c r="B1773" s="2141">
        <v>12</v>
      </c>
      <c r="C1773" s="2141" t="s">
        <v>3142</v>
      </c>
      <c r="D1773" s="2141">
        <v>141</v>
      </c>
      <c r="E1773" s="2142">
        <v>65.540000000000006</v>
      </c>
      <c r="F1773" s="2142">
        <v>14385.1</v>
      </c>
      <c r="G1773" s="2142">
        <v>942799.45400000014</v>
      </c>
      <c r="H1773" s="2143">
        <v>42222</v>
      </c>
      <c r="I1773" s="2142">
        <v>938484</v>
      </c>
    </row>
    <row r="1774" spans="1:9" s="2139" customFormat="1" hidden="1">
      <c r="A1774" s="2140" t="s">
        <v>4817</v>
      </c>
      <c r="B1774" s="2141" t="s">
        <v>3055</v>
      </c>
      <c r="C1774" s="2141" t="s">
        <v>3142</v>
      </c>
      <c r="D1774" s="3396">
        <v>31</v>
      </c>
      <c r="E1774" s="2142">
        <v>84.41</v>
      </c>
      <c r="F1774" s="2142">
        <v>17499.8</v>
      </c>
      <c r="G1774" s="2142">
        <v>1477158.1179999998</v>
      </c>
      <c r="H1774" s="3557">
        <v>42221</v>
      </c>
      <c r="I1774" s="2142">
        <v>1477158</v>
      </c>
    </row>
    <row r="1775" spans="1:9" s="2139" customFormat="1" hidden="1">
      <c r="A1775" s="2140" t="s">
        <v>6777</v>
      </c>
      <c r="B1775" s="2141">
        <v>12</v>
      </c>
      <c r="C1775" s="2141" t="s">
        <v>3142</v>
      </c>
      <c r="D1775" s="2141">
        <v>8</v>
      </c>
      <c r="E1775" s="2142">
        <v>61.74</v>
      </c>
      <c r="F1775" s="2142">
        <v>16422.09</v>
      </c>
      <c r="G1775" s="2142">
        <v>1013899.8366</v>
      </c>
      <c r="H1775" s="2143">
        <v>42218</v>
      </c>
      <c r="I1775" s="2142">
        <v>1009466</v>
      </c>
    </row>
    <row r="1776" spans="1:9" s="2139" customFormat="1" hidden="1">
      <c r="A1776" s="2140" t="s">
        <v>6875</v>
      </c>
      <c r="B1776" s="2141">
        <v>12</v>
      </c>
      <c r="C1776" s="2141" t="s">
        <v>3142</v>
      </c>
      <c r="D1776" s="2141">
        <v>222</v>
      </c>
      <c r="E1776" s="2142">
        <v>47.61</v>
      </c>
      <c r="F1776" s="2142">
        <v>15355</v>
      </c>
      <c r="G1776" s="2142">
        <v>731051.55</v>
      </c>
      <c r="H1776" s="2143">
        <v>42218</v>
      </c>
      <c r="I1776" s="2142">
        <v>157827</v>
      </c>
    </row>
    <row r="1777" spans="1:9" s="2139" customFormat="1" hidden="1">
      <c r="A1777" s="2140" t="s">
        <v>6844</v>
      </c>
      <c r="B1777" s="2141">
        <v>12</v>
      </c>
      <c r="C1777" s="2141" t="s">
        <v>3142</v>
      </c>
      <c r="D1777" s="2141">
        <v>158</v>
      </c>
      <c r="E1777" s="2142">
        <v>74.58</v>
      </c>
      <c r="F1777" s="2142">
        <v>20080</v>
      </c>
      <c r="G1777" s="2142">
        <v>1497566.4</v>
      </c>
      <c r="H1777" s="2143">
        <v>42216</v>
      </c>
      <c r="I1777" s="2142">
        <v>50000</v>
      </c>
    </row>
    <row r="1778" spans="1:9" s="2139" customFormat="1" hidden="1">
      <c r="A1778" s="2140" t="s">
        <v>6853</v>
      </c>
      <c r="B1778" s="2141">
        <v>12</v>
      </c>
      <c r="C1778" s="2141" t="s">
        <v>3142</v>
      </c>
      <c r="D1778" s="2141">
        <v>169</v>
      </c>
      <c r="E1778" s="2142">
        <v>46.32</v>
      </c>
      <c r="F1778" s="2142">
        <v>19580</v>
      </c>
      <c r="G1778" s="2142">
        <v>906945.6</v>
      </c>
      <c r="H1778" s="2143">
        <v>42216</v>
      </c>
      <c r="I1778" s="2142">
        <v>50000</v>
      </c>
    </row>
    <row r="1779" spans="1:9" s="2139" customFormat="1" hidden="1">
      <c r="A1779" s="2140" t="s">
        <v>4841</v>
      </c>
      <c r="B1779" s="2141" t="s">
        <v>3055</v>
      </c>
      <c r="C1779" s="2141" t="s">
        <v>3142</v>
      </c>
      <c r="D1779" s="3396">
        <v>59</v>
      </c>
      <c r="E1779" s="2142">
        <v>67.83</v>
      </c>
      <c r="F1779" s="2142">
        <v>16526.62</v>
      </c>
      <c r="G1779" s="2142">
        <v>1121000.6346</v>
      </c>
      <c r="H1779" s="3557">
        <v>42215</v>
      </c>
      <c r="I1779" s="2142">
        <v>1121001</v>
      </c>
    </row>
    <row r="1780" spans="1:9" s="2139" customFormat="1" hidden="1">
      <c r="A1780" s="2140" t="s">
        <v>4974</v>
      </c>
      <c r="B1780" s="2141" t="s">
        <v>3055</v>
      </c>
      <c r="C1780" s="2141" t="s">
        <v>3142</v>
      </c>
      <c r="D1780" s="3396">
        <v>237</v>
      </c>
      <c r="E1780" s="2142">
        <v>72.02</v>
      </c>
      <c r="F1780" s="2142">
        <v>17489.95</v>
      </c>
      <c r="G1780" s="2142">
        <v>1259626.199</v>
      </c>
      <c r="H1780" s="3557">
        <v>42208</v>
      </c>
      <c r="I1780" s="2142">
        <v>1259626</v>
      </c>
    </row>
    <row r="1781" spans="1:9" s="2139" customFormat="1" hidden="1">
      <c r="A1781" s="2140" t="s">
        <v>6825</v>
      </c>
      <c r="B1781" s="2141">
        <v>12</v>
      </c>
      <c r="C1781" s="2141" t="s">
        <v>3142</v>
      </c>
      <c r="D1781" s="2141">
        <v>127</v>
      </c>
      <c r="E1781" s="2142">
        <v>67.319999999999993</v>
      </c>
      <c r="F1781" s="2142">
        <v>20080</v>
      </c>
      <c r="G1781" s="2142">
        <v>1351785.5999999999</v>
      </c>
      <c r="H1781" s="2143">
        <v>42206</v>
      </c>
      <c r="I1781" s="2142">
        <v>685400</v>
      </c>
    </row>
    <row r="1782" spans="1:9" s="2139" customFormat="1" hidden="1">
      <c r="A1782" s="2140" t="s">
        <v>6826</v>
      </c>
      <c r="B1782" s="2141">
        <v>12</v>
      </c>
      <c r="C1782" s="2141" t="s">
        <v>3142</v>
      </c>
      <c r="D1782" s="2141">
        <v>128</v>
      </c>
      <c r="E1782" s="2142">
        <v>64.760000000000005</v>
      </c>
      <c r="F1782" s="2142">
        <v>20080</v>
      </c>
      <c r="G1782" s="2142">
        <v>1300380.8</v>
      </c>
      <c r="H1782" s="2143">
        <v>42206</v>
      </c>
      <c r="I1782" s="2142">
        <v>653794</v>
      </c>
    </row>
    <row r="1783" spans="1:9" s="2139" customFormat="1" hidden="1">
      <c r="A1783" s="2140" t="s">
        <v>6827</v>
      </c>
      <c r="B1783" s="2141">
        <v>12</v>
      </c>
      <c r="C1783" s="2141" t="s">
        <v>3142</v>
      </c>
      <c r="D1783" s="2141">
        <v>129</v>
      </c>
      <c r="E1783" s="2142">
        <v>72.5</v>
      </c>
      <c r="F1783" s="2142">
        <v>20080</v>
      </c>
      <c r="G1783" s="2142">
        <v>1455800</v>
      </c>
      <c r="H1783" s="2143">
        <v>42206</v>
      </c>
      <c r="I1783" s="2142">
        <v>738611</v>
      </c>
    </row>
    <row r="1784" spans="1:9" s="2139" customFormat="1" hidden="1">
      <c r="A1784" s="2140" t="s">
        <v>4308</v>
      </c>
      <c r="B1784" s="2141" t="s">
        <v>3054</v>
      </c>
      <c r="C1784" s="2141" t="s">
        <v>3142</v>
      </c>
      <c r="D1784" s="2141">
        <v>322</v>
      </c>
      <c r="E1784" s="2142">
        <v>43.29</v>
      </c>
      <c r="F1784" s="2142">
        <v>15311.16</v>
      </c>
      <c r="G1784" s="2142">
        <v>662820.11639999994</v>
      </c>
      <c r="H1784" s="2143">
        <v>42205</v>
      </c>
      <c r="I1784" s="2142">
        <v>662820</v>
      </c>
    </row>
    <row r="1785" spans="1:9" s="2139" customFormat="1" hidden="1">
      <c r="A1785" s="2140" t="s">
        <v>6890</v>
      </c>
      <c r="B1785" s="2141">
        <v>12</v>
      </c>
      <c r="C1785" s="2141" t="s">
        <v>3142</v>
      </c>
      <c r="D1785" s="2141">
        <v>249</v>
      </c>
      <c r="E1785" s="2142">
        <v>83.19</v>
      </c>
      <c r="F1785" s="2142">
        <v>19030</v>
      </c>
      <c r="G1785" s="2142">
        <v>1583105.7</v>
      </c>
      <c r="H1785" s="2143">
        <v>42204</v>
      </c>
      <c r="I1785" s="2142">
        <v>1576065</v>
      </c>
    </row>
    <row r="1786" spans="1:9" s="2139" customFormat="1" hidden="1">
      <c r="A1786" s="2140" t="s">
        <v>6353</v>
      </c>
      <c r="B1786" s="2141">
        <v>9</v>
      </c>
      <c r="C1786" s="2141" t="s">
        <v>3142</v>
      </c>
      <c r="D1786" s="2141">
        <v>109</v>
      </c>
      <c r="E1786" s="2142">
        <v>62.3</v>
      </c>
      <c r="F1786" s="2142">
        <v>18540</v>
      </c>
      <c r="G1786" s="2142">
        <v>1155042</v>
      </c>
      <c r="H1786" s="2143">
        <v>42202</v>
      </c>
      <c r="I1786" s="2142">
        <v>245042</v>
      </c>
    </row>
    <row r="1787" spans="1:9" s="2139" customFormat="1" hidden="1">
      <c r="A1787" s="2140" t="s">
        <v>6782</v>
      </c>
      <c r="B1787" s="2141">
        <v>12</v>
      </c>
      <c r="C1787" s="2141" t="s">
        <v>3142</v>
      </c>
      <c r="D1787" s="2141">
        <v>23</v>
      </c>
      <c r="E1787" s="2142">
        <v>70.209999999999994</v>
      </c>
      <c r="F1787" s="2142">
        <v>15880</v>
      </c>
      <c r="G1787" s="2142">
        <v>1114934.7999999998</v>
      </c>
      <c r="H1787" s="2143">
        <v>42202</v>
      </c>
      <c r="I1787" s="2142">
        <v>1109853</v>
      </c>
    </row>
    <row r="1788" spans="1:9" s="2139" customFormat="1" hidden="1">
      <c r="A1788" s="2140" t="s">
        <v>6864</v>
      </c>
      <c r="B1788" s="2141">
        <v>12</v>
      </c>
      <c r="C1788" s="2141" t="s">
        <v>3142</v>
      </c>
      <c r="D1788" s="2141">
        <v>209</v>
      </c>
      <c r="E1788" s="2142">
        <v>116.63</v>
      </c>
      <c r="F1788" s="2142">
        <v>17995</v>
      </c>
      <c r="G1788" s="2142">
        <v>2098756.85</v>
      </c>
      <c r="H1788" s="2143">
        <v>42202</v>
      </c>
      <c r="I1788" s="2142">
        <v>2089399</v>
      </c>
    </row>
    <row r="1789" spans="1:9" s="2139" customFormat="1" hidden="1">
      <c r="A1789" s="2140" t="s">
        <v>6780</v>
      </c>
      <c r="B1789" s="2141">
        <v>12</v>
      </c>
      <c r="C1789" s="2141" t="s">
        <v>3142</v>
      </c>
      <c r="D1789" s="2141">
        <v>19</v>
      </c>
      <c r="E1789" s="2142">
        <v>60.59</v>
      </c>
      <c r="F1789" s="2142">
        <v>15403.61</v>
      </c>
      <c r="G1789" s="2142">
        <v>933304.72990000003</v>
      </c>
      <c r="H1789" s="2143">
        <v>42200</v>
      </c>
      <c r="I1789" s="2142">
        <v>929146</v>
      </c>
    </row>
    <row r="1790" spans="1:9" s="2139" customFormat="1" hidden="1">
      <c r="A1790" s="2140" t="s">
        <v>4188</v>
      </c>
      <c r="B1790" s="2141" t="s">
        <v>3054</v>
      </c>
      <c r="C1790" s="2141" t="s">
        <v>3142</v>
      </c>
      <c r="D1790" s="2141">
        <v>173</v>
      </c>
      <c r="E1790" s="2142">
        <v>60.77</v>
      </c>
      <c r="F1790" s="2142">
        <v>15343.31</v>
      </c>
      <c r="G1790" s="2142">
        <v>932412.94870000007</v>
      </c>
      <c r="H1790" s="2143">
        <v>42195</v>
      </c>
      <c r="I1790" s="2142">
        <v>932413</v>
      </c>
    </row>
    <row r="1791" spans="1:9" s="2139" customFormat="1" hidden="1">
      <c r="A1791" s="2140" t="s">
        <v>4232</v>
      </c>
      <c r="B1791" s="2141" t="s">
        <v>3054</v>
      </c>
      <c r="C1791" s="2141" t="s">
        <v>3142</v>
      </c>
      <c r="D1791" s="2141">
        <v>222</v>
      </c>
      <c r="E1791" s="2142">
        <v>65.75</v>
      </c>
      <c r="F1791" s="2142">
        <v>18024.43</v>
      </c>
      <c r="G1791" s="2142">
        <v>1185106.2725</v>
      </c>
      <c r="H1791" s="2143">
        <v>42192</v>
      </c>
      <c r="I1791" s="2142">
        <v>1185106</v>
      </c>
    </row>
    <row r="1792" spans="1:9" s="2139" customFormat="1" hidden="1">
      <c r="A1792" s="2140" t="s">
        <v>4161</v>
      </c>
      <c r="B1792" s="2141" t="s">
        <v>3054</v>
      </c>
      <c r="C1792" s="2141" t="s">
        <v>3142</v>
      </c>
      <c r="D1792" s="2141">
        <v>139</v>
      </c>
      <c r="E1792" s="2142">
        <v>51.43</v>
      </c>
      <c r="F1792" s="2142">
        <v>16202.95</v>
      </c>
      <c r="G1792" s="2142">
        <v>833317.71850000008</v>
      </c>
      <c r="H1792" s="2143">
        <v>42191</v>
      </c>
      <c r="I1792" s="2142">
        <v>183318</v>
      </c>
    </row>
    <row r="1793" spans="1:9" s="2139" customFormat="1" hidden="1">
      <c r="A1793" s="2140" t="s">
        <v>4280</v>
      </c>
      <c r="B1793" s="2141" t="s">
        <v>3054</v>
      </c>
      <c r="C1793" s="2141" t="s">
        <v>3142</v>
      </c>
      <c r="D1793" s="2141">
        <v>277</v>
      </c>
      <c r="E1793" s="2142">
        <v>51.73</v>
      </c>
      <c r="F1793" s="2142">
        <v>17848.349999999999</v>
      </c>
      <c r="G1793" s="2142">
        <v>923295.14549999987</v>
      </c>
      <c r="H1793" s="2143">
        <v>42191</v>
      </c>
      <c r="I1793" s="2142">
        <v>923295</v>
      </c>
    </row>
    <row r="1794" spans="1:9" s="2139" customFormat="1" hidden="1">
      <c r="A1794" s="2140" t="s">
        <v>4154</v>
      </c>
      <c r="B1794" s="2141" t="s">
        <v>3054</v>
      </c>
      <c r="C1794" s="2141" t="s">
        <v>3142</v>
      </c>
      <c r="D1794" s="2141">
        <v>131</v>
      </c>
      <c r="E1794" s="2142">
        <v>82.36</v>
      </c>
      <c r="F1794" s="2142">
        <v>16639.400000000001</v>
      </c>
      <c r="G1794" s="2142">
        <v>1370420.9840000002</v>
      </c>
      <c r="H1794" s="2143">
        <v>42186</v>
      </c>
      <c r="I1794" s="2142">
        <v>1370421</v>
      </c>
    </row>
    <row r="1795" spans="1:9" s="2139" customFormat="1" hidden="1">
      <c r="A1795" s="2140" t="s">
        <v>4145</v>
      </c>
      <c r="B1795" s="2141" t="s">
        <v>3054</v>
      </c>
      <c r="C1795" s="2141" t="s">
        <v>3142</v>
      </c>
      <c r="D1795" s="2141">
        <v>121</v>
      </c>
      <c r="E1795" s="2142">
        <v>51.77</v>
      </c>
      <c r="F1795" s="2142">
        <v>17607.009999999998</v>
      </c>
      <c r="G1795" s="2142">
        <v>911514.90769999998</v>
      </c>
      <c r="H1795" s="2143">
        <v>42175</v>
      </c>
      <c r="I1795" s="2142">
        <v>911515</v>
      </c>
    </row>
    <row r="1796" spans="1:9" s="2139" customFormat="1" hidden="1">
      <c r="A1796" s="2140" t="s">
        <v>4087</v>
      </c>
      <c r="B1796" s="2141" t="s">
        <v>3054</v>
      </c>
      <c r="C1796" s="2141" t="s">
        <v>3142</v>
      </c>
      <c r="D1796" s="2141">
        <v>30</v>
      </c>
      <c r="E1796" s="2142">
        <v>71.64</v>
      </c>
      <c r="F1796" s="2142">
        <v>15230.33</v>
      </c>
      <c r="G1796" s="2142">
        <v>1091100.8411999999</v>
      </c>
      <c r="H1796" s="2143">
        <v>42170</v>
      </c>
      <c r="I1796" s="2142">
        <v>1091101</v>
      </c>
    </row>
    <row r="1797" spans="1:9" s="2139" customFormat="1" hidden="1">
      <c r="A1797" s="2140" t="s">
        <v>6876</v>
      </c>
      <c r="B1797" s="2141">
        <v>12</v>
      </c>
      <c r="C1797" s="2141" t="s">
        <v>3142</v>
      </c>
      <c r="D1797" s="2141">
        <v>223</v>
      </c>
      <c r="E1797" s="2142">
        <v>47.61</v>
      </c>
      <c r="F1797" s="2142">
        <v>16930</v>
      </c>
      <c r="G1797" s="2142">
        <v>806037.3</v>
      </c>
      <c r="H1797" s="2143">
        <v>42170</v>
      </c>
      <c r="I1797" s="2142">
        <v>802482</v>
      </c>
    </row>
    <row r="1798" spans="1:9" s="2139" customFormat="1" hidden="1">
      <c r="A1798" s="2140" t="s">
        <v>6877</v>
      </c>
      <c r="B1798" s="2141">
        <v>12</v>
      </c>
      <c r="C1798" s="2141" t="s">
        <v>3142</v>
      </c>
      <c r="D1798" s="2141">
        <v>226</v>
      </c>
      <c r="E1798" s="2142">
        <v>47.6</v>
      </c>
      <c r="F1798" s="2142">
        <v>16930</v>
      </c>
      <c r="G1798" s="2142">
        <v>805868</v>
      </c>
      <c r="H1798" s="2143">
        <v>42170</v>
      </c>
      <c r="I1798" s="2142">
        <v>802313</v>
      </c>
    </row>
    <row r="1799" spans="1:9" s="2139" customFormat="1" hidden="1">
      <c r="A1799" s="2140" t="s">
        <v>4091</v>
      </c>
      <c r="B1799" s="2141" t="s">
        <v>3054</v>
      </c>
      <c r="C1799" s="2141" t="s">
        <v>3142</v>
      </c>
      <c r="D1799" s="2141">
        <v>39</v>
      </c>
      <c r="E1799" s="2142">
        <v>60.9</v>
      </c>
      <c r="F1799" s="2142">
        <v>14800</v>
      </c>
      <c r="G1799" s="2142">
        <v>901320</v>
      </c>
      <c r="H1799" s="2143">
        <v>42166</v>
      </c>
      <c r="I1799" s="2142">
        <v>901320</v>
      </c>
    </row>
    <row r="1800" spans="1:9" s="2139" customFormat="1" hidden="1">
      <c r="A1800" s="2140" t="s">
        <v>4092</v>
      </c>
      <c r="B1800" s="2141" t="s">
        <v>3054</v>
      </c>
      <c r="C1800" s="2141" t="s">
        <v>3142</v>
      </c>
      <c r="D1800" s="2141">
        <v>40</v>
      </c>
      <c r="E1800" s="2142">
        <v>60.89</v>
      </c>
      <c r="F1800" s="2142">
        <v>14800</v>
      </c>
      <c r="G1800" s="2142">
        <v>901172</v>
      </c>
      <c r="H1800" s="2143">
        <v>42166</v>
      </c>
      <c r="I1800" s="2142">
        <v>901172</v>
      </c>
    </row>
    <row r="1801" spans="1:9" s="2139" customFormat="1" hidden="1">
      <c r="A1801" s="2140" t="s">
        <v>6829</v>
      </c>
      <c r="B1801" s="2141">
        <v>12</v>
      </c>
      <c r="C1801" s="2141" t="s">
        <v>3142</v>
      </c>
      <c r="D1801" s="2141">
        <v>132</v>
      </c>
      <c r="E1801" s="2142">
        <v>54.54</v>
      </c>
      <c r="F1801" s="2142">
        <v>21000</v>
      </c>
      <c r="G1801" s="2142">
        <v>1145340</v>
      </c>
      <c r="H1801" s="2143">
        <v>42164</v>
      </c>
      <c r="I1801" s="2142">
        <v>1140300</v>
      </c>
    </row>
    <row r="1802" spans="1:9" s="2139" customFormat="1" hidden="1">
      <c r="A1802" s="2140" t="s">
        <v>6818</v>
      </c>
      <c r="B1802" s="2141">
        <v>12</v>
      </c>
      <c r="C1802" s="2141" t="s">
        <v>3142</v>
      </c>
      <c r="D1802" s="2141">
        <v>111</v>
      </c>
      <c r="E1802" s="2142">
        <v>60.61</v>
      </c>
      <c r="F1802" s="2142">
        <v>18051.689999999999</v>
      </c>
      <c r="G1802" s="2142">
        <v>1094112.9308999998</v>
      </c>
      <c r="H1802" s="2143">
        <v>42163</v>
      </c>
      <c r="I1802" s="2142">
        <v>1089239</v>
      </c>
    </row>
    <row r="1803" spans="1:9" s="2139" customFormat="1" hidden="1">
      <c r="A1803" s="2140" t="s">
        <v>6801</v>
      </c>
      <c r="B1803" s="2141">
        <v>12</v>
      </c>
      <c r="C1803" s="2141" t="s">
        <v>3142</v>
      </c>
      <c r="D1803" s="2141">
        <v>70</v>
      </c>
      <c r="E1803" s="2142">
        <v>51.89</v>
      </c>
      <c r="F1803" s="2142">
        <v>18190</v>
      </c>
      <c r="G1803" s="2142">
        <v>943879.1</v>
      </c>
      <c r="H1803" s="2143">
        <v>42159</v>
      </c>
      <c r="I1803" s="2142">
        <v>937876</v>
      </c>
    </row>
    <row r="1804" spans="1:9" s="2139" customFormat="1" hidden="1">
      <c r="A1804" s="2140" t="s">
        <v>6810</v>
      </c>
      <c r="B1804" s="2141">
        <v>12</v>
      </c>
      <c r="C1804" s="2141" t="s">
        <v>3142</v>
      </c>
      <c r="D1804" s="2141">
        <v>88</v>
      </c>
      <c r="E1804" s="2142">
        <v>72.709999999999994</v>
      </c>
      <c r="F1804" s="2142">
        <v>17610</v>
      </c>
      <c r="G1804" s="2142">
        <v>1280423.0999999999</v>
      </c>
      <c r="H1804" s="2143">
        <v>42159</v>
      </c>
      <c r="I1804" s="2142">
        <v>644788</v>
      </c>
    </row>
    <row r="1805" spans="1:9" s="2139" customFormat="1" hidden="1">
      <c r="A1805" s="2140" t="s">
        <v>6811</v>
      </c>
      <c r="B1805" s="2141">
        <v>12</v>
      </c>
      <c r="C1805" s="2141" t="s">
        <v>3142</v>
      </c>
      <c r="D1805" s="2141">
        <v>89</v>
      </c>
      <c r="E1805" s="2142">
        <v>70.069999999999993</v>
      </c>
      <c r="F1805" s="2142">
        <v>19610</v>
      </c>
      <c r="G1805" s="2142">
        <v>1374072.7</v>
      </c>
      <c r="H1805" s="2143">
        <v>42159</v>
      </c>
      <c r="I1805" s="2142">
        <v>687994</v>
      </c>
    </row>
    <row r="1806" spans="1:9" s="2139" customFormat="1" hidden="1">
      <c r="A1806" s="2140" t="s">
        <v>6790</v>
      </c>
      <c r="B1806" s="2141">
        <v>12</v>
      </c>
      <c r="C1806" s="2141" t="s">
        <v>3142</v>
      </c>
      <c r="D1806" s="2141">
        <v>47</v>
      </c>
      <c r="E1806" s="2142">
        <v>52.92</v>
      </c>
      <c r="F1806" s="2142">
        <v>20030</v>
      </c>
      <c r="G1806" s="2142">
        <v>1059987.6000000001</v>
      </c>
      <c r="H1806" s="2143">
        <v>42158</v>
      </c>
      <c r="I1806" s="2142">
        <v>1055180</v>
      </c>
    </row>
    <row r="1807" spans="1:9" s="2139" customFormat="1" hidden="1">
      <c r="A1807" s="2140" t="s">
        <v>6888</v>
      </c>
      <c r="B1807" s="2141">
        <v>12</v>
      </c>
      <c r="C1807" s="2141" t="s">
        <v>3142</v>
      </c>
      <c r="D1807" s="2141">
        <v>247</v>
      </c>
      <c r="E1807" s="2142">
        <v>81.760000000000005</v>
      </c>
      <c r="F1807" s="2142">
        <v>19030</v>
      </c>
      <c r="G1807" s="2142">
        <v>1555892.8</v>
      </c>
      <c r="H1807" s="2143">
        <v>42154</v>
      </c>
      <c r="I1807" s="2142">
        <v>778852</v>
      </c>
    </row>
    <row r="1808" spans="1:9" s="2139" customFormat="1" hidden="1">
      <c r="A1808" s="2140" t="s">
        <v>6778</v>
      </c>
      <c r="B1808" s="2141">
        <v>12</v>
      </c>
      <c r="C1808" s="2141" t="s">
        <v>3142</v>
      </c>
      <c r="D1808" s="2141">
        <v>15</v>
      </c>
      <c r="E1808" s="2142">
        <v>64.05</v>
      </c>
      <c r="F1808" s="2142">
        <v>17440.599999999999</v>
      </c>
      <c r="G1808" s="2142">
        <v>1117070.43</v>
      </c>
      <c r="H1808" s="2143">
        <v>42153</v>
      </c>
      <c r="I1808" s="2142">
        <v>1112187</v>
      </c>
    </row>
    <row r="1809" spans="1:9" s="2139" customFormat="1" hidden="1">
      <c r="A1809" s="2140" t="s">
        <v>6831</v>
      </c>
      <c r="B1809" s="2141">
        <v>12</v>
      </c>
      <c r="C1809" s="2141" t="s">
        <v>3142</v>
      </c>
      <c r="D1809" s="2141">
        <v>136</v>
      </c>
      <c r="E1809" s="2142">
        <v>67.319999999999993</v>
      </c>
      <c r="F1809" s="2142">
        <v>20080</v>
      </c>
      <c r="G1809" s="2142">
        <v>1351785.5999999999</v>
      </c>
      <c r="H1809" s="2143">
        <v>42151</v>
      </c>
      <c r="I1809" s="2142">
        <v>275762</v>
      </c>
    </row>
    <row r="1810" spans="1:9" s="2139" customFormat="1" hidden="1">
      <c r="A1810" s="2140" t="s">
        <v>6832</v>
      </c>
      <c r="B1810" s="2141">
        <v>12</v>
      </c>
      <c r="C1810" s="2141" t="s">
        <v>3142</v>
      </c>
      <c r="D1810" s="2141">
        <v>137</v>
      </c>
      <c r="E1810" s="2142">
        <v>67.319999999999993</v>
      </c>
      <c r="F1810" s="2142">
        <v>20080</v>
      </c>
      <c r="G1810" s="2142">
        <v>1351785.5999999999</v>
      </c>
      <c r="H1810" s="2143">
        <v>42151</v>
      </c>
      <c r="I1810" s="2142">
        <v>275762</v>
      </c>
    </row>
    <row r="1811" spans="1:9" s="2139" customFormat="1" hidden="1">
      <c r="A1811" s="2140" t="s">
        <v>6841</v>
      </c>
      <c r="B1811" s="2141">
        <v>12</v>
      </c>
      <c r="C1811" s="2141" t="s">
        <v>3142</v>
      </c>
      <c r="D1811" s="2141">
        <v>153</v>
      </c>
      <c r="E1811" s="2142">
        <v>70.150000000000006</v>
      </c>
      <c r="F1811" s="2142">
        <v>21130</v>
      </c>
      <c r="G1811" s="2142">
        <v>1482269.5000000002</v>
      </c>
      <c r="H1811" s="2143">
        <v>42151</v>
      </c>
      <c r="I1811" s="2142">
        <v>305719</v>
      </c>
    </row>
    <row r="1812" spans="1:9" s="2139" customFormat="1" hidden="1">
      <c r="A1812" s="2140" t="s">
        <v>6842</v>
      </c>
      <c r="B1812" s="2141">
        <v>12</v>
      </c>
      <c r="C1812" s="2141" t="s">
        <v>3142</v>
      </c>
      <c r="D1812" s="2141">
        <v>155</v>
      </c>
      <c r="E1812" s="2142">
        <v>69.52</v>
      </c>
      <c r="F1812" s="2142">
        <v>20080</v>
      </c>
      <c r="G1812" s="2142">
        <v>1395961.5999999999</v>
      </c>
      <c r="H1812" s="2143">
        <v>42151</v>
      </c>
      <c r="I1812" s="2142">
        <v>289737</v>
      </c>
    </row>
    <row r="1813" spans="1:9" s="2139" customFormat="1" hidden="1">
      <c r="A1813" s="2140" t="s">
        <v>6852</v>
      </c>
      <c r="B1813" s="2141">
        <v>12</v>
      </c>
      <c r="C1813" s="2141" t="s">
        <v>3142</v>
      </c>
      <c r="D1813" s="2141">
        <v>168</v>
      </c>
      <c r="E1813" s="2142">
        <v>71.569999999999993</v>
      </c>
      <c r="F1813" s="2142">
        <v>20080</v>
      </c>
      <c r="G1813" s="2142">
        <v>1437125.5999999999</v>
      </c>
      <c r="H1813" s="2143">
        <v>42148</v>
      </c>
      <c r="I1813" s="2142">
        <v>1430901</v>
      </c>
    </row>
    <row r="1814" spans="1:9" s="2139" customFormat="1" hidden="1">
      <c r="A1814" s="2140" t="s">
        <v>6830</v>
      </c>
      <c r="B1814" s="2141">
        <v>12</v>
      </c>
      <c r="C1814" s="2141" t="s">
        <v>3142</v>
      </c>
      <c r="D1814" s="2141">
        <v>135</v>
      </c>
      <c r="E1814" s="2142">
        <v>67.81</v>
      </c>
      <c r="F1814" s="2142">
        <v>14830</v>
      </c>
      <c r="G1814" s="2142">
        <v>1005622.3</v>
      </c>
      <c r="H1814" s="2143">
        <v>42147</v>
      </c>
      <c r="I1814" s="2142">
        <v>1001025</v>
      </c>
    </row>
    <row r="1815" spans="1:9" s="2139" customFormat="1" hidden="1">
      <c r="A1815" s="2140" t="s">
        <v>6787</v>
      </c>
      <c r="B1815" s="2141">
        <v>12</v>
      </c>
      <c r="C1815" s="2141" t="s">
        <v>3142</v>
      </c>
      <c r="D1815" s="2141">
        <v>42</v>
      </c>
      <c r="E1815" s="2142">
        <v>75.25</v>
      </c>
      <c r="F1815" s="2142">
        <v>18190</v>
      </c>
      <c r="G1815" s="2142">
        <v>1368798</v>
      </c>
      <c r="H1815" s="2143">
        <v>42146</v>
      </c>
      <c r="I1815" s="2142">
        <v>1362795</v>
      </c>
    </row>
    <row r="1816" spans="1:9" s="2139" customFormat="1" hidden="1">
      <c r="A1816" s="2140" t="s">
        <v>6814</v>
      </c>
      <c r="B1816" s="2141">
        <v>12</v>
      </c>
      <c r="C1816" s="2141" t="s">
        <v>3142</v>
      </c>
      <c r="D1816" s="2141">
        <v>101</v>
      </c>
      <c r="E1816" s="2142">
        <v>38.28</v>
      </c>
      <c r="F1816" s="2142">
        <v>14830</v>
      </c>
      <c r="G1816" s="2142">
        <v>567692.4</v>
      </c>
      <c r="H1816" s="2143">
        <v>42146</v>
      </c>
      <c r="I1816" s="2142">
        <v>565171</v>
      </c>
    </row>
    <row r="1817" spans="1:9" s="2139" customFormat="1" hidden="1">
      <c r="A1817" s="2140" t="s">
        <v>6894</v>
      </c>
      <c r="B1817" s="2141">
        <v>12</v>
      </c>
      <c r="C1817" s="2141" t="s">
        <v>3142</v>
      </c>
      <c r="D1817" s="2141">
        <v>255</v>
      </c>
      <c r="E1817" s="2142">
        <v>78.66</v>
      </c>
      <c r="F1817" s="2142">
        <v>22500</v>
      </c>
      <c r="G1817" s="2142">
        <v>1769850</v>
      </c>
      <c r="H1817" s="2143">
        <v>42146</v>
      </c>
      <c r="I1817" s="2142">
        <v>1761975</v>
      </c>
    </row>
    <row r="1818" spans="1:9" s="2139" customFormat="1" hidden="1">
      <c r="A1818" s="2140" t="s">
        <v>4197</v>
      </c>
      <c r="B1818" s="2141" t="s">
        <v>3054</v>
      </c>
      <c r="C1818" s="2141" t="s">
        <v>3142</v>
      </c>
      <c r="D1818" s="2141">
        <v>183</v>
      </c>
      <c r="E1818" s="2142">
        <v>55.51</v>
      </c>
      <c r="F1818" s="2142">
        <v>16004.74</v>
      </c>
      <c r="G1818" s="2142">
        <v>888423.11739999999</v>
      </c>
      <c r="H1818" s="2143">
        <v>42144</v>
      </c>
      <c r="I1818" s="2142">
        <v>888423</v>
      </c>
    </row>
    <row r="1819" spans="1:9" s="2139" customFormat="1" hidden="1">
      <c r="A1819" s="2140" t="s">
        <v>4860</v>
      </c>
      <c r="B1819" s="2141" t="s">
        <v>3055</v>
      </c>
      <c r="C1819" s="2141" t="s">
        <v>3142</v>
      </c>
      <c r="D1819" s="3396">
        <v>82</v>
      </c>
      <c r="E1819" s="2142">
        <v>73.819999999999993</v>
      </c>
      <c r="F1819" s="2142">
        <v>16929.79</v>
      </c>
      <c r="G1819" s="2142">
        <v>1249757.0977999999</v>
      </c>
      <c r="H1819" s="3557">
        <v>42144</v>
      </c>
      <c r="I1819" s="2142">
        <v>1249757</v>
      </c>
    </row>
    <row r="1820" spans="1:9" s="2139" customFormat="1" hidden="1">
      <c r="A1820" s="2140" t="s">
        <v>6802</v>
      </c>
      <c r="B1820" s="2141">
        <v>12</v>
      </c>
      <c r="C1820" s="2141" t="s">
        <v>3142</v>
      </c>
      <c r="D1820" s="2141">
        <v>73</v>
      </c>
      <c r="E1820" s="2142">
        <v>97.57</v>
      </c>
      <c r="F1820" s="2142">
        <v>18190</v>
      </c>
      <c r="G1820" s="2142">
        <v>1774798.2999999998</v>
      </c>
      <c r="H1820" s="2143">
        <v>42144</v>
      </c>
      <c r="I1820" s="2142">
        <v>356977</v>
      </c>
    </row>
    <row r="1821" spans="1:9" s="2139" customFormat="1" hidden="1">
      <c r="A1821" s="2140" t="s">
        <v>6838</v>
      </c>
      <c r="B1821" s="2141">
        <v>12</v>
      </c>
      <c r="C1821" s="2141" t="s">
        <v>3142</v>
      </c>
      <c r="D1821" s="2141">
        <v>143</v>
      </c>
      <c r="E1821" s="2142">
        <v>64.92</v>
      </c>
      <c r="F1821" s="2142">
        <v>14830</v>
      </c>
      <c r="G1821" s="2142">
        <v>962763.6</v>
      </c>
      <c r="H1821" s="2143">
        <v>42142</v>
      </c>
      <c r="I1821" s="2142">
        <v>958463</v>
      </c>
    </row>
    <row r="1822" spans="1:9" s="2139" customFormat="1" hidden="1">
      <c r="A1822" s="2140" t="s">
        <v>6355</v>
      </c>
      <c r="B1822" s="2141">
        <v>9</v>
      </c>
      <c r="C1822" s="2141" t="s">
        <v>3142</v>
      </c>
      <c r="D1822" s="2141">
        <v>131</v>
      </c>
      <c r="E1822" s="2142">
        <v>76.709999999999994</v>
      </c>
      <c r="F1822" s="2142">
        <v>18540</v>
      </c>
      <c r="G1822" s="2142">
        <v>1422203.4</v>
      </c>
      <c r="H1822" s="2143">
        <v>42141</v>
      </c>
      <c r="I1822" s="2142">
        <v>292203</v>
      </c>
    </row>
    <row r="1823" spans="1:9" s="2139" customFormat="1" hidden="1">
      <c r="A1823" s="2140" t="s">
        <v>6360</v>
      </c>
      <c r="B1823" s="2141">
        <v>9</v>
      </c>
      <c r="C1823" s="2141" t="s">
        <v>3142</v>
      </c>
      <c r="D1823" s="2141">
        <v>151</v>
      </c>
      <c r="E1823" s="2142">
        <v>39.47</v>
      </c>
      <c r="F1823" s="2142">
        <v>18540</v>
      </c>
      <c r="G1823" s="2142">
        <v>731773.79999999993</v>
      </c>
      <c r="H1823" s="2143">
        <v>42139</v>
      </c>
      <c r="I1823" s="2142">
        <v>161774</v>
      </c>
    </row>
    <row r="1824" spans="1:9" s="2139" customFormat="1" hidden="1">
      <c r="A1824" s="2140" t="s">
        <v>4095</v>
      </c>
      <c r="B1824" s="2141" t="s">
        <v>3054</v>
      </c>
      <c r="C1824" s="2141" t="s">
        <v>3142</v>
      </c>
      <c r="D1824" s="2141">
        <v>48</v>
      </c>
      <c r="E1824" s="2142">
        <v>47.77</v>
      </c>
      <c r="F1824" s="2142">
        <v>16100</v>
      </c>
      <c r="G1824" s="2142">
        <v>769097</v>
      </c>
      <c r="H1824" s="2143">
        <v>42138</v>
      </c>
      <c r="I1824" s="2142">
        <v>769097</v>
      </c>
    </row>
    <row r="1825" spans="1:9" s="2139" customFormat="1" hidden="1">
      <c r="A1825" s="2140" t="s">
        <v>4085</v>
      </c>
      <c r="B1825" s="2141" t="s">
        <v>3054</v>
      </c>
      <c r="C1825" s="2141" t="s">
        <v>3142</v>
      </c>
      <c r="D1825" s="2141">
        <v>27</v>
      </c>
      <c r="E1825" s="2142">
        <v>43.66</v>
      </c>
      <c r="F1825" s="2142">
        <v>16585.689999999999</v>
      </c>
      <c r="G1825" s="2142">
        <v>724131.22539999988</v>
      </c>
      <c r="H1825" s="2143">
        <v>42129</v>
      </c>
      <c r="I1825" s="2142">
        <v>724131</v>
      </c>
    </row>
    <row r="1826" spans="1:9" s="2139" customFormat="1" hidden="1">
      <c r="A1826" s="2140" t="s">
        <v>4219</v>
      </c>
      <c r="B1826" s="2141" t="s">
        <v>3054</v>
      </c>
      <c r="C1826" s="2141" t="s">
        <v>3142</v>
      </c>
      <c r="D1826" s="2141">
        <v>208</v>
      </c>
      <c r="E1826" s="2142">
        <v>86.88</v>
      </c>
      <c r="F1826" s="2142">
        <v>18442.55</v>
      </c>
      <c r="G1826" s="2142">
        <v>1602288.7439999999</v>
      </c>
      <c r="H1826" s="2143">
        <v>42129</v>
      </c>
      <c r="I1826" s="2142">
        <v>1602289</v>
      </c>
    </row>
    <row r="1827" spans="1:9" s="2139" customFormat="1" hidden="1">
      <c r="A1827" s="2140" t="s">
        <v>4301</v>
      </c>
      <c r="B1827" s="2141" t="s">
        <v>3054</v>
      </c>
      <c r="C1827" s="2141" t="s">
        <v>3142</v>
      </c>
      <c r="D1827" s="2141">
        <v>315</v>
      </c>
      <c r="E1827" s="2142">
        <v>43.28</v>
      </c>
      <c r="F1827" s="2142">
        <v>15900</v>
      </c>
      <c r="G1827" s="2142">
        <v>688152</v>
      </c>
      <c r="H1827" s="2143">
        <v>42122</v>
      </c>
      <c r="I1827" s="2142">
        <v>158152</v>
      </c>
    </row>
    <row r="1828" spans="1:9" s="2139" customFormat="1" hidden="1">
      <c r="A1828" s="2140" t="s">
        <v>4201</v>
      </c>
      <c r="B1828" s="2141" t="s">
        <v>3054</v>
      </c>
      <c r="C1828" s="2141" t="s">
        <v>3142</v>
      </c>
      <c r="D1828" s="2141">
        <v>188</v>
      </c>
      <c r="E1828" s="2142">
        <v>47.62</v>
      </c>
      <c r="F1828" s="2142">
        <v>15321.32</v>
      </c>
      <c r="G1828" s="2142">
        <v>729601.25839999993</v>
      </c>
      <c r="H1828" s="2143">
        <v>42121</v>
      </c>
      <c r="I1828" s="2142">
        <v>729601</v>
      </c>
    </row>
    <row r="1829" spans="1:9" s="2139" customFormat="1" hidden="1">
      <c r="A1829" s="2140" t="s">
        <v>4905</v>
      </c>
      <c r="B1829" s="2141" t="s">
        <v>3055</v>
      </c>
      <c r="C1829" s="2141" t="s">
        <v>3142</v>
      </c>
      <c r="D1829" s="3396">
        <v>142</v>
      </c>
      <c r="E1829" s="2142">
        <v>55.3</v>
      </c>
      <c r="F1829" s="2142">
        <v>15709.58</v>
      </c>
      <c r="G1829" s="2142">
        <v>868739.77399999998</v>
      </c>
      <c r="H1829" s="3557">
        <v>42121</v>
      </c>
      <c r="I1829" s="2142">
        <v>434131</v>
      </c>
    </row>
    <row r="1830" spans="1:9" s="2139" customFormat="1" hidden="1">
      <c r="A1830" s="2140" t="s">
        <v>4109</v>
      </c>
      <c r="B1830" s="2141" t="s">
        <v>3054</v>
      </c>
      <c r="C1830" s="2141" t="s">
        <v>3142</v>
      </c>
      <c r="D1830" s="2141">
        <v>69</v>
      </c>
      <c r="E1830" s="2142">
        <v>43.02</v>
      </c>
      <c r="F1830" s="2142">
        <v>15183.99</v>
      </c>
      <c r="G1830" s="2142">
        <v>653215.24979999999</v>
      </c>
      <c r="H1830" s="2143">
        <v>42115</v>
      </c>
      <c r="I1830" s="2142">
        <v>653215</v>
      </c>
    </row>
    <row r="1831" spans="1:9" s="2139" customFormat="1" hidden="1">
      <c r="A1831" s="2140" t="s">
        <v>4142</v>
      </c>
      <c r="B1831" s="2141" t="s">
        <v>3054</v>
      </c>
      <c r="C1831" s="2141" t="s">
        <v>3142</v>
      </c>
      <c r="D1831" s="2141">
        <v>118</v>
      </c>
      <c r="E1831" s="2142">
        <v>56.05</v>
      </c>
      <c r="F1831" s="2142">
        <v>18410.95</v>
      </c>
      <c r="G1831" s="2142">
        <v>1031933.7474999999</v>
      </c>
      <c r="H1831" s="2143">
        <v>42115</v>
      </c>
      <c r="I1831" s="2142">
        <v>1031934</v>
      </c>
    </row>
    <row r="1832" spans="1:9" s="2139" customFormat="1" hidden="1">
      <c r="A1832" s="2140" t="s">
        <v>4317</v>
      </c>
      <c r="B1832" s="2141" t="s">
        <v>3054</v>
      </c>
      <c r="C1832" s="2141" t="s">
        <v>3142</v>
      </c>
      <c r="D1832" s="2141">
        <v>333</v>
      </c>
      <c r="E1832" s="2142">
        <v>77.64</v>
      </c>
      <c r="F1832" s="2142">
        <v>15617</v>
      </c>
      <c r="G1832" s="2142">
        <v>1212503.8800000001</v>
      </c>
      <c r="H1832" s="2143">
        <v>42115</v>
      </c>
      <c r="I1832" s="2142">
        <v>1212504</v>
      </c>
    </row>
    <row r="1833" spans="1:9" s="2139" customFormat="1" hidden="1">
      <c r="A1833" s="2140" t="s">
        <v>4798</v>
      </c>
      <c r="B1833" s="2141" t="s">
        <v>3055</v>
      </c>
      <c r="C1833" s="2141" t="s">
        <v>3142</v>
      </c>
      <c r="D1833" s="3396">
        <v>10</v>
      </c>
      <c r="E1833" s="2142">
        <v>72.42</v>
      </c>
      <c r="F1833" s="2142">
        <v>16229.34</v>
      </c>
      <c r="G1833" s="2142">
        <v>1175328.8027999999</v>
      </c>
      <c r="H1833" s="3557">
        <v>42115</v>
      </c>
      <c r="I1833" s="2142">
        <v>1175329</v>
      </c>
    </row>
    <row r="1834" spans="1:9" s="2139" customFormat="1" hidden="1">
      <c r="A1834" s="2140" t="s">
        <v>6649</v>
      </c>
      <c r="B1834" s="2141">
        <v>11</v>
      </c>
      <c r="C1834" s="2141" t="s">
        <v>3142</v>
      </c>
      <c r="D1834" s="2141">
        <v>169</v>
      </c>
      <c r="E1834" s="2142">
        <v>58.81</v>
      </c>
      <c r="F1834" s="2142">
        <v>17510</v>
      </c>
      <c r="G1834" s="2142">
        <v>1029763.1000000001</v>
      </c>
      <c r="H1834" s="2143">
        <v>42115</v>
      </c>
      <c r="I1834" s="2142">
        <v>520288</v>
      </c>
    </row>
    <row r="1835" spans="1:9" s="2139" customFormat="1" hidden="1">
      <c r="A1835" s="2140" t="s">
        <v>6349</v>
      </c>
      <c r="B1835" s="2141">
        <v>9</v>
      </c>
      <c r="C1835" s="2141" t="s">
        <v>3142</v>
      </c>
      <c r="D1835" s="2141">
        <v>99</v>
      </c>
      <c r="E1835" s="2142">
        <v>59.47</v>
      </c>
      <c r="F1835" s="2142">
        <v>17510</v>
      </c>
      <c r="G1835" s="2142">
        <v>1041319.7</v>
      </c>
      <c r="H1835" s="2143">
        <v>42113</v>
      </c>
      <c r="I1835" s="2142">
        <v>541320</v>
      </c>
    </row>
    <row r="1836" spans="1:9" s="2139" customFormat="1" hidden="1">
      <c r="A1836" s="2140" t="s">
        <v>4843</v>
      </c>
      <c r="B1836" s="2141" t="s">
        <v>3055</v>
      </c>
      <c r="C1836" s="2141" t="s">
        <v>3142</v>
      </c>
      <c r="D1836" s="3396">
        <v>61</v>
      </c>
      <c r="E1836" s="2142">
        <v>73.430000000000007</v>
      </c>
      <c r="F1836" s="2142">
        <v>16232.21</v>
      </c>
      <c r="G1836" s="2142">
        <v>1191931.1803000001</v>
      </c>
      <c r="H1836" s="3557">
        <v>42104</v>
      </c>
      <c r="I1836" s="2142">
        <v>1191931</v>
      </c>
    </row>
    <row r="1837" spans="1:9" s="2139" customFormat="1" hidden="1">
      <c r="A1837" s="2140" t="s">
        <v>4917</v>
      </c>
      <c r="B1837" s="2141" t="s">
        <v>3055</v>
      </c>
      <c r="C1837" s="2141" t="s">
        <v>3142</v>
      </c>
      <c r="D1837" s="3396">
        <v>156</v>
      </c>
      <c r="E1837" s="2142">
        <v>72.010000000000005</v>
      </c>
      <c r="F1837" s="2142">
        <v>18230.88</v>
      </c>
      <c r="G1837" s="2142">
        <v>1312805.6688000001</v>
      </c>
      <c r="H1837" s="3557">
        <v>42104</v>
      </c>
      <c r="I1837" s="2142">
        <v>1312806</v>
      </c>
    </row>
    <row r="1838" spans="1:9" s="2139" customFormat="1" hidden="1">
      <c r="A1838" s="2140" t="s">
        <v>4102</v>
      </c>
      <c r="B1838" s="2141" t="s">
        <v>3054</v>
      </c>
      <c r="C1838" s="2141" t="s">
        <v>3142</v>
      </c>
      <c r="D1838" s="2141">
        <v>61</v>
      </c>
      <c r="E1838" s="2142">
        <v>36.28</v>
      </c>
      <c r="F1838" s="2142">
        <v>14707.58</v>
      </c>
      <c r="G1838" s="2142">
        <v>533591.0024</v>
      </c>
      <c r="H1838" s="2143">
        <v>42098</v>
      </c>
      <c r="I1838" s="2142">
        <v>533591</v>
      </c>
    </row>
    <row r="1839" spans="1:9" s="2139" customFormat="1" hidden="1">
      <c r="A1839" s="2140" t="s">
        <v>4245</v>
      </c>
      <c r="B1839" s="2141" t="s">
        <v>3054</v>
      </c>
      <c r="C1839" s="2141" t="s">
        <v>3142</v>
      </c>
      <c r="D1839" s="2141">
        <v>237</v>
      </c>
      <c r="E1839" s="2142">
        <v>43.13</v>
      </c>
      <c r="F1839" s="2142">
        <v>15784.29</v>
      </c>
      <c r="G1839" s="2142">
        <v>680776.42770000012</v>
      </c>
      <c r="H1839" s="2143">
        <v>42098</v>
      </c>
      <c r="I1839" s="2142">
        <v>680776</v>
      </c>
    </row>
    <row r="1840" spans="1:9" s="2139" customFormat="1" hidden="1">
      <c r="A1840" s="2140" t="s">
        <v>4290</v>
      </c>
      <c r="B1840" s="2141" t="s">
        <v>3054</v>
      </c>
      <c r="C1840" s="2141" t="s">
        <v>3142</v>
      </c>
      <c r="D1840" s="2141">
        <v>291</v>
      </c>
      <c r="E1840" s="2142">
        <v>24.7</v>
      </c>
      <c r="F1840" s="2142">
        <v>15897.9</v>
      </c>
      <c r="G1840" s="2142">
        <v>392678.13</v>
      </c>
      <c r="H1840" s="2143">
        <v>42098</v>
      </c>
      <c r="I1840" s="2142">
        <v>392678</v>
      </c>
    </row>
    <row r="1841" spans="1:9" s="2139" customFormat="1" hidden="1">
      <c r="A1841" s="2140" t="s">
        <v>4897</v>
      </c>
      <c r="B1841" s="2141" t="s">
        <v>3055</v>
      </c>
      <c r="C1841" s="2141" t="s">
        <v>3142</v>
      </c>
      <c r="D1841" s="3396">
        <v>133</v>
      </c>
      <c r="E1841" s="2142">
        <v>157.91999999999999</v>
      </c>
      <c r="F1841" s="2142">
        <v>18800</v>
      </c>
      <c r="G1841" s="2142">
        <v>2968895.9999999995</v>
      </c>
      <c r="H1841" s="3557">
        <v>42098</v>
      </c>
      <c r="I1841" s="2142">
        <v>2968896</v>
      </c>
    </row>
    <row r="1842" spans="1:9" s="2139" customFormat="1" hidden="1">
      <c r="A1842" s="2140" t="s">
        <v>4207</v>
      </c>
      <c r="B1842" s="2141" t="s">
        <v>3054</v>
      </c>
      <c r="C1842" s="2141" t="s">
        <v>3142</v>
      </c>
      <c r="D1842" s="2141">
        <v>195</v>
      </c>
      <c r="E1842" s="2142">
        <v>50.03</v>
      </c>
      <c r="F1842" s="2142">
        <v>15800.24</v>
      </c>
      <c r="G1842" s="2142">
        <v>790486.00719999999</v>
      </c>
      <c r="H1842" s="2143">
        <v>42097</v>
      </c>
      <c r="I1842" s="2142">
        <v>790486</v>
      </c>
    </row>
    <row r="1843" spans="1:9" s="2139" customFormat="1" hidden="1">
      <c r="A1843" s="2140" t="s">
        <v>4128</v>
      </c>
      <c r="B1843" s="2141" t="s">
        <v>3054</v>
      </c>
      <c r="C1843" s="2141" t="s">
        <v>3142</v>
      </c>
      <c r="D1843" s="2141">
        <v>99</v>
      </c>
      <c r="E1843" s="2142">
        <v>63.76</v>
      </c>
      <c r="F1843" s="2142">
        <v>16021.62</v>
      </c>
      <c r="G1843" s="2142">
        <v>1021538.4912</v>
      </c>
      <c r="H1843" s="2143">
        <v>42095</v>
      </c>
      <c r="I1843" s="2142">
        <v>1021538</v>
      </c>
    </row>
    <row r="1844" spans="1:9" s="2139" customFormat="1" hidden="1">
      <c r="A1844" s="2140" t="s">
        <v>4248</v>
      </c>
      <c r="B1844" s="2141" t="s">
        <v>3054</v>
      </c>
      <c r="C1844" s="2141" t="s">
        <v>3142</v>
      </c>
      <c r="D1844" s="2141">
        <v>240</v>
      </c>
      <c r="E1844" s="2142">
        <v>41.69</v>
      </c>
      <c r="F1844" s="2142">
        <v>16180.3</v>
      </c>
      <c r="G1844" s="2142">
        <v>674556.70699999994</v>
      </c>
      <c r="H1844" s="2143">
        <v>42095</v>
      </c>
      <c r="I1844" s="2142">
        <v>674557</v>
      </c>
    </row>
    <row r="1845" spans="1:9" s="2139" customFormat="1" hidden="1">
      <c r="A1845" s="2140" t="s">
        <v>4836</v>
      </c>
      <c r="B1845" s="2141" t="s">
        <v>3055</v>
      </c>
      <c r="C1845" s="2141" t="s">
        <v>3142</v>
      </c>
      <c r="D1845" s="3396">
        <v>53</v>
      </c>
      <c r="E1845" s="2142">
        <v>37.96</v>
      </c>
      <c r="F1845" s="2142">
        <v>15683.83</v>
      </c>
      <c r="G1845" s="2142">
        <v>595358.18680000002</v>
      </c>
      <c r="H1845" s="3557">
        <v>42095</v>
      </c>
      <c r="I1845" s="2142">
        <v>595358</v>
      </c>
    </row>
    <row r="1846" spans="1:9" s="2139" customFormat="1" hidden="1">
      <c r="A1846" s="2140" t="s">
        <v>4163</v>
      </c>
      <c r="B1846" s="2141" t="s">
        <v>3054</v>
      </c>
      <c r="C1846" s="2141" t="s">
        <v>3142</v>
      </c>
      <c r="D1846" s="2141">
        <v>141</v>
      </c>
      <c r="E1846" s="2142">
        <v>63.06</v>
      </c>
      <c r="F1846" s="2142">
        <v>17720.849999999999</v>
      </c>
      <c r="G1846" s="2142">
        <v>1117476.801</v>
      </c>
      <c r="H1846" s="2143">
        <v>42094</v>
      </c>
      <c r="I1846" s="2142">
        <v>1117477</v>
      </c>
    </row>
    <row r="1847" spans="1:9" s="2139" customFormat="1" hidden="1">
      <c r="A1847" s="2140" t="s">
        <v>6581</v>
      </c>
      <c r="B1847" s="2141">
        <v>11</v>
      </c>
      <c r="C1847" s="2141" t="s">
        <v>3142</v>
      </c>
      <c r="D1847" s="2141">
        <v>1</v>
      </c>
      <c r="E1847" s="2142">
        <v>96.01</v>
      </c>
      <c r="F1847" s="2142">
        <v>21630</v>
      </c>
      <c r="G1847" s="2142">
        <v>2076696.3</v>
      </c>
      <c r="H1847" s="2143">
        <v>42092</v>
      </c>
      <c r="I1847" s="2142">
        <v>427994</v>
      </c>
    </row>
    <row r="1848" spans="1:9" s="2139" customFormat="1" hidden="1">
      <c r="A1848" s="2140" t="s">
        <v>6582</v>
      </c>
      <c r="B1848" s="2141">
        <v>11</v>
      </c>
      <c r="C1848" s="2141" t="s">
        <v>3142</v>
      </c>
      <c r="D1848" s="2141">
        <v>2</v>
      </c>
      <c r="E1848" s="2142">
        <v>101.22</v>
      </c>
      <c r="F1848" s="2142">
        <v>20085</v>
      </c>
      <c r="G1848" s="2142">
        <v>2033003.7</v>
      </c>
      <c r="H1848" s="2143">
        <v>42092</v>
      </c>
      <c r="I1848" s="2142">
        <v>414209</v>
      </c>
    </row>
    <row r="1849" spans="1:9" s="2139" customFormat="1" hidden="1">
      <c r="A1849" s="2140" t="s">
        <v>6602</v>
      </c>
      <c r="B1849" s="2141">
        <v>11</v>
      </c>
      <c r="C1849" s="2141" t="s">
        <v>3142</v>
      </c>
      <c r="D1849" s="2141">
        <v>81</v>
      </c>
      <c r="E1849" s="2142">
        <v>89.56</v>
      </c>
      <c r="F1849" s="2142">
        <v>19570</v>
      </c>
      <c r="G1849" s="2142">
        <v>1752689.2</v>
      </c>
      <c r="H1849" s="2143">
        <v>42092</v>
      </c>
      <c r="I1849" s="2142">
        <v>363863</v>
      </c>
    </row>
    <row r="1850" spans="1:9" s="2139" customFormat="1" hidden="1">
      <c r="A1850" s="2140" t="s">
        <v>6613</v>
      </c>
      <c r="B1850" s="2141">
        <v>11</v>
      </c>
      <c r="C1850" s="2141" t="s">
        <v>3142</v>
      </c>
      <c r="D1850" s="2141">
        <v>107</v>
      </c>
      <c r="E1850" s="2142">
        <v>94.89</v>
      </c>
      <c r="F1850" s="2142">
        <v>13905</v>
      </c>
      <c r="G1850" s="2142">
        <v>1319445.45</v>
      </c>
      <c r="H1850" s="2143">
        <v>42092</v>
      </c>
      <c r="I1850" s="2142">
        <v>270280</v>
      </c>
    </row>
    <row r="1851" spans="1:9" s="2139" customFormat="1" hidden="1">
      <c r="A1851" s="2140" t="s">
        <v>6600</v>
      </c>
      <c r="B1851" s="2141">
        <v>11</v>
      </c>
      <c r="C1851" s="2141" t="s">
        <v>3142</v>
      </c>
      <c r="D1851" s="2141">
        <v>66</v>
      </c>
      <c r="E1851" s="2142">
        <v>38.020000000000003</v>
      </c>
      <c r="F1851" s="2142">
        <v>17510.009999999998</v>
      </c>
      <c r="G1851" s="2142">
        <v>665730.58019999997</v>
      </c>
      <c r="H1851" s="2143">
        <v>42091</v>
      </c>
      <c r="I1851" s="2142">
        <v>666256</v>
      </c>
    </row>
    <row r="1852" spans="1:9" s="2139" customFormat="1" hidden="1">
      <c r="A1852" s="2140" t="s">
        <v>4135</v>
      </c>
      <c r="B1852" s="2141" t="s">
        <v>3054</v>
      </c>
      <c r="C1852" s="2141" t="s">
        <v>3142</v>
      </c>
      <c r="D1852" s="2141">
        <v>108</v>
      </c>
      <c r="E1852" s="2142">
        <v>81.19</v>
      </c>
      <c r="F1852" s="2142">
        <v>17738.53</v>
      </c>
      <c r="G1852" s="2142">
        <v>1440191.2507</v>
      </c>
      <c r="H1852" s="2143">
        <v>42087</v>
      </c>
      <c r="I1852" s="2142">
        <v>1440191</v>
      </c>
    </row>
    <row r="1853" spans="1:9" s="2139" customFormat="1" hidden="1">
      <c r="A1853" s="2140" t="s">
        <v>4151</v>
      </c>
      <c r="B1853" s="2141" t="s">
        <v>3054</v>
      </c>
      <c r="C1853" s="2141" t="s">
        <v>3142</v>
      </c>
      <c r="D1853" s="2141">
        <v>128</v>
      </c>
      <c r="E1853" s="2142">
        <v>44.93</v>
      </c>
      <c r="F1853" s="2142">
        <v>16604.63</v>
      </c>
      <c r="G1853" s="2142">
        <v>746046.02590000001</v>
      </c>
      <c r="H1853" s="2143">
        <v>42087</v>
      </c>
      <c r="I1853" s="2142">
        <v>746046</v>
      </c>
    </row>
    <row r="1854" spans="1:9" s="2139" customFormat="1" hidden="1">
      <c r="A1854" s="2140" t="s">
        <v>4959</v>
      </c>
      <c r="B1854" s="2141" t="s">
        <v>3055</v>
      </c>
      <c r="C1854" s="2141" t="s">
        <v>3142</v>
      </c>
      <c r="D1854" s="3396">
        <v>218</v>
      </c>
      <c r="E1854" s="2142">
        <v>31.16</v>
      </c>
      <c r="F1854" s="2142">
        <v>16140.26</v>
      </c>
      <c r="G1854" s="2142">
        <v>502930.50160000002</v>
      </c>
      <c r="H1854" s="3557">
        <v>42087</v>
      </c>
      <c r="I1854" s="2142">
        <v>502931</v>
      </c>
    </row>
    <row r="1855" spans="1:9" s="2139" customFormat="1" hidden="1">
      <c r="A1855" s="2140" t="s">
        <v>4967</v>
      </c>
      <c r="B1855" s="2141" t="s">
        <v>3055</v>
      </c>
      <c r="C1855" s="2141" t="s">
        <v>3142</v>
      </c>
      <c r="D1855" s="3396">
        <v>227</v>
      </c>
      <c r="E1855" s="2142">
        <v>46.08</v>
      </c>
      <c r="F1855" s="2142">
        <v>16190.45</v>
      </c>
      <c r="G1855" s="2142">
        <v>746055.93599999999</v>
      </c>
      <c r="H1855" s="3557">
        <v>42087</v>
      </c>
      <c r="I1855" s="2142">
        <v>746056</v>
      </c>
    </row>
    <row r="1856" spans="1:9" s="2139" customFormat="1" hidden="1">
      <c r="A1856" s="2140" t="s">
        <v>4143</v>
      </c>
      <c r="B1856" s="2141" t="s">
        <v>3054</v>
      </c>
      <c r="C1856" s="2141" t="s">
        <v>3142</v>
      </c>
      <c r="D1856" s="2141">
        <v>119</v>
      </c>
      <c r="E1856" s="2142">
        <v>46.8</v>
      </c>
      <c r="F1856" s="2142">
        <v>17157.38</v>
      </c>
      <c r="G1856" s="2142">
        <v>802965.38399999996</v>
      </c>
      <c r="H1856" s="2143">
        <v>42086</v>
      </c>
      <c r="I1856" s="2142">
        <v>802965</v>
      </c>
    </row>
    <row r="1857" spans="1:9" s="2139" customFormat="1" hidden="1">
      <c r="A1857" s="2140" t="s">
        <v>6364</v>
      </c>
      <c r="B1857" s="2141">
        <v>9</v>
      </c>
      <c r="C1857" s="2141" t="s">
        <v>3142</v>
      </c>
      <c r="D1857" s="2141">
        <v>170</v>
      </c>
      <c r="E1857" s="2142">
        <v>72.92</v>
      </c>
      <c r="F1857" s="2142">
        <v>13987.4</v>
      </c>
      <c r="G1857" s="2142">
        <v>1019961.208</v>
      </c>
      <c r="H1857" s="2143">
        <v>42086</v>
      </c>
      <c r="I1857" s="2142">
        <v>1019961</v>
      </c>
    </row>
    <row r="1858" spans="1:9" s="2139" customFormat="1" hidden="1">
      <c r="A1858" s="2140" t="s">
        <v>6366</v>
      </c>
      <c r="B1858" s="2141">
        <v>9</v>
      </c>
      <c r="C1858" s="2141" t="s">
        <v>3142</v>
      </c>
      <c r="D1858" s="2141">
        <v>178</v>
      </c>
      <c r="E1858" s="2142">
        <v>76.22</v>
      </c>
      <c r="F1858" s="2142">
        <v>18540</v>
      </c>
      <c r="G1858" s="2142">
        <v>1413118.8</v>
      </c>
      <c r="H1858" s="2143">
        <v>42086</v>
      </c>
      <c r="I1858" s="2142">
        <v>713119</v>
      </c>
    </row>
    <row r="1859" spans="1:9" s="2139" customFormat="1" hidden="1">
      <c r="A1859" s="2140" t="s">
        <v>6357</v>
      </c>
      <c r="B1859" s="2141">
        <v>9</v>
      </c>
      <c r="C1859" s="2141" t="s">
        <v>3142</v>
      </c>
      <c r="D1859" s="2141">
        <v>145</v>
      </c>
      <c r="E1859" s="2142">
        <v>41.03</v>
      </c>
      <c r="F1859" s="2142">
        <v>13905</v>
      </c>
      <c r="G1859" s="2142">
        <v>570522.15</v>
      </c>
      <c r="H1859" s="2143">
        <v>42085</v>
      </c>
      <c r="I1859" s="2142">
        <v>570522</v>
      </c>
    </row>
    <row r="1860" spans="1:9" s="2139" customFormat="1" hidden="1">
      <c r="A1860" s="2140" t="s">
        <v>4935</v>
      </c>
      <c r="B1860" s="2141" t="s">
        <v>3055</v>
      </c>
      <c r="C1860" s="2141" t="s">
        <v>3142</v>
      </c>
      <c r="D1860" s="3396">
        <v>179</v>
      </c>
      <c r="E1860" s="2142">
        <v>48.73</v>
      </c>
      <c r="F1860" s="2142">
        <v>16197.88</v>
      </c>
      <c r="G1860" s="2142">
        <v>789322.69239999994</v>
      </c>
      <c r="H1860" s="3557">
        <v>42084</v>
      </c>
      <c r="I1860" s="2142">
        <v>789323</v>
      </c>
    </row>
    <row r="1861" spans="1:9" s="2139" customFormat="1" hidden="1">
      <c r="A1861" s="2140" t="s">
        <v>6648</v>
      </c>
      <c r="B1861" s="2141">
        <v>11</v>
      </c>
      <c r="C1861" s="2141" t="s">
        <v>3142</v>
      </c>
      <c r="D1861" s="2141">
        <v>168</v>
      </c>
      <c r="E1861" s="2142">
        <v>58.26</v>
      </c>
      <c r="F1861" s="2142">
        <v>17510</v>
      </c>
      <c r="G1861" s="2142">
        <v>1020132.6</v>
      </c>
      <c r="H1861" s="2143">
        <v>42084</v>
      </c>
      <c r="I1861" s="2142">
        <v>510658</v>
      </c>
    </row>
    <row r="1862" spans="1:9" s="2139" customFormat="1" hidden="1">
      <c r="A1862" s="2140" t="s">
        <v>6077</v>
      </c>
      <c r="B1862" s="3560" t="s">
        <v>3057</v>
      </c>
      <c r="C1862" s="2141" t="s">
        <v>3151</v>
      </c>
      <c r="D1862" s="3396">
        <v>226</v>
      </c>
      <c r="E1862" s="2142">
        <v>72.25</v>
      </c>
      <c r="F1862" s="2142">
        <v>13800</v>
      </c>
      <c r="G1862" s="2142">
        <v>997050</v>
      </c>
      <c r="H1862" s="3557">
        <v>43006</v>
      </c>
      <c r="I1862" s="2142">
        <v>997050</v>
      </c>
    </row>
    <row r="1863" spans="1:9" s="2139" customFormat="1" hidden="1">
      <c r="A1863" s="2140" t="s">
        <v>6909</v>
      </c>
      <c r="B1863" s="3560">
        <v>12</v>
      </c>
      <c r="C1863" s="2141" t="s">
        <v>3151</v>
      </c>
      <c r="D1863" s="3396">
        <v>65</v>
      </c>
      <c r="E1863" s="2142">
        <v>97.22</v>
      </c>
      <c r="F1863" s="2142">
        <v>12527.54</v>
      </c>
      <c r="G1863" s="2142">
        <v>1217927</v>
      </c>
      <c r="H1863" s="3557">
        <v>43006</v>
      </c>
      <c r="I1863" s="2142">
        <v>1217927</v>
      </c>
    </row>
    <row r="1864" spans="1:9" s="2139" customFormat="1" hidden="1">
      <c r="A1864" s="2140" t="s">
        <v>7007</v>
      </c>
      <c r="B1864" s="3560">
        <v>12</v>
      </c>
      <c r="C1864" s="2141" t="s">
        <v>3151</v>
      </c>
      <c r="D1864" s="3396">
        <v>190</v>
      </c>
      <c r="E1864" s="2142">
        <v>21.11</v>
      </c>
      <c r="F1864" s="2142">
        <v>12600</v>
      </c>
      <c r="G1864" s="2142">
        <v>265986</v>
      </c>
      <c r="H1864" s="3557">
        <v>43006</v>
      </c>
      <c r="I1864" s="2142">
        <v>265986</v>
      </c>
    </row>
    <row r="1865" spans="1:9" s="2139" customFormat="1" hidden="1">
      <c r="A1865" s="2140" t="s">
        <v>5618</v>
      </c>
      <c r="B1865" s="3560" t="s">
        <v>3056</v>
      </c>
      <c r="C1865" s="2141" t="s">
        <v>3151</v>
      </c>
      <c r="D1865" s="3396">
        <v>155</v>
      </c>
      <c r="E1865" s="2142">
        <v>52</v>
      </c>
      <c r="F1865" s="2142">
        <v>14080</v>
      </c>
      <c r="G1865" s="2142">
        <v>732160</v>
      </c>
      <c r="H1865" s="3557">
        <v>43005</v>
      </c>
      <c r="I1865" s="2142">
        <v>732160</v>
      </c>
    </row>
    <row r="1866" spans="1:9" s="2139" customFormat="1" hidden="1">
      <c r="A1866" s="2140" t="s">
        <v>6658</v>
      </c>
      <c r="B1866" s="3560">
        <v>11</v>
      </c>
      <c r="C1866" s="2141" t="s">
        <v>3151</v>
      </c>
      <c r="D1866" s="3396">
        <v>26</v>
      </c>
      <c r="E1866" s="2142">
        <v>47.58</v>
      </c>
      <c r="F1866" s="2142">
        <v>14593.905002101725</v>
      </c>
      <c r="G1866" s="2142">
        <v>694378</v>
      </c>
      <c r="H1866" s="3557">
        <v>43005</v>
      </c>
      <c r="I1866" s="2142">
        <v>694378</v>
      </c>
    </row>
    <row r="1867" spans="1:9" s="2139" customFormat="1" hidden="1">
      <c r="A1867" s="2140" t="s">
        <v>6659</v>
      </c>
      <c r="B1867" s="3560">
        <v>11</v>
      </c>
      <c r="C1867" s="2141" t="s">
        <v>3151</v>
      </c>
      <c r="D1867" s="3396">
        <v>27</v>
      </c>
      <c r="E1867" s="2142">
        <v>47.58</v>
      </c>
      <c r="F1867" s="2142">
        <v>14593.905002101725</v>
      </c>
      <c r="G1867" s="2142">
        <v>694378</v>
      </c>
      <c r="H1867" s="3557">
        <v>43005</v>
      </c>
      <c r="I1867" s="2142">
        <v>694378</v>
      </c>
    </row>
    <row r="1868" spans="1:9" s="2139" customFormat="1" hidden="1">
      <c r="A1868" s="2140" t="s">
        <v>6666</v>
      </c>
      <c r="B1868" s="3560">
        <v>11</v>
      </c>
      <c r="C1868" s="2141" t="s">
        <v>3151</v>
      </c>
      <c r="D1868" s="3396">
        <v>35</v>
      </c>
      <c r="E1868" s="2142">
        <v>46.64</v>
      </c>
      <c r="F1868" s="2142">
        <v>11521.612349914236</v>
      </c>
      <c r="G1868" s="2142">
        <v>537368</v>
      </c>
      <c r="H1868" s="3557">
        <v>43005</v>
      </c>
      <c r="I1868" s="2142">
        <v>537368</v>
      </c>
    </row>
    <row r="1869" spans="1:9" s="2139" customFormat="1" hidden="1">
      <c r="A1869" s="2140" t="s">
        <v>6667</v>
      </c>
      <c r="B1869" s="3560">
        <v>11</v>
      </c>
      <c r="C1869" s="2141" t="s">
        <v>3151</v>
      </c>
      <c r="D1869" s="3396">
        <v>36</v>
      </c>
      <c r="E1869" s="2142">
        <v>46.64</v>
      </c>
      <c r="F1869" s="2142">
        <v>11521.612349914236</v>
      </c>
      <c r="G1869" s="2142">
        <v>537368</v>
      </c>
      <c r="H1869" s="3557">
        <v>43005</v>
      </c>
      <c r="I1869" s="2142">
        <v>537368</v>
      </c>
    </row>
    <row r="1870" spans="1:9" s="2139" customFormat="1" hidden="1">
      <c r="A1870" s="2140" t="s">
        <v>5632</v>
      </c>
      <c r="B1870" s="3560" t="s">
        <v>3056</v>
      </c>
      <c r="C1870" s="2141" t="s">
        <v>3151</v>
      </c>
      <c r="D1870" s="3396">
        <v>240</v>
      </c>
      <c r="E1870" s="2142">
        <v>67.08</v>
      </c>
      <c r="F1870" s="2142">
        <v>18800</v>
      </c>
      <c r="G1870" s="2142">
        <v>1261104</v>
      </c>
      <c r="H1870" s="3557">
        <v>43004</v>
      </c>
      <c r="I1870" s="2142">
        <v>1049171</v>
      </c>
    </row>
    <row r="1871" spans="1:9" s="2139" customFormat="1" hidden="1">
      <c r="A1871" s="2140" t="s">
        <v>6938</v>
      </c>
      <c r="B1871" s="3560">
        <v>12</v>
      </c>
      <c r="C1871" s="2141" t="s">
        <v>3151</v>
      </c>
      <c r="D1871" s="3396">
        <v>116</v>
      </c>
      <c r="E1871" s="2142">
        <v>59.56</v>
      </c>
      <c r="F1871" s="2142">
        <v>13440</v>
      </c>
      <c r="G1871" s="2142">
        <v>800486</v>
      </c>
      <c r="H1871" s="3557">
        <v>43004</v>
      </c>
      <c r="I1871" s="2142">
        <v>800486</v>
      </c>
    </row>
    <row r="1872" spans="1:9" s="2139" customFormat="1" hidden="1">
      <c r="A1872" s="2140" t="s">
        <v>6131</v>
      </c>
      <c r="B1872" s="3560" t="s">
        <v>3057</v>
      </c>
      <c r="C1872" s="2141" t="s">
        <v>3151</v>
      </c>
      <c r="D1872" s="3396">
        <v>448</v>
      </c>
      <c r="E1872" s="2142">
        <v>49.92</v>
      </c>
      <c r="F1872" s="2142">
        <v>15500</v>
      </c>
      <c r="G1872" s="2142">
        <v>773760</v>
      </c>
      <c r="H1872" s="3557">
        <v>43003</v>
      </c>
      <c r="I1872" s="2142">
        <v>773760</v>
      </c>
    </row>
    <row r="1873" spans="1:9" s="2139" customFormat="1" hidden="1">
      <c r="A1873" s="2140" t="s">
        <v>6138</v>
      </c>
      <c r="B1873" s="3560" t="s">
        <v>3057</v>
      </c>
      <c r="C1873" s="2141" t="s">
        <v>3151</v>
      </c>
      <c r="D1873" s="3396">
        <v>482</v>
      </c>
      <c r="E1873" s="2142">
        <v>84.42</v>
      </c>
      <c r="F1873" s="2142">
        <v>20100</v>
      </c>
      <c r="G1873" s="2142">
        <v>1696842</v>
      </c>
      <c r="H1873" s="3557">
        <v>43003</v>
      </c>
      <c r="I1873" s="2142">
        <v>1696842</v>
      </c>
    </row>
    <row r="1874" spans="1:9" s="2139" customFormat="1" hidden="1">
      <c r="A1874" s="2140" t="s">
        <v>6375</v>
      </c>
      <c r="B1874" s="3560">
        <v>9</v>
      </c>
      <c r="C1874" s="2141" t="s">
        <v>3151</v>
      </c>
      <c r="D1874" s="3396">
        <v>12</v>
      </c>
      <c r="E1874" s="2142">
        <v>78.59</v>
      </c>
      <c r="F1874" s="2142">
        <v>15553</v>
      </c>
      <c r="G1874" s="2142">
        <v>1222310</v>
      </c>
      <c r="H1874" s="3557">
        <v>43003</v>
      </c>
      <c r="I1874" s="2142">
        <v>1222310</v>
      </c>
    </row>
    <row r="1875" spans="1:9" s="2139" customFormat="1" hidden="1">
      <c r="A1875" s="2140" t="s">
        <v>6391</v>
      </c>
      <c r="B1875" s="3560">
        <v>9</v>
      </c>
      <c r="C1875" s="2141" t="s">
        <v>3151</v>
      </c>
      <c r="D1875" s="3396">
        <v>55</v>
      </c>
      <c r="E1875" s="2142">
        <v>44.97</v>
      </c>
      <c r="F1875" s="2142">
        <v>11489.64</v>
      </c>
      <c r="G1875" s="2142">
        <v>516689</v>
      </c>
      <c r="H1875" s="3557">
        <v>43003</v>
      </c>
      <c r="I1875" s="2142">
        <v>516689</v>
      </c>
    </row>
    <row r="1876" spans="1:9" s="2139" customFormat="1" hidden="1">
      <c r="A1876" s="2140" t="s">
        <v>6729</v>
      </c>
      <c r="B1876" s="2141">
        <v>12</v>
      </c>
      <c r="C1876" s="2141" t="s">
        <v>3261</v>
      </c>
      <c r="D1876" s="2141">
        <v>11</v>
      </c>
      <c r="E1876" s="2142">
        <v>26.14</v>
      </c>
      <c r="F1876" s="2142">
        <v>34920.019999999997</v>
      </c>
      <c r="G1876" s="2142">
        <v>912809.32279999997</v>
      </c>
      <c r="H1876" s="2143">
        <v>42345</v>
      </c>
      <c r="I1876" s="2142">
        <v>908968</v>
      </c>
    </row>
    <row r="1877" spans="1:9" s="2139" customFormat="1" hidden="1">
      <c r="A1877" s="2140" t="s">
        <v>3790</v>
      </c>
      <c r="B1877" s="2141" t="s">
        <v>3054</v>
      </c>
      <c r="C1877" s="2141" t="s">
        <v>3261</v>
      </c>
      <c r="D1877" s="2141">
        <v>153</v>
      </c>
      <c r="E1877" s="2142">
        <v>32.79</v>
      </c>
      <c r="F1877" s="2142">
        <v>29150.01</v>
      </c>
      <c r="G1877" s="2142">
        <v>955829</v>
      </c>
      <c r="H1877" s="2143">
        <v>42338</v>
      </c>
      <c r="I1877" s="2142">
        <v>951165</v>
      </c>
    </row>
    <row r="1878" spans="1:9" s="2139" customFormat="1" hidden="1">
      <c r="A1878" s="2140" t="s">
        <v>5024</v>
      </c>
      <c r="B1878" s="2141" t="s">
        <v>3056</v>
      </c>
      <c r="C1878" s="2141" t="s">
        <v>3261</v>
      </c>
      <c r="D1878" s="2141">
        <v>3</v>
      </c>
      <c r="E1878" s="2142">
        <v>173.2</v>
      </c>
      <c r="F1878" s="2142">
        <v>36300</v>
      </c>
      <c r="G1878" s="2142">
        <v>6287160</v>
      </c>
      <c r="H1878" s="2143">
        <v>42324</v>
      </c>
      <c r="I1878" s="2142">
        <v>6287160</v>
      </c>
    </row>
    <row r="1879" spans="1:9" s="2139" customFormat="1" hidden="1">
      <c r="A1879" s="2140" t="s">
        <v>6575</v>
      </c>
      <c r="B1879" s="2141">
        <v>11</v>
      </c>
      <c r="C1879" s="2141" t="s">
        <v>3261</v>
      </c>
      <c r="D1879" s="2141">
        <v>141</v>
      </c>
      <c r="E1879" s="2142">
        <v>36.97</v>
      </c>
      <c r="F1879" s="2142">
        <v>36421</v>
      </c>
      <c r="G1879" s="2142">
        <v>1346484.3699999999</v>
      </c>
      <c r="H1879" s="2143">
        <v>42323</v>
      </c>
      <c r="I1879" s="2142">
        <v>275756</v>
      </c>
    </row>
    <row r="1880" spans="1:9" s="2139" customFormat="1" hidden="1">
      <c r="A1880" s="2140" t="s">
        <v>6767</v>
      </c>
      <c r="B1880" s="2141">
        <v>12</v>
      </c>
      <c r="C1880" s="2141" t="s">
        <v>3261</v>
      </c>
      <c r="D1880" s="2141">
        <v>87</v>
      </c>
      <c r="E1880" s="2142">
        <v>44.99</v>
      </c>
      <c r="F1880" s="2142">
        <v>43860</v>
      </c>
      <c r="G1880" s="2142">
        <v>1973261.4000000001</v>
      </c>
      <c r="H1880" s="2143">
        <v>42321</v>
      </c>
      <c r="I1880" s="2142">
        <v>1964928</v>
      </c>
    </row>
    <row r="1881" spans="1:9" s="2139" customFormat="1" hidden="1">
      <c r="A1881" s="2140" t="s">
        <v>5733</v>
      </c>
      <c r="B1881" s="2141" t="s">
        <v>3057</v>
      </c>
      <c r="C1881" s="2141" t="s">
        <v>3261</v>
      </c>
      <c r="D1881" s="2141">
        <v>153</v>
      </c>
      <c r="E1881" s="2142">
        <v>9.0500000000000007</v>
      </c>
      <c r="F1881" s="2142">
        <v>35405</v>
      </c>
      <c r="G1881" s="2142">
        <v>320415.25</v>
      </c>
      <c r="H1881" s="2143">
        <v>42299</v>
      </c>
      <c r="I1881" s="2142">
        <v>320415</v>
      </c>
    </row>
    <row r="1882" spans="1:9" s="2139" customFormat="1" hidden="1">
      <c r="A1882" s="2140" t="s">
        <v>6732</v>
      </c>
      <c r="B1882" s="2141">
        <v>12</v>
      </c>
      <c r="C1882" s="2141" t="s">
        <v>3261</v>
      </c>
      <c r="D1882" s="2141">
        <v>23</v>
      </c>
      <c r="E1882" s="2142">
        <v>27.88</v>
      </c>
      <c r="F1882" s="2142">
        <v>37859.9928</v>
      </c>
      <c r="G1882" s="2142">
        <v>1055536.5992640001</v>
      </c>
      <c r="H1882" s="2143">
        <v>42291</v>
      </c>
      <c r="I1882" s="2142">
        <v>291372</v>
      </c>
    </row>
    <row r="1883" spans="1:9" s="2139" customFormat="1" hidden="1">
      <c r="A1883" s="2140" t="s">
        <v>6733</v>
      </c>
      <c r="B1883" s="2141">
        <v>12</v>
      </c>
      <c r="C1883" s="2141" t="s">
        <v>3261</v>
      </c>
      <c r="D1883" s="2141">
        <v>25</v>
      </c>
      <c r="E1883" s="2142">
        <v>38.99</v>
      </c>
      <c r="F1883" s="2142">
        <v>37860.005149999997</v>
      </c>
      <c r="G1883" s="2142">
        <v>1476161.6007985</v>
      </c>
      <c r="H1883" s="2143">
        <v>42291</v>
      </c>
      <c r="I1883" s="2142">
        <v>350104</v>
      </c>
    </row>
    <row r="1884" spans="1:9" s="2139" customFormat="1" hidden="1">
      <c r="A1884" s="2140" t="s">
        <v>5067</v>
      </c>
      <c r="B1884" s="2141" t="s">
        <v>3056</v>
      </c>
      <c r="C1884" s="2141" t="s">
        <v>3261</v>
      </c>
      <c r="D1884" s="2141">
        <v>89</v>
      </c>
      <c r="E1884" s="2142">
        <v>50.55</v>
      </c>
      <c r="F1884" s="2142">
        <v>28930.01</v>
      </c>
      <c r="G1884" s="2142">
        <v>1462412.0054999997</v>
      </c>
      <c r="H1884" s="2143">
        <v>42249</v>
      </c>
      <c r="I1884" s="2142">
        <v>1462412</v>
      </c>
    </row>
    <row r="1885" spans="1:9" s="2139" customFormat="1" hidden="1">
      <c r="A1885" s="2140" t="s">
        <v>3769</v>
      </c>
      <c r="B1885" s="2141" t="s">
        <v>3054</v>
      </c>
      <c r="C1885" s="2141" t="s">
        <v>3261</v>
      </c>
      <c r="D1885" s="2141">
        <v>57</v>
      </c>
      <c r="E1885" s="2142">
        <v>46.66</v>
      </c>
      <c r="F1885" s="2142">
        <v>25995.990666100999</v>
      </c>
      <c r="G1885" s="2142">
        <v>1212972.9244802725</v>
      </c>
      <c r="H1885" s="2143">
        <v>42244</v>
      </c>
      <c r="I1885" s="2142">
        <v>1212973</v>
      </c>
    </row>
    <row r="1886" spans="1:9" s="2139" customFormat="1" hidden="1">
      <c r="A1886" s="2140" t="s">
        <v>5033</v>
      </c>
      <c r="B1886" s="2141" t="s">
        <v>3056</v>
      </c>
      <c r="C1886" s="2141" t="s">
        <v>3261</v>
      </c>
      <c r="D1886" s="2141">
        <v>15</v>
      </c>
      <c r="E1886" s="2142">
        <v>44.28</v>
      </c>
      <c r="F1886" s="2142">
        <v>25026</v>
      </c>
      <c r="G1886" s="2142">
        <v>1108151.28</v>
      </c>
      <c r="H1886" s="2143">
        <v>42244</v>
      </c>
      <c r="I1886" s="2142">
        <v>1108151</v>
      </c>
    </row>
    <row r="1887" spans="1:9" s="2139" customFormat="1" hidden="1">
      <c r="A1887" s="2140" t="s">
        <v>5034</v>
      </c>
      <c r="B1887" s="2141" t="s">
        <v>3056</v>
      </c>
      <c r="C1887" s="2141" t="s">
        <v>3261</v>
      </c>
      <c r="D1887" s="2141">
        <v>16</v>
      </c>
      <c r="E1887" s="2142">
        <v>44.03</v>
      </c>
      <c r="F1887" s="2142">
        <v>25026</v>
      </c>
      <c r="G1887" s="2142">
        <v>1101894.78</v>
      </c>
      <c r="H1887" s="2143">
        <v>42244</v>
      </c>
      <c r="I1887" s="2142">
        <v>1101895</v>
      </c>
    </row>
    <row r="1888" spans="1:9" s="2139" customFormat="1" hidden="1">
      <c r="A1888" s="2140" t="s">
        <v>5684</v>
      </c>
      <c r="B1888" s="2141" t="s">
        <v>3057</v>
      </c>
      <c r="C1888" s="2141" t="s">
        <v>3261</v>
      </c>
      <c r="D1888" s="2141">
        <v>21</v>
      </c>
      <c r="E1888" s="2142">
        <v>40.31</v>
      </c>
      <c r="F1888" s="2142">
        <v>25026</v>
      </c>
      <c r="G1888" s="2142">
        <v>1008798.06</v>
      </c>
      <c r="H1888" s="2143">
        <v>42244</v>
      </c>
      <c r="I1888" s="2142">
        <v>1008798</v>
      </c>
    </row>
    <row r="1889" spans="1:9" s="2139" customFormat="1" hidden="1">
      <c r="A1889" s="2140" t="s">
        <v>5683</v>
      </c>
      <c r="B1889" s="2141" t="s">
        <v>3057</v>
      </c>
      <c r="C1889" s="2141" t="s">
        <v>3261</v>
      </c>
      <c r="D1889" s="2141">
        <v>20</v>
      </c>
      <c r="E1889" s="2142">
        <v>33.99</v>
      </c>
      <c r="F1889" s="2142">
        <v>25511</v>
      </c>
      <c r="G1889" s="2142">
        <v>867118.89</v>
      </c>
      <c r="H1889" s="2143">
        <v>42236</v>
      </c>
      <c r="I1889" s="2142">
        <v>867119</v>
      </c>
    </row>
    <row r="1890" spans="1:9" s="2139" customFormat="1" hidden="1">
      <c r="A1890" s="2140" t="s">
        <v>5086</v>
      </c>
      <c r="B1890" s="2141" t="s">
        <v>3056</v>
      </c>
      <c r="C1890" s="2141" t="s">
        <v>3261</v>
      </c>
      <c r="D1890" s="2141">
        <v>138</v>
      </c>
      <c r="E1890" s="2142">
        <v>135.15</v>
      </c>
      <c r="F1890" s="2142">
        <v>36300</v>
      </c>
      <c r="G1890" s="2142">
        <v>4905945</v>
      </c>
      <c r="H1890" s="2143">
        <v>42232</v>
      </c>
      <c r="I1890" s="2142">
        <v>4905945</v>
      </c>
    </row>
    <row r="1891" spans="1:9" s="2139" customFormat="1" hidden="1">
      <c r="A1891" s="2140" t="s">
        <v>4389</v>
      </c>
      <c r="B1891" s="2141" t="s">
        <v>3055</v>
      </c>
      <c r="C1891" s="2141" t="s">
        <v>3261</v>
      </c>
      <c r="D1891" s="3396">
        <v>92</v>
      </c>
      <c r="E1891" s="2142">
        <v>131.44999999999999</v>
      </c>
      <c r="F1891" s="2142">
        <v>31160</v>
      </c>
      <c r="G1891" s="2142">
        <v>4095981.9999999995</v>
      </c>
      <c r="H1891" s="3557">
        <v>42230</v>
      </c>
      <c r="I1891" s="2142">
        <v>4095982</v>
      </c>
    </row>
    <row r="1892" spans="1:9" s="2139" customFormat="1" hidden="1">
      <c r="A1892" s="2140" t="s">
        <v>4428</v>
      </c>
      <c r="B1892" s="2141" t="s">
        <v>3055</v>
      </c>
      <c r="C1892" s="2141" t="s">
        <v>3261</v>
      </c>
      <c r="D1892" s="3396">
        <v>157</v>
      </c>
      <c r="E1892" s="2142">
        <v>125.95</v>
      </c>
      <c r="F1892" s="2142">
        <v>25934.998015000001</v>
      </c>
      <c r="G1892" s="2142">
        <v>3266512.9999892502</v>
      </c>
      <c r="H1892" s="3557">
        <v>42230</v>
      </c>
      <c r="I1892" s="2142">
        <v>3266513</v>
      </c>
    </row>
    <row r="1893" spans="1:9" s="2139" customFormat="1" hidden="1">
      <c r="A1893" s="2140" t="s">
        <v>4429</v>
      </c>
      <c r="B1893" s="2141" t="s">
        <v>3055</v>
      </c>
      <c r="C1893" s="2141" t="s">
        <v>3261</v>
      </c>
      <c r="D1893" s="3396">
        <v>158</v>
      </c>
      <c r="E1893" s="2142">
        <v>119.7</v>
      </c>
      <c r="F1893" s="2142">
        <v>34485.004200000003</v>
      </c>
      <c r="G1893" s="2142">
        <v>4127855.0027400004</v>
      </c>
      <c r="H1893" s="3557">
        <v>42230</v>
      </c>
      <c r="I1893" s="2142">
        <v>4127855</v>
      </c>
    </row>
    <row r="1894" spans="1:9" s="2139" customFormat="1" hidden="1">
      <c r="A1894" s="2140" t="s">
        <v>4430</v>
      </c>
      <c r="B1894" s="2141" t="s">
        <v>3055</v>
      </c>
      <c r="C1894" s="2141" t="s">
        <v>3261</v>
      </c>
      <c r="D1894" s="3396">
        <v>159</v>
      </c>
      <c r="E1894" s="2142">
        <v>96.68</v>
      </c>
      <c r="F1894" s="2142">
        <v>34010.002099999998</v>
      </c>
      <c r="G1894" s="2142">
        <v>3288087.0030280002</v>
      </c>
      <c r="H1894" s="3557">
        <v>42230</v>
      </c>
      <c r="I1894" s="2142">
        <v>3288087</v>
      </c>
    </row>
    <row r="1895" spans="1:9" s="2139" customFormat="1" hidden="1">
      <c r="A1895" s="2140" t="s">
        <v>5725</v>
      </c>
      <c r="B1895" s="2141" t="s">
        <v>3057</v>
      </c>
      <c r="C1895" s="2141" t="s">
        <v>3261</v>
      </c>
      <c r="D1895" s="2141">
        <v>125</v>
      </c>
      <c r="E1895" s="2142">
        <v>46.25</v>
      </c>
      <c r="F1895" s="2142">
        <v>26300</v>
      </c>
      <c r="G1895" s="2142">
        <v>1216375</v>
      </c>
      <c r="H1895" s="2143">
        <v>42230</v>
      </c>
      <c r="I1895" s="2142">
        <v>616375</v>
      </c>
    </row>
    <row r="1896" spans="1:9" s="2139" customFormat="1" hidden="1">
      <c r="A1896" s="2140" t="s">
        <v>3763</v>
      </c>
      <c r="B1896" s="2141" t="s">
        <v>3054</v>
      </c>
      <c r="C1896" s="2141" t="s">
        <v>3261</v>
      </c>
      <c r="D1896" s="2141">
        <v>46</v>
      </c>
      <c r="E1896" s="2142">
        <v>53.64</v>
      </c>
      <c r="F1896" s="2142">
        <v>25026.001107215401</v>
      </c>
      <c r="G1896" s="2142">
        <v>1342394.6993910342</v>
      </c>
      <c r="H1896" s="2143">
        <v>42228</v>
      </c>
      <c r="I1896" s="2142">
        <v>1342395</v>
      </c>
    </row>
    <row r="1897" spans="1:9" s="2139" customFormat="1" hidden="1">
      <c r="A1897" s="2140" t="s">
        <v>5073</v>
      </c>
      <c r="B1897" s="2141" t="s">
        <v>3056</v>
      </c>
      <c r="C1897" s="2141" t="s">
        <v>3261</v>
      </c>
      <c r="D1897" s="2141">
        <v>107</v>
      </c>
      <c r="E1897" s="2142">
        <v>37.200000000000003</v>
      </c>
      <c r="F1897" s="2142">
        <v>25026</v>
      </c>
      <c r="G1897" s="2142">
        <v>930967.20000000007</v>
      </c>
      <c r="H1897" s="2143">
        <v>42228</v>
      </c>
      <c r="I1897" s="2142">
        <v>930967</v>
      </c>
    </row>
    <row r="1898" spans="1:9" s="2139" customFormat="1" hidden="1">
      <c r="A1898" s="2140" t="s">
        <v>5074</v>
      </c>
      <c r="B1898" s="2141" t="s">
        <v>3056</v>
      </c>
      <c r="C1898" s="2141" t="s">
        <v>3261</v>
      </c>
      <c r="D1898" s="2141">
        <v>108</v>
      </c>
      <c r="E1898" s="2142">
        <v>45.98</v>
      </c>
      <c r="F1898" s="2142">
        <v>25511</v>
      </c>
      <c r="G1898" s="2142">
        <v>1172995.78</v>
      </c>
      <c r="H1898" s="2143">
        <v>42228</v>
      </c>
      <c r="I1898" s="2142">
        <v>1172996</v>
      </c>
    </row>
    <row r="1899" spans="1:9" s="2139" customFormat="1" hidden="1">
      <c r="A1899" s="2140" t="s">
        <v>5027</v>
      </c>
      <c r="B1899" s="2141" t="s">
        <v>3056</v>
      </c>
      <c r="C1899" s="2141" t="s">
        <v>3261</v>
      </c>
      <c r="D1899" s="2141">
        <v>7</v>
      </c>
      <c r="E1899" s="2142">
        <v>36.380000000000003</v>
      </c>
      <c r="F1899" s="2142">
        <v>39600</v>
      </c>
      <c r="G1899" s="2142">
        <v>1440648</v>
      </c>
      <c r="H1899" s="2143">
        <v>42222</v>
      </c>
      <c r="I1899" s="2142">
        <v>1440648</v>
      </c>
    </row>
    <row r="1900" spans="1:9" s="2139" customFormat="1" hidden="1">
      <c r="A1900" s="2140" t="s">
        <v>6738</v>
      </c>
      <c r="B1900" s="2141">
        <v>12</v>
      </c>
      <c r="C1900" s="2141" t="s">
        <v>3261</v>
      </c>
      <c r="D1900" s="2141">
        <v>35</v>
      </c>
      <c r="E1900" s="2142">
        <v>48.39</v>
      </c>
      <c r="F1900" s="2142">
        <v>29310.002100000002</v>
      </c>
      <c r="G1900" s="2142">
        <v>1418311.001619</v>
      </c>
      <c r="H1900" s="2143">
        <v>42215</v>
      </c>
      <c r="I1900" s="2142">
        <v>292449</v>
      </c>
    </row>
    <row r="1901" spans="1:9" s="2139" customFormat="1" hidden="1">
      <c r="A1901" s="2140" t="s">
        <v>6744</v>
      </c>
      <c r="B1901" s="2141">
        <v>12</v>
      </c>
      <c r="C1901" s="2141" t="s">
        <v>3261</v>
      </c>
      <c r="D1901" s="2141">
        <v>46</v>
      </c>
      <c r="E1901" s="2142">
        <v>38.36</v>
      </c>
      <c r="F1901" s="2142">
        <v>29310</v>
      </c>
      <c r="G1901" s="2142">
        <v>1124331.6000000001</v>
      </c>
      <c r="H1901" s="2143">
        <v>42215</v>
      </c>
      <c r="I1901" s="2142">
        <v>239642</v>
      </c>
    </row>
    <row r="1902" spans="1:9" s="2139" customFormat="1" hidden="1">
      <c r="A1902" s="2140" t="s">
        <v>6735</v>
      </c>
      <c r="B1902" s="2141">
        <v>12</v>
      </c>
      <c r="C1902" s="2141" t="s">
        <v>3261</v>
      </c>
      <c r="D1902" s="2141">
        <v>28</v>
      </c>
      <c r="E1902" s="2142">
        <v>23.5</v>
      </c>
      <c r="F1902" s="2142">
        <v>36375</v>
      </c>
      <c r="G1902" s="2142">
        <v>854813</v>
      </c>
      <c r="H1902" s="2143">
        <v>42213</v>
      </c>
      <c r="I1902" s="2142">
        <v>851175</v>
      </c>
    </row>
    <row r="1903" spans="1:9" s="2139" customFormat="1" hidden="1">
      <c r="A1903" s="2140" t="s">
        <v>5060</v>
      </c>
      <c r="B1903" s="2141" t="s">
        <v>3056</v>
      </c>
      <c r="C1903" s="2141" t="s">
        <v>3261</v>
      </c>
      <c r="D1903" s="2141">
        <v>68</v>
      </c>
      <c r="E1903" s="2142">
        <v>50.07</v>
      </c>
      <c r="F1903" s="2142">
        <v>25800</v>
      </c>
      <c r="G1903" s="2142">
        <v>1291806</v>
      </c>
      <c r="H1903" s="2143">
        <v>42208</v>
      </c>
      <c r="I1903" s="2142">
        <v>1291806</v>
      </c>
    </row>
    <row r="1904" spans="1:9" s="2139" customFormat="1" hidden="1">
      <c r="A1904" s="2140" t="s">
        <v>6574</v>
      </c>
      <c r="B1904" s="2141">
        <v>11</v>
      </c>
      <c r="C1904" s="2141" t="s">
        <v>3261</v>
      </c>
      <c r="D1904" s="2141">
        <v>138</v>
      </c>
      <c r="E1904" s="2142">
        <v>43.21</v>
      </c>
      <c r="F1904" s="2142">
        <v>30846</v>
      </c>
      <c r="G1904" s="2142">
        <v>1332855.6599999999</v>
      </c>
      <c r="H1904" s="2143">
        <v>42208</v>
      </c>
      <c r="I1904" s="2142">
        <v>1332547</v>
      </c>
    </row>
    <row r="1905" spans="1:9" s="2139" customFormat="1" hidden="1">
      <c r="A1905" s="2140" t="s">
        <v>6557</v>
      </c>
      <c r="B1905" s="2141">
        <v>11</v>
      </c>
      <c r="C1905" s="2141" t="s">
        <v>3261</v>
      </c>
      <c r="D1905" s="2141">
        <v>49</v>
      </c>
      <c r="E1905" s="2142">
        <v>10.85</v>
      </c>
      <c r="F1905" s="2142">
        <v>33960</v>
      </c>
      <c r="G1905" s="2142">
        <v>368466</v>
      </c>
      <c r="H1905" s="2143">
        <v>42203</v>
      </c>
      <c r="I1905" s="2142">
        <v>78126</v>
      </c>
    </row>
    <row r="1906" spans="1:9" s="2139" customFormat="1" hidden="1">
      <c r="A1906" s="2140" t="s">
        <v>4394</v>
      </c>
      <c r="B1906" s="2141" t="s">
        <v>3055</v>
      </c>
      <c r="C1906" s="2141" t="s">
        <v>3261</v>
      </c>
      <c r="D1906" s="3396">
        <v>102</v>
      </c>
      <c r="E1906" s="2142">
        <v>84.84</v>
      </c>
      <c r="F1906" s="2142">
        <v>33300</v>
      </c>
      <c r="G1906" s="2142">
        <v>2825172</v>
      </c>
      <c r="H1906" s="3557">
        <v>42192</v>
      </c>
      <c r="I1906" s="2142">
        <v>2825172</v>
      </c>
    </row>
    <row r="1907" spans="1:9" s="2139" customFormat="1" hidden="1">
      <c r="A1907" s="2140" t="s">
        <v>6761</v>
      </c>
      <c r="B1907" s="2141">
        <v>12</v>
      </c>
      <c r="C1907" s="2141" t="s">
        <v>3261</v>
      </c>
      <c r="D1907" s="2141">
        <v>79</v>
      </c>
      <c r="E1907" s="2142">
        <v>31.75</v>
      </c>
      <c r="F1907" s="2142">
        <v>27860</v>
      </c>
      <c r="G1907" s="2142">
        <v>884555</v>
      </c>
      <c r="H1907" s="2143">
        <v>42185</v>
      </c>
      <c r="I1907" s="2142">
        <v>880933</v>
      </c>
    </row>
    <row r="1908" spans="1:9" s="2139" customFormat="1" hidden="1">
      <c r="A1908" s="2140" t="s">
        <v>6754</v>
      </c>
      <c r="B1908" s="2141">
        <v>12</v>
      </c>
      <c r="C1908" s="2141" t="s">
        <v>3261</v>
      </c>
      <c r="D1908" s="2141">
        <v>71</v>
      </c>
      <c r="E1908" s="2142">
        <v>43.55</v>
      </c>
      <c r="F1908" s="2142">
        <v>28860</v>
      </c>
      <c r="G1908" s="2142">
        <v>1256853</v>
      </c>
      <c r="H1908" s="2143">
        <v>42184</v>
      </c>
      <c r="I1908" s="2142">
        <v>1251658</v>
      </c>
    </row>
    <row r="1909" spans="1:9" s="2139" customFormat="1" hidden="1">
      <c r="A1909" s="2140" t="s">
        <v>6755</v>
      </c>
      <c r="B1909" s="2141">
        <v>12</v>
      </c>
      <c r="C1909" s="2141" t="s">
        <v>3261</v>
      </c>
      <c r="D1909" s="2141">
        <v>72</v>
      </c>
      <c r="E1909" s="2142">
        <v>41.58</v>
      </c>
      <c r="F1909" s="2142">
        <v>25860</v>
      </c>
      <c r="G1909" s="2142">
        <v>1075258.8</v>
      </c>
      <c r="H1909" s="2143">
        <v>42184</v>
      </c>
      <c r="I1909" s="2142">
        <v>1070604</v>
      </c>
    </row>
    <row r="1910" spans="1:9" s="2139" customFormat="1" hidden="1">
      <c r="A1910" s="2140" t="s">
        <v>6764</v>
      </c>
      <c r="B1910" s="2141">
        <v>12</v>
      </c>
      <c r="C1910" s="2141" t="s">
        <v>3261</v>
      </c>
      <c r="D1910" s="2141">
        <v>82</v>
      </c>
      <c r="E1910" s="2142">
        <v>43.54</v>
      </c>
      <c r="F1910" s="2142">
        <v>29860</v>
      </c>
      <c r="G1910" s="2142">
        <v>1300104.3999999999</v>
      </c>
      <c r="H1910" s="2143">
        <v>42156</v>
      </c>
      <c r="I1910" s="2142">
        <v>1294730</v>
      </c>
    </row>
    <row r="1911" spans="1:9" s="2139" customFormat="1" hidden="1">
      <c r="A1911" s="2140" t="s">
        <v>6565</v>
      </c>
      <c r="B1911" s="2141">
        <v>11</v>
      </c>
      <c r="C1911" s="2141" t="s">
        <v>3261</v>
      </c>
      <c r="D1911" s="2141">
        <v>105</v>
      </c>
      <c r="E1911" s="2142">
        <v>33.33</v>
      </c>
      <c r="F1911" s="2142">
        <v>41301</v>
      </c>
      <c r="G1911" s="2142">
        <v>1376562.3299999998</v>
      </c>
      <c r="H1911" s="2143">
        <v>42145</v>
      </c>
      <c r="I1911" s="2142">
        <v>280104</v>
      </c>
    </row>
    <row r="1912" spans="1:9" s="2139" customFormat="1" hidden="1">
      <c r="A1912" s="2140" t="s">
        <v>6763</v>
      </c>
      <c r="B1912" s="2141">
        <v>12</v>
      </c>
      <c r="C1912" s="2141" t="s">
        <v>3261</v>
      </c>
      <c r="D1912" s="2141">
        <v>81</v>
      </c>
      <c r="E1912" s="2142">
        <v>41.55</v>
      </c>
      <c r="F1912" s="2142">
        <v>27860</v>
      </c>
      <c r="G1912" s="2142">
        <v>1157583</v>
      </c>
      <c r="H1912" s="2143">
        <v>42144</v>
      </c>
      <c r="I1912" s="2142">
        <v>1152568</v>
      </c>
    </row>
    <row r="1913" spans="1:9" s="2139" customFormat="1" hidden="1">
      <c r="A1913" s="2140" t="s">
        <v>5679</v>
      </c>
      <c r="B1913" s="2141" t="s">
        <v>3057</v>
      </c>
      <c r="C1913" s="2141" t="s">
        <v>3261</v>
      </c>
      <c r="D1913" s="2141">
        <v>8</v>
      </c>
      <c r="E1913" s="2142">
        <v>90.56</v>
      </c>
      <c r="F1913" s="2142">
        <v>35211</v>
      </c>
      <c r="G1913" s="2142">
        <v>3188708.16</v>
      </c>
      <c r="H1913" s="2143">
        <v>42135</v>
      </c>
      <c r="I1913" s="2142">
        <v>3188708</v>
      </c>
    </row>
    <row r="1914" spans="1:9" s="2139" customFormat="1" hidden="1">
      <c r="A1914" s="2140" t="s">
        <v>5031</v>
      </c>
      <c r="B1914" s="2141" t="s">
        <v>3056</v>
      </c>
      <c r="C1914" s="2141" t="s">
        <v>3261</v>
      </c>
      <c r="D1914" s="2141">
        <v>11</v>
      </c>
      <c r="E1914" s="2142">
        <v>82.03</v>
      </c>
      <c r="F1914" s="2142">
        <v>36300</v>
      </c>
      <c r="G1914" s="2142">
        <v>2977689</v>
      </c>
      <c r="H1914" s="2143">
        <v>42129</v>
      </c>
      <c r="I1914" s="2142">
        <v>2977689</v>
      </c>
    </row>
    <row r="1915" spans="1:9" s="2139" customFormat="1" hidden="1">
      <c r="A1915" s="2140" t="s">
        <v>5032</v>
      </c>
      <c r="B1915" s="2141" t="s">
        <v>3056</v>
      </c>
      <c r="C1915" s="2141" t="s">
        <v>3261</v>
      </c>
      <c r="D1915" s="2141">
        <v>12</v>
      </c>
      <c r="E1915" s="2142">
        <v>150.63</v>
      </c>
      <c r="F1915" s="2142">
        <v>36300</v>
      </c>
      <c r="G1915" s="2142">
        <v>5467869</v>
      </c>
      <c r="H1915" s="2143">
        <v>42129</v>
      </c>
      <c r="I1915" s="2142">
        <v>5467869</v>
      </c>
    </row>
    <row r="1916" spans="1:9" s="2139" customFormat="1" hidden="1">
      <c r="A1916" s="2140" t="s">
        <v>4431</v>
      </c>
      <c r="B1916" s="2141" t="s">
        <v>3055</v>
      </c>
      <c r="C1916" s="2141" t="s">
        <v>3261</v>
      </c>
      <c r="D1916" s="3396">
        <v>160</v>
      </c>
      <c r="E1916" s="2142">
        <v>126.56</v>
      </c>
      <c r="F1916" s="2142">
        <v>34010</v>
      </c>
      <c r="G1916" s="2142">
        <v>4304305.5999999996</v>
      </c>
      <c r="H1916" s="3557">
        <v>42123</v>
      </c>
      <c r="I1916" s="2142">
        <v>4304306</v>
      </c>
    </row>
    <row r="1917" spans="1:9" s="2139" customFormat="1" hidden="1">
      <c r="A1917" s="2140" t="s">
        <v>3752</v>
      </c>
      <c r="B1917" s="2141" t="s">
        <v>3054</v>
      </c>
      <c r="C1917" s="2141" t="s">
        <v>3261</v>
      </c>
      <c r="D1917" s="2141">
        <v>33</v>
      </c>
      <c r="E1917" s="2142">
        <v>31.18</v>
      </c>
      <c r="F1917" s="2142">
        <v>25800</v>
      </c>
      <c r="G1917" s="2142">
        <v>804444</v>
      </c>
      <c r="H1917" s="2143">
        <v>42115</v>
      </c>
      <c r="I1917" s="2142">
        <v>804444</v>
      </c>
    </row>
    <row r="1918" spans="1:9" s="2139" customFormat="1" hidden="1">
      <c r="A1918" s="2140" t="s">
        <v>4382</v>
      </c>
      <c r="B1918" s="2141" t="s">
        <v>3055</v>
      </c>
      <c r="C1918" s="2141" t="s">
        <v>3261</v>
      </c>
      <c r="D1918" s="3396">
        <v>79</v>
      </c>
      <c r="E1918" s="2142">
        <v>50.5</v>
      </c>
      <c r="F1918" s="2142">
        <v>26481.01</v>
      </c>
      <c r="G1918" s="2142">
        <v>1337291</v>
      </c>
      <c r="H1918" s="3557">
        <v>42115</v>
      </c>
      <c r="I1918" s="2142">
        <v>1329876</v>
      </c>
    </row>
    <row r="1919" spans="1:9" s="2139" customFormat="1" hidden="1">
      <c r="A1919" s="2140" t="s">
        <v>3749</v>
      </c>
      <c r="B1919" s="2141" t="s">
        <v>3054</v>
      </c>
      <c r="C1919" s="2141" t="s">
        <v>3261</v>
      </c>
      <c r="D1919" s="2141">
        <v>30</v>
      </c>
      <c r="E1919" s="2142">
        <v>31.8</v>
      </c>
      <c r="F1919" s="2142">
        <v>25800</v>
      </c>
      <c r="G1919" s="2142">
        <v>820440</v>
      </c>
      <c r="H1919" s="2143">
        <v>42109</v>
      </c>
      <c r="I1919" s="2142">
        <v>820440</v>
      </c>
    </row>
    <row r="1920" spans="1:9" s="2139" customFormat="1" hidden="1">
      <c r="A1920" s="2140" t="s">
        <v>3750</v>
      </c>
      <c r="B1920" s="2141" t="s">
        <v>3054</v>
      </c>
      <c r="C1920" s="2141" t="s">
        <v>3261</v>
      </c>
      <c r="D1920" s="2141">
        <v>31</v>
      </c>
      <c r="E1920" s="2142">
        <v>20.95</v>
      </c>
      <c r="F1920" s="2142">
        <v>25800</v>
      </c>
      <c r="G1920" s="2142">
        <v>540510</v>
      </c>
      <c r="H1920" s="2143">
        <v>42109</v>
      </c>
      <c r="I1920" s="2142">
        <v>540510</v>
      </c>
    </row>
    <row r="1921" spans="1:9" s="2139" customFormat="1" hidden="1">
      <c r="A1921" s="2140" t="s">
        <v>3751</v>
      </c>
      <c r="B1921" s="2141" t="s">
        <v>3054</v>
      </c>
      <c r="C1921" s="2141" t="s">
        <v>3261</v>
      </c>
      <c r="D1921" s="2141">
        <v>32</v>
      </c>
      <c r="E1921" s="2142">
        <v>19.350000000000001</v>
      </c>
      <c r="F1921" s="2142">
        <v>25800</v>
      </c>
      <c r="G1921" s="2142">
        <v>499230.00000000006</v>
      </c>
      <c r="H1921" s="2143">
        <v>42109</v>
      </c>
      <c r="I1921" s="2142">
        <v>499230</v>
      </c>
    </row>
    <row r="1922" spans="1:9" s="2139" customFormat="1" hidden="1">
      <c r="A1922" s="2140" t="s">
        <v>5041</v>
      </c>
      <c r="B1922" s="2141" t="s">
        <v>3056</v>
      </c>
      <c r="C1922" s="2141" t="s">
        <v>3261</v>
      </c>
      <c r="D1922" s="2141">
        <v>28</v>
      </c>
      <c r="E1922" s="2142">
        <v>84.76</v>
      </c>
      <c r="F1922" s="2142">
        <v>35800</v>
      </c>
      <c r="G1922" s="2142">
        <v>3034408</v>
      </c>
      <c r="H1922" s="2143">
        <v>42104</v>
      </c>
      <c r="I1922" s="2142">
        <v>3034408</v>
      </c>
    </row>
    <row r="1923" spans="1:9" s="2139" customFormat="1" hidden="1">
      <c r="A1923" s="2140" t="s">
        <v>4405</v>
      </c>
      <c r="B1923" s="2141" t="s">
        <v>3055</v>
      </c>
      <c r="C1923" s="2141" t="s">
        <v>3261</v>
      </c>
      <c r="D1923" s="3396">
        <v>119</v>
      </c>
      <c r="E1923" s="2142">
        <v>85.96</v>
      </c>
      <c r="F1923" s="2142">
        <v>33300</v>
      </c>
      <c r="G1923" s="2142">
        <v>2862468</v>
      </c>
      <c r="H1923" s="3557">
        <v>42101</v>
      </c>
      <c r="I1923" s="2142">
        <v>2862468</v>
      </c>
    </row>
    <row r="1924" spans="1:9" s="2139" customFormat="1" hidden="1">
      <c r="A1924" s="2140" t="s">
        <v>4369</v>
      </c>
      <c r="B1924" s="2141" t="s">
        <v>3055</v>
      </c>
      <c r="C1924" s="2141" t="s">
        <v>3261</v>
      </c>
      <c r="D1924" s="3396">
        <v>61</v>
      </c>
      <c r="E1924" s="2142">
        <v>34.69</v>
      </c>
      <c r="F1924" s="2142">
        <v>25800</v>
      </c>
      <c r="G1924" s="2142">
        <v>895001.99999999988</v>
      </c>
      <c r="H1924" s="3557">
        <v>42100</v>
      </c>
      <c r="I1924" s="2142">
        <v>895002</v>
      </c>
    </row>
    <row r="1925" spans="1:9" s="2139" customFormat="1" hidden="1">
      <c r="A1925" s="2140" t="s">
        <v>4370</v>
      </c>
      <c r="B1925" s="2141" t="s">
        <v>3055</v>
      </c>
      <c r="C1925" s="2141" t="s">
        <v>3261</v>
      </c>
      <c r="D1925" s="3396">
        <v>62</v>
      </c>
      <c r="E1925" s="2142">
        <v>34.69</v>
      </c>
      <c r="F1925" s="2142">
        <v>25800</v>
      </c>
      <c r="G1925" s="2142">
        <v>895001.99999999988</v>
      </c>
      <c r="H1925" s="3557">
        <v>42100</v>
      </c>
      <c r="I1925" s="2142">
        <v>895002</v>
      </c>
    </row>
    <row r="1926" spans="1:9" s="2139" customFormat="1" hidden="1">
      <c r="A1926" s="2140" t="s">
        <v>5059</v>
      </c>
      <c r="B1926" s="2141" t="s">
        <v>3056</v>
      </c>
      <c r="C1926" s="2141" t="s">
        <v>3261</v>
      </c>
      <c r="D1926" s="2141">
        <v>63</v>
      </c>
      <c r="E1926" s="2142">
        <v>53.35</v>
      </c>
      <c r="F1926" s="2142">
        <v>25800</v>
      </c>
      <c r="G1926" s="2142">
        <v>1376430</v>
      </c>
      <c r="H1926" s="2143">
        <v>42087</v>
      </c>
      <c r="I1926" s="2142">
        <v>1376430</v>
      </c>
    </row>
    <row r="1927" spans="1:9" s="2139" customFormat="1" hidden="1">
      <c r="A1927" s="2140" t="s">
        <v>6566</v>
      </c>
      <c r="B1927" s="2141">
        <v>11</v>
      </c>
      <c r="C1927" s="2141" t="s">
        <v>3261</v>
      </c>
      <c r="D1927" s="2141">
        <v>111</v>
      </c>
      <c r="E1927" s="2142">
        <v>43.24</v>
      </c>
      <c r="F1927" s="2142">
        <v>31800</v>
      </c>
      <c r="G1927" s="2142">
        <v>1375032</v>
      </c>
      <c r="H1927" s="2143">
        <v>42081</v>
      </c>
      <c r="I1927" s="2142">
        <v>1374714</v>
      </c>
    </row>
    <row r="1928" spans="1:9" s="2139" customFormat="1" hidden="1">
      <c r="A1928" s="2140" t="s">
        <v>4374</v>
      </c>
      <c r="B1928" s="2141" t="s">
        <v>3055</v>
      </c>
      <c r="C1928" s="2141" t="s">
        <v>3261</v>
      </c>
      <c r="D1928" s="3396">
        <v>67</v>
      </c>
      <c r="E1928" s="2142">
        <v>127.63</v>
      </c>
      <c r="F1928" s="2142">
        <v>32800</v>
      </c>
      <c r="G1928" s="2142">
        <v>4186264</v>
      </c>
      <c r="H1928" s="3557">
        <v>42039</v>
      </c>
      <c r="I1928" s="2142">
        <v>4186264</v>
      </c>
    </row>
    <row r="1929" spans="1:9" s="2139" customFormat="1" hidden="1">
      <c r="A1929" s="2140" t="s">
        <v>4375</v>
      </c>
      <c r="B1929" s="2141" t="s">
        <v>3055</v>
      </c>
      <c r="C1929" s="2141" t="s">
        <v>3261</v>
      </c>
      <c r="D1929" s="3396">
        <v>68</v>
      </c>
      <c r="E1929" s="2142">
        <v>52.84</v>
      </c>
      <c r="F1929" s="2142">
        <v>32800</v>
      </c>
      <c r="G1929" s="2142">
        <v>1733152</v>
      </c>
      <c r="H1929" s="3557">
        <v>42039</v>
      </c>
      <c r="I1929" s="2142">
        <v>1733152</v>
      </c>
    </row>
    <row r="1930" spans="1:9" s="2139" customFormat="1" hidden="1">
      <c r="A1930" s="2140" t="s">
        <v>4356</v>
      </c>
      <c r="B1930" s="2141" t="s">
        <v>3055</v>
      </c>
      <c r="C1930" s="2141" t="s">
        <v>3261</v>
      </c>
      <c r="D1930" s="3396">
        <v>46</v>
      </c>
      <c r="E1930" s="2142">
        <v>79.92</v>
      </c>
      <c r="F1930" s="2142">
        <v>30800</v>
      </c>
      <c r="G1930" s="2142">
        <v>2461536</v>
      </c>
      <c r="H1930" s="3557">
        <v>42011</v>
      </c>
      <c r="I1930" s="2142">
        <v>489280</v>
      </c>
    </row>
    <row r="1931" spans="1:9" s="2139" customFormat="1" hidden="1">
      <c r="A1931" s="2140" t="s">
        <v>5087</v>
      </c>
      <c r="B1931" s="2141" t="s">
        <v>3056</v>
      </c>
      <c r="C1931" s="2141" t="s">
        <v>3261</v>
      </c>
      <c r="D1931" s="2141">
        <v>139</v>
      </c>
      <c r="E1931" s="2142">
        <v>126.49</v>
      </c>
      <c r="F1931" s="2142">
        <v>35800</v>
      </c>
      <c r="G1931" s="2142">
        <v>4528342</v>
      </c>
      <c r="H1931" s="2143">
        <v>41999</v>
      </c>
      <c r="I1931" s="2142">
        <v>4528342</v>
      </c>
    </row>
    <row r="1932" spans="1:9" s="2139" customFormat="1" hidden="1">
      <c r="A1932" s="2140" t="s">
        <v>5711</v>
      </c>
      <c r="B1932" s="2141" t="s">
        <v>3057</v>
      </c>
      <c r="C1932" s="2141" t="s">
        <v>3261</v>
      </c>
      <c r="D1932" s="2141">
        <v>88</v>
      </c>
      <c r="E1932" s="2142">
        <v>60.14</v>
      </c>
      <c r="F1932" s="2142">
        <v>25800</v>
      </c>
      <c r="G1932" s="2142">
        <v>1551612</v>
      </c>
      <c r="H1932" s="2143">
        <v>41990</v>
      </c>
      <c r="I1932" s="2142">
        <v>1551612</v>
      </c>
    </row>
    <row r="1933" spans="1:9" s="2139" customFormat="1" hidden="1">
      <c r="A1933" s="2140" t="s">
        <v>5083</v>
      </c>
      <c r="B1933" s="2141" t="s">
        <v>3056</v>
      </c>
      <c r="C1933" s="2141" t="s">
        <v>3261</v>
      </c>
      <c r="D1933" s="2141">
        <v>131</v>
      </c>
      <c r="E1933" s="2142">
        <v>28.01</v>
      </c>
      <c r="F1933" s="2142">
        <v>26800</v>
      </c>
      <c r="G1933" s="2142">
        <v>750668</v>
      </c>
      <c r="H1933" s="2143">
        <v>41989</v>
      </c>
      <c r="I1933" s="2142">
        <v>750668</v>
      </c>
    </row>
    <row r="1934" spans="1:9" s="2139" customFormat="1" hidden="1">
      <c r="A1934" s="2140" t="s">
        <v>5084</v>
      </c>
      <c r="B1934" s="2141" t="s">
        <v>3056</v>
      </c>
      <c r="C1934" s="2141" t="s">
        <v>3261</v>
      </c>
      <c r="D1934" s="2141">
        <v>132</v>
      </c>
      <c r="E1934" s="2142">
        <v>30.38</v>
      </c>
      <c r="F1934" s="2142">
        <v>27300</v>
      </c>
      <c r="G1934" s="2142">
        <v>829374</v>
      </c>
      <c r="H1934" s="2143">
        <v>41989</v>
      </c>
      <c r="I1934" s="2142">
        <v>829374</v>
      </c>
    </row>
    <row r="1935" spans="1:9" s="2139" customFormat="1" hidden="1">
      <c r="A1935" s="2140" t="s">
        <v>4425</v>
      </c>
      <c r="B1935" s="2141" t="s">
        <v>3055</v>
      </c>
      <c r="C1935" s="2141" t="s">
        <v>3261</v>
      </c>
      <c r="D1935" s="3396">
        <v>153</v>
      </c>
      <c r="E1935" s="2142">
        <v>136.03</v>
      </c>
      <c r="F1935" s="2142">
        <v>35800</v>
      </c>
      <c r="G1935" s="2142">
        <v>4869874</v>
      </c>
      <c r="H1935" s="3557">
        <v>41971</v>
      </c>
      <c r="I1935" s="2142">
        <v>1999684</v>
      </c>
    </row>
    <row r="1936" spans="1:9" s="2139" customFormat="1" hidden="1">
      <c r="A1936" s="2140" t="s">
        <v>4427</v>
      </c>
      <c r="B1936" s="2141" t="s">
        <v>3055</v>
      </c>
      <c r="C1936" s="2141" t="s">
        <v>3261</v>
      </c>
      <c r="D1936" s="3396">
        <v>156</v>
      </c>
      <c r="E1936" s="2142">
        <v>134.94</v>
      </c>
      <c r="F1936" s="2142">
        <v>36300</v>
      </c>
      <c r="G1936" s="2142">
        <v>4898322</v>
      </c>
      <c r="H1936" s="3557">
        <v>41971</v>
      </c>
      <c r="I1936" s="2142">
        <v>998744</v>
      </c>
    </row>
    <row r="1937" spans="1:9" s="2139" customFormat="1" hidden="1">
      <c r="A1937" s="2140" t="s">
        <v>4398</v>
      </c>
      <c r="B1937" s="2141" t="s">
        <v>3055</v>
      </c>
      <c r="C1937" s="2141" t="s">
        <v>3261</v>
      </c>
      <c r="D1937" s="3396">
        <v>111</v>
      </c>
      <c r="E1937" s="2142">
        <v>36.72</v>
      </c>
      <c r="F1937" s="2142">
        <v>25800</v>
      </c>
      <c r="G1937" s="2142">
        <v>947376</v>
      </c>
      <c r="H1937" s="3557">
        <v>41968</v>
      </c>
      <c r="I1937" s="2142">
        <v>217376</v>
      </c>
    </row>
    <row r="1938" spans="1:9" s="2139" customFormat="1" hidden="1">
      <c r="A1938" s="2140" t="s">
        <v>5056</v>
      </c>
      <c r="B1938" s="2141" t="s">
        <v>3056</v>
      </c>
      <c r="C1938" s="2141" t="s">
        <v>3261</v>
      </c>
      <c r="D1938" s="2141">
        <v>53</v>
      </c>
      <c r="E1938" s="2142">
        <v>57.6</v>
      </c>
      <c r="F1938" s="2142">
        <v>26300</v>
      </c>
      <c r="G1938" s="2142">
        <v>1514880</v>
      </c>
      <c r="H1938" s="2143">
        <v>41958</v>
      </c>
      <c r="I1938" s="2142">
        <v>1514880</v>
      </c>
    </row>
    <row r="1939" spans="1:9" s="2139" customFormat="1" hidden="1">
      <c r="A1939" s="2140" t="s">
        <v>3756</v>
      </c>
      <c r="B1939" s="2141" t="s">
        <v>3054</v>
      </c>
      <c r="C1939" s="2141" t="s">
        <v>3261</v>
      </c>
      <c r="D1939" s="2141">
        <v>38</v>
      </c>
      <c r="E1939" s="2142">
        <v>40.94</v>
      </c>
      <c r="F1939" s="2142">
        <v>25800</v>
      </c>
      <c r="G1939" s="2142">
        <v>1056252</v>
      </c>
      <c r="H1939" s="2143">
        <v>41954</v>
      </c>
      <c r="I1939" s="2142">
        <v>1056252</v>
      </c>
    </row>
    <row r="1940" spans="1:9" s="2139" customFormat="1" hidden="1">
      <c r="A1940" s="2140" t="s">
        <v>3780</v>
      </c>
      <c r="B1940" s="2141" t="s">
        <v>3054</v>
      </c>
      <c r="C1940" s="2141" t="s">
        <v>3261</v>
      </c>
      <c r="D1940" s="2141">
        <v>89</v>
      </c>
      <c r="E1940" s="2142">
        <v>37.82</v>
      </c>
      <c r="F1940" s="2142">
        <v>25800</v>
      </c>
      <c r="G1940" s="2142">
        <v>975756</v>
      </c>
      <c r="H1940" s="2143">
        <v>41954</v>
      </c>
      <c r="I1940" s="2142">
        <v>215756</v>
      </c>
    </row>
    <row r="1941" spans="1:9" s="2139" customFormat="1" hidden="1">
      <c r="A1941" s="2140" t="s">
        <v>5077</v>
      </c>
      <c r="B1941" s="2141" t="s">
        <v>3056</v>
      </c>
      <c r="C1941" s="2141" t="s">
        <v>3261</v>
      </c>
      <c r="D1941" s="2141">
        <v>120</v>
      </c>
      <c r="E1941" s="2142">
        <v>64.78</v>
      </c>
      <c r="F1941" s="2142">
        <v>25800</v>
      </c>
      <c r="G1941" s="2142">
        <v>1671324</v>
      </c>
      <c r="H1941" s="2143">
        <v>41953</v>
      </c>
      <c r="I1941" s="2142">
        <v>1671324</v>
      </c>
    </row>
    <row r="1942" spans="1:9" s="2139" customFormat="1" hidden="1">
      <c r="A1942" s="2140" t="s">
        <v>5023</v>
      </c>
      <c r="B1942" s="2141" t="s">
        <v>3056</v>
      </c>
      <c r="C1942" s="2141" t="s">
        <v>3261</v>
      </c>
      <c r="D1942" s="2141">
        <v>2</v>
      </c>
      <c r="E1942" s="2142">
        <v>150.96</v>
      </c>
      <c r="F1942" s="2142">
        <v>35800</v>
      </c>
      <c r="G1942" s="2142">
        <v>5404368</v>
      </c>
      <c r="H1942" s="2143">
        <v>41949</v>
      </c>
      <c r="I1942" s="2142">
        <v>5404368</v>
      </c>
    </row>
    <row r="1943" spans="1:9" s="2139" customFormat="1" hidden="1">
      <c r="A1943" s="2140" t="s">
        <v>5039</v>
      </c>
      <c r="B1943" s="2141" t="s">
        <v>3056</v>
      </c>
      <c r="C1943" s="2141" t="s">
        <v>3261</v>
      </c>
      <c r="D1943" s="2141">
        <v>25</v>
      </c>
      <c r="E1943" s="2142">
        <v>36.700000000000003</v>
      </c>
      <c r="F1943" s="2142">
        <v>25800</v>
      </c>
      <c r="G1943" s="2142">
        <v>946860.00000000012</v>
      </c>
      <c r="H1943" s="2143">
        <v>41949</v>
      </c>
      <c r="I1943" s="2142">
        <v>946860</v>
      </c>
    </row>
    <row r="1944" spans="1:9" s="2139" customFormat="1" hidden="1">
      <c r="A1944" s="2140" t="s">
        <v>5687</v>
      </c>
      <c r="B1944" s="2141" t="s">
        <v>3057</v>
      </c>
      <c r="C1944" s="2141" t="s">
        <v>3261</v>
      </c>
      <c r="D1944" s="2141">
        <v>30</v>
      </c>
      <c r="E1944" s="2142">
        <v>39.31</v>
      </c>
      <c r="F1944" s="2142">
        <v>27300</v>
      </c>
      <c r="G1944" s="2142">
        <v>1073163</v>
      </c>
      <c r="H1944" s="2143">
        <v>41949</v>
      </c>
      <c r="I1944" s="2142">
        <v>1073163</v>
      </c>
    </row>
    <row r="1945" spans="1:9" s="2139" customFormat="1" hidden="1">
      <c r="A1945" s="2140" t="s">
        <v>4324</v>
      </c>
      <c r="B1945" s="2141" t="s">
        <v>3055</v>
      </c>
      <c r="C1945" s="2141" t="s">
        <v>3261</v>
      </c>
      <c r="D1945" s="3396">
        <v>8</v>
      </c>
      <c r="E1945" s="2142">
        <v>96.41</v>
      </c>
      <c r="F1945" s="2142">
        <v>34726</v>
      </c>
      <c r="G1945" s="2142">
        <v>3347933.6599999997</v>
      </c>
      <c r="H1945" s="3557">
        <v>41948</v>
      </c>
      <c r="I1945" s="2142">
        <v>3347934</v>
      </c>
    </row>
    <row r="1946" spans="1:9" s="2139" customFormat="1" hidden="1">
      <c r="A1946" s="2140" t="s">
        <v>5025</v>
      </c>
      <c r="B1946" s="2141" t="s">
        <v>3056</v>
      </c>
      <c r="C1946" s="2141" t="s">
        <v>3261</v>
      </c>
      <c r="D1946" s="2141">
        <v>5</v>
      </c>
      <c r="E1946" s="2142">
        <v>44.96</v>
      </c>
      <c r="F1946" s="2142">
        <v>36300</v>
      </c>
      <c r="G1946" s="2142">
        <v>1632048</v>
      </c>
      <c r="H1946" s="2143">
        <v>41948</v>
      </c>
      <c r="I1946" s="2142">
        <v>1632048</v>
      </c>
    </row>
    <row r="1947" spans="1:9" s="2139" customFormat="1" hidden="1">
      <c r="A1947" s="2140" t="s">
        <v>5026</v>
      </c>
      <c r="B1947" s="2141" t="s">
        <v>3056</v>
      </c>
      <c r="C1947" s="2141" t="s">
        <v>3261</v>
      </c>
      <c r="D1947" s="2141">
        <v>6</v>
      </c>
      <c r="E1947" s="2142">
        <v>93.48</v>
      </c>
      <c r="F1947" s="2142">
        <v>35800</v>
      </c>
      <c r="G1947" s="2142">
        <v>3346584</v>
      </c>
      <c r="H1947" s="2143">
        <v>41948</v>
      </c>
      <c r="I1947" s="2142">
        <v>3346584</v>
      </c>
    </row>
    <row r="1948" spans="1:9" s="2139" customFormat="1" hidden="1">
      <c r="A1948" s="2140" t="s">
        <v>5035</v>
      </c>
      <c r="B1948" s="2141" t="s">
        <v>3056</v>
      </c>
      <c r="C1948" s="2141" t="s">
        <v>3261</v>
      </c>
      <c r="D1948" s="2141">
        <v>20</v>
      </c>
      <c r="E1948" s="2142">
        <v>68.23</v>
      </c>
      <c r="F1948" s="2142">
        <v>25800</v>
      </c>
      <c r="G1948" s="2142">
        <v>1760334</v>
      </c>
      <c r="H1948" s="2143">
        <v>41948</v>
      </c>
      <c r="I1948" s="2142">
        <v>1760334</v>
      </c>
    </row>
    <row r="1949" spans="1:9" s="2139" customFormat="1" hidden="1">
      <c r="A1949" s="2140" t="s">
        <v>5036</v>
      </c>
      <c r="B1949" s="2141" t="s">
        <v>3056</v>
      </c>
      <c r="C1949" s="2141" t="s">
        <v>3261</v>
      </c>
      <c r="D1949" s="2141">
        <v>21</v>
      </c>
      <c r="E1949" s="2142">
        <v>66.17</v>
      </c>
      <c r="F1949" s="2142">
        <v>27300</v>
      </c>
      <c r="G1949" s="2142">
        <v>1806441</v>
      </c>
      <c r="H1949" s="2143">
        <v>41948</v>
      </c>
      <c r="I1949" s="2142">
        <v>1806441</v>
      </c>
    </row>
    <row r="1950" spans="1:9" s="2139" customFormat="1" hidden="1">
      <c r="A1950" s="2140" t="s">
        <v>5037</v>
      </c>
      <c r="B1950" s="2141" t="s">
        <v>3056</v>
      </c>
      <c r="C1950" s="2141" t="s">
        <v>3261</v>
      </c>
      <c r="D1950" s="2141">
        <v>22</v>
      </c>
      <c r="E1950" s="2142">
        <v>52.56</v>
      </c>
      <c r="F1950" s="2142">
        <v>27300</v>
      </c>
      <c r="G1950" s="2142">
        <v>1434888</v>
      </c>
      <c r="H1950" s="2143">
        <v>41948</v>
      </c>
      <c r="I1950" s="2142">
        <v>1434888</v>
      </c>
    </row>
    <row r="1951" spans="1:9" s="2139" customFormat="1" hidden="1">
      <c r="A1951" s="2140" t="s">
        <v>5141</v>
      </c>
      <c r="B1951" s="2141" t="s">
        <v>3056</v>
      </c>
      <c r="C1951" s="2141" t="s">
        <v>3161</v>
      </c>
      <c r="D1951" s="2141">
        <v>86</v>
      </c>
      <c r="E1951" s="2142">
        <v>32.57</v>
      </c>
      <c r="F1951" s="2142">
        <v>17890</v>
      </c>
      <c r="G1951" s="2142">
        <v>582677.30000000005</v>
      </c>
      <c r="H1951" s="2143">
        <v>42114</v>
      </c>
      <c r="I1951" s="2142">
        <v>582677</v>
      </c>
    </row>
    <row r="1952" spans="1:9" s="2139" customFormat="1" hidden="1">
      <c r="A1952" s="2140" t="s">
        <v>3944</v>
      </c>
      <c r="B1952" s="2141" t="s">
        <v>3054</v>
      </c>
      <c r="C1952" s="2141" t="s">
        <v>3161</v>
      </c>
      <c r="D1952" s="2141">
        <v>217</v>
      </c>
      <c r="E1952" s="2142">
        <v>72.739999999999995</v>
      </c>
      <c r="F1952" s="2142">
        <v>20530</v>
      </c>
      <c r="G1952" s="2142">
        <v>1493352.2</v>
      </c>
      <c r="H1952" s="2143">
        <v>42110</v>
      </c>
      <c r="I1952" s="2142">
        <v>333352</v>
      </c>
    </row>
    <row r="1953" spans="1:9" s="2139" customFormat="1" hidden="1">
      <c r="A1953" s="2140" t="s">
        <v>5817</v>
      </c>
      <c r="B1953" s="2141" t="s">
        <v>3057</v>
      </c>
      <c r="C1953" s="2141" t="s">
        <v>3161</v>
      </c>
      <c r="D1953" s="2141">
        <v>132</v>
      </c>
      <c r="E1953" s="2142">
        <v>60.05</v>
      </c>
      <c r="F1953" s="2142">
        <v>19570.009999999998</v>
      </c>
      <c r="G1953" s="2142">
        <v>1175179.1004999999</v>
      </c>
      <c r="H1953" s="2143">
        <v>42106</v>
      </c>
      <c r="I1953" s="2142">
        <v>1175179</v>
      </c>
    </row>
    <row r="1954" spans="1:9" s="2139" customFormat="1" hidden="1">
      <c r="A1954" s="2140" t="s">
        <v>5140</v>
      </c>
      <c r="B1954" s="2141" t="s">
        <v>3056</v>
      </c>
      <c r="C1954" s="2141" t="s">
        <v>3161</v>
      </c>
      <c r="D1954" s="2141">
        <v>85</v>
      </c>
      <c r="E1954" s="2142">
        <v>52.74</v>
      </c>
      <c r="F1954" s="2142">
        <v>19236</v>
      </c>
      <c r="G1954" s="2142">
        <v>1014506.64</v>
      </c>
      <c r="H1954" s="2143">
        <v>42104</v>
      </c>
      <c r="I1954" s="2142">
        <v>1014507</v>
      </c>
    </row>
    <row r="1955" spans="1:9" s="2139" customFormat="1" hidden="1">
      <c r="A1955" s="2140" t="s">
        <v>5168</v>
      </c>
      <c r="B1955" s="2141" t="s">
        <v>3056</v>
      </c>
      <c r="C1955" s="2141" t="s">
        <v>3161</v>
      </c>
      <c r="D1955" s="2141">
        <v>123</v>
      </c>
      <c r="E1955" s="2142">
        <v>88.83</v>
      </c>
      <c r="F1955" s="2142">
        <v>28118.996738274662</v>
      </c>
      <c r="G1955" s="2142">
        <v>2497811</v>
      </c>
      <c r="H1955" s="2143">
        <v>42103</v>
      </c>
      <c r="I1955" s="2142">
        <v>2497811</v>
      </c>
    </row>
    <row r="1956" spans="1:9" s="2139" customFormat="1" hidden="1">
      <c r="A1956" s="2140" t="s">
        <v>5179</v>
      </c>
      <c r="B1956" s="2141" t="s">
        <v>3056</v>
      </c>
      <c r="C1956" s="2141" t="s">
        <v>3161</v>
      </c>
      <c r="D1956" s="2141">
        <v>143</v>
      </c>
      <c r="E1956" s="2142">
        <v>103.51</v>
      </c>
      <c r="F1956" s="2142">
        <v>21115</v>
      </c>
      <c r="G1956" s="2142">
        <v>2185613.65</v>
      </c>
      <c r="H1956" s="2143">
        <v>42102</v>
      </c>
      <c r="I1956" s="2142">
        <v>2185614</v>
      </c>
    </row>
    <row r="1957" spans="1:9" s="2139" customFormat="1" hidden="1">
      <c r="A1957" s="2140" t="s">
        <v>5876</v>
      </c>
      <c r="B1957" s="2141" t="s">
        <v>3057</v>
      </c>
      <c r="C1957" s="2141" t="s">
        <v>3161</v>
      </c>
      <c r="D1957" s="2141">
        <v>220</v>
      </c>
      <c r="E1957" s="2142">
        <v>48.73</v>
      </c>
      <c r="F1957" s="2142">
        <v>18025.009999999998</v>
      </c>
      <c r="G1957" s="2142">
        <v>878358.73729999992</v>
      </c>
      <c r="H1957" s="2143">
        <v>42098</v>
      </c>
      <c r="I1957" s="2142">
        <v>878359</v>
      </c>
    </row>
    <row r="1958" spans="1:9" s="2139" customFormat="1" hidden="1">
      <c r="A1958" s="2140" t="s">
        <v>3825</v>
      </c>
      <c r="B1958" s="2141" t="s">
        <v>3054</v>
      </c>
      <c r="C1958" s="2141" t="s">
        <v>3161</v>
      </c>
      <c r="D1958" s="2141">
        <v>28</v>
      </c>
      <c r="E1958" s="2142">
        <v>68.8</v>
      </c>
      <c r="F1958" s="2142">
        <v>23800</v>
      </c>
      <c r="G1958" s="2142">
        <v>1637440</v>
      </c>
      <c r="H1958" s="2143">
        <v>42097</v>
      </c>
      <c r="I1958" s="2142">
        <v>1637440</v>
      </c>
    </row>
    <row r="1959" spans="1:9" s="2139" customFormat="1" hidden="1">
      <c r="A1959" s="2140" t="s">
        <v>3843</v>
      </c>
      <c r="B1959" s="2141" t="s">
        <v>3054</v>
      </c>
      <c r="C1959" s="2141" t="s">
        <v>3161</v>
      </c>
      <c r="D1959" s="2141">
        <v>52</v>
      </c>
      <c r="E1959" s="2142">
        <v>47.96</v>
      </c>
      <c r="F1959" s="2142">
        <v>17300</v>
      </c>
      <c r="G1959" s="2142">
        <v>829708</v>
      </c>
      <c r="H1959" s="2143">
        <v>42097</v>
      </c>
      <c r="I1959" s="2142">
        <v>829708</v>
      </c>
    </row>
    <row r="1960" spans="1:9" s="2139" customFormat="1" hidden="1">
      <c r="A1960" s="2140" t="s">
        <v>4464</v>
      </c>
      <c r="B1960" s="2141" t="s">
        <v>3055</v>
      </c>
      <c r="C1960" s="2141" t="s">
        <v>3161</v>
      </c>
      <c r="D1960" s="3396">
        <v>41</v>
      </c>
      <c r="E1960" s="2142">
        <v>44.2</v>
      </c>
      <c r="F1960" s="2142">
        <v>15629</v>
      </c>
      <c r="G1960" s="2142">
        <v>690801.8</v>
      </c>
      <c r="H1960" s="3557">
        <v>42097</v>
      </c>
      <c r="I1960" s="2142">
        <v>690802</v>
      </c>
    </row>
    <row r="1961" spans="1:9" s="2139" customFormat="1" hidden="1">
      <c r="A1961" s="2140" t="s">
        <v>4465</v>
      </c>
      <c r="B1961" s="2141" t="s">
        <v>3055</v>
      </c>
      <c r="C1961" s="2141" t="s">
        <v>3161</v>
      </c>
      <c r="D1961" s="3396">
        <v>42</v>
      </c>
      <c r="E1961" s="2142">
        <v>44.4</v>
      </c>
      <c r="F1961" s="2142">
        <v>15629</v>
      </c>
      <c r="G1961" s="2142">
        <v>693927.6</v>
      </c>
      <c r="H1961" s="3557">
        <v>42097</v>
      </c>
      <c r="I1961" s="2142">
        <v>693928</v>
      </c>
    </row>
    <row r="1962" spans="1:9" s="2139" customFormat="1" hidden="1">
      <c r="A1962" s="2140" t="s">
        <v>4479</v>
      </c>
      <c r="B1962" s="2141" t="s">
        <v>3055</v>
      </c>
      <c r="C1962" s="2141" t="s">
        <v>3161</v>
      </c>
      <c r="D1962" s="3396">
        <v>59</v>
      </c>
      <c r="E1962" s="2142">
        <v>44.15</v>
      </c>
      <c r="F1962" s="2142">
        <v>15160.13</v>
      </c>
      <c r="G1962" s="2142">
        <v>669319.73949999991</v>
      </c>
      <c r="H1962" s="3557">
        <v>42095</v>
      </c>
      <c r="I1962" s="2142">
        <v>669320</v>
      </c>
    </row>
    <row r="1963" spans="1:9" s="2139" customFormat="1" hidden="1">
      <c r="A1963" s="2140" t="s">
        <v>4521</v>
      </c>
      <c r="B1963" s="2141" t="s">
        <v>3055</v>
      </c>
      <c r="C1963" s="2141" t="s">
        <v>3161</v>
      </c>
      <c r="D1963" s="3396">
        <v>126</v>
      </c>
      <c r="E1963" s="2142">
        <v>67.400000000000006</v>
      </c>
      <c r="F1963" s="2142">
        <v>21174.13</v>
      </c>
      <c r="G1963" s="2142">
        <v>1427136.3620000002</v>
      </c>
      <c r="H1963" s="3557">
        <v>42095</v>
      </c>
      <c r="I1963" s="2142">
        <v>1427136</v>
      </c>
    </row>
    <row r="1964" spans="1:9" s="2139" customFormat="1" hidden="1">
      <c r="A1964" s="2140" t="s">
        <v>4471</v>
      </c>
      <c r="B1964" s="2141" t="s">
        <v>3055</v>
      </c>
      <c r="C1964" s="2141" t="s">
        <v>3161</v>
      </c>
      <c r="D1964" s="3396">
        <v>49</v>
      </c>
      <c r="E1964" s="2142">
        <v>27.49</v>
      </c>
      <c r="F1964" s="2142">
        <v>19206</v>
      </c>
      <c r="G1964" s="2142">
        <v>527972.93999999994</v>
      </c>
      <c r="H1964" s="3557">
        <v>42094</v>
      </c>
      <c r="I1964" s="2142">
        <v>527973</v>
      </c>
    </row>
    <row r="1965" spans="1:9" s="2139" customFormat="1" hidden="1">
      <c r="A1965" s="2140" t="s">
        <v>4476</v>
      </c>
      <c r="B1965" s="2141" t="s">
        <v>3055</v>
      </c>
      <c r="C1965" s="2141" t="s">
        <v>3161</v>
      </c>
      <c r="D1965" s="3396">
        <v>56</v>
      </c>
      <c r="E1965" s="2142">
        <v>44.15</v>
      </c>
      <c r="F1965" s="2142">
        <v>19800</v>
      </c>
      <c r="G1965" s="2142">
        <v>874170</v>
      </c>
      <c r="H1965" s="3557">
        <v>42088</v>
      </c>
      <c r="I1965" s="2142">
        <v>874170</v>
      </c>
    </row>
    <row r="1966" spans="1:9" s="2139" customFormat="1" hidden="1">
      <c r="A1966" s="2140" t="s">
        <v>4477</v>
      </c>
      <c r="B1966" s="2141" t="s">
        <v>3055</v>
      </c>
      <c r="C1966" s="2141" t="s">
        <v>3161</v>
      </c>
      <c r="D1966" s="3396">
        <v>57</v>
      </c>
      <c r="E1966" s="2142">
        <v>48.3</v>
      </c>
      <c r="F1966" s="2142">
        <v>23800</v>
      </c>
      <c r="G1966" s="2142">
        <v>1149540</v>
      </c>
      <c r="H1966" s="3557">
        <v>42088</v>
      </c>
      <c r="I1966" s="2142">
        <v>1149540</v>
      </c>
    </row>
    <row r="1967" spans="1:9" s="2139" customFormat="1" hidden="1">
      <c r="A1967" s="2140" t="s">
        <v>5872</v>
      </c>
      <c r="B1967" s="2141" t="s">
        <v>3057</v>
      </c>
      <c r="C1967" s="2141" t="s">
        <v>3161</v>
      </c>
      <c r="D1967" s="2141">
        <v>206</v>
      </c>
      <c r="E1967" s="2142">
        <v>64.36</v>
      </c>
      <c r="F1967" s="2142">
        <v>15759</v>
      </c>
      <c r="G1967" s="2142">
        <v>1014249.24</v>
      </c>
      <c r="H1967" s="2143">
        <v>42069</v>
      </c>
      <c r="I1967" s="2142">
        <v>524249</v>
      </c>
    </row>
    <row r="1968" spans="1:9" s="2139" customFormat="1" hidden="1">
      <c r="A1968" s="2140" t="s">
        <v>5873</v>
      </c>
      <c r="B1968" s="2141" t="s">
        <v>3057</v>
      </c>
      <c r="C1968" s="2141" t="s">
        <v>3161</v>
      </c>
      <c r="D1968" s="2141">
        <v>207</v>
      </c>
      <c r="E1968" s="2142">
        <v>64.36</v>
      </c>
      <c r="F1968" s="2142">
        <v>15759</v>
      </c>
      <c r="G1968" s="2142">
        <v>1014249.24</v>
      </c>
      <c r="H1968" s="2143">
        <v>42069</v>
      </c>
      <c r="I1968" s="2142">
        <v>1014249</v>
      </c>
    </row>
    <row r="1969" spans="1:9" s="2139" customFormat="1" hidden="1">
      <c r="A1969" s="2140" t="s">
        <v>5874</v>
      </c>
      <c r="B1969" s="2141" t="s">
        <v>3057</v>
      </c>
      <c r="C1969" s="2141" t="s">
        <v>3161</v>
      </c>
      <c r="D1969" s="2141">
        <v>208</v>
      </c>
      <c r="E1969" s="2142">
        <v>64.36</v>
      </c>
      <c r="F1969" s="2142">
        <v>15759</v>
      </c>
      <c r="G1969" s="2142">
        <v>1014249.24</v>
      </c>
      <c r="H1969" s="2143">
        <v>42069</v>
      </c>
      <c r="I1969" s="2142">
        <v>1014249</v>
      </c>
    </row>
    <row r="1970" spans="1:9" s="2139" customFormat="1" hidden="1">
      <c r="A1970" s="2140" t="s">
        <v>4541</v>
      </c>
      <c r="B1970" s="2141" t="s">
        <v>3055</v>
      </c>
      <c r="C1970" s="2141" t="s">
        <v>3161</v>
      </c>
      <c r="D1970" s="3396">
        <v>158</v>
      </c>
      <c r="E1970" s="2142">
        <v>32.06</v>
      </c>
      <c r="F1970" s="2142">
        <v>22727.08</v>
      </c>
      <c r="G1970" s="2142">
        <v>728630.18480000016</v>
      </c>
      <c r="H1970" s="3557">
        <v>42060</v>
      </c>
      <c r="I1970" s="2142">
        <v>728630</v>
      </c>
    </row>
    <row r="1971" spans="1:9" s="2139" customFormat="1" hidden="1">
      <c r="A1971" s="2140" t="s">
        <v>4507</v>
      </c>
      <c r="B1971" s="2141" t="s">
        <v>3055</v>
      </c>
      <c r="C1971" s="2141" t="s">
        <v>3161</v>
      </c>
      <c r="D1971" s="3396">
        <v>107</v>
      </c>
      <c r="E1971" s="2142">
        <v>79.94</v>
      </c>
      <c r="F1971" s="2142">
        <v>21174.12</v>
      </c>
      <c r="G1971" s="2142">
        <v>1692659.1527999998</v>
      </c>
      <c r="H1971" s="3557">
        <v>42052</v>
      </c>
      <c r="I1971" s="2142">
        <v>1692659</v>
      </c>
    </row>
    <row r="1972" spans="1:9" s="2139" customFormat="1" hidden="1">
      <c r="A1972" s="2140" t="s">
        <v>5243</v>
      </c>
      <c r="B1972" s="2141" t="s">
        <v>3056</v>
      </c>
      <c r="C1972" s="2141" t="s">
        <v>3161</v>
      </c>
      <c r="D1972" s="2141">
        <v>225</v>
      </c>
      <c r="E1972" s="2142">
        <v>48.01</v>
      </c>
      <c r="F1972" s="2142">
        <v>19482.46</v>
      </c>
      <c r="G1972" s="2142">
        <v>935352.90459999989</v>
      </c>
      <c r="H1972" s="2143">
        <v>42045</v>
      </c>
      <c r="I1972" s="2142">
        <v>935353</v>
      </c>
    </row>
    <row r="1973" spans="1:9" s="2139" customFormat="1" hidden="1">
      <c r="A1973" s="2140" t="s">
        <v>5185</v>
      </c>
      <c r="B1973" s="2141" t="s">
        <v>3056</v>
      </c>
      <c r="C1973" s="2141" t="s">
        <v>3161</v>
      </c>
      <c r="D1973" s="2141">
        <v>151</v>
      </c>
      <c r="E1973" s="2142">
        <v>94.73</v>
      </c>
      <c r="F1973" s="2142">
        <v>28119</v>
      </c>
      <c r="G1973" s="2142">
        <v>2663712.87</v>
      </c>
      <c r="H1973" s="2143">
        <v>42040</v>
      </c>
      <c r="I1973" s="2142">
        <v>2663713</v>
      </c>
    </row>
    <row r="1974" spans="1:9" s="2139" customFormat="1" hidden="1">
      <c r="A1974" s="2140" t="s">
        <v>5871</v>
      </c>
      <c r="B1974" s="2141" t="s">
        <v>3057</v>
      </c>
      <c r="C1974" s="2141" t="s">
        <v>3161</v>
      </c>
      <c r="D1974" s="2141">
        <v>205</v>
      </c>
      <c r="E1974" s="2142">
        <v>111.84</v>
      </c>
      <c r="F1974" s="2142">
        <v>15759</v>
      </c>
      <c r="G1974" s="2142">
        <v>1762486.56</v>
      </c>
      <c r="H1974" s="2143">
        <v>42032</v>
      </c>
      <c r="I1974" s="2142">
        <v>1762487</v>
      </c>
    </row>
    <row r="1975" spans="1:9" s="2139" customFormat="1" hidden="1">
      <c r="A1975" s="2140" t="s">
        <v>3863</v>
      </c>
      <c r="B1975" s="2141" t="s">
        <v>3054</v>
      </c>
      <c r="C1975" s="2141" t="s">
        <v>3161</v>
      </c>
      <c r="D1975" s="2141">
        <v>80</v>
      </c>
      <c r="E1975" s="2142">
        <v>78.349999999999994</v>
      </c>
      <c r="F1975" s="2142">
        <v>23800</v>
      </c>
      <c r="G1975" s="2142">
        <v>1864729.9999999998</v>
      </c>
      <c r="H1975" s="2143">
        <v>42026</v>
      </c>
      <c r="I1975" s="2142">
        <v>1864730</v>
      </c>
    </row>
    <row r="1976" spans="1:9" s="2139" customFormat="1" hidden="1">
      <c r="A1976" s="2140" t="s">
        <v>5101</v>
      </c>
      <c r="B1976" s="2141" t="s">
        <v>3056</v>
      </c>
      <c r="C1976" s="2141" t="s">
        <v>3161</v>
      </c>
      <c r="D1976" s="2141">
        <v>13</v>
      </c>
      <c r="E1976" s="2142">
        <v>41.12</v>
      </c>
      <c r="F1976" s="2142">
        <v>20085</v>
      </c>
      <c r="G1976" s="2142">
        <v>825895.2</v>
      </c>
      <c r="H1976" s="2143">
        <v>42002</v>
      </c>
      <c r="I1976" s="2142">
        <v>825895</v>
      </c>
    </row>
    <row r="1977" spans="1:9" s="2139" customFormat="1" hidden="1">
      <c r="A1977" s="2140" t="s">
        <v>5102</v>
      </c>
      <c r="B1977" s="2141" t="s">
        <v>3056</v>
      </c>
      <c r="C1977" s="2141" t="s">
        <v>3161</v>
      </c>
      <c r="D1977" s="2141">
        <v>15</v>
      </c>
      <c r="E1977" s="2142">
        <v>41.12</v>
      </c>
      <c r="F1977" s="2142">
        <v>20085</v>
      </c>
      <c r="G1977" s="2142">
        <v>825895.2</v>
      </c>
      <c r="H1977" s="2143">
        <v>42002</v>
      </c>
      <c r="I1977" s="2142">
        <v>825895</v>
      </c>
    </row>
    <row r="1978" spans="1:9" s="2139" customFormat="1" hidden="1">
      <c r="A1978" s="2140" t="s">
        <v>4513</v>
      </c>
      <c r="B1978" s="2141" t="s">
        <v>3055</v>
      </c>
      <c r="C1978" s="2141" t="s">
        <v>3161</v>
      </c>
      <c r="D1978" s="3396">
        <v>117</v>
      </c>
      <c r="E1978" s="2142">
        <v>46.55</v>
      </c>
      <c r="F1978" s="2142">
        <v>22329</v>
      </c>
      <c r="G1978" s="2142">
        <v>1039414.95</v>
      </c>
      <c r="H1978" s="3557">
        <v>42001</v>
      </c>
      <c r="I1978" s="2142">
        <v>1039415</v>
      </c>
    </row>
    <row r="1979" spans="1:9" s="2139" customFormat="1" hidden="1">
      <c r="A1979" s="2140" t="s">
        <v>4573</v>
      </c>
      <c r="B1979" s="2141" t="s">
        <v>3055</v>
      </c>
      <c r="C1979" s="2141" t="s">
        <v>3161</v>
      </c>
      <c r="D1979" s="3396">
        <v>202</v>
      </c>
      <c r="E1979" s="2142">
        <v>67.41</v>
      </c>
      <c r="F1979" s="2142">
        <v>21829</v>
      </c>
      <c r="G1979" s="2142">
        <v>1471492.89</v>
      </c>
      <c r="H1979" s="3557">
        <v>41999</v>
      </c>
      <c r="I1979" s="2142">
        <v>1471493</v>
      </c>
    </row>
    <row r="1980" spans="1:9" s="2139" customFormat="1" hidden="1">
      <c r="A1980" s="2140" t="s">
        <v>4506</v>
      </c>
      <c r="B1980" s="2141" t="s">
        <v>3055</v>
      </c>
      <c r="C1980" s="2141" t="s">
        <v>3161</v>
      </c>
      <c r="D1980" s="3396">
        <v>102</v>
      </c>
      <c r="E1980" s="2142">
        <v>56.65</v>
      </c>
      <c r="F1980" s="2142">
        <v>20529</v>
      </c>
      <c r="G1980" s="2142">
        <v>1162967.8499999999</v>
      </c>
      <c r="H1980" s="3557">
        <v>41997</v>
      </c>
      <c r="I1980" s="2142">
        <v>1162968</v>
      </c>
    </row>
    <row r="1981" spans="1:9" s="2139" customFormat="1" hidden="1">
      <c r="A1981" s="2140" t="s">
        <v>5105</v>
      </c>
      <c r="B1981" s="2141" t="s">
        <v>3056</v>
      </c>
      <c r="C1981" s="2141" t="s">
        <v>3161</v>
      </c>
      <c r="D1981" s="2141">
        <v>21</v>
      </c>
      <c r="E1981" s="2142">
        <v>41.12</v>
      </c>
      <c r="F1981" s="2142">
        <v>20085</v>
      </c>
      <c r="G1981" s="2142">
        <v>825895.2</v>
      </c>
      <c r="H1981" s="2143">
        <v>41990</v>
      </c>
      <c r="I1981" s="2142">
        <v>825895</v>
      </c>
    </row>
    <row r="1982" spans="1:9" s="2139" customFormat="1" hidden="1">
      <c r="A1982" s="2140" t="s">
        <v>4443</v>
      </c>
      <c r="B1982" s="2141" t="s">
        <v>3055</v>
      </c>
      <c r="C1982" s="2141" t="s">
        <v>3161</v>
      </c>
      <c r="D1982" s="3396">
        <v>12</v>
      </c>
      <c r="E1982" s="2142">
        <v>39.479999999999997</v>
      </c>
      <c r="F1982" s="2142">
        <v>21300</v>
      </c>
      <c r="G1982" s="2142">
        <v>840923.99999999988</v>
      </c>
      <c r="H1982" s="3557">
        <v>41986</v>
      </c>
      <c r="I1982" s="2142">
        <v>840924</v>
      </c>
    </row>
    <row r="1983" spans="1:9" s="2139" customFormat="1" hidden="1">
      <c r="A1983" s="2140" t="s">
        <v>4586</v>
      </c>
      <c r="B1983" s="2141" t="s">
        <v>3055</v>
      </c>
      <c r="C1983" s="2141" t="s">
        <v>3161</v>
      </c>
      <c r="D1983" s="3396">
        <v>217</v>
      </c>
      <c r="E1983" s="2142">
        <v>38.43</v>
      </c>
      <c r="F1983" s="2142">
        <v>21300</v>
      </c>
      <c r="G1983" s="2142">
        <v>818559</v>
      </c>
      <c r="H1983" s="3557">
        <v>41986</v>
      </c>
      <c r="I1983" s="2142">
        <v>818559</v>
      </c>
    </row>
    <row r="1984" spans="1:9" s="2139" customFormat="1" hidden="1">
      <c r="A1984" s="2140" t="s">
        <v>5122</v>
      </c>
      <c r="B1984" s="2141" t="s">
        <v>3056</v>
      </c>
      <c r="C1984" s="2141" t="s">
        <v>3161</v>
      </c>
      <c r="D1984" s="2141">
        <v>59</v>
      </c>
      <c r="E1984" s="2142">
        <v>33.71</v>
      </c>
      <c r="F1984" s="2142">
        <v>16789</v>
      </c>
      <c r="G1984" s="2142">
        <v>565957.19000000006</v>
      </c>
      <c r="H1984" s="2143">
        <v>41985</v>
      </c>
      <c r="I1984" s="2142">
        <v>565957</v>
      </c>
    </row>
    <row r="1985" spans="1:9" s="2139" customFormat="1" hidden="1">
      <c r="A1985" s="2140" t="s">
        <v>5189</v>
      </c>
      <c r="B1985" s="2141" t="s">
        <v>3056</v>
      </c>
      <c r="C1985" s="2141" t="s">
        <v>3161</v>
      </c>
      <c r="D1985" s="2141">
        <v>156</v>
      </c>
      <c r="E1985" s="2142">
        <v>140.26</v>
      </c>
      <c r="F1985" s="2142">
        <v>27604</v>
      </c>
      <c r="G1985" s="2142">
        <v>3871737.0399999996</v>
      </c>
      <c r="H1985" s="2143">
        <v>41985</v>
      </c>
      <c r="I1985" s="2142">
        <v>795476</v>
      </c>
    </row>
    <row r="1986" spans="1:9" s="2139" customFormat="1" hidden="1">
      <c r="A1986" s="2140" t="s">
        <v>5773</v>
      </c>
      <c r="B1986" s="2141" t="s">
        <v>3057</v>
      </c>
      <c r="C1986" s="2141" t="s">
        <v>3161</v>
      </c>
      <c r="D1986" s="2141">
        <v>75</v>
      </c>
      <c r="E1986" s="2142">
        <v>48.32</v>
      </c>
      <c r="F1986" s="2142">
        <v>23175</v>
      </c>
      <c r="G1986" s="2142">
        <v>1119816</v>
      </c>
      <c r="H1986" s="2143">
        <v>41985</v>
      </c>
      <c r="I1986" s="2142">
        <v>234451</v>
      </c>
    </row>
    <row r="1987" spans="1:9" s="2139" customFormat="1" hidden="1">
      <c r="A1987" s="2140" t="s">
        <v>3864</v>
      </c>
      <c r="B1987" s="2141" t="s">
        <v>3054</v>
      </c>
      <c r="C1987" s="2141" t="s">
        <v>3161</v>
      </c>
      <c r="D1987" s="2141">
        <v>81</v>
      </c>
      <c r="E1987" s="2142">
        <v>92.36</v>
      </c>
      <c r="F1987" s="2142">
        <v>24100</v>
      </c>
      <c r="G1987" s="2142">
        <v>2225876</v>
      </c>
      <c r="H1987" s="2143">
        <v>41979</v>
      </c>
      <c r="I1987" s="2142">
        <v>459009</v>
      </c>
    </row>
    <row r="1988" spans="1:9" s="2139" customFormat="1" hidden="1">
      <c r="A1988" s="2140" t="s">
        <v>5106</v>
      </c>
      <c r="B1988" s="2141" t="s">
        <v>3056</v>
      </c>
      <c r="C1988" s="2141" t="s">
        <v>3161</v>
      </c>
      <c r="D1988" s="2141">
        <v>22</v>
      </c>
      <c r="E1988" s="2142">
        <v>41.12</v>
      </c>
      <c r="F1988" s="2142">
        <v>20085</v>
      </c>
      <c r="G1988" s="2142">
        <v>825895.2</v>
      </c>
      <c r="H1988" s="2143">
        <v>41975</v>
      </c>
      <c r="I1988" s="2142">
        <v>825895</v>
      </c>
    </row>
    <row r="1989" spans="1:9" s="2139" customFormat="1" hidden="1">
      <c r="A1989" s="2140" t="s">
        <v>5771</v>
      </c>
      <c r="B1989" s="2141" t="s">
        <v>3057</v>
      </c>
      <c r="C1989" s="2141" t="s">
        <v>3161</v>
      </c>
      <c r="D1989" s="2141">
        <v>68</v>
      </c>
      <c r="E1989" s="2142">
        <v>145.44</v>
      </c>
      <c r="F1989" s="2142">
        <v>28119</v>
      </c>
      <c r="G1989" s="2142">
        <v>4089627.36</v>
      </c>
      <c r="H1989" s="2143">
        <v>41967</v>
      </c>
      <c r="I1989" s="2142">
        <v>827061</v>
      </c>
    </row>
    <row r="1990" spans="1:9" s="2139" customFormat="1" hidden="1">
      <c r="A1990" s="2140" t="s">
        <v>5805</v>
      </c>
      <c r="B1990" s="2141" t="s">
        <v>3057</v>
      </c>
      <c r="C1990" s="2141" t="s">
        <v>3161</v>
      </c>
      <c r="D1990" s="2141">
        <v>119</v>
      </c>
      <c r="E1990" s="2142">
        <v>70.239999999999995</v>
      </c>
      <c r="F1990" s="2142">
        <v>27604</v>
      </c>
      <c r="G1990" s="2142">
        <v>1938904.96</v>
      </c>
      <c r="H1990" s="2143">
        <v>41967</v>
      </c>
      <c r="I1990" s="2142">
        <v>978905</v>
      </c>
    </row>
    <row r="1991" spans="1:9" s="2139" customFormat="1" hidden="1">
      <c r="A1991" s="2140" t="s">
        <v>4547</v>
      </c>
      <c r="B1991" s="2141" t="s">
        <v>3055</v>
      </c>
      <c r="C1991" s="2141" t="s">
        <v>3161</v>
      </c>
      <c r="D1991" s="3396">
        <v>165</v>
      </c>
      <c r="E1991" s="2142">
        <v>47.38</v>
      </c>
      <c r="F1991" s="2142">
        <v>15829</v>
      </c>
      <c r="G1991" s="2142">
        <v>749978.02</v>
      </c>
      <c r="H1991" s="3557">
        <v>41962</v>
      </c>
      <c r="I1991" s="2142">
        <v>749978</v>
      </c>
    </row>
    <row r="1992" spans="1:9" s="2139" customFormat="1" hidden="1">
      <c r="A1992" s="2140" t="s">
        <v>4605</v>
      </c>
      <c r="B1992" s="2141" t="s">
        <v>3055</v>
      </c>
      <c r="C1992" s="2141" t="s">
        <v>3161</v>
      </c>
      <c r="D1992" s="3396">
        <v>243</v>
      </c>
      <c r="E1992" s="2142">
        <v>38.380000000000003</v>
      </c>
      <c r="F1992" s="2142">
        <v>21273.94</v>
      </c>
      <c r="G1992" s="2142">
        <v>816493.81720000005</v>
      </c>
      <c r="H1992" s="3557">
        <v>41962</v>
      </c>
      <c r="I1992" s="2142">
        <v>416494</v>
      </c>
    </row>
    <row r="1993" spans="1:9" s="2139" customFormat="1" hidden="1">
      <c r="A1993" s="2140" t="s">
        <v>5831</v>
      </c>
      <c r="B1993" s="2141" t="s">
        <v>3057</v>
      </c>
      <c r="C1993" s="2141" t="s">
        <v>3161</v>
      </c>
      <c r="D1993" s="2141">
        <v>151</v>
      </c>
      <c r="E1993" s="2142">
        <v>36.89</v>
      </c>
      <c r="F1993" s="2142">
        <v>19570</v>
      </c>
      <c r="G1993" s="2142">
        <v>721937.3</v>
      </c>
      <c r="H1993" s="2143">
        <v>41959</v>
      </c>
      <c r="I1993" s="2142">
        <v>155069</v>
      </c>
    </row>
    <row r="1994" spans="1:9" s="2139" customFormat="1" hidden="1">
      <c r="A1994" s="2140" t="s">
        <v>5801</v>
      </c>
      <c r="B1994" s="2141" t="s">
        <v>3057</v>
      </c>
      <c r="C1994" s="2141" t="s">
        <v>3161</v>
      </c>
      <c r="D1994" s="2141">
        <v>115</v>
      </c>
      <c r="E1994" s="2142">
        <v>70.239999999999995</v>
      </c>
      <c r="F1994" s="2142">
        <v>27604</v>
      </c>
      <c r="G1994" s="2142">
        <v>1938904.96</v>
      </c>
      <c r="H1994" s="2143">
        <v>41958</v>
      </c>
      <c r="I1994" s="2142">
        <v>1938905</v>
      </c>
    </row>
    <row r="1995" spans="1:9" s="2139" customFormat="1" hidden="1">
      <c r="A1995" s="2140" t="s">
        <v>5809</v>
      </c>
      <c r="B1995" s="2141" t="s">
        <v>3057</v>
      </c>
      <c r="C1995" s="2141" t="s">
        <v>3161</v>
      </c>
      <c r="D1995" s="2141">
        <v>123</v>
      </c>
      <c r="E1995" s="2142">
        <v>77.760000000000005</v>
      </c>
      <c r="F1995" s="2142">
        <v>28119</v>
      </c>
      <c r="G1995" s="2142">
        <v>2186533.44</v>
      </c>
      <c r="H1995" s="2143">
        <v>41955</v>
      </c>
      <c r="I1995" s="2142">
        <v>2186533</v>
      </c>
    </row>
    <row r="1996" spans="1:9" s="2139" customFormat="1" hidden="1">
      <c r="A1996" s="2140" t="s">
        <v>5130</v>
      </c>
      <c r="B1996" s="2141" t="s">
        <v>3056</v>
      </c>
      <c r="C1996" s="2141" t="s">
        <v>3161</v>
      </c>
      <c r="D1996" s="2141">
        <v>71</v>
      </c>
      <c r="E1996" s="2142">
        <v>43.41</v>
      </c>
      <c r="F1996" s="2142">
        <v>26059</v>
      </c>
      <c r="G1996" s="2142">
        <v>1131221.19</v>
      </c>
      <c r="H1996" s="2143">
        <v>41954</v>
      </c>
      <c r="I1996" s="2142">
        <v>1131221</v>
      </c>
    </row>
    <row r="1997" spans="1:9" s="2139" customFormat="1" hidden="1">
      <c r="A1997" s="2140" t="s">
        <v>5808</v>
      </c>
      <c r="B1997" s="2141" t="s">
        <v>3057</v>
      </c>
      <c r="C1997" s="2141" t="s">
        <v>3161</v>
      </c>
      <c r="D1997" s="2141">
        <v>122</v>
      </c>
      <c r="E1997" s="2142">
        <v>70.239999999999995</v>
      </c>
      <c r="F1997" s="2142">
        <v>27604</v>
      </c>
      <c r="G1997" s="2142">
        <v>1938904.96</v>
      </c>
      <c r="H1997" s="2143">
        <v>41954</v>
      </c>
      <c r="I1997" s="2142">
        <v>778905</v>
      </c>
    </row>
    <row r="1998" spans="1:9" s="2139" customFormat="1" hidden="1">
      <c r="A1998" s="2140" t="s">
        <v>5779</v>
      </c>
      <c r="B1998" s="2141" t="s">
        <v>3057</v>
      </c>
      <c r="C1998" s="2141" t="s">
        <v>3161</v>
      </c>
      <c r="D1998" s="2141">
        <v>88</v>
      </c>
      <c r="E1998" s="2142">
        <v>70.5</v>
      </c>
      <c r="F1998" s="2142">
        <v>24205</v>
      </c>
      <c r="G1998" s="2142">
        <v>1706453</v>
      </c>
      <c r="H1998" s="2143">
        <v>41953</v>
      </c>
      <c r="I1998" s="2142">
        <v>1719765</v>
      </c>
    </row>
    <row r="1999" spans="1:9" s="2139" customFormat="1" hidden="1">
      <c r="A1999" s="2140" t="s">
        <v>5161</v>
      </c>
      <c r="B1999" s="2141" t="s">
        <v>3056</v>
      </c>
      <c r="C1999" s="2141" t="s">
        <v>3161</v>
      </c>
      <c r="D1999" s="2141">
        <v>115</v>
      </c>
      <c r="E1999" s="2142">
        <v>42.02</v>
      </c>
      <c r="F1999" s="2142">
        <v>20085</v>
      </c>
      <c r="G1999" s="2142">
        <v>843971.70000000007</v>
      </c>
      <c r="H1999" s="2143">
        <v>41952</v>
      </c>
      <c r="I1999" s="2142">
        <v>235436</v>
      </c>
    </row>
    <row r="2000" spans="1:9" s="2139" customFormat="1" hidden="1">
      <c r="A2000" s="2140" t="s">
        <v>5196</v>
      </c>
      <c r="B2000" s="2141" t="s">
        <v>3056</v>
      </c>
      <c r="C2000" s="2141" t="s">
        <v>3161</v>
      </c>
      <c r="D2000" s="2141">
        <v>163</v>
      </c>
      <c r="E2000" s="2142">
        <v>61.32</v>
      </c>
      <c r="F2000" s="2142">
        <v>16274</v>
      </c>
      <c r="G2000" s="2142">
        <v>997921.68</v>
      </c>
      <c r="H2000" s="2143">
        <v>41952</v>
      </c>
      <c r="I2000" s="2142">
        <v>217922</v>
      </c>
    </row>
    <row r="2001" spans="1:9" s="2139" customFormat="1" hidden="1">
      <c r="A2001" s="2140" t="s">
        <v>5231</v>
      </c>
      <c r="B2001" s="2141" t="s">
        <v>3056</v>
      </c>
      <c r="C2001" s="2141" t="s">
        <v>3161</v>
      </c>
      <c r="D2001" s="2141">
        <v>210</v>
      </c>
      <c r="E2001" s="2142">
        <v>48.01</v>
      </c>
      <c r="F2001" s="2142">
        <v>20085</v>
      </c>
      <c r="G2001" s="2142">
        <v>964280.85</v>
      </c>
      <c r="H2001" s="2143">
        <v>41952</v>
      </c>
      <c r="I2001" s="2142">
        <v>204281</v>
      </c>
    </row>
    <row r="2002" spans="1:9" s="2139" customFormat="1" hidden="1">
      <c r="A2002" s="2140" t="s">
        <v>3879</v>
      </c>
      <c r="B2002" s="2141" t="s">
        <v>3054</v>
      </c>
      <c r="C2002" s="2141" t="s">
        <v>3161</v>
      </c>
      <c r="D2002" s="2141">
        <v>111</v>
      </c>
      <c r="E2002" s="2142">
        <v>89.06</v>
      </c>
      <c r="F2002" s="2142">
        <v>24100</v>
      </c>
      <c r="G2002" s="2142">
        <v>2146346</v>
      </c>
      <c r="H2002" s="2143">
        <v>41951</v>
      </c>
      <c r="I2002" s="2142">
        <v>2146346</v>
      </c>
    </row>
    <row r="2003" spans="1:9" s="2139" customFormat="1" hidden="1">
      <c r="A2003" s="2140" t="s">
        <v>5766</v>
      </c>
      <c r="B2003" s="2141" t="s">
        <v>3057</v>
      </c>
      <c r="C2003" s="2141" t="s">
        <v>3161</v>
      </c>
      <c r="D2003" s="2141">
        <v>60</v>
      </c>
      <c r="E2003" s="2142">
        <v>73.5</v>
      </c>
      <c r="F2003" s="2142">
        <v>23175</v>
      </c>
      <c r="G2003" s="2142">
        <v>1703362.5</v>
      </c>
      <c r="H2003" s="2143">
        <v>41949</v>
      </c>
      <c r="I2003" s="2142">
        <v>353363</v>
      </c>
    </row>
    <row r="2004" spans="1:9" s="2139" customFormat="1" hidden="1">
      <c r="A2004" s="2140" t="s">
        <v>5769</v>
      </c>
      <c r="B2004" s="2141" t="s">
        <v>3057</v>
      </c>
      <c r="C2004" s="2141" t="s">
        <v>3161</v>
      </c>
      <c r="D2004" s="2141">
        <v>66</v>
      </c>
      <c r="E2004" s="2142">
        <v>56.01</v>
      </c>
      <c r="F2004" s="2142">
        <v>17201</v>
      </c>
      <c r="G2004" s="2142">
        <v>963428.01</v>
      </c>
      <c r="H2004" s="2143">
        <v>41949</v>
      </c>
      <c r="I2004" s="2142">
        <v>203428</v>
      </c>
    </row>
    <row r="2005" spans="1:9" s="2139" customFormat="1" hidden="1">
      <c r="A2005" s="2140" t="s">
        <v>3900</v>
      </c>
      <c r="B2005" s="2141" t="s">
        <v>3054</v>
      </c>
      <c r="C2005" s="2141" t="s">
        <v>3161</v>
      </c>
      <c r="D2005" s="2141">
        <v>168</v>
      </c>
      <c r="E2005" s="2142">
        <v>76.72</v>
      </c>
      <c r="F2005" s="2142">
        <v>19800</v>
      </c>
      <c r="G2005" s="2142">
        <v>1519056</v>
      </c>
      <c r="H2005" s="2143">
        <v>41948</v>
      </c>
      <c r="I2005" s="2142">
        <v>1519056</v>
      </c>
    </row>
    <row r="2006" spans="1:9" s="2139" customFormat="1" hidden="1">
      <c r="A2006" s="2140" t="s">
        <v>3925</v>
      </c>
      <c r="B2006" s="2141" t="s">
        <v>3054</v>
      </c>
      <c r="C2006" s="2141" t="s">
        <v>3161</v>
      </c>
      <c r="D2006" s="2141">
        <v>196</v>
      </c>
      <c r="E2006" s="2142">
        <v>42.22</v>
      </c>
      <c r="F2006" s="2142">
        <v>19800</v>
      </c>
      <c r="G2006" s="2142">
        <v>835956</v>
      </c>
      <c r="H2006" s="2143">
        <v>41948</v>
      </c>
      <c r="I2006" s="2142">
        <v>835956</v>
      </c>
    </row>
    <row r="2007" spans="1:9" s="2139" customFormat="1" hidden="1">
      <c r="A2007" s="2140" t="s">
        <v>3953</v>
      </c>
      <c r="B2007" s="2141" t="s">
        <v>3054</v>
      </c>
      <c r="C2007" s="2141" t="s">
        <v>3161</v>
      </c>
      <c r="D2007" s="2141">
        <v>227</v>
      </c>
      <c r="E2007" s="2142">
        <v>37.9</v>
      </c>
      <c r="F2007" s="2142">
        <v>19800</v>
      </c>
      <c r="G2007" s="2142">
        <v>750420</v>
      </c>
      <c r="H2007" s="2143">
        <v>41948</v>
      </c>
      <c r="I2007" s="2142">
        <v>750420</v>
      </c>
    </row>
    <row r="2008" spans="1:9" s="2139" customFormat="1" hidden="1">
      <c r="A2008" s="2140" t="s">
        <v>5850</v>
      </c>
      <c r="B2008" s="2141" t="s">
        <v>3057</v>
      </c>
      <c r="C2008" s="2141" t="s">
        <v>3161</v>
      </c>
      <c r="D2008" s="2141">
        <v>178</v>
      </c>
      <c r="E2008" s="2142">
        <v>79.81</v>
      </c>
      <c r="F2008" s="2142">
        <v>22145</v>
      </c>
      <c r="G2008" s="2142">
        <v>1767392.45</v>
      </c>
      <c r="H2008" s="2143">
        <v>41948</v>
      </c>
      <c r="I2008" s="2142">
        <v>367392</v>
      </c>
    </row>
    <row r="2009" spans="1:9" s="2139" customFormat="1" hidden="1">
      <c r="A2009" s="2140" t="s">
        <v>5117</v>
      </c>
      <c r="B2009" s="2141" t="s">
        <v>3056</v>
      </c>
      <c r="C2009" s="2141" t="s">
        <v>3161</v>
      </c>
      <c r="D2009" s="2141">
        <v>45</v>
      </c>
      <c r="E2009" s="2142">
        <v>47.49</v>
      </c>
      <c r="F2009" s="2142">
        <v>19055</v>
      </c>
      <c r="G2009" s="2142">
        <v>904921.95000000007</v>
      </c>
      <c r="H2009" s="2143">
        <v>41946</v>
      </c>
      <c r="I2009" s="2142">
        <v>904922</v>
      </c>
    </row>
    <row r="2010" spans="1:9" s="2139" customFormat="1" hidden="1">
      <c r="A2010" s="2140" t="s">
        <v>5132</v>
      </c>
      <c r="B2010" s="2141" t="s">
        <v>3056</v>
      </c>
      <c r="C2010" s="2141" t="s">
        <v>3161</v>
      </c>
      <c r="D2010" s="2141">
        <v>73</v>
      </c>
      <c r="E2010" s="2142">
        <v>47.22</v>
      </c>
      <c r="F2010" s="2142">
        <v>25544</v>
      </c>
      <c r="G2010" s="2142">
        <v>1206187.68</v>
      </c>
      <c r="H2010" s="2143">
        <v>41946</v>
      </c>
      <c r="I2010" s="2142">
        <v>1206188</v>
      </c>
    </row>
    <row r="2011" spans="1:9" s="2139" customFormat="1" hidden="1">
      <c r="A2011" s="2140" t="s">
        <v>5133</v>
      </c>
      <c r="B2011" s="2141" t="s">
        <v>3056</v>
      </c>
      <c r="C2011" s="2141" t="s">
        <v>3161</v>
      </c>
      <c r="D2011" s="2141">
        <v>75</v>
      </c>
      <c r="E2011" s="2142">
        <v>50.87</v>
      </c>
      <c r="F2011" s="2142">
        <v>25544</v>
      </c>
      <c r="G2011" s="2142">
        <v>1299423.28</v>
      </c>
      <c r="H2011" s="2143">
        <v>41946</v>
      </c>
      <c r="I2011" s="2142">
        <v>659423</v>
      </c>
    </row>
    <row r="2012" spans="1:9" s="2139" customFormat="1" hidden="1">
      <c r="A2012" s="2140" t="s">
        <v>5836</v>
      </c>
      <c r="B2012" s="2141" t="s">
        <v>3057</v>
      </c>
      <c r="C2012" s="2141" t="s">
        <v>3161</v>
      </c>
      <c r="D2012" s="2141">
        <v>160</v>
      </c>
      <c r="E2012" s="2142">
        <v>54.28</v>
      </c>
      <c r="F2012" s="2142">
        <v>22145</v>
      </c>
      <c r="G2012" s="2142">
        <v>1202030.6000000001</v>
      </c>
      <c r="H2012" s="2143">
        <v>41943</v>
      </c>
      <c r="I2012" s="2142">
        <v>1202031</v>
      </c>
    </row>
    <row r="2013" spans="1:9" s="2139" customFormat="1" hidden="1">
      <c r="A2013" s="2140" t="s">
        <v>5166</v>
      </c>
      <c r="B2013" s="2141" t="s">
        <v>3056</v>
      </c>
      <c r="C2013" s="2141" t="s">
        <v>3161</v>
      </c>
      <c r="D2013" s="2141">
        <v>121</v>
      </c>
      <c r="E2013" s="2142">
        <v>51.41</v>
      </c>
      <c r="F2013" s="2142">
        <v>25750</v>
      </c>
      <c r="G2013" s="2142">
        <v>1323808</v>
      </c>
      <c r="H2013" s="2143">
        <v>41941</v>
      </c>
      <c r="I2013" s="2142">
        <v>1325095</v>
      </c>
    </row>
    <row r="2014" spans="1:9" s="2139" customFormat="1" hidden="1">
      <c r="A2014" s="2140" t="s">
        <v>5167</v>
      </c>
      <c r="B2014" s="2141" t="s">
        <v>3056</v>
      </c>
      <c r="C2014" s="2141" t="s">
        <v>3161</v>
      </c>
      <c r="D2014" s="2141">
        <v>122</v>
      </c>
      <c r="E2014" s="2142">
        <v>51.41</v>
      </c>
      <c r="F2014" s="2142">
        <v>25750</v>
      </c>
      <c r="G2014" s="2142">
        <v>1323808</v>
      </c>
      <c r="H2014" s="2143">
        <v>41941</v>
      </c>
      <c r="I2014" s="2142">
        <v>1325095</v>
      </c>
    </row>
    <row r="2015" spans="1:9" s="2139" customFormat="1" hidden="1">
      <c r="A2015" s="2140" t="s">
        <v>3862</v>
      </c>
      <c r="B2015" s="2141" t="s">
        <v>3054</v>
      </c>
      <c r="C2015" s="2141" t="s">
        <v>3161</v>
      </c>
      <c r="D2015" s="2141">
        <v>79</v>
      </c>
      <c r="E2015" s="2142">
        <v>84.9</v>
      </c>
      <c r="F2015" s="2142">
        <v>23800</v>
      </c>
      <c r="G2015" s="2142">
        <v>2020620.0000000002</v>
      </c>
      <c r="H2015" s="2143">
        <v>41940</v>
      </c>
      <c r="I2015" s="2142">
        <v>2020620</v>
      </c>
    </row>
    <row r="2016" spans="1:9" s="2139" customFormat="1" hidden="1">
      <c r="A2016" s="2140" t="s">
        <v>5853</v>
      </c>
      <c r="B2016" s="2141" t="s">
        <v>3057</v>
      </c>
      <c r="C2016" s="2141" t="s">
        <v>3161</v>
      </c>
      <c r="D2016" s="2141">
        <v>182</v>
      </c>
      <c r="E2016" s="2142">
        <v>83.7</v>
      </c>
      <c r="F2016" s="2142">
        <v>22145.01</v>
      </c>
      <c r="G2016" s="2142">
        <v>1853537.3369999998</v>
      </c>
      <c r="H2016" s="2143">
        <v>41937</v>
      </c>
      <c r="I2016" s="2142">
        <v>1853537</v>
      </c>
    </row>
    <row r="2017" spans="1:9" s="2139" customFormat="1" hidden="1">
      <c r="A2017" s="2140" t="s">
        <v>5165</v>
      </c>
      <c r="B2017" s="2141" t="s">
        <v>3056</v>
      </c>
      <c r="C2017" s="2141" t="s">
        <v>3161</v>
      </c>
      <c r="D2017" s="2141">
        <v>120</v>
      </c>
      <c r="E2017" s="2142">
        <v>55.9</v>
      </c>
      <c r="F2017" s="2142">
        <v>26265.01</v>
      </c>
      <c r="G2017" s="2142">
        <v>1468214.0589999999</v>
      </c>
      <c r="H2017" s="2143">
        <v>41934</v>
      </c>
      <c r="I2017" s="2142">
        <v>1468214</v>
      </c>
    </row>
    <row r="2018" spans="1:9" s="2139" customFormat="1" hidden="1">
      <c r="A2018" s="2140" t="s">
        <v>5739</v>
      </c>
      <c r="B2018" s="2141" t="s">
        <v>3057</v>
      </c>
      <c r="C2018" s="2141" t="s">
        <v>3161</v>
      </c>
      <c r="D2018" s="2141">
        <v>8</v>
      </c>
      <c r="E2018" s="2142">
        <v>42.2</v>
      </c>
      <c r="F2018" s="2142">
        <v>20600</v>
      </c>
      <c r="G2018" s="2142">
        <v>869320.00000000012</v>
      </c>
      <c r="H2018" s="2143">
        <v>41931</v>
      </c>
      <c r="I2018" s="2142">
        <v>183028</v>
      </c>
    </row>
    <row r="2019" spans="1:9" s="2139" customFormat="1" hidden="1">
      <c r="A2019" s="2140" t="s">
        <v>4583</v>
      </c>
      <c r="B2019" s="2141" t="s">
        <v>3055</v>
      </c>
      <c r="C2019" s="2141" t="s">
        <v>3161</v>
      </c>
      <c r="D2019" s="3396">
        <v>213</v>
      </c>
      <c r="E2019" s="2142">
        <v>36.97</v>
      </c>
      <c r="F2019" s="2142">
        <v>23800</v>
      </c>
      <c r="G2019" s="2142">
        <v>879886</v>
      </c>
      <c r="H2019" s="3557">
        <v>41928</v>
      </c>
      <c r="I2019" s="2142">
        <v>879886</v>
      </c>
    </row>
    <row r="2020" spans="1:9" s="2139" customFormat="1" hidden="1">
      <c r="A2020" s="2140" t="s">
        <v>4584</v>
      </c>
      <c r="B2020" s="2141" t="s">
        <v>3055</v>
      </c>
      <c r="C2020" s="2141" t="s">
        <v>3161</v>
      </c>
      <c r="D2020" s="3396">
        <v>215</v>
      </c>
      <c r="E2020" s="2142">
        <v>38.29</v>
      </c>
      <c r="F2020" s="2142">
        <v>21829</v>
      </c>
      <c r="G2020" s="2142">
        <v>835832.41</v>
      </c>
      <c r="H2020" s="3557">
        <v>41928</v>
      </c>
      <c r="I2020" s="2142">
        <v>835832</v>
      </c>
    </row>
    <row r="2021" spans="1:9" s="2139" customFormat="1" hidden="1">
      <c r="A2021" s="2140" t="s">
        <v>4585</v>
      </c>
      <c r="B2021" s="2141" t="s">
        <v>3055</v>
      </c>
      <c r="C2021" s="2141" t="s">
        <v>3161</v>
      </c>
      <c r="D2021" s="3396">
        <v>216</v>
      </c>
      <c r="E2021" s="2142">
        <v>36.799999999999997</v>
      </c>
      <c r="F2021" s="2142">
        <v>21300</v>
      </c>
      <c r="G2021" s="2142">
        <v>783839.99999999988</v>
      </c>
      <c r="H2021" s="3557">
        <v>41928</v>
      </c>
      <c r="I2021" s="2142">
        <v>783840</v>
      </c>
    </row>
    <row r="2022" spans="1:9" s="2139" customFormat="1" hidden="1">
      <c r="A2022" s="2140" t="s">
        <v>5104</v>
      </c>
      <c r="B2022" s="2141" t="s">
        <v>3056</v>
      </c>
      <c r="C2022" s="2141" t="s">
        <v>3161</v>
      </c>
      <c r="D2022" s="2141">
        <v>19</v>
      </c>
      <c r="E2022" s="2142">
        <v>41.12</v>
      </c>
      <c r="F2022" s="2142">
        <v>20085</v>
      </c>
      <c r="G2022" s="2142">
        <v>825895.2</v>
      </c>
      <c r="H2022" s="2143">
        <v>41928</v>
      </c>
      <c r="I2022" s="2142">
        <v>825895</v>
      </c>
    </row>
    <row r="2023" spans="1:9" s="2139" customFormat="1" hidden="1">
      <c r="A2023" s="2140" t="s">
        <v>5131</v>
      </c>
      <c r="B2023" s="2141" t="s">
        <v>3056</v>
      </c>
      <c r="C2023" s="2141" t="s">
        <v>3161</v>
      </c>
      <c r="D2023" s="2141">
        <v>72</v>
      </c>
      <c r="E2023" s="2142">
        <v>47.48</v>
      </c>
      <c r="F2023" s="2142">
        <v>25544</v>
      </c>
      <c r="G2023" s="2142">
        <v>1212829.1199999999</v>
      </c>
      <c r="H2023" s="2143">
        <v>41928</v>
      </c>
      <c r="I2023" s="2142">
        <v>1212829</v>
      </c>
    </row>
    <row r="2024" spans="1:9" s="2139" customFormat="1" hidden="1">
      <c r="A2024" s="2140" t="s">
        <v>5153</v>
      </c>
      <c r="B2024" s="2141" t="s">
        <v>3056</v>
      </c>
      <c r="C2024" s="2141" t="s">
        <v>3161</v>
      </c>
      <c r="D2024" s="2141">
        <v>106</v>
      </c>
      <c r="E2024" s="2142">
        <v>68.02</v>
      </c>
      <c r="F2024" s="2142">
        <v>27604</v>
      </c>
      <c r="G2024" s="2142">
        <v>1877624.0799999998</v>
      </c>
      <c r="H2024" s="2143">
        <v>41927</v>
      </c>
      <c r="I2024" s="2142">
        <v>397624</v>
      </c>
    </row>
    <row r="2025" spans="1:9" s="2139" customFormat="1" hidden="1">
      <c r="A2025" s="2140" t="s">
        <v>5152</v>
      </c>
      <c r="B2025" s="2141" t="s">
        <v>3056</v>
      </c>
      <c r="C2025" s="2141" t="s">
        <v>3161</v>
      </c>
      <c r="D2025" s="2141">
        <v>105</v>
      </c>
      <c r="E2025" s="2142">
        <v>68.77</v>
      </c>
      <c r="F2025" s="2142">
        <v>27604</v>
      </c>
      <c r="G2025" s="2142">
        <v>1898327.0799999998</v>
      </c>
      <c r="H2025" s="2143">
        <v>41926</v>
      </c>
      <c r="I2025" s="2142">
        <v>1898327</v>
      </c>
    </row>
    <row r="2026" spans="1:9" s="2139" customFormat="1" hidden="1">
      <c r="A2026" s="2140" t="s">
        <v>5746</v>
      </c>
      <c r="B2026" s="2141" t="s">
        <v>3057</v>
      </c>
      <c r="C2026" s="2141" t="s">
        <v>3161</v>
      </c>
      <c r="D2026" s="2141">
        <v>17</v>
      </c>
      <c r="E2026" s="2142">
        <v>42.2</v>
      </c>
      <c r="F2026" s="2142">
        <v>19570</v>
      </c>
      <c r="G2026" s="2142">
        <v>825854</v>
      </c>
      <c r="H2026" s="2143">
        <v>41926</v>
      </c>
      <c r="I2026" s="2142">
        <v>825854</v>
      </c>
    </row>
    <row r="2027" spans="1:9" s="2139" customFormat="1" hidden="1">
      <c r="A2027" s="2140" t="s">
        <v>5789</v>
      </c>
      <c r="B2027" s="2141" t="s">
        <v>3057</v>
      </c>
      <c r="C2027" s="2141" t="s">
        <v>3161</v>
      </c>
      <c r="D2027" s="2141">
        <v>101</v>
      </c>
      <c r="E2027" s="2142">
        <v>70.239999999999995</v>
      </c>
      <c r="F2027" s="2142">
        <v>27604</v>
      </c>
      <c r="G2027" s="2142">
        <v>1938904.96</v>
      </c>
      <c r="H2027" s="2143">
        <v>41926</v>
      </c>
      <c r="I2027" s="2142">
        <v>1938905</v>
      </c>
    </row>
    <row r="2028" spans="1:9" s="2139" customFormat="1" hidden="1">
      <c r="A2028" s="2140" t="s">
        <v>5155</v>
      </c>
      <c r="B2028" s="2141" t="s">
        <v>3056</v>
      </c>
      <c r="C2028" s="2141" t="s">
        <v>3161</v>
      </c>
      <c r="D2028" s="2141">
        <v>108</v>
      </c>
      <c r="E2028" s="2142">
        <v>63.14</v>
      </c>
      <c r="F2028" s="2142">
        <v>27604</v>
      </c>
      <c r="G2028" s="2142">
        <v>1742916.56</v>
      </c>
      <c r="H2028" s="2143">
        <v>41924</v>
      </c>
      <c r="I2028" s="2142">
        <v>1742917</v>
      </c>
    </row>
    <row r="2029" spans="1:9" s="2139" customFormat="1" hidden="1">
      <c r="A2029" s="2140" t="s">
        <v>5795</v>
      </c>
      <c r="B2029" s="2141" t="s">
        <v>3057</v>
      </c>
      <c r="C2029" s="2141" t="s">
        <v>3161</v>
      </c>
      <c r="D2029" s="2141">
        <v>108</v>
      </c>
      <c r="E2029" s="2142">
        <v>69.41</v>
      </c>
      <c r="F2029" s="2142">
        <v>27604</v>
      </c>
      <c r="G2029" s="2142">
        <v>1915993.64</v>
      </c>
      <c r="H2029" s="2143">
        <v>41924</v>
      </c>
      <c r="I2029" s="2142">
        <v>1915994</v>
      </c>
    </row>
    <row r="2030" spans="1:9" s="2139" customFormat="1" hidden="1">
      <c r="A2030" s="2140" t="s">
        <v>4442</v>
      </c>
      <c r="B2030" s="2141" t="s">
        <v>3055</v>
      </c>
      <c r="C2030" s="2141" t="s">
        <v>3161</v>
      </c>
      <c r="D2030" s="3396">
        <v>11</v>
      </c>
      <c r="E2030" s="2142">
        <v>38.92</v>
      </c>
      <c r="F2030" s="2142">
        <v>21300</v>
      </c>
      <c r="G2030" s="2142">
        <v>828996</v>
      </c>
      <c r="H2030" s="3557">
        <v>41923</v>
      </c>
      <c r="I2030" s="2142">
        <v>828996</v>
      </c>
    </row>
    <row r="2031" spans="1:9" s="2139" customFormat="1" hidden="1">
      <c r="A2031" s="2140" t="s">
        <v>5171</v>
      </c>
      <c r="B2031" s="2141" t="s">
        <v>3056</v>
      </c>
      <c r="C2031" s="2141" t="s">
        <v>3161</v>
      </c>
      <c r="D2031" s="2141">
        <v>127</v>
      </c>
      <c r="E2031" s="2142">
        <v>88.52</v>
      </c>
      <c r="F2031" s="2142">
        <v>28119</v>
      </c>
      <c r="G2031" s="2142">
        <v>2489093.88</v>
      </c>
      <c r="H2031" s="2143">
        <v>41923</v>
      </c>
      <c r="I2031" s="2142">
        <v>2489094</v>
      </c>
    </row>
    <row r="2032" spans="1:9" s="2139" customFormat="1" hidden="1">
      <c r="A2032" s="2140" t="s">
        <v>5253</v>
      </c>
      <c r="B2032" s="2141" t="s">
        <v>3056</v>
      </c>
      <c r="C2032" s="2141" t="s">
        <v>3161</v>
      </c>
      <c r="D2032" s="2141">
        <v>236</v>
      </c>
      <c r="E2032" s="2142">
        <v>48.01</v>
      </c>
      <c r="F2032" s="2142">
        <v>20600</v>
      </c>
      <c r="G2032" s="2142">
        <v>989006</v>
      </c>
      <c r="H2032" s="2143">
        <v>41923</v>
      </c>
      <c r="I2032" s="2142">
        <v>989006</v>
      </c>
    </row>
    <row r="2033" spans="1:9" s="2139" customFormat="1" hidden="1">
      <c r="A2033" s="2140" t="s">
        <v>5755</v>
      </c>
      <c r="B2033" s="2141" t="s">
        <v>3057</v>
      </c>
      <c r="C2033" s="2141" t="s">
        <v>3161</v>
      </c>
      <c r="D2033" s="2141">
        <v>41</v>
      </c>
      <c r="E2033" s="2142">
        <v>47.37</v>
      </c>
      <c r="F2033" s="2142">
        <v>20600</v>
      </c>
      <c r="G2033" s="2142">
        <v>975822</v>
      </c>
      <c r="H2033" s="2143">
        <v>41923</v>
      </c>
      <c r="I2033" s="2142">
        <v>975822</v>
      </c>
    </row>
    <row r="2034" spans="1:9" s="2139" customFormat="1" hidden="1">
      <c r="A2034" s="2140" t="s">
        <v>5756</v>
      </c>
      <c r="B2034" s="2141" t="s">
        <v>3057</v>
      </c>
      <c r="C2034" s="2141" t="s">
        <v>3161</v>
      </c>
      <c r="D2034" s="2141">
        <v>42</v>
      </c>
      <c r="E2034" s="2142">
        <v>51.43</v>
      </c>
      <c r="F2034" s="2142">
        <v>22660</v>
      </c>
      <c r="G2034" s="2142">
        <v>1165403.8</v>
      </c>
      <c r="H2034" s="2143">
        <v>41923</v>
      </c>
      <c r="I2034" s="2142">
        <v>1165404</v>
      </c>
    </row>
    <row r="2035" spans="1:9" s="2139" customFormat="1" hidden="1">
      <c r="A2035" s="2140" t="s">
        <v>3899</v>
      </c>
      <c r="B2035" s="2141" t="s">
        <v>3054</v>
      </c>
      <c r="C2035" s="2141" t="s">
        <v>3161</v>
      </c>
      <c r="D2035" s="2141">
        <v>167</v>
      </c>
      <c r="E2035" s="2142">
        <v>83.1</v>
      </c>
      <c r="F2035" s="2142">
        <v>19800</v>
      </c>
      <c r="G2035" s="2142">
        <v>1645380</v>
      </c>
      <c r="H2035" s="2143">
        <v>41922</v>
      </c>
      <c r="I2035" s="2142">
        <v>1645380</v>
      </c>
    </row>
    <row r="2036" spans="1:9" s="2139" customFormat="1" hidden="1">
      <c r="A2036" s="2140" t="s">
        <v>3926</v>
      </c>
      <c r="B2036" s="2141" t="s">
        <v>3054</v>
      </c>
      <c r="C2036" s="2141" t="s">
        <v>3161</v>
      </c>
      <c r="D2036" s="2141">
        <v>197</v>
      </c>
      <c r="E2036" s="2142">
        <v>51.22</v>
      </c>
      <c r="F2036" s="2142">
        <v>19800</v>
      </c>
      <c r="G2036" s="2142">
        <v>1014156</v>
      </c>
      <c r="H2036" s="2143">
        <v>41922</v>
      </c>
      <c r="I2036" s="2142">
        <v>1014156</v>
      </c>
    </row>
    <row r="2037" spans="1:9" s="2139" customFormat="1" hidden="1">
      <c r="A2037" s="2140" t="s">
        <v>3954</v>
      </c>
      <c r="B2037" s="2141" t="s">
        <v>3054</v>
      </c>
      <c r="C2037" s="2141" t="s">
        <v>3161</v>
      </c>
      <c r="D2037" s="2141">
        <v>228</v>
      </c>
      <c r="E2037" s="2142">
        <v>38.08</v>
      </c>
      <c r="F2037" s="2142">
        <v>19800</v>
      </c>
      <c r="G2037" s="2142">
        <v>753984</v>
      </c>
      <c r="H2037" s="2143">
        <v>41922</v>
      </c>
      <c r="I2037" s="2142">
        <v>753984</v>
      </c>
    </row>
    <row r="2038" spans="1:9" s="2139" customFormat="1" hidden="1">
      <c r="A2038" s="2140" t="s">
        <v>5116</v>
      </c>
      <c r="B2038" s="2141" t="s">
        <v>3056</v>
      </c>
      <c r="C2038" s="2141" t="s">
        <v>3161</v>
      </c>
      <c r="D2038" s="2141">
        <v>42</v>
      </c>
      <c r="E2038" s="2142">
        <v>43.41</v>
      </c>
      <c r="F2038" s="2142">
        <v>21115</v>
      </c>
      <c r="G2038" s="2142">
        <v>916602.14999999991</v>
      </c>
      <c r="H2038" s="2143">
        <v>41922</v>
      </c>
      <c r="I2038" s="2142">
        <v>916602</v>
      </c>
    </row>
    <row r="2039" spans="1:9" s="2139" customFormat="1" hidden="1">
      <c r="A2039" s="2140" t="s">
        <v>5747</v>
      </c>
      <c r="B2039" s="2141" t="s">
        <v>3057</v>
      </c>
      <c r="C2039" s="2141" t="s">
        <v>3161</v>
      </c>
      <c r="D2039" s="2141">
        <v>18</v>
      </c>
      <c r="E2039" s="2142">
        <v>42.2</v>
      </c>
      <c r="F2039" s="2142">
        <v>18025</v>
      </c>
      <c r="G2039" s="2142">
        <v>760655</v>
      </c>
      <c r="H2039" s="2143">
        <v>41922</v>
      </c>
      <c r="I2039" s="2142">
        <v>760655</v>
      </c>
    </row>
    <row r="2040" spans="1:9" s="2139" customFormat="1" hidden="1">
      <c r="A2040" s="2140" t="s">
        <v>5780</v>
      </c>
      <c r="B2040" s="2141" t="s">
        <v>3057</v>
      </c>
      <c r="C2040" s="2141" t="s">
        <v>3161</v>
      </c>
      <c r="D2040" s="2141">
        <v>89</v>
      </c>
      <c r="E2040" s="2142">
        <v>75.12</v>
      </c>
      <c r="F2040" s="2142">
        <v>24720</v>
      </c>
      <c r="G2040" s="2142">
        <v>1856966.4000000001</v>
      </c>
      <c r="H2040" s="2143">
        <v>41922</v>
      </c>
      <c r="I2040" s="2142">
        <v>384877</v>
      </c>
    </row>
    <row r="2041" spans="1:9" s="2139" customFormat="1" hidden="1">
      <c r="A2041" s="2140" t="s">
        <v>5804</v>
      </c>
      <c r="B2041" s="2141" t="s">
        <v>3057</v>
      </c>
      <c r="C2041" s="2141" t="s">
        <v>3161</v>
      </c>
      <c r="D2041" s="2141">
        <v>118</v>
      </c>
      <c r="E2041" s="2142">
        <v>70.239999999999995</v>
      </c>
      <c r="F2041" s="2142">
        <v>27604</v>
      </c>
      <c r="G2041" s="2142">
        <v>1938904.96</v>
      </c>
      <c r="H2041" s="2143">
        <v>41922</v>
      </c>
      <c r="I2041" s="2142">
        <v>1938905</v>
      </c>
    </row>
    <row r="2042" spans="1:9" s="2139" customFormat="1" hidden="1">
      <c r="A2042" s="2140" t="s">
        <v>5815</v>
      </c>
      <c r="B2042" s="2141" t="s">
        <v>3057</v>
      </c>
      <c r="C2042" s="2141" t="s">
        <v>3161</v>
      </c>
      <c r="D2042" s="2141">
        <v>130</v>
      </c>
      <c r="E2042" s="2142">
        <v>46.39</v>
      </c>
      <c r="F2042" s="2142">
        <v>19570</v>
      </c>
      <c r="G2042" s="2142">
        <v>907852.3</v>
      </c>
      <c r="H2042" s="2143">
        <v>41922</v>
      </c>
      <c r="I2042" s="2142">
        <v>907852</v>
      </c>
    </row>
    <row r="2043" spans="1:9" s="2139" customFormat="1" hidden="1">
      <c r="A2043" s="2140" t="s">
        <v>5845</v>
      </c>
      <c r="B2043" s="2141" t="s">
        <v>3057</v>
      </c>
      <c r="C2043" s="2141" t="s">
        <v>3161</v>
      </c>
      <c r="D2043" s="2141">
        <v>172</v>
      </c>
      <c r="E2043" s="2142">
        <v>47.37</v>
      </c>
      <c r="F2043" s="2142">
        <v>19776</v>
      </c>
      <c r="G2043" s="2142">
        <v>936789.12</v>
      </c>
      <c r="H2043" s="2143">
        <v>41922</v>
      </c>
      <c r="I2043" s="2142">
        <v>936789</v>
      </c>
    </row>
    <row r="2044" spans="1:9" s="2139" customFormat="1" hidden="1">
      <c r="A2044" s="2140" t="s">
        <v>5865</v>
      </c>
      <c r="B2044" s="2141" t="s">
        <v>3057</v>
      </c>
      <c r="C2044" s="2141" t="s">
        <v>3161</v>
      </c>
      <c r="D2044" s="2141">
        <v>197</v>
      </c>
      <c r="E2044" s="2142">
        <v>75.61</v>
      </c>
      <c r="F2044" s="2142">
        <v>19776</v>
      </c>
      <c r="G2044" s="2142">
        <v>1495263.36</v>
      </c>
      <c r="H2044" s="2143">
        <v>41922</v>
      </c>
      <c r="I2044" s="2142">
        <v>755263</v>
      </c>
    </row>
    <row r="2045" spans="1:9" s="2139" customFormat="1" hidden="1">
      <c r="A2045" s="2140" t="s">
        <v>5866</v>
      </c>
      <c r="B2045" s="2141" t="s">
        <v>3057</v>
      </c>
      <c r="C2045" s="2141" t="s">
        <v>3161</v>
      </c>
      <c r="D2045" s="2141">
        <v>198</v>
      </c>
      <c r="E2045" s="2142">
        <v>83.17</v>
      </c>
      <c r="F2045" s="2142">
        <v>19776</v>
      </c>
      <c r="G2045" s="2142">
        <v>1644769.92</v>
      </c>
      <c r="H2045" s="2143">
        <v>41922</v>
      </c>
      <c r="I2045" s="2142">
        <v>1644770</v>
      </c>
    </row>
    <row r="2046" spans="1:9" s="2139" customFormat="1" hidden="1">
      <c r="A2046" s="2140" t="s">
        <v>5170</v>
      </c>
      <c r="B2046" s="2141" t="s">
        <v>3056</v>
      </c>
      <c r="C2046" s="2141" t="s">
        <v>3161</v>
      </c>
      <c r="D2046" s="2141">
        <v>126</v>
      </c>
      <c r="E2046" s="2142">
        <v>75.900000000000006</v>
      </c>
      <c r="F2046" s="2142">
        <v>27604</v>
      </c>
      <c r="G2046" s="2142">
        <v>2095143.6</v>
      </c>
      <c r="H2046" s="2143">
        <v>41921</v>
      </c>
      <c r="I2046" s="2142">
        <v>2095144</v>
      </c>
    </row>
    <row r="2047" spans="1:9" s="2139" customFormat="1" hidden="1">
      <c r="A2047" s="2140" t="s">
        <v>5172</v>
      </c>
      <c r="B2047" s="2141" t="s">
        <v>3056</v>
      </c>
      <c r="C2047" s="2141" t="s">
        <v>3161</v>
      </c>
      <c r="D2047" s="2141">
        <v>128</v>
      </c>
      <c r="E2047" s="2142">
        <v>58.64</v>
      </c>
      <c r="F2047" s="2142">
        <v>19055</v>
      </c>
      <c r="G2047" s="2142">
        <v>1117385.2</v>
      </c>
      <c r="H2047" s="2143">
        <v>41921</v>
      </c>
      <c r="I2047" s="2142">
        <v>1117385</v>
      </c>
    </row>
    <row r="2048" spans="1:9" s="2139" customFormat="1" hidden="1">
      <c r="A2048" s="2140" t="s">
        <v>5207</v>
      </c>
      <c r="B2048" s="2141" t="s">
        <v>3056</v>
      </c>
      <c r="C2048" s="2141" t="s">
        <v>3161</v>
      </c>
      <c r="D2048" s="2141">
        <v>181</v>
      </c>
      <c r="E2048" s="2142">
        <v>58.12</v>
      </c>
      <c r="F2048" s="2142">
        <v>16274</v>
      </c>
      <c r="G2048" s="2142">
        <v>945844.88</v>
      </c>
      <c r="H2048" s="2143">
        <v>41921</v>
      </c>
      <c r="I2048" s="2142">
        <v>945845</v>
      </c>
    </row>
    <row r="2049" spans="1:9" s="2139" customFormat="1" hidden="1">
      <c r="A2049" s="2140" t="s">
        <v>5213</v>
      </c>
      <c r="B2049" s="2141" t="s">
        <v>3056</v>
      </c>
      <c r="C2049" s="2141" t="s">
        <v>3161</v>
      </c>
      <c r="D2049" s="2141">
        <v>188</v>
      </c>
      <c r="E2049" s="2142">
        <v>65.64</v>
      </c>
      <c r="F2049" s="2142">
        <v>27604</v>
      </c>
      <c r="G2049" s="2142">
        <v>1811926.56</v>
      </c>
      <c r="H2049" s="2143">
        <v>41921</v>
      </c>
      <c r="I2049" s="2142">
        <v>1811927</v>
      </c>
    </row>
    <row r="2050" spans="1:9" s="2139" customFormat="1" hidden="1">
      <c r="A2050" s="2140" t="s">
        <v>5226</v>
      </c>
      <c r="B2050" s="2141" t="s">
        <v>3056</v>
      </c>
      <c r="C2050" s="2141" t="s">
        <v>3161</v>
      </c>
      <c r="D2050" s="2141">
        <v>203</v>
      </c>
      <c r="E2050" s="2142">
        <v>48.01</v>
      </c>
      <c r="F2050" s="2142">
        <v>20085</v>
      </c>
      <c r="G2050" s="2142">
        <v>964280.85</v>
      </c>
      <c r="H2050" s="2143">
        <v>41921</v>
      </c>
      <c r="I2050" s="2142">
        <v>964281</v>
      </c>
    </row>
    <row r="2051" spans="1:9" s="2139" customFormat="1" hidden="1">
      <c r="A2051" s="2140" t="s">
        <v>5754</v>
      </c>
      <c r="B2051" s="2141" t="s">
        <v>3057</v>
      </c>
      <c r="C2051" s="2141" t="s">
        <v>3161</v>
      </c>
      <c r="D2051" s="2141">
        <v>40</v>
      </c>
      <c r="E2051" s="2142">
        <v>51.43</v>
      </c>
      <c r="F2051" s="2142">
        <v>20600</v>
      </c>
      <c r="G2051" s="2142">
        <v>1059458</v>
      </c>
      <c r="H2051" s="2143">
        <v>41921</v>
      </c>
      <c r="I2051" s="2142">
        <v>223990</v>
      </c>
    </row>
    <row r="2052" spans="1:9" s="2139" customFormat="1" hidden="1">
      <c r="A2052" s="2140" t="s">
        <v>5825</v>
      </c>
      <c r="B2052" s="2141" t="s">
        <v>3057</v>
      </c>
      <c r="C2052" s="2141" t="s">
        <v>3161</v>
      </c>
      <c r="D2052" s="2141">
        <v>143</v>
      </c>
      <c r="E2052" s="2142">
        <v>44.73</v>
      </c>
      <c r="F2052" s="2142">
        <v>20085</v>
      </c>
      <c r="G2052" s="2142">
        <v>898402.04999999993</v>
      </c>
      <c r="H2052" s="2143">
        <v>41921</v>
      </c>
      <c r="I2052" s="2142">
        <v>182218</v>
      </c>
    </row>
    <row r="2053" spans="1:9" s="2139" customFormat="1" hidden="1">
      <c r="A2053" s="2140" t="s">
        <v>5883</v>
      </c>
      <c r="B2053" s="2141" t="s">
        <v>3057</v>
      </c>
      <c r="C2053" s="2141" t="s">
        <v>3161</v>
      </c>
      <c r="D2053" s="2141">
        <v>230</v>
      </c>
      <c r="E2053" s="2142">
        <v>44.89</v>
      </c>
      <c r="F2053" s="2142">
        <v>19570</v>
      </c>
      <c r="G2053" s="2142">
        <v>878497.3</v>
      </c>
      <c r="H2053" s="2143">
        <v>41921</v>
      </c>
      <c r="I2053" s="2142">
        <v>208497</v>
      </c>
    </row>
    <row r="2054" spans="1:9" s="2139" customFormat="1" hidden="1">
      <c r="A2054" s="2140" t="s">
        <v>3819</v>
      </c>
      <c r="B2054" s="2141" t="s">
        <v>3054</v>
      </c>
      <c r="C2054" s="2141" t="s">
        <v>3161</v>
      </c>
      <c r="D2054" s="2141">
        <v>21</v>
      </c>
      <c r="E2054" s="2142">
        <v>45.41</v>
      </c>
      <c r="F2054" s="2142">
        <v>17300</v>
      </c>
      <c r="G2054" s="2142">
        <v>785592.99999999988</v>
      </c>
      <c r="H2054" s="2143">
        <v>41920</v>
      </c>
      <c r="I2054" s="2142">
        <v>785593</v>
      </c>
    </row>
    <row r="2055" spans="1:9" s="2139" customFormat="1" hidden="1">
      <c r="A2055" s="2140" t="s">
        <v>5767</v>
      </c>
      <c r="B2055" s="2141" t="s">
        <v>3057</v>
      </c>
      <c r="C2055" s="2141" t="s">
        <v>3161</v>
      </c>
      <c r="D2055" s="2141">
        <v>62</v>
      </c>
      <c r="E2055" s="2142">
        <v>69.430000000000007</v>
      </c>
      <c r="F2055" s="2142">
        <v>22660</v>
      </c>
      <c r="G2055" s="2142">
        <v>1573283.8</v>
      </c>
      <c r="H2055" s="2143">
        <v>41920</v>
      </c>
      <c r="I2055" s="2142">
        <v>1573284</v>
      </c>
    </row>
    <row r="2056" spans="1:9" s="2139" customFormat="1" hidden="1">
      <c r="A2056" s="2140" t="s">
        <v>5870</v>
      </c>
      <c r="B2056" s="2141" t="s">
        <v>3057</v>
      </c>
      <c r="C2056" s="2141" t="s">
        <v>3161</v>
      </c>
      <c r="D2056" s="2141">
        <v>203</v>
      </c>
      <c r="E2056" s="2142">
        <v>42.57</v>
      </c>
      <c r="F2056" s="2142">
        <v>20600</v>
      </c>
      <c r="G2056" s="2142">
        <v>876942</v>
      </c>
      <c r="H2056" s="2143">
        <v>41920</v>
      </c>
      <c r="I2056" s="2142">
        <v>876942</v>
      </c>
    </row>
    <row r="2057" spans="1:9" s="2139" customFormat="1" hidden="1">
      <c r="A2057" s="2140" t="s">
        <v>5878</v>
      </c>
      <c r="B2057" s="2141" t="s">
        <v>3057</v>
      </c>
      <c r="C2057" s="2141" t="s">
        <v>3161</v>
      </c>
      <c r="D2057" s="2141">
        <v>225</v>
      </c>
      <c r="E2057" s="2142">
        <v>48.73</v>
      </c>
      <c r="F2057" s="2142">
        <v>19570</v>
      </c>
      <c r="G2057" s="2142">
        <v>953646.1</v>
      </c>
      <c r="H2057" s="2143">
        <v>41920</v>
      </c>
      <c r="I2057" s="2142">
        <v>953646</v>
      </c>
    </row>
    <row r="2058" spans="1:9" s="2139" customFormat="1" hidden="1">
      <c r="A2058" s="2140" t="s">
        <v>5879</v>
      </c>
      <c r="B2058" s="2141" t="s">
        <v>3057</v>
      </c>
      <c r="C2058" s="2141" t="s">
        <v>3161</v>
      </c>
      <c r="D2058" s="2141">
        <v>226</v>
      </c>
      <c r="E2058" s="2142">
        <v>48.73</v>
      </c>
      <c r="F2058" s="2142">
        <v>19570</v>
      </c>
      <c r="G2058" s="2142">
        <v>953646.1</v>
      </c>
      <c r="H2058" s="2143">
        <v>41920</v>
      </c>
      <c r="I2058" s="2142">
        <v>953646</v>
      </c>
    </row>
    <row r="2059" spans="1:9" s="2139" customFormat="1" hidden="1">
      <c r="A2059" s="2140" t="s">
        <v>5880</v>
      </c>
      <c r="B2059" s="2141" t="s">
        <v>3057</v>
      </c>
      <c r="C2059" s="2141" t="s">
        <v>3161</v>
      </c>
      <c r="D2059" s="2141">
        <v>227</v>
      </c>
      <c r="E2059" s="2142">
        <v>48.73</v>
      </c>
      <c r="F2059" s="2142">
        <v>19570</v>
      </c>
      <c r="G2059" s="2142">
        <v>953646.1</v>
      </c>
      <c r="H2059" s="2143">
        <v>41920</v>
      </c>
      <c r="I2059" s="2142">
        <v>953646</v>
      </c>
    </row>
    <row r="2060" spans="1:9" s="2139" customFormat="1" hidden="1">
      <c r="A2060" s="2140" t="s">
        <v>5162</v>
      </c>
      <c r="B2060" s="2141" t="s">
        <v>3056</v>
      </c>
      <c r="C2060" s="2141" t="s">
        <v>3161</v>
      </c>
      <c r="D2060" s="2141">
        <v>116</v>
      </c>
      <c r="E2060" s="2142">
        <v>27.59</v>
      </c>
      <c r="F2060" s="2142">
        <v>20085</v>
      </c>
      <c r="G2060" s="2142">
        <v>554145.15</v>
      </c>
      <c r="H2060" s="2143">
        <v>41919</v>
      </c>
      <c r="I2060" s="2142">
        <v>554145</v>
      </c>
    </row>
    <row r="2061" spans="1:9" s="2139" customFormat="1" hidden="1">
      <c r="A2061" s="2140" t="s">
        <v>5178</v>
      </c>
      <c r="B2061" s="2141" t="s">
        <v>3056</v>
      </c>
      <c r="C2061" s="2141" t="s">
        <v>3161</v>
      </c>
      <c r="D2061" s="2141">
        <v>142</v>
      </c>
      <c r="E2061" s="2142">
        <v>71.569999999999993</v>
      </c>
      <c r="F2061" s="2142">
        <v>23175</v>
      </c>
      <c r="G2061" s="2142">
        <v>1658634.7499999998</v>
      </c>
      <c r="H2061" s="2143">
        <v>41919</v>
      </c>
      <c r="I2061" s="2142">
        <v>1658635</v>
      </c>
    </row>
    <row r="2062" spans="1:9" s="2139" customFormat="1" hidden="1">
      <c r="A2062" s="2140" t="s">
        <v>5193</v>
      </c>
      <c r="B2062" s="2141" t="s">
        <v>3056</v>
      </c>
      <c r="C2062" s="2141" t="s">
        <v>3161</v>
      </c>
      <c r="D2062" s="2141">
        <v>160</v>
      </c>
      <c r="E2062" s="2142">
        <v>31.37</v>
      </c>
      <c r="F2062" s="2142">
        <v>19055</v>
      </c>
      <c r="G2062" s="2142">
        <v>597755.35</v>
      </c>
      <c r="H2062" s="2143">
        <v>41919</v>
      </c>
      <c r="I2062" s="2142">
        <v>597755</v>
      </c>
    </row>
    <row r="2063" spans="1:9" s="2139" customFormat="1" hidden="1">
      <c r="A2063" s="2140" t="s">
        <v>5194</v>
      </c>
      <c r="B2063" s="2141" t="s">
        <v>3056</v>
      </c>
      <c r="C2063" s="2141" t="s">
        <v>3161</v>
      </c>
      <c r="D2063" s="2141">
        <v>161</v>
      </c>
      <c r="E2063" s="2142">
        <v>38.1</v>
      </c>
      <c r="F2063" s="2142">
        <v>16274</v>
      </c>
      <c r="G2063" s="2142">
        <v>620039.4</v>
      </c>
      <c r="H2063" s="2143">
        <v>41919</v>
      </c>
      <c r="I2063" s="2142">
        <v>620039</v>
      </c>
    </row>
    <row r="2064" spans="1:9" s="2139" customFormat="1" hidden="1">
      <c r="A2064" s="2140" t="s">
        <v>5833</v>
      </c>
      <c r="B2064" s="2141" t="s">
        <v>3057</v>
      </c>
      <c r="C2064" s="2141" t="s">
        <v>3161</v>
      </c>
      <c r="D2064" s="2141">
        <v>156</v>
      </c>
      <c r="E2064" s="2142">
        <v>79.099999999999994</v>
      </c>
      <c r="F2064" s="2142">
        <v>22145.01</v>
      </c>
      <c r="G2064" s="2142">
        <v>1751670.2909999997</v>
      </c>
      <c r="H2064" s="2143">
        <v>41919</v>
      </c>
      <c r="I2064" s="2142">
        <v>1751670</v>
      </c>
    </row>
    <row r="2065" spans="1:9" s="2139" customFormat="1" hidden="1">
      <c r="A2065" s="2140" t="s">
        <v>5868</v>
      </c>
      <c r="B2065" s="2141" t="s">
        <v>3057</v>
      </c>
      <c r="C2065" s="2141" t="s">
        <v>3161</v>
      </c>
      <c r="D2065" s="2141">
        <v>201</v>
      </c>
      <c r="E2065" s="2142">
        <v>39.200000000000003</v>
      </c>
      <c r="F2065" s="2142">
        <v>20600</v>
      </c>
      <c r="G2065" s="2142">
        <v>807520.00000000012</v>
      </c>
      <c r="H2065" s="2143">
        <v>41919</v>
      </c>
      <c r="I2065" s="2142">
        <v>807520</v>
      </c>
    </row>
    <row r="2066" spans="1:9" s="2139" customFormat="1" hidden="1">
      <c r="A2066" s="2140" t="s">
        <v>5869</v>
      </c>
      <c r="B2066" s="2141" t="s">
        <v>3057</v>
      </c>
      <c r="C2066" s="2141" t="s">
        <v>3161</v>
      </c>
      <c r="D2066" s="2141">
        <v>202</v>
      </c>
      <c r="E2066" s="2142">
        <v>39.200000000000003</v>
      </c>
      <c r="F2066" s="2142">
        <v>20600</v>
      </c>
      <c r="G2066" s="2142">
        <v>807520.00000000012</v>
      </c>
      <c r="H2066" s="2143">
        <v>41919</v>
      </c>
      <c r="I2066" s="2142">
        <v>807520</v>
      </c>
    </row>
    <row r="2067" spans="1:9" s="2139" customFormat="1" hidden="1">
      <c r="A2067" s="2140" t="s">
        <v>5175</v>
      </c>
      <c r="B2067" s="2141" t="s">
        <v>3056</v>
      </c>
      <c r="C2067" s="2141" t="s">
        <v>3161</v>
      </c>
      <c r="D2067" s="2141">
        <v>135</v>
      </c>
      <c r="E2067" s="2142">
        <v>27.88</v>
      </c>
      <c r="F2067" s="2142">
        <v>20085</v>
      </c>
      <c r="G2067" s="2142">
        <v>559969.79999999993</v>
      </c>
      <c r="H2067" s="2143">
        <v>41918</v>
      </c>
      <c r="I2067" s="2142">
        <v>559970</v>
      </c>
    </row>
    <row r="2068" spans="1:9" s="2139" customFormat="1" hidden="1">
      <c r="A2068" s="2140" t="s">
        <v>5176</v>
      </c>
      <c r="B2068" s="2141" t="s">
        <v>3056</v>
      </c>
      <c r="C2068" s="2141" t="s">
        <v>3161</v>
      </c>
      <c r="D2068" s="2141">
        <v>136</v>
      </c>
      <c r="E2068" s="2142">
        <v>45.22</v>
      </c>
      <c r="F2068" s="2142">
        <v>21115</v>
      </c>
      <c r="G2068" s="2142">
        <v>954820.29999999993</v>
      </c>
      <c r="H2068" s="2143">
        <v>41918</v>
      </c>
      <c r="I2068" s="2142">
        <v>954820</v>
      </c>
    </row>
    <row r="2069" spans="1:9" s="2139" customFormat="1" hidden="1">
      <c r="A2069" s="2140" t="s">
        <v>5214</v>
      </c>
      <c r="B2069" s="2141" t="s">
        <v>3056</v>
      </c>
      <c r="C2069" s="2141" t="s">
        <v>3161</v>
      </c>
      <c r="D2069" s="2141">
        <v>189</v>
      </c>
      <c r="E2069" s="2142">
        <v>70.069999999999993</v>
      </c>
      <c r="F2069" s="2142">
        <v>27604.01</v>
      </c>
      <c r="G2069" s="2142">
        <v>1934212.9806999997</v>
      </c>
      <c r="H2069" s="2143">
        <v>41918</v>
      </c>
      <c r="I2069" s="2142">
        <v>1934213</v>
      </c>
    </row>
    <row r="2070" spans="1:9" s="2139" customFormat="1" hidden="1">
      <c r="A2070" s="2140" t="s">
        <v>5738</v>
      </c>
      <c r="B2070" s="2141" t="s">
        <v>3057</v>
      </c>
      <c r="C2070" s="2141" t="s">
        <v>3161</v>
      </c>
      <c r="D2070" s="2141">
        <v>7</v>
      </c>
      <c r="E2070" s="2142">
        <v>42.2</v>
      </c>
      <c r="F2070" s="2142">
        <v>20600</v>
      </c>
      <c r="G2070" s="2142">
        <v>869320.00000000012</v>
      </c>
      <c r="H2070" s="2143">
        <v>41918</v>
      </c>
      <c r="I2070" s="2142">
        <v>869320</v>
      </c>
    </row>
    <row r="2071" spans="1:9" s="2139" customFormat="1" hidden="1">
      <c r="A2071" s="2140" t="s">
        <v>5751</v>
      </c>
      <c r="B2071" s="2141" t="s">
        <v>3057</v>
      </c>
      <c r="C2071" s="2141" t="s">
        <v>3161</v>
      </c>
      <c r="D2071" s="2141">
        <v>32</v>
      </c>
      <c r="E2071" s="2142">
        <v>64.36</v>
      </c>
      <c r="F2071" s="2142">
        <v>15759</v>
      </c>
      <c r="G2071" s="2142">
        <v>1014249.24</v>
      </c>
      <c r="H2071" s="2143">
        <v>41918</v>
      </c>
      <c r="I2071" s="2142">
        <v>1014249</v>
      </c>
    </row>
    <row r="2072" spans="1:9" s="2139" customFormat="1" hidden="1">
      <c r="A2072" s="2140" t="s">
        <v>5752</v>
      </c>
      <c r="B2072" s="2141" t="s">
        <v>3057</v>
      </c>
      <c r="C2072" s="2141" t="s">
        <v>3161</v>
      </c>
      <c r="D2072" s="2141">
        <v>33</v>
      </c>
      <c r="E2072" s="2142">
        <v>64.36</v>
      </c>
      <c r="F2072" s="2142">
        <v>15759</v>
      </c>
      <c r="G2072" s="2142">
        <v>1014249.24</v>
      </c>
      <c r="H2072" s="2143">
        <v>41918</v>
      </c>
      <c r="I2072" s="2142">
        <v>1014249</v>
      </c>
    </row>
    <row r="2073" spans="1:9" s="2139" customFormat="1" hidden="1">
      <c r="A2073" s="2140" t="s">
        <v>5813</v>
      </c>
      <c r="B2073" s="2141" t="s">
        <v>3057</v>
      </c>
      <c r="C2073" s="2141" t="s">
        <v>3161</v>
      </c>
      <c r="D2073" s="2141">
        <v>128</v>
      </c>
      <c r="E2073" s="2142">
        <v>44.91</v>
      </c>
      <c r="F2073" s="2142">
        <v>18982.900000000001</v>
      </c>
      <c r="G2073" s="2142">
        <v>852522.03899999999</v>
      </c>
      <c r="H2073" s="2143">
        <v>41918</v>
      </c>
      <c r="I2073" s="2142">
        <v>852522</v>
      </c>
    </row>
    <row r="2074" spans="1:9" s="2139" customFormat="1" hidden="1">
      <c r="A2074" s="2140" t="s">
        <v>5867</v>
      </c>
      <c r="B2074" s="2141" t="s">
        <v>3057</v>
      </c>
      <c r="C2074" s="2141" t="s">
        <v>3161</v>
      </c>
      <c r="D2074" s="2141">
        <v>200</v>
      </c>
      <c r="E2074" s="2142">
        <v>70.55</v>
      </c>
      <c r="F2074" s="2142">
        <v>15759</v>
      </c>
      <c r="G2074" s="2142">
        <v>1111797.45</v>
      </c>
      <c r="H2074" s="2143">
        <v>41918</v>
      </c>
      <c r="I2074" s="2142">
        <v>1111797</v>
      </c>
    </row>
    <row r="2075" spans="1:9" s="2139" customFormat="1" hidden="1">
      <c r="A2075" s="2140" t="s">
        <v>4478</v>
      </c>
      <c r="B2075" s="2141" t="s">
        <v>3055</v>
      </c>
      <c r="C2075" s="2141" t="s">
        <v>3161</v>
      </c>
      <c r="D2075" s="3396">
        <v>58</v>
      </c>
      <c r="E2075" s="2142">
        <v>14.95</v>
      </c>
      <c r="F2075" s="2142">
        <v>15829</v>
      </c>
      <c r="G2075" s="2142">
        <v>236643.55</v>
      </c>
      <c r="H2075" s="3557">
        <v>41917</v>
      </c>
      <c r="I2075" s="2142">
        <v>236644</v>
      </c>
    </row>
    <row r="2076" spans="1:9" s="2139" customFormat="1" hidden="1">
      <c r="A2076" s="2140" t="s">
        <v>5103</v>
      </c>
      <c r="B2076" s="2141" t="s">
        <v>3056</v>
      </c>
      <c r="C2076" s="2141" t="s">
        <v>3161</v>
      </c>
      <c r="D2076" s="2141">
        <v>18</v>
      </c>
      <c r="E2076" s="2142">
        <v>41.11</v>
      </c>
      <c r="F2076" s="2142">
        <v>20085</v>
      </c>
      <c r="G2076" s="2142">
        <v>825694.35</v>
      </c>
      <c r="H2076" s="2143">
        <v>41917</v>
      </c>
      <c r="I2076" s="2142">
        <v>825694</v>
      </c>
    </row>
    <row r="2077" spans="1:9" s="2139" customFormat="1" hidden="1">
      <c r="A2077" s="2140" t="s">
        <v>5118</v>
      </c>
      <c r="B2077" s="2141" t="s">
        <v>3056</v>
      </c>
      <c r="C2077" s="2141" t="s">
        <v>3161</v>
      </c>
      <c r="D2077" s="2141">
        <v>47</v>
      </c>
      <c r="E2077" s="2142">
        <v>41.64</v>
      </c>
      <c r="F2077" s="2142">
        <v>19055</v>
      </c>
      <c r="G2077" s="2142">
        <v>793450.2</v>
      </c>
      <c r="H2077" s="2143">
        <v>41917</v>
      </c>
      <c r="I2077" s="2142">
        <v>793450</v>
      </c>
    </row>
    <row r="2078" spans="1:9" s="2139" customFormat="1" hidden="1">
      <c r="A2078" s="2140" t="s">
        <v>5209</v>
      </c>
      <c r="B2078" s="2141" t="s">
        <v>3056</v>
      </c>
      <c r="C2078" s="2141" t="s">
        <v>3161</v>
      </c>
      <c r="D2078" s="2141">
        <v>183</v>
      </c>
      <c r="E2078" s="2142">
        <v>45.74</v>
      </c>
      <c r="F2078" s="2142">
        <v>16274</v>
      </c>
      <c r="G2078" s="2142">
        <v>744372.76</v>
      </c>
      <c r="H2078" s="2143">
        <v>41917</v>
      </c>
      <c r="I2078" s="2142">
        <v>744373</v>
      </c>
    </row>
    <row r="2079" spans="1:9" s="2139" customFormat="1" hidden="1">
      <c r="A2079" s="2140" t="s">
        <v>5216</v>
      </c>
      <c r="B2079" s="2141" t="s">
        <v>3056</v>
      </c>
      <c r="C2079" s="2141" t="s">
        <v>3161</v>
      </c>
      <c r="D2079" s="2141">
        <v>191</v>
      </c>
      <c r="E2079" s="2142">
        <v>87.71</v>
      </c>
      <c r="F2079" s="2142">
        <v>27604</v>
      </c>
      <c r="G2079" s="2142">
        <v>2421146.84</v>
      </c>
      <c r="H2079" s="2143">
        <v>41917</v>
      </c>
      <c r="I2079" s="2142">
        <v>2421147</v>
      </c>
    </row>
    <row r="2080" spans="1:9" s="2139" customFormat="1" hidden="1">
      <c r="A2080" s="2140" t="s">
        <v>5248</v>
      </c>
      <c r="B2080" s="2141" t="s">
        <v>3056</v>
      </c>
      <c r="C2080" s="2141" t="s">
        <v>3161</v>
      </c>
      <c r="D2080" s="2141">
        <v>230</v>
      </c>
      <c r="E2080" s="2142">
        <v>48.01</v>
      </c>
      <c r="F2080" s="2142">
        <v>20085</v>
      </c>
      <c r="G2080" s="2142">
        <v>964280.85</v>
      </c>
      <c r="H2080" s="2143">
        <v>41917</v>
      </c>
      <c r="I2080" s="2142">
        <v>964281</v>
      </c>
    </row>
    <row r="2081" spans="1:9" s="2139" customFormat="1" hidden="1">
      <c r="A2081" s="2140" t="s">
        <v>5249</v>
      </c>
      <c r="B2081" s="2141" t="s">
        <v>3056</v>
      </c>
      <c r="C2081" s="2141" t="s">
        <v>3161</v>
      </c>
      <c r="D2081" s="2141">
        <v>231</v>
      </c>
      <c r="E2081" s="2142">
        <v>48.01</v>
      </c>
      <c r="F2081" s="2142">
        <v>20085</v>
      </c>
      <c r="G2081" s="2142">
        <v>964280.85</v>
      </c>
      <c r="H2081" s="2143">
        <v>41917</v>
      </c>
      <c r="I2081" s="2142">
        <v>964281</v>
      </c>
    </row>
    <row r="2082" spans="1:9" s="2139" customFormat="1" hidden="1">
      <c r="A2082" s="2140" t="s">
        <v>5252</v>
      </c>
      <c r="B2082" s="2141" t="s">
        <v>3056</v>
      </c>
      <c r="C2082" s="2141" t="s">
        <v>3161</v>
      </c>
      <c r="D2082" s="2141">
        <v>235</v>
      </c>
      <c r="E2082" s="2142">
        <v>48.01</v>
      </c>
      <c r="F2082" s="2142">
        <v>20085</v>
      </c>
      <c r="G2082" s="2142">
        <v>964280.85</v>
      </c>
      <c r="H2082" s="2143">
        <v>41917</v>
      </c>
      <c r="I2082" s="2142">
        <v>494281</v>
      </c>
    </row>
    <row r="2083" spans="1:9" s="2139" customFormat="1" hidden="1">
      <c r="A2083" s="2140" t="s">
        <v>5254</v>
      </c>
      <c r="B2083" s="2141" t="s">
        <v>3056</v>
      </c>
      <c r="C2083" s="2141" t="s">
        <v>3161</v>
      </c>
      <c r="D2083" s="2141">
        <v>237</v>
      </c>
      <c r="E2083" s="2142">
        <v>48.01</v>
      </c>
      <c r="F2083" s="2142">
        <v>20600</v>
      </c>
      <c r="G2083" s="2142">
        <v>989006</v>
      </c>
      <c r="H2083" s="2143">
        <v>41917</v>
      </c>
      <c r="I2083" s="2142">
        <v>989006</v>
      </c>
    </row>
    <row r="2084" spans="1:9" s="2139" customFormat="1" hidden="1">
      <c r="A2084" s="2140" t="s">
        <v>5802</v>
      </c>
      <c r="B2084" s="2141" t="s">
        <v>3057</v>
      </c>
      <c r="C2084" s="2141" t="s">
        <v>3161</v>
      </c>
      <c r="D2084" s="2141">
        <v>116</v>
      </c>
      <c r="E2084" s="2142">
        <v>70.239999999999995</v>
      </c>
      <c r="F2084" s="2142">
        <v>27604</v>
      </c>
      <c r="G2084" s="2142">
        <v>1938904.96</v>
      </c>
      <c r="H2084" s="2143">
        <v>41917</v>
      </c>
      <c r="I2084" s="2142">
        <v>1938905</v>
      </c>
    </row>
    <row r="2085" spans="1:9" s="2139" customFormat="1" hidden="1">
      <c r="A2085" s="2140" t="s">
        <v>5854</v>
      </c>
      <c r="B2085" s="2141" t="s">
        <v>3057</v>
      </c>
      <c r="C2085" s="2141" t="s">
        <v>3161</v>
      </c>
      <c r="D2085" s="2141">
        <v>183</v>
      </c>
      <c r="E2085" s="2142">
        <v>61.32</v>
      </c>
      <c r="F2085" s="2142">
        <v>20600</v>
      </c>
      <c r="G2085" s="2142">
        <v>1263192</v>
      </c>
      <c r="H2085" s="2143">
        <v>41917</v>
      </c>
      <c r="I2085" s="2142">
        <v>1263192</v>
      </c>
    </row>
    <row r="2086" spans="1:9" s="2139" customFormat="1" hidden="1">
      <c r="A2086" s="2140" t="s">
        <v>5855</v>
      </c>
      <c r="B2086" s="2141" t="s">
        <v>3057</v>
      </c>
      <c r="C2086" s="2141" t="s">
        <v>3161</v>
      </c>
      <c r="D2086" s="2141">
        <v>185</v>
      </c>
      <c r="E2086" s="2142">
        <v>69.73</v>
      </c>
      <c r="F2086" s="2142">
        <v>20600</v>
      </c>
      <c r="G2086" s="2142">
        <v>1436438</v>
      </c>
      <c r="H2086" s="2143">
        <v>41917</v>
      </c>
      <c r="I2086" s="2142">
        <v>1436438</v>
      </c>
    </row>
    <row r="2087" spans="1:9" s="2139" customFormat="1" hidden="1">
      <c r="A2087" s="2140" t="s">
        <v>5858</v>
      </c>
      <c r="B2087" s="2141" t="s">
        <v>3057</v>
      </c>
      <c r="C2087" s="2141" t="s">
        <v>3161</v>
      </c>
      <c r="D2087" s="2141">
        <v>189</v>
      </c>
      <c r="E2087" s="2142">
        <v>41.16</v>
      </c>
      <c r="F2087" s="2142">
        <v>17201</v>
      </c>
      <c r="G2087" s="2142">
        <v>707993.15999999992</v>
      </c>
      <c r="H2087" s="2143">
        <v>41917</v>
      </c>
      <c r="I2087" s="2142">
        <v>707993</v>
      </c>
    </row>
    <row r="2088" spans="1:9" s="2139" customFormat="1" hidden="1">
      <c r="A2088" s="2140" t="s">
        <v>5859</v>
      </c>
      <c r="B2088" s="2141" t="s">
        <v>3057</v>
      </c>
      <c r="C2088" s="2141" t="s">
        <v>3161</v>
      </c>
      <c r="D2088" s="2141">
        <v>190</v>
      </c>
      <c r="E2088" s="2142">
        <v>112.76</v>
      </c>
      <c r="F2088" s="2142">
        <v>17201</v>
      </c>
      <c r="G2088" s="2142">
        <v>1939584.76</v>
      </c>
      <c r="H2088" s="2143">
        <v>41917</v>
      </c>
      <c r="I2088" s="2142">
        <v>1939585</v>
      </c>
    </row>
    <row r="2089" spans="1:9" s="2139" customFormat="1" hidden="1">
      <c r="A2089" s="2140" t="s">
        <v>5119</v>
      </c>
      <c r="B2089" s="2141" t="s">
        <v>3056</v>
      </c>
      <c r="C2089" s="2141" t="s">
        <v>3161</v>
      </c>
      <c r="D2089" s="2141">
        <v>48</v>
      </c>
      <c r="E2089" s="2142">
        <v>68.400000000000006</v>
      </c>
      <c r="F2089" s="2142">
        <v>21630</v>
      </c>
      <c r="G2089" s="2142">
        <v>1479492.0000000002</v>
      </c>
      <c r="H2089" s="2143">
        <v>41916</v>
      </c>
      <c r="I2089" s="2142">
        <v>1479492</v>
      </c>
    </row>
    <row r="2090" spans="1:9" s="2139" customFormat="1" hidden="1">
      <c r="A2090" s="2140" t="s">
        <v>5195</v>
      </c>
      <c r="B2090" s="2141" t="s">
        <v>3056</v>
      </c>
      <c r="C2090" s="2141" t="s">
        <v>3161</v>
      </c>
      <c r="D2090" s="2141">
        <v>162</v>
      </c>
      <c r="E2090" s="2142">
        <v>33.36</v>
      </c>
      <c r="F2090" s="2142">
        <v>16274</v>
      </c>
      <c r="G2090" s="2142">
        <v>542900.64</v>
      </c>
      <c r="H2090" s="2143">
        <v>41916</v>
      </c>
      <c r="I2090" s="2142">
        <v>542901</v>
      </c>
    </row>
    <row r="2091" spans="1:9" s="2139" customFormat="1" hidden="1">
      <c r="A2091" s="2140" t="s">
        <v>5736</v>
      </c>
      <c r="B2091" s="2141" t="s">
        <v>3057</v>
      </c>
      <c r="C2091" s="2141" t="s">
        <v>3161</v>
      </c>
      <c r="D2091" s="2141">
        <v>2</v>
      </c>
      <c r="E2091" s="2142">
        <v>62.9</v>
      </c>
      <c r="F2091" s="2142">
        <v>20600</v>
      </c>
      <c r="G2091" s="2142">
        <v>1295740</v>
      </c>
      <c r="H2091" s="2143">
        <v>41916</v>
      </c>
      <c r="I2091" s="2142">
        <v>1295740</v>
      </c>
    </row>
    <row r="2092" spans="1:9" s="2139" customFormat="1" hidden="1">
      <c r="A2092" s="2140" t="s">
        <v>5743</v>
      </c>
      <c r="B2092" s="2141" t="s">
        <v>3057</v>
      </c>
      <c r="C2092" s="2141" t="s">
        <v>3161</v>
      </c>
      <c r="D2092" s="2141">
        <v>12</v>
      </c>
      <c r="E2092" s="2142">
        <v>45.9</v>
      </c>
      <c r="F2092" s="2142">
        <v>24205</v>
      </c>
      <c r="G2092" s="2142">
        <v>1111010</v>
      </c>
      <c r="H2092" s="2143">
        <v>41916</v>
      </c>
      <c r="I2092" s="2142">
        <v>1109073</v>
      </c>
    </row>
    <row r="2093" spans="1:9" s="2139" customFormat="1" hidden="1">
      <c r="A2093" s="2140" t="s">
        <v>5759</v>
      </c>
      <c r="B2093" s="2141" t="s">
        <v>3057</v>
      </c>
      <c r="C2093" s="2141" t="s">
        <v>3161</v>
      </c>
      <c r="D2093" s="2141">
        <v>46</v>
      </c>
      <c r="E2093" s="2142">
        <v>72.53</v>
      </c>
      <c r="F2093" s="2142">
        <v>17201</v>
      </c>
      <c r="G2093" s="2142">
        <v>1247588.53</v>
      </c>
      <c r="H2093" s="2143">
        <v>41916</v>
      </c>
      <c r="I2093" s="2142">
        <v>1247589</v>
      </c>
    </row>
    <row r="2094" spans="1:9" s="2139" customFormat="1" hidden="1">
      <c r="A2094" s="2140" t="s">
        <v>5763</v>
      </c>
      <c r="B2094" s="2141" t="s">
        <v>3057</v>
      </c>
      <c r="C2094" s="2141" t="s">
        <v>3161</v>
      </c>
      <c r="D2094" s="2141">
        <v>56</v>
      </c>
      <c r="E2094" s="2142">
        <v>70.569999999999993</v>
      </c>
      <c r="F2094" s="2142">
        <v>22660</v>
      </c>
      <c r="G2094" s="2142">
        <v>1599116.2</v>
      </c>
      <c r="H2094" s="2143">
        <v>41916</v>
      </c>
      <c r="I2094" s="2142">
        <v>1599116</v>
      </c>
    </row>
    <row r="2095" spans="1:9" s="2139" customFormat="1" hidden="1">
      <c r="A2095" s="2140" t="s">
        <v>5781</v>
      </c>
      <c r="B2095" s="2141" t="s">
        <v>3057</v>
      </c>
      <c r="C2095" s="2141" t="s">
        <v>3161</v>
      </c>
      <c r="D2095" s="2141">
        <v>90</v>
      </c>
      <c r="E2095" s="2142">
        <v>58.46</v>
      </c>
      <c r="F2095" s="2142">
        <v>24720</v>
      </c>
      <c r="G2095" s="2142">
        <v>1445131.2</v>
      </c>
      <c r="H2095" s="2143">
        <v>41916</v>
      </c>
      <c r="I2095" s="2142">
        <v>1445131</v>
      </c>
    </row>
    <row r="2096" spans="1:9" s="2139" customFormat="1" hidden="1">
      <c r="A2096" s="2140" t="s">
        <v>5821</v>
      </c>
      <c r="B2096" s="2141" t="s">
        <v>3057</v>
      </c>
      <c r="C2096" s="2141" t="s">
        <v>3161</v>
      </c>
      <c r="D2096" s="2141">
        <v>139</v>
      </c>
      <c r="E2096" s="2142">
        <v>140.30000000000001</v>
      </c>
      <c r="F2096" s="2142">
        <v>19570</v>
      </c>
      <c r="G2096" s="2142">
        <v>2745671</v>
      </c>
      <c r="H2096" s="2143">
        <v>41916</v>
      </c>
      <c r="I2096" s="2142">
        <v>2745671</v>
      </c>
    </row>
    <row r="2097" spans="1:9" s="2139" customFormat="1" hidden="1">
      <c r="A2097" s="2140" t="s">
        <v>5841</v>
      </c>
      <c r="B2097" s="2141" t="s">
        <v>3057</v>
      </c>
      <c r="C2097" s="2141" t="s">
        <v>3161</v>
      </c>
      <c r="D2097" s="2141">
        <v>167</v>
      </c>
      <c r="E2097" s="2142">
        <v>140.30000000000001</v>
      </c>
      <c r="F2097" s="2142">
        <v>27604</v>
      </c>
      <c r="G2097" s="2142">
        <v>3872841.2</v>
      </c>
      <c r="H2097" s="2143">
        <v>41916</v>
      </c>
      <c r="I2097" s="2142">
        <v>3872841</v>
      </c>
    </row>
    <row r="2098" spans="1:9" s="2139" customFormat="1" hidden="1">
      <c r="A2098" s="2140" t="s">
        <v>3831</v>
      </c>
      <c r="B2098" s="2141" t="s">
        <v>3054</v>
      </c>
      <c r="C2098" s="2141" t="s">
        <v>3161</v>
      </c>
      <c r="D2098" s="2141">
        <v>35</v>
      </c>
      <c r="E2098" s="2142">
        <v>68.239999999999995</v>
      </c>
      <c r="F2098" s="2142">
        <v>23800</v>
      </c>
      <c r="G2098" s="2142">
        <v>1624111.9999999998</v>
      </c>
      <c r="H2098" s="2143">
        <v>41915</v>
      </c>
      <c r="I2098" s="2142">
        <v>1624112</v>
      </c>
    </row>
    <row r="2099" spans="1:9" s="2139" customFormat="1" hidden="1">
      <c r="A2099" s="2140" t="s">
        <v>3837</v>
      </c>
      <c r="B2099" s="2141" t="s">
        <v>3054</v>
      </c>
      <c r="C2099" s="2141" t="s">
        <v>3161</v>
      </c>
      <c r="D2099" s="2141">
        <v>46</v>
      </c>
      <c r="E2099" s="2142">
        <v>37.01</v>
      </c>
      <c r="F2099" s="2142">
        <v>17300</v>
      </c>
      <c r="G2099" s="2142">
        <v>640273</v>
      </c>
      <c r="H2099" s="2143">
        <v>41915</v>
      </c>
      <c r="I2099" s="2142">
        <v>640273</v>
      </c>
    </row>
    <row r="2100" spans="1:9" s="2139" customFormat="1" hidden="1">
      <c r="A2100" s="2140" t="s">
        <v>5107</v>
      </c>
      <c r="B2100" s="2141" t="s">
        <v>3056</v>
      </c>
      <c r="C2100" s="2141" t="s">
        <v>3161</v>
      </c>
      <c r="D2100" s="2141">
        <v>23</v>
      </c>
      <c r="E2100" s="2142">
        <v>41.12</v>
      </c>
      <c r="F2100" s="2142">
        <v>20600</v>
      </c>
      <c r="G2100" s="2142">
        <v>847072</v>
      </c>
      <c r="H2100" s="2143">
        <v>41915</v>
      </c>
      <c r="I2100" s="2142">
        <v>847072</v>
      </c>
    </row>
    <row r="2101" spans="1:9" s="2139" customFormat="1" hidden="1">
      <c r="A2101" s="2140" t="s">
        <v>5115</v>
      </c>
      <c r="B2101" s="2141" t="s">
        <v>3056</v>
      </c>
      <c r="C2101" s="2141" t="s">
        <v>3161</v>
      </c>
      <c r="D2101" s="2141">
        <v>40</v>
      </c>
      <c r="E2101" s="2142">
        <v>45.2</v>
      </c>
      <c r="F2101" s="2142">
        <v>16274</v>
      </c>
      <c r="G2101" s="2142">
        <v>735584.8</v>
      </c>
      <c r="H2101" s="2143">
        <v>41915</v>
      </c>
      <c r="I2101" s="2142">
        <v>735585</v>
      </c>
    </row>
    <row r="2102" spans="1:9" s="2139" customFormat="1" hidden="1">
      <c r="A2102" s="2140" t="s">
        <v>5223</v>
      </c>
      <c r="B2102" s="2141" t="s">
        <v>3056</v>
      </c>
      <c r="C2102" s="2141" t="s">
        <v>3161</v>
      </c>
      <c r="D2102" s="2141">
        <v>200</v>
      </c>
      <c r="E2102" s="2142">
        <v>47.95</v>
      </c>
      <c r="F2102" s="2142">
        <v>20600</v>
      </c>
      <c r="G2102" s="2142">
        <v>987770.00000000012</v>
      </c>
      <c r="H2102" s="2143">
        <v>41915</v>
      </c>
      <c r="I2102" s="2142">
        <v>987770</v>
      </c>
    </row>
    <row r="2103" spans="1:9" s="2139" customFormat="1" hidden="1">
      <c r="A2103" s="2140" t="s">
        <v>5224</v>
      </c>
      <c r="B2103" s="2141" t="s">
        <v>3056</v>
      </c>
      <c r="C2103" s="2141" t="s">
        <v>3161</v>
      </c>
      <c r="D2103" s="2141">
        <v>201</v>
      </c>
      <c r="E2103" s="2142">
        <v>48.02</v>
      </c>
      <c r="F2103" s="2142">
        <v>20600</v>
      </c>
      <c r="G2103" s="2142">
        <v>989212.00000000012</v>
      </c>
      <c r="H2103" s="2143">
        <v>41915</v>
      </c>
      <c r="I2103" s="2142">
        <v>989212</v>
      </c>
    </row>
    <row r="2104" spans="1:9" s="2139" customFormat="1" hidden="1">
      <c r="A2104" s="2140" t="s">
        <v>5237</v>
      </c>
      <c r="B2104" s="2141" t="s">
        <v>3056</v>
      </c>
      <c r="C2104" s="2141" t="s">
        <v>3161</v>
      </c>
      <c r="D2104" s="2141">
        <v>217</v>
      </c>
      <c r="E2104" s="2142">
        <v>48.01</v>
      </c>
      <c r="F2104" s="2142">
        <v>20085</v>
      </c>
      <c r="G2104" s="2142">
        <v>964280.85</v>
      </c>
      <c r="H2104" s="2143">
        <v>41915</v>
      </c>
      <c r="I2104" s="2142">
        <v>964281</v>
      </c>
    </row>
    <row r="2105" spans="1:9" s="2139" customFormat="1" hidden="1">
      <c r="A2105" s="2140" t="s">
        <v>5238</v>
      </c>
      <c r="B2105" s="2141" t="s">
        <v>3056</v>
      </c>
      <c r="C2105" s="2141" t="s">
        <v>3161</v>
      </c>
      <c r="D2105" s="2141">
        <v>218</v>
      </c>
      <c r="E2105" s="2142">
        <v>48.01</v>
      </c>
      <c r="F2105" s="2142">
        <v>20085.009999999998</v>
      </c>
      <c r="G2105" s="2142">
        <v>964281.3300999999</v>
      </c>
      <c r="H2105" s="2143">
        <v>41915</v>
      </c>
      <c r="I2105" s="2142">
        <v>964281</v>
      </c>
    </row>
    <row r="2106" spans="1:9" s="2139" customFormat="1" hidden="1">
      <c r="A2106" s="2140" t="s">
        <v>3850</v>
      </c>
      <c r="B2106" s="2141" t="s">
        <v>3054</v>
      </c>
      <c r="C2106" s="2141" t="s">
        <v>3161</v>
      </c>
      <c r="D2106" s="2141">
        <v>63</v>
      </c>
      <c r="E2106" s="2142">
        <v>48.29</v>
      </c>
      <c r="F2106" s="2142">
        <v>17300</v>
      </c>
      <c r="G2106" s="2142">
        <v>835417</v>
      </c>
      <c r="H2106" s="2143">
        <v>41914</v>
      </c>
      <c r="I2106" s="2142">
        <v>835417</v>
      </c>
    </row>
    <row r="2107" spans="1:9" s="2139" customFormat="1" hidden="1">
      <c r="A2107" s="2140" t="s">
        <v>5114</v>
      </c>
      <c r="B2107" s="2141" t="s">
        <v>3056</v>
      </c>
      <c r="C2107" s="2141" t="s">
        <v>3161</v>
      </c>
      <c r="D2107" s="2141">
        <v>38</v>
      </c>
      <c r="E2107" s="2142">
        <v>56.11</v>
      </c>
      <c r="F2107" s="2142">
        <v>16789</v>
      </c>
      <c r="G2107" s="2142">
        <v>942030.79</v>
      </c>
      <c r="H2107" s="2143">
        <v>41914</v>
      </c>
      <c r="I2107" s="2142">
        <v>942031</v>
      </c>
    </row>
    <row r="2108" spans="1:9" s="2139" customFormat="1" hidden="1">
      <c r="A2108" s="2140" t="s">
        <v>5120</v>
      </c>
      <c r="B2108" s="2141" t="s">
        <v>3056</v>
      </c>
      <c r="C2108" s="2141" t="s">
        <v>3161</v>
      </c>
      <c r="D2108" s="2141">
        <v>50</v>
      </c>
      <c r="E2108" s="2142">
        <v>65.45</v>
      </c>
      <c r="F2108" s="2142">
        <v>21115</v>
      </c>
      <c r="G2108" s="2142">
        <v>1381976.75</v>
      </c>
      <c r="H2108" s="2143">
        <v>41913</v>
      </c>
      <c r="I2108" s="2142">
        <v>1381977</v>
      </c>
    </row>
    <row r="2109" spans="1:9" s="2139" customFormat="1" hidden="1">
      <c r="A2109" s="2140" t="s">
        <v>5230</v>
      </c>
      <c r="B2109" s="2141" t="s">
        <v>3056</v>
      </c>
      <c r="C2109" s="2141" t="s">
        <v>3161</v>
      </c>
      <c r="D2109" s="2141">
        <v>209</v>
      </c>
      <c r="E2109" s="2142">
        <v>47.97</v>
      </c>
      <c r="F2109" s="2142">
        <v>20085</v>
      </c>
      <c r="G2109" s="2142">
        <v>963477</v>
      </c>
      <c r="H2109" s="2143">
        <v>41913</v>
      </c>
      <c r="I2109" s="2142">
        <v>963477</v>
      </c>
    </row>
    <row r="2110" spans="1:9" s="2139" customFormat="1" hidden="1">
      <c r="A2110" s="2140" t="s">
        <v>5860</v>
      </c>
      <c r="B2110" s="2141" t="s">
        <v>3057</v>
      </c>
      <c r="C2110" s="2141" t="s">
        <v>3161</v>
      </c>
      <c r="D2110" s="2141">
        <v>191</v>
      </c>
      <c r="E2110" s="2142">
        <v>80.56</v>
      </c>
      <c r="F2110" s="2142">
        <v>17201</v>
      </c>
      <c r="G2110" s="2142">
        <v>1385712.56</v>
      </c>
      <c r="H2110" s="2143">
        <v>41913</v>
      </c>
      <c r="I2110" s="2142">
        <v>1385713</v>
      </c>
    </row>
    <row r="2111" spans="1:9" s="2139" customFormat="1" hidden="1">
      <c r="A2111" s="2140" t="s">
        <v>5861</v>
      </c>
      <c r="B2111" s="2141" t="s">
        <v>3057</v>
      </c>
      <c r="C2111" s="2141" t="s">
        <v>3161</v>
      </c>
      <c r="D2111" s="2141">
        <v>192</v>
      </c>
      <c r="E2111" s="2142">
        <v>81.650000000000006</v>
      </c>
      <c r="F2111" s="2142">
        <v>17201</v>
      </c>
      <c r="G2111" s="2142">
        <v>1404461.6500000001</v>
      </c>
      <c r="H2111" s="2143">
        <v>41913</v>
      </c>
      <c r="I2111" s="2142">
        <v>1404462</v>
      </c>
    </row>
    <row r="2112" spans="1:9" s="2139" customFormat="1" hidden="1">
      <c r="A2112" s="2140" t="s">
        <v>4616</v>
      </c>
      <c r="B2112" s="2141" t="s">
        <v>3055</v>
      </c>
      <c r="C2112" s="2141" t="s">
        <v>3168</v>
      </c>
      <c r="D2112" s="3396">
        <v>39</v>
      </c>
      <c r="E2112" s="2142">
        <v>37.729999999999997</v>
      </c>
      <c r="F2112" s="2142">
        <v>15000</v>
      </c>
      <c r="G2112" s="2142">
        <v>565950</v>
      </c>
      <c r="H2112" s="3557"/>
      <c r="I2112" s="2142">
        <v>141300</v>
      </c>
    </row>
    <row r="2113" spans="1:9" s="2139" customFormat="1" hidden="1">
      <c r="A2113" s="2140" t="s">
        <v>4623</v>
      </c>
      <c r="B2113" s="2141" t="s">
        <v>3055</v>
      </c>
      <c r="C2113" s="2141" t="s">
        <v>3168</v>
      </c>
      <c r="D2113" s="3396">
        <v>58</v>
      </c>
      <c r="E2113" s="2142">
        <v>43.97</v>
      </c>
      <c r="F2113" s="2142">
        <v>14100</v>
      </c>
      <c r="G2113" s="2142">
        <v>619977</v>
      </c>
      <c r="H2113" s="3557"/>
      <c r="I2113" s="2142">
        <v>90973</v>
      </c>
    </row>
    <row r="2114" spans="1:9" s="2139" customFormat="1" hidden="1">
      <c r="A2114" s="2140" t="s">
        <v>4625</v>
      </c>
      <c r="B2114" s="2141" t="s">
        <v>3055</v>
      </c>
      <c r="C2114" s="2141" t="s">
        <v>3168</v>
      </c>
      <c r="D2114" s="3396">
        <v>60</v>
      </c>
      <c r="E2114" s="2142">
        <v>61.52</v>
      </c>
      <c r="F2114" s="2142">
        <v>14300</v>
      </c>
      <c r="G2114" s="2142">
        <v>879736</v>
      </c>
      <c r="H2114" s="3557"/>
      <c r="I2114" s="2142">
        <v>119076</v>
      </c>
    </row>
    <row r="2115" spans="1:9" s="2139" customFormat="1" hidden="1">
      <c r="A2115" s="2140" t="s">
        <v>4626</v>
      </c>
      <c r="B2115" s="2141" t="s">
        <v>3055</v>
      </c>
      <c r="C2115" s="2141" t="s">
        <v>3168</v>
      </c>
      <c r="D2115" s="3396">
        <v>62</v>
      </c>
      <c r="E2115" s="2142">
        <v>67.260000000000005</v>
      </c>
      <c r="F2115" s="2142">
        <v>15000</v>
      </c>
      <c r="G2115" s="2142">
        <v>1008900.0000000001</v>
      </c>
      <c r="H2115" s="3557"/>
      <c r="I2115" s="2142">
        <v>97695</v>
      </c>
    </row>
    <row r="2116" spans="1:9" s="2139" customFormat="1" hidden="1">
      <c r="A2116" s="2140" t="s">
        <v>4631</v>
      </c>
      <c r="B2116" s="2141" t="s">
        <v>3055</v>
      </c>
      <c r="C2116" s="2141" t="s">
        <v>3168</v>
      </c>
      <c r="D2116" s="3396">
        <v>69</v>
      </c>
      <c r="E2116" s="2142">
        <v>97.14</v>
      </c>
      <c r="F2116" s="2142">
        <v>19100</v>
      </c>
      <c r="G2116" s="2142">
        <v>1855374</v>
      </c>
      <c r="H2116" s="3557"/>
      <c r="I2116" s="2142">
        <v>208266</v>
      </c>
    </row>
    <row r="2117" spans="1:9" s="2139" customFormat="1" hidden="1">
      <c r="A2117" s="2140" t="s">
        <v>4632</v>
      </c>
      <c r="B2117" s="2141" t="s">
        <v>3055</v>
      </c>
      <c r="C2117" s="2141" t="s">
        <v>3168</v>
      </c>
      <c r="D2117" s="3396">
        <v>70</v>
      </c>
      <c r="E2117" s="2142">
        <v>174.43</v>
      </c>
      <c r="F2117" s="2142">
        <v>18800</v>
      </c>
      <c r="G2117" s="2142">
        <v>3279284</v>
      </c>
      <c r="H2117" s="3557"/>
      <c r="I2117" s="2142">
        <v>420067</v>
      </c>
    </row>
    <row r="2118" spans="1:9" s="2139" customFormat="1" hidden="1">
      <c r="A2118" s="2140" t="s">
        <v>4635</v>
      </c>
      <c r="B2118" s="2141" t="s">
        <v>3055</v>
      </c>
      <c r="C2118" s="2141" t="s">
        <v>3168</v>
      </c>
      <c r="D2118" s="3396">
        <v>75</v>
      </c>
      <c r="E2118" s="2142">
        <v>84.04</v>
      </c>
      <c r="F2118" s="2142">
        <v>14100</v>
      </c>
      <c r="G2118" s="2142">
        <v>1184964</v>
      </c>
      <c r="H2118" s="3557"/>
      <c r="I2118" s="2142">
        <v>111263</v>
      </c>
    </row>
    <row r="2119" spans="1:9" s="2139" customFormat="1" hidden="1">
      <c r="A2119" s="2140" t="s">
        <v>4638</v>
      </c>
      <c r="B2119" s="2141" t="s">
        <v>3055</v>
      </c>
      <c r="C2119" s="2141" t="s">
        <v>3168</v>
      </c>
      <c r="D2119" s="3396">
        <v>82</v>
      </c>
      <c r="E2119" s="2142">
        <v>15.79</v>
      </c>
      <c r="F2119" s="2142">
        <v>14100</v>
      </c>
      <c r="G2119" s="2142">
        <v>222639</v>
      </c>
      <c r="H2119" s="3557"/>
      <c r="I2119" s="2142">
        <v>111263</v>
      </c>
    </row>
    <row r="2120" spans="1:9" s="2139" customFormat="1" hidden="1">
      <c r="A2120" s="2140" t="s">
        <v>4643</v>
      </c>
      <c r="B2120" s="2141" t="s">
        <v>3055</v>
      </c>
      <c r="C2120" s="2141" t="s">
        <v>3168</v>
      </c>
      <c r="D2120" s="3396">
        <v>88</v>
      </c>
      <c r="E2120" s="2142">
        <v>43.71</v>
      </c>
      <c r="F2120" s="2142">
        <v>14300</v>
      </c>
      <c r="G2120" s="2142">
        <v>625053</v>
      </c>
      <c r="H2120" s="3557"/>
      <c r="I2120" s="2142">
        <v>85528</v>
      </c>
    </row>
    <row r="2121" spans="1:9" s="2139" customFormat="1" hidden="1">
      <c r="A2121" s="2140" t="s">
        <v>4656</v>
      </c>
      <c r="B2121" s="2141" t="s">
        <v>3055</v>
      </c>
      <c r="C2121" s="2141" t="s">
        <v>3168</v>
      </c>
      <c r="D2121" s="3396">
        <v>117</v>
      </c>
      <c r="E2121" s="2142">
        <v>45.5</v>
      </c>
      <c r="F2121" s="2142">
        <v>15800</v>
      </c>
      <c r="G2121" s="2142">
        <v>718900</v>
      </c>
      <c r="H2121" s="3557"/>
      <c r="I2121" s="2142">
        <v>90856</v>
      </c>
    </row>
    <row r="2122" spans="1:9" s="2139" customFormat="1" hidden="1">
      <c r="A2122" s="2140" t="s">
        <v>4657</v>
      </c>
      <c r="B2122" s="2141" t="s">
        <v>3055</v>
      </c>
      <c r="C2122" s="2141" t="s">
        <v>3168</v>
      </c>
      <c r="D2122" s="3396">
        <v>118</v>
      </c>
      <c r="E2122" s="2142">
        <v>75.53</v>
      </c>
      <c r="F2122" s="2142">
        <v>15800</v>
      </c>
      <c r="G2122" s="2142">
        <v>1193374</v>
      </c>
      <c r="H2122" s="3557"/>
      <c r="I2122" s="2142">
        <v>126748</v>
      </c>
    </row>
    <row r="2123" spans="1:9" s="2139" customFormat="1" hidden="1">
      <c r="A2123" s="2140" t="s">
        <v>4658</v>
      </c>
      <c r="B2123" s="2141" t="s">
        <v>3055</v>
      </c>
      <c r="C2123" s="2141" t="s">
        <v>3168</v>
      </c>
      <c r="D2123" s="3396">
        <v>119</v>
      </c>
      <c r="E2123" s="2142">
        <v>72.02</v>
      </c>
      <c r="F2123" s="2142">
        <v>15800</v>
      </c>
      <c r="G2123" s="2142">
        <v>1137916</v>
      </c>
      <c r="H2123" s="3557"/>
      <c r="I2123" s="2142">
        <v>120586</v>
      </c>
    </row>
    <row r="2124" spans="1:9" s="2139" customFormat="1" hidden="1">
      <c r="A2124" s="2140" t="s">
        <v>4659</v>
      </c>
      <c r="B2124" s="2141" t="s">
        <v>3055</v>
      </c>
      <c r="C2124" s="2141" t="s">
        <v>3168</v>
      </c>
      <c r="D2124" s="3396">
        <v>120</v>
      </c>
      <c r="E2124" s="2142">
        <v>79.61</v>
      </c>
      <c r="F2124" s="2142">
        <v>15800</v>
      </c>
      <c r="G2124" s="2142">
        <v>1257838</v>
      </c>
      <c r="H2124" s="3557"/>
      <c r="I2124" s="2142">
        <v>140000</v>
      </c>
    </row>
    <row r="2125" spans="1:9" s="2139" customFormat="1" hidden="1">
      <c r="A2125" s="2140" t="s">
        <v>4660</v>
      </c>
      <c r="B2125" s="2141" t="s">
        <v>3055</v>
      </c>
      <c r="C2125" s="2141" t="s">
        <v>3168</v>
      </c>
      <c r="D2125" s="3396">
        <v>121</v>
      </c>
      <c r="E2125" s="2142">
        <v>79.61</v>
      </c>
      <c r="F2125" s="2142">
        <v>15800</v>
      </c>
      <c r="G2125" s="2142">
        <v>1257838</v>
      </c>
      <c r="H2125" s="3557"/>
      <c r="I2125" s="2142">
        <v>140000</v>
      </c>
    </row>
    <row r="2126" spans="1:9" s="2139" customFormat="1" hidden="1">
      <c r="A2126" s="2140" t="s">
        <v>4661</v>
      </c>
      <c r="B2126" s="2141" t="s">
        <v>3055</v>
      </c>
      <c r="C2126" s="2141" t="s">
        <v>3168</v>
      </c>
      <c r="D2126" s="3396">
        <v>122</v>
      </c>
      <c r="E2126" s="2142">
        <v>67.12</v>
      </c>
      <c r="F2126" s="2142">
        <v>15800</v>
      </c>
      <c r="G2126" s="2142">
        <v>1060496</v>
      </c>
      <c r="H2126" s="3557"/>
      <c r="I2126" s="2142">
        <v>131456</v>
      </c>
    </row>
    <row r="2127" spans="1:9" s="2139" customFormat="1" hidden="1">
      <c r="A2127" s="2140" t="s">
        <v>4662</v>
      </c>
      <c r="B2127" s="2141" t="s">
        <v>3055</v>
      </c>
      <c r="C2127" s="2141" t="s">
        <v>3168</v>
      </c>
      <c r="D2127" s="3396">
        <v>123</v>
      </c>
      <c r="E2127" s="2142">
        <v>67.12</v>
      </c>
      <c r="F2127" s="2142">
        <v>15800</v>
      </c>
      <c r="G2127" s="2142">
        <v>1060496</v>
      </c>
      <c r="H2127" s="3557"/>
      <c r="I2127" s="2142">
        <v>131456</v>
      </c>
    </row>
    <row r="2128" spans="1:9" s="2139" customFormat="1" hidden="1">
      <c r="A2128" s="2140" t="s">
        <v>4663</v>
      </c>
      <c r="B2128" s="2141" t="s">
        <v>3055</v>
      </c>
      <c r="C2128" s="2141" t="s">
        <v>3168</v>
      </c>
      <c r="D2128" s="3396">
        <v>125</v>
      </c>
      <c r="E2128" s="2142">
        <v>67.12</v>
      </c>
      <c r="F2128" s="2142">
        <v>15800</v>
      </c>
      <c r="G2128" s="2142">
        <v>1060496</v>
      </c>
      <c r="H2128" s="3557"/>
      <c r="I2128" s="2142">
        <v>131456</v>
      </c>
    </row>
    <row r="2129" spans="1:9" s="2139" customFormat="1" hidden="1">
      <c r="A2129" s="2140" t="s">
        <v>4664</v>
      </c>
      <c r="B2129" s="2141" t="s">
        <v>3055</v>
      </c>
      <c r="C2129" s="2141" t="s">
        <v>3168</v>
      </c>
      <c r="D2129" s="3396">
        <v>126</v>
      </c>
      <c r="E2129" s="2142">
        <v>67.12</v>
      </c>
      <c r="F2129" s="2142">
        <v>15800</v>
      </c>
      <c r="G2129" s="2142">
        <v>1060496</v>
      </c>
      <c r="H2129" s="3557"/>
      <c r="I2129" s="2142">
        <v>131456</v>
      </c>
    </row>
    <row r="2130" spans="1:9" s="2139" customFormat="1" hidden="1">
      <c r="A2130" s="2140" t="s">
        <v>4667</v>
      </c>
      <c r="B2130" s="2141" t="s">
        <v>3055</v>
      </c>
      <c r="C2130" s="2141" t="s">
        <v>3168</v>
      </c>
      <c r="D2130" s="3396">
        <v>129</v>
      </c>
      <c r="E2130" s="2142">
        <v>70.319999999999993</v>
      </c>
      <c r="F2130" s="2142">
        <v>15800</v>
      </c>
      <c r="G2130" s="2142">
        <v>1111056</v>
      </c>
      <c r="H2130" s="3557"/>
      <c r="I2130" s="2142">
        <v>131456</v>
      </c>
    </row>
    <row r="2131" spans="1:9" s="2139" customFormat="1" hidden="1">
      <c r="A2131" s="2140" t="s">
        <v>4668</v>
      </c>
      <c r="B2131" s="2141" t="s">
        <v>3055</v>
      </c>
      <c r="C2131" s="2141" t="s">
        <v>3168</v>
      </c>
      <c r="D2131" s="3396">
        <v>130</v>
      </c>
      <c r="E2131" s="2142">
        <v>63.91</v>
      </c>
      <c r="F2131" s="2142">
        <v>15800</v>
      </c>
      <c r="G2131" s="2142">
        <v>1009778</v>
      </c>
      <c r="H2131" s="3557"/>
      <c r="I2131" s="2142">
        <v>131456</v>
      </c>
    </row>
    <row r="2132" spans="1:9" s="2139" customFormat="1" hidden="1">
      <c r="A2132" s="2140" t="s">
        <v>4669</v>
      </c>
      <c r="B2132" s="2141" t="s">
        <v>3055</v>
      </c>
      <c r="C2132" s="2141" t="s">
        <v>3168</v>
      </c>
      <c r="D2132" s="3396">
        <v>131</v>
      </c>
      <c r="E2132" s="2142">
        <v>78.78</v>
      </c>
      <c r="F2132" s="2142">
        <v>15800</v>
      </c>
      <c r="G2132" s="2142">
        <v>1244724</v>
      </c>
      <c r="H2132" s="3557"/>
      <c r="I2132" s="2142">
        <v>160000</v>
      </c>
    </row>
    <row r="2133" spans="1:9" s="2139" customFormat="1" hidden="1">
      <c r="A2133" s="2140" t="s">
        <v>4670</v>
      </c>
      <c r="B2133" s="2141" t="s">
        <v>3055</v>
      </c>
      <c r="C2133" s="2141" t="s">
        <v>3168</v>
      </c>
      <c r="D2133" s="3396">
        <v>132</v>
      </c>
      <c r="E2133" s="2142">
        <v>43.29</v>
      </c>
      <c r="F2133" s="2142">
        <v>15800</v>
      </c>
      <c r="G2133" s="2142">
        <v>683982</v>
      </c>
      <c r="H2133" s="3557"/>
      <c r="I2133" s="2142">
        <v>90000</v>
      </c>
    </row>
    <row r="2134" spans="1:9" s="2139" customFormat="1" hidden="1">
      <c r="A2134" s="2140" t="s">
        <v>4671</v>
      </c>
      <c r="B2134" s="2141" t="s">
        <v>3055</v>
      </c>
      <c r="C2134" s="2141" t="s">
        <v>3168</v>
      </c>
      <c r="D2134" s="3396">
        <v>133</v>
      </c>
      <c r="E2134" s="2142">
        <v>45.07</v>
      </c>
      <c r="F2134" s="2142">
        <v>15800</v>
      </c>
      <c r="G2134" s="2142">
        <v>712106</v>
      </c>
      <c r="H2134" s="3557"/>
      <c r="I2134" s="2142">
        <v>85620</v>
      </c>
    </row>
    <row r="2135" spans="1:9" s="2139" customFormat="1" hidden="1">
      <c r="A2135" s="2140" t="s">
        <v>4672</v>
      </c>
      <c r="B2135" s="2141" t="s">
        <v>3055</v>
      </c>
      <c r="C2135" s="2141" t="s">
        <v>3168</v>
      </c>
      <c r="D2135" s="3396">
        <v>135</v>
      </c>
      <c r="E2135" s="2142">
        <v>42.96</v>
      </c>
      <c r="F2135" s="2142">
        <v>15800</v>
      </c>
      <c r="G2135" s="2142">
        <v>678768</v>
      </c>
      <c r="H2135" s="3557"/>
      <c r="I2135" s="2142">
        <v>85620</v>
      </c>
    </row>
    <row r="2136" spans="1:9" s="2139" customFormat="1" hidden="1">
      <c r="A2136" s="2140" t="s">
        <v>4674</v>
      </c>
      <c r="B2136" s="2141" t="s">
        <v>3055</v>
      </c>
      <c r="C2136" s="2141" t="s">
        <v>3168</v>
      </c>
      <c r="D2136" s="3396">
        <v>137</v>
      </c>
      <c r="E2136" s="2142">
        <v>44.07</v>
      </c>
      <c r="F2136" s="2142">
        <v>15800</v>
      </c>
      <c r="G2136" s="2142">
        <v>696306</v>
      </c>
      <c r="H2136" s="3557"/>
      <c r="I2136" s="2142">
        <v>90000</v>
      </c>
    </row>
    <row r="2137" spans="1:9" s="2139" customFormat="1" hidden="1">
      <c r="A2137" s="2140" t="s">
        <v>4675</v>
      </c>
      <c r="B2137" s="2141" t="s">
        <v>3055</v>
      </c>
      <c r="C2137" s="2141" t="s">
        <v>3168</v>
      </c>
      <c r="D2137" s="3396">
        <v>138</v>
      </c>
      <c r="E2137" s="2142">
        <v>42.95</v>
      </c>
      <c r="F2137" s="2142">
        <v>15800</v>
      </c>
      <c r="G2137" s="2142">
        <v>678610</v>
      </c>
      <c r="H2137" s="3557"/>
      <c r="I2137" s="2142">
        <v>85620</v>
      </c>
    </row>
    <row r="2138" spans="1:9" s="2139" customFormat="1" hidden="1">
      <c r="A2138" s="2140" t="s">
        <v>4676</v>
      </c>
      <c r="B2138" s="2141" t="s">
        <v>3055</v>
      </c>
      <c r="C2138" s="2141" t="s">
        <v>3168</v>
      </c>
      <c r="D2138" s="3396">
        <v>139</v>
      </c>
      <c r="E2138" s="2142">
        <v>42.95</v>
      </c>
      <c r="F2138" s="2142">
        <v>15800</v>
      </c>
      <c r="G2138" s="2142">
        <v>678610</v>
      </c>
      <c r="H2138" s="3557"/>
      <c r="I2138" s="2142">
        <v>85620</v>
      </c>
    </row>
    <row r="2139" spans="1:9" s="2139" customFormat="1" hidden="1">
      <c r="A2139" s="2140" t="s">
        <v>4677</v>
      </c>
      <c r="B2139" s="2141" t="s">
        <v>3055</v>
      </c>
      <c r="C2139" s="2141" t="s">
        <v>3168</v>
      </c>
      <c r="D2139" s="3396">
        <v>140</v>
      </c>
      <c r="E2139" s="2142">
        <v>43.22</v>
      </c>
      <c r="F2139" s="2142">
        <v>15800</v>
      </c>
      <c r="G2139" s="2142">
        <v>682876</v>
      </c>
      <c r="H2139" s="3557"/>
      <c r="I2139" s="2142">
        <v>85620</v>
      </c>
    </row>
    <row r="2140" spans="1:9" s="2139" customFormat="1" hidden="1">
      <c r="A2140" s="2140" t="s">
        <v>4678</v>
      </c>
      <c r="B2140" s="2141" t="s">
        <v>3055</v>
      </c>
      <c r="C2140" s="2141" t="s">
        <v>3168</v>
      </c>
      <c r="D2140" s="3396">
        <v>141</v>
      </c>
      <c r="E2140" s="2142">
        <v>52.91</v>
      </c>
      <c r="F2140" s="2142">
        <v>15800</v>
      </c>
      <c r="G2140" s="2142">
        <v>835978</v>
      </c>
      <c r="H2140" s="3557"/>
      <c r="I2140" s="2142">
        <v>85620</v>
      </c>
    </row>
    <row r="2141" spans="1:9" s="2139" customFormat="1" hidden="1">
      <c r="A2141" s="2140" t="s">
        <v>4679</v>
      </c>
      <c r="B2141" s="2141" t="s">
        <v>3055</v>
      </c>
      <c r="C2141" s="2141" t="s">
        <v>3168</v>
      </c>
      <c r="D2141" s="3396">
        <v>142</v>
      </c>
      <c r="E2141" s="2142">
        <v>107.72</v>
      </c>
      <c r="F2141" s="2142">
        <v>15800</v>
      </c>
      <c r="G2141" s="2142">
        <v>1701976</v>
      </c>
      <c r="H2141" s="3557"/>
      <c r="I2141" s="2142">
        <v>223523</v>
      </c>
    </row>
    <row r="2142" spans="1:9" s="2139" customFormat="1" hidden="1">
      <c r="A2142" s="2140" t="s">
        <v>4680</v>
      </c>
      <c r="B2142" s="2141" t="s">
        <v>3055</v>
      </c>
      <c r="C2142" s="2141" t="s">
        <v>3168</v>
      </c>
      <c r="D2142" s="3396">
        <v>143</v>
      </c>
      <c r="E2142" s="2142">
        <v>124.13</v>
      </c>
      <c r="F2142" s="2142">
        <v>15800</v>
      </c>
      <c r="G2142" s="2142">
        <v>1961254</v>
      </c>
      <c r="H2142" s="3557"/>
      <c r="I2142" s="2142">
        <v>224281</v>
      </c>
    </row>
    <row r="2143" spans="1:9" s="2139" customFormat="1" hidden="1">
      <c r="A2143" s="2140" t="s">
        <v>4681</v>
      </c>
      <c r="B2143" s="2141" t="s">
        <v>3055</v>
      </c>
      <c r="C2143" s="2141" t="s">
        <v>3168</v>
      </c>
      <c r="D2143" s="3396">
        <v>145</v>
      </c>
      <c r="E2143" s="2142">
        <v>106.68</v>
      </c>
      <c r="F2143" s="2142">
        <v>15800</v>
      </c>
      <c r="G2143" s="2142">
        <v>1685544</v>
      </c>
      <c r="H2143" s="3557"/>
      <c r="I2143" s="2142">
        <v>359371</v>
      </c>
    </row>
    <row r="2144" spans="1:9" s="2139" customFormat="1" hidden="1">
      <c r="A2144" s="2140" t="s">
        <v>4686</v>
      </c>
      <c r="B2144" s="2141" t="s">
        <v>3055</v>
      </c>
      <c r="C2144" s="2141" t="s">
        <v>3168</v>
      </c>
      <c r="D2144" s="3396">
        <v>155</v>
      </c>
      <c r="E2144" s="2142">
        <v>55.35</v>
      </c>
      <c r="F2144" s="2142">
        <v>14800</v>
      </c>
      <c r="G2144" s="2142">
        <v>819180</v>
      </c>
      <c r="H2144" s="3557"/>
      <c r="I2144" s="2142">
        <v>100000</v>
      </c>
    </row>
    <row r="2145" spans="1:9" s="2139" customFormat="1" hidden="1">
      <c r="A2145" s="2140" t="s">
        <v>4687</v>
      </c>
      <c r="B2145" s="2141" t="s">
        <v>3055</v>
      </c>
      <c r="C2145" s="2141" t="s">
        <v>3168</v>
      </c>
      <c r="D2145" s="3396">
        <v>156</v>
      </c>
      <c r="E2145" s="2142">
        <v>26.16</v>
      </c>
      <c r="F2145" s="2142">
        <v>14100</v>
      </c>
      <c r="G2145" s="2142">
        <v>368856</v>
      </c>
      <c r="H2145" s="3557"/>
      <c r="I2145" s="2142">
        <v>98982</v>
      </c>
    </row>
    <row r="2146" spans="1:9" s="2139" customFormat="1" hidden="1">
      <c r="A2146" s="2140" t="s">
        <v>4698</v>
      </c>
      <c r="B2146" s="2141" t="s">
        <v>3055</v>
      </c>
      <c r="C2146" s="2141" t="s">
        <v>3168</v>
      </c>
      <c r="D2146" s="3396">
        <v>172</v>
      </c>
      <c r="E2146" s="2142">
        <v>82.94</v>
      </c>
      <c r="F2146" s="2142">
        <v>19100</v>
      </c>
      <c r="G2146" s="2142">
        <v>1584154</v>
      </c>
      <c r="H2146" s="3557"/>
      <c r="I2146" s="2142">
        <v>230000</v>
      </c>
    </row>
    <row r="2147" spans="1:9" s="2139" customFormat="1" hidden="1">
      <c r="A2147" s="2140" t="s">
        <v>4699</v>
      </c>
      <c r="B2147" s="2141" t="s">
        <v>3055</v>
      </c>
      <c r="C2147" s="2141" t="s">
        <v>3168</v>
      </c>
      <c r="D2147" s="3396">
        <v>173</v>
      </c>
      <c r="E2147" s="2142">
        <v>95.29</v>
      </c>
      <c r="F2147" s="2142">
        <v>18800</v>
      </c>
      <c r="G2147" s="2142">
        <v>1791452.0000000002</v>
      </c>
      <c r="H2147" s="3557"/>
      <c r="I2147" s="2142">
        <v>460000</v>
      </c>
    </row>
    <row r="2148" spans="1:9" s="2139" customFormat="1" hidden="1">
      <c r="A2148" s="2140" t="s">
        <v>5294</v>
      </c>
      <c r="B2148" s="2141" t="s">
        <v>3056</v>
      </c>
      <c r="C2148" s="2141" t="s">
        <v>3180</v>
      </c>
      <c r="D2148" s="2141">
        <v>1</v>
      </c>
      <c r="E2148" s="2142">
        <v>123.51</v>
      </c>
      <c r="F2148" s="2142">
        <v>15000</v>
      </c>
      <c r="G2148" s="2142">
        <v>1852650</v>
      </c>
      <c r="H2148" s="2143"/>
      <c r="I2148" s="2142">
        <v>0</v>
      </c>
    </row>
    <row r="2149" spans="1:9" s="2139" customFormat="1" hidden="1">
      <c r="A2149" s="2140" t="s">
        <v>5295</v>
      </c>
      <c r="B2149" s="2141" t="s">
        <v>3056</v>
      </c>
      <c r="C2149" s="2141" t="s">
        <v>3180</v>
      </c>
      <c r="D2149" s="2141">
        <v>2</v>
      </c>
      <c r="E2149" s="2142">
        <v>62</v>
      </c>
      <c r="F2149" s="2142">
        <v>15000</v>
      </c>
      <c r="G2149" s="2142">
        <v>930000</v>
      </c>
      <c r="H2149" s="2143"/>
      <c r="I2149" s="2142">
        <v>0</v>
      </c>
    </row>
    <row r="2150" spans="1:9" s="2139" customFormat="1" hidden="1">
      <c r="A2150" s="2140" t="s">
        <v>5296</v>
      </c>
      <c r="B2150" s="2141" t="s">
        <v>3056</v>
      </c>
      <c r="C2150" s="2141" t="s">
        <v>3180</v>
      </c>
      <c r="D2150" s="2141">
        <v>3</v>
      </c>
      <c r="E2150" s="2142">
        <v>62.04</v>
      </c>
      <c r="F2150" s="2142">
        <v>15000</v>
      </c>
      <c r="G2150" s="2142">
        <v>930600</v>
      </c>
      <c r="H2150" s="2143"/>
      <c r="I2150" s="2142">
        <v>0</v>
      </c>
    </row>
    <row r="2151" spans="1:9" s="2139" customFormat="1" hidden="1">
      <c r="A2151" s="2140" t="s">
        <v>5297</v>
      </c>
      <c r="B2151" s="2141" t="s">
        <v>3056</v>
      </c>
      <c r="C2151" s="2141" t="s">
        <v>3180</v>
      </c>
      <c r="D2151" s="2141">
        <v>5</v>
      </c>
      <c r="E2151" s="2142">
        <v>66.819999999999993</v>
      </c>
      <c r="F2151" s="2142">
        <v>15000</v>
      </c>
      <c r="G2151" s="2142">
        <v>1002299.9999999999</v>
      </c>
      <c r="H2151" s="2143"/>
      <c r="I2151" s="2142">
        <v>0</v>
      </c>
    </row>
    <row r="2152" spans="1:9" s="2139" customFormat="1" hidden="1">
      <c r="A2152" s="2140" t="s">
        <v>5298</v>
      </c>
      <c r="B2152" s="2141" t="s">
        <v>3056</v>
      </c>
      <c r="C2152" s="2141" t="s">
        <v>3180</v>
      </c>
      <c r="D2152" s="2141">
        <v>6</v>
      </c>
      <c r="E2152" s="2142">
        <v>67</v>
      </c>
      <c r="F2152" s="2142">
        <v>15000</v>
      </c>
      <c r="G2152" s="2142">
        <v>1005000</v>
      </c>
      <c r="H2152" s="2143"/>
      <c r="I2152" s="2142">
        <v>0</v>
      </c>
    </row>
    <row r="2153" spans="1:9" s="2139" customFormat="1" hidden="1">
      <c r="A2153" s="2140" t="s">
        <v>5299</v>
      </c>
      <c r="B2153" s="2141" t="s">
        <v>3056</v>
      </c>
      <c r="C2153" s="2141" t="s">
        <v>3180</v>
      </c>
      <c r="D2153" s="2141">
        <v>7</v>
      </c>
      <c r="E2153" s="2142">
        <v>92.59</v>
      </c>
      <c r="F2153" s="2142">
        <v>15000</v>
      </c>
      <c r="G2153" s="2142">
        <v>1388850</v>
      </c>
      <c r="H2153" s="2143"/>
      <c r="I2153" s="2142">
        <v>0</v>
      </c>
    </row>
    <row r="2154" spans="1:9" s="2139" customFormat="1" hidden="1">
      <c r="A2154" s="2140" t="s">
        <v>5300</v>
      </c>
      <c r="B2154" s="2141" t="s">
        <v>3056</v>
      </c>
      <c r="C2154" s="2141" t="s">
        <v>3180</v>
      </c>
      <c r="D2154" s="2141">
        <v>8</v>
      </c>
      <c r="E2154" s="2142">
        <v>42.56</v>
      </c>
      <c r="F2154" s="2142">
        <v>15000</v>
      </c>
      <c r="G2154" s="2142">
        <v>638400</v>
      </c>
      <c r="H2154" s="2143"/>
      <c r="I2154" s="2142">
        <v>0</v>
      </c>
    </row>
    <row r="2155" spans="1:9" s="2139" customFormat="1" hidden="1">
      <c r="A2155" s="2140" t="s">
        <v>5301</v>
      </c>
      <c r="B2155" s="2141" t="s">
        <v>3056</v>
      </c>
      <c r="C2155" s="2141" t="s">
        <v>3180</v>
      </c>
      <c r="D2155" s="2141">
        <v>9</v>
      </c>
      <c r="E2155" s="2142">
        <v>72.150000000000006</v>
      </c>
      <c r="F2155" s="2142">
        <v>15000</v>
      </c>
      <c r="G2155" s="2142">
        <v>1082250</v>
      </c>
      <c r="H2155" s="2143"/>
      <c r="I2155" s="2142">
        <v>0</v>
      </c>
    </row>
    <row r="2156" spans="1:9" s="2139" customFormat="1" hidden="1">
      <c r="A2156" s="2140" t="s">
        <v>5302</v>
      </c>
      <c r="B2156" s="2141" t="s">
        <v>3056</v>
      </c>
      <c r="C2156" s="2141" t="s">
        <v>3180</v>
      </c>
      <c r="D2156" s="2141">
        <v>10</v>
      </c>
      <c r="E2156" s="2142">
        <v>41.28</v>
      </c>
      <c r="F2156" s="2142">
        <v>15000</v>
      </c>
      <c r="G2156" s="2142">
        <v>619200</v>
      </c>
      <c r="H2156" s="2143"/>
      <c r="I2156" s="2142">
        <v>0</v>
      </c>
    </row>
    <row r="2157" spans="1:9" s="2139" customFormat="1" hidden="1">
      <c r="A2157" s="2140" t="s">
        <v>5303</v>
      </c>
      <c r="B2157" s="2141" t="s">
        <v>3056</v>
      </c>
      <c r="C2157" s="2141" t="s">
        <v>3180</v>
      </c>
      <c r="D2157" s="2141">
        <v>11</v>
      </c>
      <c r="E2157" s="2142">
        <v>27.1</v>
      </c>
      <c r="F2157" s="2142">
        <v>15000</v>
      </c>
      <c r="G2157" s="2142">
        <v>406500</v>
      </c>
      <c r="H2157" s="2143"/>
      <c r="I2157" s="2142">
        <v>0</v>
      </c>
    </row>
    <row r="2158" spans="1:9" s="2139" customFormat="1" hidden="1">
      <c r="A2158" s="2140" t="s">
        <v>5304</v>
      </c>
      <c r="B2158" s="2141" t="s">
        <v>3056</v>
      </c>
      <c r="C2158" s="2141" t="s">
        <v>3180</v>
      </c>
      <c r="D2158" s="2141">
        <v>12</v>
      </c>
      <c r="E2158" s="2142">
        <v>25.77</v>
      </c>
      <c r="F2158" s="2142">
        <v>15000</v>
      </c>
      <c r="G2158" s="2142">
        <v>386550</v>
      </c>
      <c r="H2158" s="2143"/>
      <c r="I2158" s="2142">
        <v>0</v>
      </c>
    </row>
    <row r="2159" spans="1:9" s="2139" customFormat="1" hidden="1">
      <c r="A2159" s="2140" t="s">
        <v>5305</v>
      </c>
      <c r="B2159" s="2141" t="s">
        <v>3056</v>
      </c>
      <c r="C2159" s="2141" t="s">
        <v>3180</v>
      </c>
      <c r="D2159" s="2141">
        <v>13</v>
      </c>
      <c r="E2159" s="2142">
        <v>59.02</v>
      </c>
      <c r="F2159" s="2142">
        <v>15000</v>
      </c>
      <c r="G2159" s="2142">
        <v>885300</v>
      </c>
      <c r="H2159" s="2143"/>
      <c r="I2159" s="2142">
        <v>0</v>
      </c>
    </row>
    <row r="2160" spans="1:9" s="2139" customFormat="1" hidden="1">
      <c r="A2160" s="2140" t="s">
        <v>5306</v>
      </c>
      <c r="B2160" s="2141" t="s">
        <v>3056</v>
      </c>
      <c r="C2160" s="2141" t="s">
        <v>3180</v>
      </c>
      <c r="D2160" s="2141">
        <v>15</v>
      </c>
      <c r="E2160" s="2142">
        <v>58.99</v>
      </c>
      <c r="F2160" s="2142">
        <v>15000</v>
      </c>
      <c r="G2160" s="2142">
        <v>884850</v>
      </c>
      <c r="H2160" s="2143"/>
      <c r="I2160" s="2142">
        <v>0</v>
      </c>
    </row>
    <row r="2161" spans="1:9" s="2139" customFormat="1" hidden="1">
      <c r="A2161" s="2140" t="s">
        <v>5307</v>
      </c>
      <c r="B2161" s="2141" t="s">
        <v>3056</v>
      </c>
      <c r="C2161" s="2141" t="s">
        <v>3180</v>
      </c>
      <c r="D2161" s="2141">
        <v>16</v>
      </c>
      <c r="E2161" s="2142">
        <v>32.18</v>
      </c>
      <c r="F2161" s="2142">
        <v>15000</v>
      </c>
      <c r="G2161" s="2142">
        <v>482700</v>
      </c>
      <c r="H2161" s="2143"/>
      <c r="I2161" s="2142">
        <v>0</v>
      </c>
    </row>
    <row r="2162" spans="1:9" s="2139" customFormat="1" hidden="1">
      <c r="A2162" s="2140" t="s">
        <v>5308</v>
      </c>
      <c r="B2162" s="2141" t="s">
        <v>3056</v>
      </c>
      <c r="C2162" s="2141" t="s">
        <v>3180</v>
      </c>
      <c r="D2162" s="2141">
        <v>17</v>
      </c>
      <c r="E2162" s="2142">
        <v>27.39</v>
      </c>
      <c r="F2162" s="2142">
        <v>15000</v>
      </c>
      <c r="G2162" s="2142">
        <v>410850</v>
      </c>
      <c r="H2162" s="2143"/>
      <c r="I2162" s="2142">
        <v>0</v>
      </c>
    </row>
    <row r="2163" spans="1:9" s="2139" customFormat="1" hidden="1">
      <c r="A2163" s="2140" t="s">
        <v>5309</v>
      </c>
      <c r="B2163" s="2141" t="s">
        <v>3056</v>
      </c>
      <c r="C2163" s="2141" t="s">
        <v>3180</v>
      </c>
      <c r="D2163" s="2141">
        <v>18</v>
      </c>
      <c r="E2163" s="2142">
        <v>44.42</v>
      </c>
      <c r="F2163" s="2142">
        <v>15000</v>
      </c>
      <c r="G2163" s="2142">
        <v>666300</v>
      </c>
      <c r="H2163" s="2143"/>
      <c r="I2163" s="2142">
        <v>0</v>
      </c>
    </row>
    <row r="2164" spans="1:9" s="2139" customFormat="1" hidden="1">
      <c r="A2164" s="2140" t="s">
        <v>5310</v>
      </c>
      <c r="B2164" s="2141" t="s">
        <v>3056</v>
      </c>
      <c r="C2164" s="2141" t="s">
        <v>3180</v>
      </c>
      <c r="D2164" s="2141">
        <v>19</v>
      </c>
      <c r="E2164" s="2142">
        <v>18.73</v>
      </c>
      <c r="F2164" s="2142">
        <v>15000</v>
      </c>
      <c r="G2164" s="2142">
        <v>280950</v>
      </c>
      <c r="H2164" s="2143"/>
      <c r="I2164" s="2142">
        <v>0</v>
      </c>
    </row>
    <row r="2165" spans="1:9" s="2139" customFormat="1" hidden="1">
      <c r="A2165" s="2140" t="s">
        <v>5311</v>
      </c>
      <c r="B2165" s="2141" t="s">
        <v>3056</v>
      </c>
      <c r="C2165" s="2141" t="s">
        <v>3180</v>
      </c>
      <c r="D2165" s="2141">
        <v>20</v>
      </c>
      <c r="E2165" s="2142">
        <v>18.22</v>
      </c>
      <c r="F2165" s="2142">
        <v>15000</v>
      </c>
      <c r="G2165" s="2142">
        <v>273300</v>
      </c>
      <c r="H2165" s="2143"/>
      <c r="I2165" s="2142">
        <v>0</v>
      </c>
    </row>
    <row r="2166" spans="1:9" s="2139" customFormat="1" hidden="1">
      <c r="A2166" s="2140" t="s">
        <v>5312</v>
      </c>
      <c r="B2166" s="2141" t="s">
        <v>3056</v>
      </c>
      <c r="C2166" s="2141" t="s">
        <v>3180</v>
      </c>
      <c r="D2166" s="2141">
        <v>21</v>
      </c>
      <c r="E2166" s="2142">
        <v>69.97</v>
      </c>
      <c r="F2166" s="2142">
        <v>15000</v>
      </c>
      <c r="G2166" s="2142">
        <v>1049550</v>
      </c>
      <c r="H2166" s="2143"/>
      <c r="I2166" s="2142">
        <v>0</v>
      </c>
    </row>
    <row r="2167" spans="1:9" s="2139" customFormat="1" hidden="1">
      <c r="A2167" s="2140" t="s">
        <v>5313</v>
      </c>
      <c r="B2167" s="2141" t="s">
        <v>3056</v>
      </c>
      <c r="C2167" s="2141" t="s">
        <v>3180</v>
      </c>
      <c r="D2167" s="2141">
        <v>22</v>
      </c>
      <c r="E2167" s="2142">
        <v>70.290000000000006</v>
      </c>
      <c r="F2167" s="2142">
        <v>15000</v>
      </c>
      <c r="G2167" s="2142">
        <v>1054350</v>
      </c>
      <c r="H2167" s="2143"/>
      <c r="I2167" s="2142">
        <v>0</v>
      </c>
    </row>
    <row r="2168" spans="1:9" s="2139" customFormat="1" hidden="1">
      <c r="A2168" s="2140" t="s">
        <v>5314</v>
      </c>
      <c r="B2168" s="2141" t="s">
        <v>3056</v>
      </c>
      <c r="C2168" s="2141" t="s">
        <v>3180</v>
      </c>
      <c r="D2168" s="2141">
        <v>23</v>
      </c>
      <c r="E2168" s="2142">
        <v>80.41</v>
      </c>
      <c r="F2168" s="2142">
        <v>15000</v>
      </c>
      <c r="G2168" s="2142">
        <v>1206150</v>
      </c>
      <c r="H2168" s="2143"/>
      <c r="I2168" s="2142">
        <v>0</v>
      </c>
    </row>
    <row r="2169" spans="1:9" s="2139" customFormat="1" hidden="1">
      <c r="A2169" s="2140" t="s">
        <v>5315</v>
      </c>
      <c r="B2169" s="2141" t="s">
        <v>3056</v>
      </c>
      <c r="C2169" s="2141" t="s">
        <v>3180</v>
      </c>
      <c r="D2169" s="2141">
        <v>25</v>
      </c>
      <c r="E2169" s="2142">
        <v>74.319999999999993</v>
      </c>
      <c r="F2169" s="2142">
        <v>15000</v>
      </c>
      <c r="G2169" s="2142">
        <v>1114800</v>
      </c>
      <c r="H2169" s="2143"/>
      <c r="I2169" s="2142">
        <v>0</v>
      </c>
    </row>
    <row r="2170" spans="1:9" s="2139" customFormat="1" hidden="1">
      <c r="A2170" s="2140" t="s">
        <v>5316</v>
      </c>
      <c r="B2170" s="2141" t="s">
        <v>3056</v>
      </c>
      <c r="C2170" s="2141" t="s">
        <v>3180</v>
      </c>
      <c r="D2170" s="2141">
        <v>26</v>
      </c>
      <c r="E2170" s="2142">
        <v>79.930000000000007</v>
      </c>
      <c r="F2170" s="2142">
        <v>15000</v>
      </c>
      <c r="G2170" s="2142">
        <v>1198950</v>
      </c>
      <c r="H2170" s="2143"/>
      <c r="I2170" s="2142">
        <v>0</v>
      </c>
    </row>
    <row r="2171" spans="1:9" s="2139" customFormat="1" hidden="1">
      <c r="A2171" s="2140" t="s">
        <v>5317</v>
      </c>
      <c r="B2171" s="2141" t="s">
        <v>3056</v>
      </c>
      <c r="C2171" s="2141" t="s">
        <v>3180</v>
      </c>
      <c r="D2171" s="2141">
        <v>27</v>
      </c>
      <c r="E2171" s="2142">
        <v>21.41</v>
      </c>
      <c r="F2171" s="2142">
        <v>15000</v>
      </c>
      <c r="G2171" s="2142">
        <v>321150</v>
      </c>
      <c r="H2171" s="2143"/>
      <c r="I2171" s="2142">
        <v>0</v>
      </c>
    </row>
    <row r="2172" spans="1:9" s="2139" customFormat="1" hidden="1">
      <c r="A2172" s="2140" t="s">
        <v>5318</v>
      </c>
      <c r="B2172" s="2141" t="s">
        <v>3056</v>
      </c>
      <c r="C2172" s="2141" t="s">
        <v>3180</v>
      </c>
      <c r="D2172" s="2141">
        <v>28</v>
      </c>
      <c r="E2172" s="2142">
        <v>67.7</v>
      </c>
      <c r="F2172" s="2142">
        <v>15000</v>
      </c>
      <c r="G2172" s="2142">
        <v>1015500</v>
      </c>
      <c r="H2172" s="2143"/>
      <c r="I2172" s="2142">
        <v>0</v>
      </c>
    </row>
    <row r="2173" spans="1:9" s="2139" customFormat="1" hidden="1">
      <c r="A2173" s="2140" t="s">
        <v>5319</v>
      </c>
      <c r="B2173" s="2141" t="s">
        <v>3056</v>
      </c>
      <c r="C2173" s="2141" t="s">
        <v>3180</v>
      </c>
      <c r="D2173" s="2141">
        <v>29</v>
      </c>
      <c r="E2173" s="2142">
        <v>47.17</v>
      </c>
      <c r="F2173" s="2142">
        <v>15000</v>
      </c>
      <c r="G2173" s="2142">
        <v>707550</v>
      </c>
      <c r="H2173" s="2143"/>
      <c r="I2173" s="2142">
        <v>0</v>
      </c>
    </row>
    <row r="2174" spans="1:9" s="2139" customFormat="1" hidden="1">
      <c r="A2174" s="2140" t="s">
        <v>5320</v>
      </c>
      <c r="B2174" s="2141" t="s">
        <v>3056</v>
      </c>
      <c r="C2174" s="2141" t="s">
        <v>3180</v>
      </c>
      <c r="D2174" s="2141">
        <v>30</v>
      </c>
      <c r="E2174" s="2142">
        <v>48.84</v>
      </c>
      <c r="F2174" s="2142">
        <v>15000</v>
      </c>
      <c r="G2174" s="2142">
        <v>732600</v>
      </c>
      <c r="H2174" s="2143"/>
      <c r="I2174" s="2142">
        <v>0</v>
      </c>
    </row>
    <row r="2175" spans="1:9" s="2139" customFormat="1" hidden="1">
      <c r="A2175" s="2140" t="s">
        <v>5321</v>
      </c>
      <c r="B2175" s="2141" t="s">
        <v>3056</v>
      </c>
      <c r="C2175" s="2141" t="s">
        <v>3180</v>
      </c>
      <c r="D2175" s="2141">
        <v>31</v>
      </c>
      <c r="E2175" s="2142">
        <v>47.17</v>
      </c>
      <c r="F2175" s="2142">
        <v>15000</v>
      </c>
      <c r="G2175" s="2142">
        <v>707550</v>
      </c>
      <c r="H2175" s="2143"/>
      <c r="I2175" s="2142">
        <v>0</v>
      </c>
    </row>
    <row r="2176" spans="1:9" s="2139" customFormat="1" hidden="1">
      <c r="A2176" s="2140" t="s">
        <v>5322</v>
      </c>
      <c r="B2176" s="2141" t="s">
        <v>3056</v>
      </c>
      <c r="C2176" s="2141" t="s">
        <v>3180</v>
      </c>
      <c r="D2176" s="2141">
        <v>32</v>
      </c>
      <c r="E2176" s="2142">
        <v>47.17</v>
      </c>
      <c r="F2176" s="2142">
        <v>15000</v>
      </c>
      <c r="G2176" s="2142">
        <v>707550</v>
      </c>
      <c r="H2176" s="2143"/>
      <c r="I2176" s="2142">
        <v>0</v>
      </c>
    </row>
    <row r="2177" spans="1:9" s="2139" customFormat="1" hidden="1">
      <c r="A2177" s="2140" t="s">
        <v>5323</v>
      </c>
      <c r="B2177" s="2141" t="s">
        <v>3056</v>
      </c>
      <c r="C2177" s="2141" t="s">
        <v>3180</v>
      </c>
      <c r="D2177" s="2141">
        <v>33</v>
      </c>
      <c r="E2177" s="2142">
        <v>47.17</v>
      </c>
      <c r="F2177" s="2142">
        <v>15000</v>
      </c>
      <c r="G2177" s="2142">
        <v>707550</v>
      </c>
      <c r="H2177" s="2143"/>
      <c r="I2177" s="2142">
        <v>0</v>
      </c>
    </row>
    <row r="2178" spans="1:9" s="2139" customFormat="1" hidden="1">
      <c r="A2178" s="2140" t="s">
        <v>5324</v>
      </c>
      <c r="B2178" s="2141" t="s">
        <v>3056</v>
      </c>
      <c r="C2178" s="2141" t="s">
        <v>3180</v>
      </c>
      <c r="D2178" s="2141">
        <v>35</v>
      </c>
      <c r="E2178" s="2142">
        <v>47.17</v>
      </c>
      <c r="F2178" s="2142">
        <v>15000</v>
      </c>
      <c r="G2178" s="2142">
        <v>707550</v>
      </c>
      <c r="H2178" s="2143"/>
      <c r="I2178" s="2142">
        <v>0</v>
      </c>
    </row>
    <row r="2179" spans="1:9" s="2139" customFormat="1" hidden="1">
      <c r="A2179" s="2140" t="s">
        <v>5325</v>
      </c>
      <c r="B2179" s="2141" t="s">
        <v>3056</v>
      </c>
      <c r="C2179" s="2141" t="s">
        <v>3180</v>
      </c>
      <c r="D2179" s="2141">
        <v>36</v>
      </c>
      <c r="E2179" s="2142">
        <v>47.17</v>
      </c>
      <c r="F2179" s="2142">
        <v>15000</v>
      </c>
      <c r="G2179" s="2142">
        <v>707550</v>
      </c>
      <c r="H2179" s="2143"/>
      <c r="I2179" s="2142">
        <v>0</v>
      </c>
    </row>
    <row r="2180" spans="1:9" s="2139" customFormat="1" hidden="1">
      <c r="A2180" s="2140" t="s">
        <v>5326</v>
      </c>
      <c r="B2180" s="2141" t="s">
        <v>3056</v>
      </c>
      <c r="C2180" s="2141" t="s">
        <v>3180</v>
      </c>
      <c r="D2180" s="2141">
        <v>37</v>
      </c>
      <c r="E2180" s="2142">
        <v>47.17</v>
      </c>
      <c r="F2180" s="2142">
        <v>15000</v>
      </c>
      <c r="G2180" s="2142">
        <v>707550</v>
      </c>
      <c r="H2180" s="2143"/>
      <c r="I2180" s="2142">
        <v>0</v>
      </c>
    </row>
    <row r="2181" spans="1:9" s="2139" customFormat="1" hidden="1">
      <c r="A2181" s="2140" t="s">
        <v>5327</v>
      </c>
      <c r="B2181" s="2141" t="s">
        <v>3056</v>
      </c>
      <c r="C2181" s="2141" t="s">
        <v>3180</v>
      </c>
      <c r="D2181" s="2141">
        <v>38</v>
      </c>
      <c r="E2181" s="2142">
        <v>47.17</v>
      </c>
      <c r="F2181" s="2142">
        <v>15000</v>
      </c>
      <c r="G2181" s="2142">
        <v>707550</v>
      </c>
      <c r="H2181" s="2143"/>
      <c r="I2181" s="2142">
        <v>0</v>
      </c>
    </row>
    <row r="2182" spans="1:9" s="2139" customFormat="1" hidden="1">
      <c r="A2182" s="2140" t="s">
        <v>5328</v>
      </c>
      <c r="B2182" s="2141" t="s">
        <v>3056</v>
      </c>
      <c r="C2182" s="2141" t="s">
        <v>3180</v>
      </c>
      <c r="D2182" s="2141">
        <v>39</v>
      </c>
      <c r="E2182" s="2142">
        <v>47.17</v>
      </c>
      <c r="F2182" s="2142">
        <v>15000</v>
      </c>
      <c r="G2182" s="2142">
        <v>707550</v>
      </c>
      <c r="H2182" s="2143"/>
      <c r="I2182" s="2142">
        <v>0</v>
      </c>
    </row>
    <row r="2183" spans="1:9" s="2139" customFormat="1" hidden="1">
      <c r="A2183" s="2140" t="s">
        <v>5329</v>
      </c>
      <c r="B2183" s="2141" t="s">
        <v>3056</v>
      </c>
      <c r="C2183" s="2141" t="s">
        <v>3180</v>
      </c>
      <c r="D2183" s="2141">
        <v>40</v>
      </c>
      <c r="E2183" s="2142">
        <v>47.17</v>
      </c>
      <c r="F2183" s="2142">
        <v>15000</v>
      </c>
      <c r="G2183" s="2142">
        <v>707550</v>
      </c>
      <c r="H2183" s="2143"/>
      <c r="I2183" s="2142">
        <v>0</v>
      </c>
    </row>
    <row r="2184" spans="1:9" s="2139" customFormat="1" hidden="1">
      <c r="A2184" s="2140" t="s">
        <v>5330</v>
      </c>
      <c r="B2184" s="2141" t="s">
        <v>3056</v>
      </c>
      <c r="C2184" s="2141" t="s">
        <v>3180</v>
      </c>
      <c r="D2184" s="2141">
        <v>41</v>
      </c>
      <c r="E2184" s="2142">
        <v>47.17</v>
      </c>
      <c r="F2184" s="2142">
        <v>15000</v>
      </c>
      <c r="G2184" s="2142">
        <v>707550</v>
      </c>
      <c r="H2184" s="2143"/>
      <c r="I2184" s="2142">
        <v>0</v>
      </c>
    </row>
    <row r="2185" spans="1:9" s="2139" customFormat="1" hidden="1">
      <c r="A2185" s="2140" t="s">
        <v>5331</v>
      </c>
      <c r="B2185" s="2141" t="s">
        <v>3056</v>
      </c>
      <c r="C2185" s="2141" t="s">
        <v>3180</v>
      </c>
      <c r="D2185" s="2141">
        <v>42</v>
      </c>
      <c r="E2185" s="2142">
        <v>47.17</v>
      </c>
      <c r="F2185" s="2142">
        <v>15000</v>
      </c>
      <c r="G2185" s="2142">
        <v>707550</v>
      </c>
      <c r="H2185" s="2143"/>
      <c r="I2185" s="2142">
        <v>0</v>
      </c>
    </row>
    <row r="2186" spans="1:9" s="2139" customFormat="1" hidden="1">
      <c r="A2186" s="2140" t="s">
        <v>5332</v>
      </c>
      <c r="B2186" s="2141" t="s">
        <v>3056</v>
      </c>
      <c r="C2186" s="2141" t="s">
        <v>3180</v>
      </c>
      <c r="D2186" s="2141">
        <v>43</v>
      </c>
      <c r="E2186" s="2142">
        <v>47.17</v>
      </c>
      <c r="F2186" s="2142">
        <v>15000</v>
      </c>
      <c r="G2186" s="2142">
        <v>707550</v>
      </c>
      <c r="H2186" s="2143"/>
      <c r="I2186" s="2142">
        <v>0</v>
      </c>
    </row>
    <row r="2187" spans="1:9" s="2139" customFormat="1" hidden="1">
      <c r="A2187" s="2140" t="s">
        <v>5333</v>
      </c>
      <c r="B2187" s="2141" t="s">
        <v>3056</v>
      </c>
      <c r="C2187" s="2141" t="s">
        <v>3180</v>
      </c>
      <c r="D2187" s="2141">
        <v>45</v>
      </c>
      <c r="E2187" s="2142">
        <v>47.17</v>
      </c>
      <c r="F2187" s="2142">
        <v>15000</v>
      </c>
      <c r="G2187" s="2142">
        <v>707550</v>
      </c>
      <c r="H2187" s="2143"/>
      <c r="I2187" s="2142">
        <v>0</v>
      </c>
    </row>
    <row r="2188" spans="1:9" s="2139" customFormat="1" hidden="1">
      <c r="A2188" s="2140" t="s">
        <v>5334</v>
      </c>
      <c r="B2188" s="2141" t="s">
        <v>3056</v>
      </c>
      <c r="C2188" s="2141" t="s">
        <v>3180</v>
      </c>
      <c r="D2188" s="2141">
        <v>46</v>
      </c>
      <c r="E2188" s="2142">
        <v>47.17</v>
      </c>
      <c r="F2188" s="2142">
        <v>15000</v>
      </c>
      <c r="G2188" s="2142">
        <v>707550</v>
      </c>
      <c r="H2188" s="2143"/>
      <c r="I2188" s="2142">
        <v>0</v>
      </c>
    </row>
    <row r="2189" spans="1:9" s="2139" customFormat="1" hidden="1">
      <c r="A2189" s="2140" t="s">
        <v>5335</v>
      </c>
      <c r="B2189" s="2141" t="s">
        <v>3056</v>
      </c>
      <c r="C2189" s="2141" t="s">
        <v>3180</v>
      </c>
      <c r="D2189" s="2141">
        <v>47</v>
      </c>
      <c r="E2189" s="2142">
        <v>47.17</v>
      </c>
      <c r="F2189" s="2142">
        <v>15000</v>
      </c>
      <c r="G2189" s="2142">
        <v>707550</v>
      </c>
      <c r="H2189" s="2143"/>
      <c r="I2189" s="2142">
        <v>0</v>
      </c>
    </row>
    <row r="2190" spans="1:9" s="2139" customFormat="1" hidden="1">
      <c r="A2190" s="2140" t="s">
        <v>5336</v>
      </c>
      <c r="B2190" s="2141" t="s">
        <v>3056</v>
      </c>
      <c r="C2190" s="2141" t="s">
        <v>3180</v>
      </c>
      <c r="D2190" s="2141">
        <v>48</v>
      </c>
      <c r="E2190" s="2142">
        <v>47.17</v>
      </c>
      <c r="F2190" s="2142">
        <v>15000</v>
      </c>
      <c r="G2190" s="2142">
        <v>707550</v>
      </c>
      <c r="H2190" s="2143"/>
      <c r="I2190" s="2142">
        <v>0</v>
      </c>
    </row>
    <row r="2191" spans="1:9" s="2139" customFormat="1" hidden="1">
      <c r="A2191" s="2140" t="s">
        <v>5337</v>
      </c>
      <c r="B2191" s="2141" t="s">
        <v>3056</v>
      </c>
      <c r="C2191" s="2141" t="s">
        <v>3180</v>
      </c>
      <c r="D2191" s="2141">
        <v>49</v>
      </c>
      <c r="E2191" s="2142">
        <v>47.17</v>
      </c>
      <c r="F2191" s="2142">
        <v>15000</v>
      </c>
      <c r="G2191" s="2142">
        <v>707550</v>
      </c>
      <c r="H2191" s="2143"/>
      <c r="I2191" s="2142">
        <v>0</v>
      </c>
    </row>
    <row r="2192" spans="1:9" s="2139" customFormat="1" hidden="1">
      <c r="A2192" s="2140" t="s">
        <v>5338</v>
      </c>
      <c r="B2192" s="2141" t="s">
        <v>3056</v>
      </c>
      <c r="C2192" s="2141" t="s">
        <v>3180</v>
      </c>
      <c r="D2192" s="2141">
        <v>50</v>
      </c>
      <c r="E2192" s="2142">
        <v>130.16999999999999</v>
      </c>
      <c r="F2192" s="2142">
        <v>15000</v>
      </c>
      <c r="G2192" s="2142">
        <v>1952549.9999999998</v>
      </c>
      <c r="H2192" s="2143"/>
      <c r="I2192" s="2142">
        <v>0</v>
      </c>
    </row>
    <row r="2193" spans="1:9" s="2139" customFormat="1" hidden="1">
      <c r="A2193" s="2140" t="s">
        <v>6628</v>
      </c>
      <c r="B2193" s="2141">
        <v>11</v>
      </c>
      <c r="C2193" s="2141" t="s">
        <v>3142</v>
      </c>
      <c r="D2193" s="2141">
        <v>139</v>
      </c>
      <c r="E2193" s="2142">
        <v>44.9</v>
      </c>
      <c r="F2193" s="2142">
        <v>14420</v>
      </c>
      <c r="G2193" s="2142">
        <v>647458</v>
      </c>
      <c r="H2193" s="2143">
        <v>42082</v>
      </c>
      <c r="I2193" s="2142">
        <v>647746</v>
      </c>
    </row>
    <row r="2194" spans="1:9" s="2139" customFormat="1" hidden="1">
      <c r="A2194" s="2140" t="s">
        <v>6632</v>
      </c>
      <c r="B2194" s="2141">
        <v>11</v>
      </c>
      <c r="C2194" s="2141" t="s">
        <v>3142</v>
      </c>
      <c r="D2194" s="2141">
        <v>145</v>
      </c>
      <c r="E2194" s="2142">
        <v>78.459999999999994</v>
      </c>
      <c r="F2194" s="2142">
        <v>18540</v>
      </c>
      <c r="G2194" s="2142">
        <v>1454648.4</v>
      </c>
      <c r="H2194" s="2143">
        <v>42082</v>
      </c>
      <c r="I2194" s="2142">
        <v>1455390</v>
      </c>
    </row>
    <row r="2195" spans="1:9" s="2139" customFormat="1" hidden="1">
      <c r="A2195" s="2140" t="s">
        <v>6603</v>
      </c>
      <c r="B2195" s="2141">
        <v>11</v>
      </c>
      <c r="C2195" s="2141" t="s">
        <v>3142</v>
      </c>
      <c r="D2195" s="2141">
        <v>82</v>
      </c>
      <c r="E2195" s="2142">
        <v>53.55</v>
      </c>
      <c r="F2195" s="2142">
        <v>19570</v>
      </c>
      <c r="G2195" s="2142">
        <v>1047974</v>
      </c>
      <c r="H2195" s="2143">
        <v>42076</v>
      </c>
      <c r="I2195" s="2142">
        <v>1048561</v>
      </c>
    </row>
    <row r="2196" spans="1:9" s="2139" customFormat="1" hidden="1">
      <c r="A2196" s="2140" t="s">
        <v>6590</v>
      </c>
      <c r="B2196" s="2141">
        <v>11</v>
      </c>
      <c r="C2196" s="2141" t="s">
        <v>3142</v>
      </c>
      <c r="D2196" s="2141">
        <v>20</v>
      </c>
      <c r="E2196" s="2142">
        <v>101.31</v>
      </c>
      <c r="F2196" s="2142">
        <v>18540</v>
      </c>
      <c r="G2196" s="2142">
        <v>1878287.4000000001</v>
      </c>
      <c r="H2196" s="2143">
        <v>42075</v>
      </c>
      <c r="I2196" s="2142">
        <v>1879585</v>
      </c>
    </row>
    <row r="2197" spans="1:9" s="2139" customFormat="1" hidden="1">
      <c r="A2197" s="2140" t="s">
        <v>6596</v>
      </c>
      <c r="B2197" s="2141">
        <v>11</v>
      </c>
      <c r="C2197" s="2141" t="s">
        <v>3142</v>
      </c>
      <c r="D2197" s="2141">
        <v>56</v>
      </c>
      <c r="E2197" s="2142">
        <v>61.35</v>
      </c>
      <c r="F2197" s="2142">
        <v>18540</v>
      </c>
      <c r="G2197" s="2142">
        <v>1137429</v>
      </c>
      <c r="H2197" s="2143">
        <v>42074</v>
      </c>
      <c r="I2197" s="2142">
        <v>1138171</v>
      </c>
    </row>
    <row r="2198" spans="1:9" s="2139" customFormat="1" hidden="1">
      <c r="A2198" s="2140" t="s">
        <v>6647</v>
      </c>
      <c r="B2198" s="2141">
        <v>11</v>
      </c>
      <c r="C2198" s="2141" t="s">
        <v>3142</v>
      </c>
      <c r="D2198" s="2141">
        <v>165</v>
      </c>
      <c r="E2198" s="2142">
        <v>58.81</v>
      </c>
      <c r="F2198" s="2142">
        <v>17510.009999999998</v>
      </c>
      <c r="G2198" s="2142">
        <v>1029763.6880999999</v>
      </c>
      <c r="H2198" s="2143">
        <v>42072</v>
      </c>
      <c r="I2198" s="2142">
        <v>520464</v>
      </c>
    </row>
    <row r="2199" spans="1:9" s="2139" customFormat="1" hidden="1">
      <c r="A2199" s="2140" t="s">
        <v>6363</v>
      </c>
      <c r="B2199" s="2141">
        <v>9</v>
      </c>
      <c r="C2199" s="2141" t="s">
        <v>3142</v>
      </c>
      <c r="D2199" s="2141">
        <v>169</v>
      </c>
      <c r="E2199" s="2142">
        <v>74.06</v>
      </c>
      <c r="F2199" s="2142">
        <v>14420</v>
      </c>
      <c r="G2199" s="2142">
        <v>1067945.2</v>
      </c>
      <c r="H2199" s="2143">
        <v>42034</v>
      </c>
      <c r="I2199" s="2142">
        <v>537945</v>
      </c>
    </row>
    <row r="2200" spans="1:9" s="2139" customFormat="1" hidden="1">
      <c r="A2200" s="2140" t="s">
        <v>4929</v>
      </c>
      <c r="B2200" s="2141" t="s">
        <v>3055</v>
      </c>
      <c r="C2200" s="2141" t="s">
        <v>3142</v>
      </c>
      <c r="D2200" s="3396">
        <v>172</v>
      </c>
      <c r="E2200" s="2142">
        <v>36.25</v>
      </c>
      <c r="F2200" s="2142">
        <v>16862.68</v>
      </c>
      <c r="G2200" s="2142">
        <v>611272.15</v>
      </c>
      <c r="H2200" s="3557">
        <v>42026</v>
      </c>
      <c r="I2200" s="2142">
        <v>611272</v>
      </c>
    </row>
    <row r="2201" spans="1:9" s="2139" customFormat="1" hidden="1">
      <c r="A2201" s="2140" t="s">
        <v>4940</v>
      </c>
      <c r="B2201" s="2141" t="s">
        <v>3055</v>
      </c>
      <c r="C2201" s="2141" t="s">
        <v>3142</v>
      </c>
      <c r="D2201" s="3396">
        <v>189</v>
      </c>
      <c r="E2201" s="2142">
        <v>106.83</v>
      </c>
      <c r="F2201" s="2142">
        <v>16953.41</v>
      </c>
      <c r="G2201" s="2142">
        <v>1811132.7903</v>
      </c>
      <c r="H2201" s="3557">
        <v>42016</v>
      </c>
      <c r="I2201" s="2142">
        <v>1811133</v>
      </c>
    </row>
    <row r="2202" spans="1:9" s="2139" customFormat="1" hidden="1">
      <c r="A2202" s="2140" t="s">
        <v>6358</v>
      </c>
      <c r="B2202" s="2141">
        <v>9</v>
      </c>
      <c r="C2202" s="2141" t="s">
        <v>3142</v>
      </c>
      <c r="D2202" s="2141">
        <v>146</v>
      </c>
      <c r="E2202" s="2142">
        <v>41.03</v>
      </c>
      <c r="F2202" s="2142">
        <v>13905</v>
      </c>
      <c r="G2202" s="2142">
        <v>570522.15</v>
      </c>
      <c r="H2202" s="2143">
        <v>42016</v>
      </c>
      <c r="I2202" s="2142">
        <v>570522</v>
      </c>
    </row>
    <row r="2203" spans="1:9" s="2139" customFormat="1" hidden="1">
      <c r="A2203" s="2140" t="s">
        <v>6367</v>
      </c>
      <c r="B2203" s="2141">
        <v>9</v>
      </c>
      <c r="C2203" s="2141" t="s">
        <v>3142</v>
      </c>
      <c r="D2203" s="2141">
        <v>209</v>
      </c>
      <c r="E2203" s="2142">
        <v>99.33</v>
      </c>
      <c r="F2203" s="2142">
        <v>20909</v>
      </c>
      <c r="G2203" s="2142">
        <v>2076890.97</v>
      </c>
      <c r="H2203" s="2143">
        <v>42007</v>
      </c>
      <c r="I2203" s="2142">
        <v>2076891</v>
      </c>
    </row>
    <row r="2204" spans="1:9" s="2139" customFormat="1" hidden="1">
      <c r="A2204" s="2140" t="s">
        <v>6326</v>
      </c>
      <c r="B2204" s="2141">
        <v>9</v>
      </c>
      <c r="C2204" s="2141" t="s">
        <v>3142</v>
      </c>
      <c r="D2204" s="2141">
        <v>42</v>
      </c>
      <c r="E2204" s="2142">
        <v>45.64</v>
      </c>
      <c r="F2204" s="2142">
        <v>13905</v>
      </c>
      <c r="G2204" s="2142">
        <v>634624.19999999995</v>
      </c>
      <c r="H2204" s="2143">
        <v>42003</v>
      </c>
      <c r="I2204" s="2142">
        <v>634624</v>
      </c>
    </row>
    <row r="2205" spans="1:9" s="2139" customFormat="1" hidden="1">
      <c r="A2205" s="2140" t="s">
        <v>6343</v>
      </c>
      <c r="B2205" s="2141">
        <v>9</v>
      </c>
      <c r="C2205" s="2141" t="s">
        <v>3142</v>
      </c>
      <c r="D2205" s="2141">
        <v>76</v>
      </c>
      <c r="E2205" s="2142">
        <v>41.03</v>
      </c>
      <c r="F2205" s="2142">
        <v>13905</v>
      </c>
      <c r="G2205" s="2142">
        <v>570522.15</v>
      </c>
      <c r="H2205" s="2143">
        <v>42003</v>
      </c>
      <c r="I2205" s="2142">
        <v>120522</v>
      </c>
    </row>
    <row r="2206" spans="1:9" s="2139" customFormat="1" hidden="1">
      <c r="A2206" s="2140" t="s">
        <v>6354</v>
      </c>
      <c r="B2206" s="2141">
        <v>9</v>
      </c>
      <c r="C2206" s="2141" t="s">
        <v>3142</v>
      </c>
      <c r="D2206" s="2141">
        <v>112</v>
      </c>
      <c r="E2206" s="2142">
        <v>25.38</v>
      </c>
      <c r="F2206" s="2142">
        <v>17510</v>
      </c>
      <c r="G2206" s="2142">
        <v>444403.8</v>
      </c>
      <c r="H2206" s="2143">
        <v>42003</v>
      </c>
      <c r="I2206" s="2142">
        <v>444404</v>
      </c>
    </row>
    <row r="2207" spans="1:9" s="2139" customFormat="1" hidden="1">
      <c r="A2207" s="2140" t="s">
        <v>6336</v>
      </c>
      <c r="B2207" s="2141">
        <v>9</v>
      </c>
      <c r="C2207" s="2141" t="s">
        <v>3142</v>
      </c>
      <c r="D2207" s="2141">
        <v>58</v>
      </c>
      <c r="E2207" s="2142">
        <v>76.97</v>
      </c>
      <c r="F2207" s="2142">
        <v>20909</v>
      </c>
      <c r="G2207" s="2142">
        <v>1609366</v>
      </c>
      <c r="H2207" s="2143">
        <v>41999</v>
      </c>
      <c r="I2207" s="2142">
        <v>1609366</v>
      </c>
    </row>
    <row r="2208" spans="1:9" s="2139" customFormat="1" hidden="1">
      <c r="A2208" s="2140" t="s">
        <v>4253</v>
      </c>
      <c r="B2208" s="2141" t="s">
        <v>3054</v>
      </c>
      <c r="C2208" s="2141" t="s">
        <v>3142</v>
      </c>
      <c r="D2208" s="2141">
        <v>246</v>
      </c>
      <c r="E2208" s="2142">
        <v>34.630000000000003</v>
      </c>
      <c r="F2208" s="2142">
        <v>15755.87</v>
      </c>
      <c r="G2208" s="2142">
        <v>545625.77810000011</v>
      </c>
      <c r="H2208" s="2143">
        <v>41995</v>
      </c>
      <c r="I2208" s="2142">
        <v>545626</v>
      </c>
    </row>
    <row r="2209" spans="1:9" s="2139" customFormat="1" hidden="1">
      <c r="A2209" s="2140" t="s">
        <v>4079</v>
      </c>
      <c r="B2209" s="2141" t="s">
        <v>3054</v>
      </c>
      <c r="C2209" s="2141" t="s">
        <v>3142</v>
      </c>
      <c r="D2209" s="2141">
        <v>20</v>
      </c>
      <c r="E2209" s="2142">
        <v>98.4</v>
      </c>
      <c r="F2209" s="2142">
        <v>18049.27</v>
      </c>
      <c r="G2209" s="2142">
        <v>1776048.1680000001</v>
      </c>
      <c r="H2209" s="2143">
        <v>41991</v>
      </c>
      <c r="I2209" s="2142">
        <v>1776048</v>
      </c>
    </row>
    <row r="2210" spans="1:9" s="2139" customFormat="1" hidden="1">
      <c r="A2210" s="2140" t="s">
        <v>5469</v>
      </c>
      <c r="B2210" s="2141" t="s">
        <v>3056</v>
      </c>
      <c r="C2210" s="2141" t="s">
        <v>3142</v>
      </c>
      <c r="D2210" s="2141">
        <v>188</v>
      </c>
      <c r="E2210" s="2142">
        <v>89.03</v>
      </c>
      <c r="F2210" s="2142">
        <v>19300</v>
      </c>
      <c r="G2210" s="2142">
        <v>1718279</v>
      </c>
      <c r="H2210" s="2143">
        <v>41991</v>
      </c>
      <c r="I2210" s="2142">
        <v>1718279</v>
      </c>
    </row>
    <row r="2211" spans="1:9" s="2139" customFormat="1" hidden="1">
      <c r="A2211" s="2140" t="s">
        <v>5472</v>
      </c>
      <c r="B2211" s="2141" t="s">
        <v>3056</v>
      </c>
      <c r="C2211" s="2141" t="s">
        <v>3142</v>
      </c>
      <c r="D2211" s="2141">
        <v>192</v>
      </c>
      <c r="E2211" s="2142">
        <v>46.95</v>
      </c>
      <c r="F2211" s="2142">
        <v>14590</v>
      </c>
      <c r="G2211" s="2142">
        <v>685001</v>
      </c>
      <c r="H2211" s="2143">
        <v>41991</v>
      </c>
      <c r="I2211" s="2142">
        <v>673474</v>
      </c>
    </row>
    <row r="2212" spans="1:9" s="2139" customFormat="1" hidden="1">
      <c r="A2212" s="2140" t="s">
        <v>4180</v>
      </c>
      <c r="B2212" s="2141" t="s">
        <v>3054</v>
      </c>
      <c r="C2212" s="2141" t="s">
        <v>3142</v>
      </c>
      <c r="D2212" s="2141">
        <v>165</v>
      </c>
      <c r="E2212" s="2142">
        <v>37.56</v>
      </c>
      <c r="F2212" s="2142">
        <v>15767.13</v>
      </c>
      <c r="G2212" s="2142">
        <v>592213.40280000004</v>
      </c>
      <c r="H2212" s="2143">
        <v>41990</v>
      </c>
      <c r="I2212" s="2142">
        <v>592213</v>
      </c>
    </row>
    <row r="2213" spans="1:9" s="2139" customFormat="1" hidden="1">
      <c r="A2213" s="2140" t="s">
        <v>4076</v>
      </c>
      <c r="B2213" s="2141" t="s">
        <v>3054</v>
      </c>
      <c r="C2213" s="2141" t="s">
        <v>3142</v>
      </c>
      <c r="D2213" s="2141">
        <v>16</v>
      </c>
      <c r="E2213" s="2142">
        <v>73.040000000000006</v>
      </c>
      <c r="F2213" s="2142">
        <v>16731.66</v>
      </c>
      <c r="G2213" s="2142">
        <v>1222080.4464</v>
      </c>
      <c r="H2213" s="2143">
        <v>41988</v>
      </c>
      <c r="I2213" s="2142">
        <v>1222080</v>
      </c>
    </row>
    <row r="2214" spans="1:9" s="2139" customFormat="1" hidden="1">
      <c r="A2214" s="2140" t="s">
        <v>4233</v>
      </c>
      <c r="B2214" s="2141" t="s">
        <v>3054</v>
      </c>
      <c r="C2214" s="2141" t="s">
        <v>3142</v>
      </c>
      <c r="D2214" s="2141">
        <v>223</v>
      </c>
      <c r="E2214" s="2142">
        <v>69.8</v>
      </c>
      <c r="F2214" s="2142">
        <v>17486.89</v>
      </c>
      <c r="G2214" s="2142">
        <v>1220584.922</v>
      </c>
      <c r="H2214" s="2143">
        <v>41987</v>
      </c>
      <c r="I2214" s="2142">
        <v>1220585</v>
      </c>
    </row>
    <row r="2215" spans="1:9" s="2139" customFormat="1" hidden="1">
      <c r="A2215" s="2140" t="s">
        <v>4240</v>
      </c>
      <c r="B2215" s="2141" t="s">
        <v>3054</v>
      </c>
      <c r="C2215" s="2141" t="s">
        <v>3142</v>
      </c>
      <c r="D2215" s="2141">
        <v>231</v>
      </c>
      <c r="E2215" s="2142">
        <v>48.24</v>
      </c>
      <c r="F2215" s="2142">
        <v>15794.78</v>
      </c>
      <c r="G2215" s="2142">
        <v>761940.18720000004</v>
      </c>
      <c r="H2215" s="2143">
        <v>41987</v>
      </c>
      <c r="I2215" s="2142">
        <v>761940</v>
      </c>
    </row>
    <row r="2216" spans="1:9" s="2139" customFormat="1" hidden="1">
      <c r="A2216" s="2140" t="s">
        <v>4209</v>
      </c>
      <c r="B2216" s="2141" t="s">
        <v>3054</v>
      </c>
      <c r="C2216" s="2141" t="s">
        <v>3142</v>
      </c>
      <c r="D2216" s="2141">
        <v>197</v>
      </c>
      <c r="E2216" s="2142">
        <v>79.8</v>
      </c>
      <c r="F2216" s="2142">
        <v>18437.45</v>
      </c>
      <c r="G2216" s="2142">
        <v>1471308.51</v>
      </c>
      <c r="H2216" s="2143">
        <v>41986</v>
      </c>
      <c r="I2216" s="2142">
        <v>1471309</v>
      </c>
    </row>
    <row r="2217" spans="1:9" s="2139" customFormat="1" hidden="1">
      <c r="A2217" s="2140" t="s">
        <v>4791</v>
      </c>
      <c r="B2217" s="2141" t="s">
        <v>3055</v>
      </c>
      <c r="C2217" s="2141" t="s">
        <v>3142</v>
      </c>
      <c r="D2217" s="3396">
        <v>2</v>
      </c>
      <c r="E2217" s="2142">
        <v>36.44</v>
      </c>
      <c r="F2217" s="2142">
        <v>16663.43</v>
      </c>
      <c r="G2217" s="2142">
        <v>607215.38919999998</v>
      </c>
      <c r="H2217" s="3557">
        <v>41986</v>
      </c>
      <c r="I2217" s="2142">
        <v>607215</v>
      </c>
    </row>
    <row r="2218" spans="1:9" s="2139" customFormat="1" hidden="1">
      <c r="A2218" s="2140" t="s">
        <v>5412</v>
      </c>
      <c r="B2218" s="2141" t="s">
        <v>3056</v>
      </c>
      <c r="C2218" s="2141" t="s">
        <v>3142</v>
      </c>
      <c r="D2218" s="2141">
        <v>105</v>
      </c>
      <c r="E2218" s="2142">
        <v>60.48</v>
      </c>
      <c r="F2218" s="2142">
        <v>17990</v>
      </c>
      <c r="G2218" s="2142">
        <v>1088035.2</v>
      </c>
      <c r="H2218" s="2143">
        <v>41986</v>
      </c>
      <c r="I2218" s="2142">
        <v>1088035</v>
      </c>
    </row>
    <row r="2219" spans="1:9" s="2139" customFormat="1" hidden="1">
      <c r="A2219" s="2140" t="s">
        <v>5413</v>
      </c>
      <c r="B2219" s="2141" t="s">
        <v>3056</v>
      </c>
      <c r="C2219" s="2141" t="s">
        <v>3142</v>
      </c>
      <c r="D2219" s="2141">
        <v>106</v>
      </c>
      <c r="E2219" s="2142">
        <v>40.53</v>
      </c>
      <c r="F2219" s="2142">
        <v>17990</v>
      </c>
      <c r="G2219" s="2142">
        <v>729134.70000000007</v>
      </c>
      <c r="H2219" s="2143">
        <v>41986</v>
      </c>
      <c r="I2219" s="2142">
        <v>729135</v>
      </c>
    </row>
    <row r="2220" spans="1:9" s="2139" customFormat="1" hidden="1">
      <c r="A2220" s="2140" t="s">
        <v>5487</v>
      </c>
      <c r="B2220" s="2141" t="s">
        <v>3056</v>
      </c>
      <c r="C2220" s="2141" t="s">
        <v>3142</v>
      </c>
      <c r="D2220" s="2141">
        <v>223</v>
      </c>
      <c r="E2220" s="2142">
        <v>70.599999999999994</v>
      </c>
      <c r="F2220" s="2142">
        <v>15800</v>
      </c>
      <c r="G2220" s="2142">
        <v>1115480</v>
      </c>
      <c r="H2220" s="2143">
        <v>41986</v>
      </c>
      <c r="I2220" s="2142">
        <v>1115480</v>
      </c>
    </row>
    <row r="2221" spans="1:9" s="2139" customFormat="1" hidden="1">
      <c r="A2221" s="2140" t="s">
        <v>5488</v>
      </c>
      <c r="B2221" s="2141" t="s">
        <v>3056</v>
      </c>
      <c r="C2221" s="2141" t="s">
        <v>3142</v>
      </c>
      <c r="D2221" s="2141">
        <v>225</v>
      </c>
      <c r="E2221" s="2142">
        <v>57.35</v>
      </c>
      <c r="F2221" s="2142">
        <v>15800</v>
      </c>
      <c r="G2221" s="2142">
        <v>906130</v>
      </c>
      <c r="H2221" s="2143">
        <v>41986</v>
      </c>
      <c r="I2221" s="2142">
        <v>906130</v>
      </c>
    </row>
    <row r="2222" spans="1:9" s="2139" customFormat="1" hidden="1">
      <c r="A2222" s="2140" t="s">
        <v>4184</v>
      </c>
      <c r="B2222" s="2141" t="s">
        <v>3054</v>
      </c>
      <c r="C2222" s="2141" t="s">
        <v>3142</v>
      </c>
      <c r="D2222" s="2141">
        <v>169</v>
      </c>
      <c r="E2222" s="2142">
        <v>58.4</v>
      </c>
      <c r="F2222" s="2142">
        <v>15814.53</v>
      </c>
      <c r="G2222" s="2142">
        <v>923568.55200000003</v>
      </c>
      <c r="H2222" s="2143">
        <v>41985</v>
      </c>
      <c r="I2222" s="2142">
        <v>195150</v>
      </c>
    </row>
    <row r="2223" spans="1:9" s="2139" customFormat="1" hidden="1">
      <c r="A2223" s="2140" t="s">
        <v>4884</v>
      </c>
      <c r="B2223" s="2141" t="s">
        <v>3055</v>
      </c>
      <c r="C2223" s="2141" t="s">
        <v>3142</v>
      </c>
      <c r="D2223" s="3396">
        <v>118</v>
      </c>
      <c r="E2223" s="2142">
        <v>46.87</v>
      </c>
      <c r="F2223" s="2142">
        <v>16300</v>
      </c>
      <c r="G2223" s="2142">
        <v>763981</v>
      </c>
      <c r="H2223" s="3557">
        <v>41985</v>
      </c>
      <c r="I2223" s="2142">
        <v>763981</v>
      </c>
    </row>
    <row r="2224" spans="1:9" s="2139" customFormat="1" hidden="1">
      <c r="A2224" s="2140" t="s">
        <v>4804</v>
      </c>
      <c r="B2224" s="2141" t="s">
        <v>3055</v>
      </c>
      <c r="C2224" s="2141" t="s">
        <v>3142</v>
      </c>
      <c r="D2224" s="3396">
        <v>17</v>
      </c>
      <c r="E2224" s="2142">
        <v>41.46</v>
      </c>
      <c r="F2224" s="2142">
        <v>16179.95</v>
      </c>
      <c r="G2224" s="2142">
        <v>670820.72700000007</v>
      </c>
      <c r="H2224" s="3557">
        <v>41984</v>
      </c>
      <c r="I2224" s="2142">
        <v>670821</v>
      </c>
    </row>
    <row r="2225" spans="1:9" s="2139" customFormat="1" hidden="1">
      <c r="A2225" s="2140" t="s">
        <v>4816</v>
      </c>
      <c r="B2225" s="2141" t="s">
        <v>3055</v>
      </c>
      <c r="C2225" s="2141" t="s">
        <v>3142</v>
      </c>
      <c r="D2225" s="3396">
        <v>30</v>
      </c>
      <c r="E2225" s="2142">
        <v>84.4</v>
      </c>
      <c r="F2225" s="2142">
        <v>18741.02</v>
      </c>
      <c r="G2225" s="2142">
        <v>1581742.0880000002</v>
      </c>
      <c r="H2225" s="3557">
        <v>41984</v>
      </c>
      <c r="I2225" s="2142">
        <v>1581742</v>
      </c>
    </row>
    <row r="2226" spans="1:9" s="2139" customFormat="1" hidden="1">
      <c r="A2226" s="2140" t="s">
        <v>4195</v>
      </c>
      <c r="B2226" s="2141" t="s">
        <v>3054</v>
      </c>
      <c r="C2226" s="2141" t="s">
        <v>3142</v>
      </c>
      <c r="D2226" s="2141">
        <v>181</v>
      </c>
      <c r="E2226" s="2142">
        <v>32.31</v>
      </c>
      <c r="F2226" s="2142">
        <v>15738.34</v>
      </c>
      <c r="G2226" s="2142">
        <v>508505.76540000003</v>
      </c>
      <c r="H2226" s="2143">
        <v>41983</v>
      </c>
      <c r="I2226" s="2142">
        <v>508506</v>
      </c>
    </row>
    <row r="2227" spans="1:9" s="2139" customFormat="1" hidden="1">
      <c r="A2227" s="2140" t="s">
        <v>4792</v>
      </c>
      <c r="B2227" s="2141" t="s">
        <v>3055</v>
      </c>
      <c r="C2227" s="2141" t="s">
        <v>3142</v>
      </c>
      <c r="D2227" s="3396">
        <v>3</v>
      </c>
      <c r="E2227" s="2142">
        <v>74.069999999999993</v>
      </c>
      <c r="F2227" s="2142">
        <v>18032.8</v>
      </c>
      <c r="G2227" s="2142">
        <v>1335689.4959999998</v>
      </c>
      <c r="H2227" s="3557">
        <v>41983</v>
      </c>
      <c r="I2227" s="2142">
        <v>1335689</v>
      </c>
    </row>
    <row r="2228" spans="1:9" s="2139" customFormat="1" hidden="1">
      <c r="A2228" s="2140" t="s">
        <v>4936</v>
      </c>
      <c r="B2228" s="2141" t="s">
        <v>3055</v>
      </c>
      <c r="C2228" s="2141" t="s">
        <v>3142</v>
      </c>
      <c r="D2228" s="3396">
        <v>182</v>
      </c>
      <c r="E2228" s="2142">
        <v>58.7</v>
      </c>
      <c r="F2228" s="2142">
        <v>16300</v>
      </c>
      <c r="G2228" s="2142">
        <v>956810</v>
      </c>
      <c r="H2228" s="3557">
        <v>41983</v>
      </c>
      <c r="I2228" s="2142">
        <v>956810</v>
      </c>
    </row>
    <row r="2229" spans="1:9" s="2139" customFormat="1" hidden="1">
      <c r="A2229" s="2140" t="s">
        <v>4975</v>
      </c>
      <c r="B2229" s="2141" t="s">
        <v>3055</v>
      </c>
      <c r="C2229" s="2141" t="s">
        <v>3142</v>
      </c>
      <c r="D2229" s="3396">
        <v>238</v>
      </c>
      <c r="E2229" s="2142">
        <v>72.02</v>
      </c>
      <c r="F2229" s="2142">
        <v>18030.89</v>
      </c>
      <c r="G2229" s="2142">
        <v>1298584.6978</v>
      </c>
      <c r="H2229" s="3557">
        <v>41983</v>
      </c>
      <c r="I2229" s="2142">
        <v>1298585</v>
      </c>
    </row>
    <row r="2230" spans="1:9" s="2139" customFormat="1" hidden="1">
      <c r="A2230" s="2140" t="s">
        <v>4173</v>
      </c>
      <c r="B2230" s="2141" t="s">
        <v>3054</v>
      </c>
      <c r="C2230" s="2141" t="s">
        <v>3142</v>
      </c>
      <c r="D2230" s="2141">
        <v>152</v>
      </c>
      <c r="E2230" s="2142">
        <v>66</v>
      </c>
      <c r="F2230" s="2142">
        <v>16624.25</v>
      </c>
      <c r="G2230" s="2142">
        <v>1097201</v>
      </c>
      <c r="H2230" s="2143">
        <v>41982</v>
      </c>
      <c r="I2230" s="2142">
        <v>1095538</v>
      </c>
    </row>
    <row r="2231" spans="1:9" s="2139" customFormat="1" hidden="1">
      <c r="A2231" s="2140" t="s">
        <v>4800</v>
      </c>
      <c r="B2231" s="2141" t="s">
        <v>3055</v>
      </c>
      <c r="C2231" s="2141" t="s">
        <v>3142</v>
      </c>
      <c r="D2231" s="3396">
        <v>12</v>
      </c>
      <c r="E2231" s="2142">
        <v>39.72</v>
      </c>
      <c r="F2231" s="2142">
        <v>16874.689999999999</v>
      </c>
      <c r="G2231" s="2142">
        <v>670262.68679999991</v>
      </c>
      <c r="H2231" s="3557">
        <v>41981</v>
      </c>
      <c r="I2231" s="2142">
        <v>670263</v>
      </c>
    </row>
    <row r="2232" spans="1:9" s="2139" customFormat="1" hidden="1">
      <c r="A2232" s="2140" t="s">
        <v>5379</v>
      </c>
      <c r="B2232" s="2141" t="s">
        <v>3056</v>
      </c>
      <c r="C2232" s="2141" t="s">
        <v>3142</v>
      </c>
      <c r="D2232" s="2141">
        <v>65</v>
      </c>
      <c r="E2232" s="2142">
        <v>49.31</v>
      </c>
      <c r="F2232" s="2142">
        <v>17990</v>
      </c>
      <c r="G2232" s="2142">
        <v>887086.9</v>
      </c>
      <c r="H2232" s="2143">
        <v>41981</v>
      </c>
      <c r="I2232" s="2142">
        <v>887087</v>
      </c>
    </row>
    <row r="2233" spans="1:9" s="2139" customFormat="1" hidden="1">
      <c r="A2233" s="2140" t="s">
        <v>4906</v>
      </c>
      <c r="B2233" s="2141" t="s">
        <v>3055</v>
      </c>
      <c r="C2233" s="2141" t="s">
        <v>3142</v>
      </c>
      <c r="D2233" s="3396">
        <v>143</v>
      </c>
      <c r="E2233" s="2142">
        <v>76.84</v>
      </c>
      <c r="F2233" s="2142">
        <v>18235.63</v>
      </c>
      <c r="G2233" s="2142">
        <v>1401225.8092000003</v>
      </c>
      <c r="H2233" s="3557">
        <v>41980</v>
      </c>
      <c r="I2233" s="2142">
        <v>1401226</v>
      </c>
    </row>
    <row r="2234" spans="1:9" s="2139" customFormat="1" hidden="1">
      <c r="A2234" s="2140" t="s">
        <v>4954</v>
      </c>
      <c r="B2234" s="2141" t="s">
        <v>3055</v>
      </c>
      <c r="C2234" s="2141" t="s">
        <v>3142</v>
      </c>
      <c r="D2234" s="3396">
        <v>210</v>
      </c>
      <c r="E2234" s="2142">
        <v>45.78</v>
      </c>
      <c r="F2234" s="2142">
        <v>16191.28</v>
      </c>
      <c r="G2234" s="2142">
        <v>741236.79840000009</v>
      </c>
      <c r="H2234" s="3557">
        <v>41979</v>
      </c>
      <c r="I2234" s="2142">
        <v>741237</v>
      </c>
    </row>
    <row r="2235" spans="1:9" s="2139" customFormat="1" hidden="1">
      <c r="A2235" s="2140" t="s">
        <v>4159</v>
      </c>
      <c r="B2235" s="2141" t="s">
        <v>3054</v>
      </c>
      <c r="C2235" s="2141" t="s">
        <v>3142</v>
      </c>
      <c r="D2235" s="2141">
        <v>137</v>
      </c>
      <c r="E2235" s="2142">
        <v>56.15</v>
      </c>
      <c r="F2235" s="2142">
        <v>16611.11</v>
      </c>
      <c r="G2235" s="2142">
        <v>932713.82649999997</v>
      </c>
      <c r="H2235" s="2143">
        <v>41977</v>
      </c>
      <c r="I2235" s="2142">
        <v>932714</v>
      </c>
    </row>
    <row r="2236" spans="1:9" s="2139" customFormat="1" hidden="1">
      <c r="A2236" s="2140" t="s">
        <v>4977</v>
      </c>
      <c r="B2236" s="2141" t="s">
        <v>3055</v>
      </c>
      <c r="C2236" s="2141" t="s">
        <v>3142</v>
      </c>
      <c r="D2236" s="3396">
        <v>240</v>
      </c>
      <c r="E2236" s="2142">
        <v>72.02</v>
      </c>
      <c r="F2236" s="2142">
        <v>18030.88</v>
      </c>
      <c r="G2236" s="2142">
        <v>1298583.9776000001</v>
      </c>
      <c r="H2236" s="3557">
        <v>41977</v>
      </c>
      <c r="I2236" s="2142">
        <v>1298584</v>
      </c>
    </row>
    <row r="2237" spans="1:9" s="2139" customFormat="1" hidden="1">
      <c r="A2237" s="2140" t="s">
        <v>5401</v>
      </c>
      <c r="B2237" s="2141" t="s">
        <v>3056</v>
      </c>
      <c r="C2237" s="2141" t="s">
        <v>3142</v>
      </c>
      <c r="D2237" s="2141">
        <v>89</v>
      </c>
      <c r="E2237" s="2142">
        <v>74.16</v>
      </c>
      <c r="F2237" s="2142">
        <v>19300</v>
      </c>
      <c r="G2237" s="2142">
        <v>1431288</v>
      </c>
      <c r="H2237" s="2143">
        <v>41977</v>
      </c>
      <c r="I2237" s="2142">
        <v>1431288</v>
      </c>
    </row>
    <row r="2238" spans="1:9" s="2139" customFormat="1" hidden="1">
      <c r="A2238" s="2140" t="s">
        <v>5423</v>
      </c>
      <c r="B2238" s="2141" t="s">
        <v>3056</v>
      </c>
      <c r="C2238" s="2141" t="s">
        <v>3142</v>
      </c>
      <c r="D2238" s="2141">
        <v>123</v>
      </c>
      <c r="E2238" s="2142">
        <v>57.18</v>
      </c>
      <c r="F2238" s="2142">
        <v>14590</v>
      </c>
      <c r="G2238" s="2142">
        <v>834256.2</v>
      </c>
      <c r="H2238" s="2143">
        <v>41974</v>
      </c>
      <c r="I2238" s="2142">
        <v>834256</v>
      </c>
    </row>
    <row r="2239" spans="1:9" s="2139" customFormat="1" hidden="1">
      <c r="A2239" s="2140" t="s">
        <v>4074</v>
      </c>
      <c r="B2239" s="2141" t="s">
        <v>3054</v>
      </c>
      <c r="C2239" s="2141" t="s">
        <v>3142</v>
      </c>
      <c r="D2239" s="2141">
        <v>8</v>
      </c>
      <c r="E2239" s="2142">
        <v>73</v>
      </c>
      <c r="F2239" s="2142">
        <v>16229.68</v>
      </c>
      <c r="G2239" s="2142">
        <v>1184766.6400000001</v>
      </c>
      <c r="H2239" s="2143">
        <v>41972</v>
      </c>
      <c r="I2239" s="2142">
        <v>1184767</v>
      </c>
    </row>
    <row r="2240" spans="1:9" s="2139" customFormat="1" hidden="1">
      <c r="A2240" s="2140" t="s">
        <v>4264</v>
      </c>
      <c r="B2240" s="2141" t="s">
        <v>3054</v>
      </c>
      <c r="C2240" s="2141" t="s">
        <v>3142</v>
      </c>
      <c r="D2240" s="2141">
        <v>258</v>
      </c>
      <c r="E2240" s="2142">
        <v>61.75</v>
      </c>
      <c r="F2240" s="2142">
        <v>17718.98</v>
      </c>
      <c r="G2240" s="2142">
        <v>1094147.0149999999</v>
      </c>
      <c r="H2240" s="2143">
        <v>41971</v>
      </c>
      <c r="I2240" s="2142">
        <v>1094147</v>
      </c>
    </row>
    <row r="2241" spans="1:9" s="2139" customFormat="1" hidden="1">
      <c r="A2241" s="2140" t="s">
        <v>4293</v>
      </c>
      <c r="B2241" s="2141" t="s">
        <v>3054</v>
      </c>
      <c r="C2241" s="2141" t="s">
        <v>3142</v>
      </c>
      <c r="D2241" s="2141">
        <v>295</v>
      </c>
      <c r="E2241" s="2142">
        <v>43.01</v>
      </c>
      <c r="F2241" s="2142">
        <v>15300</v>
      </c>
      <c r="G2241" s="2142">
        <v>658053</v>
      </c>
      <c r="H2241" s="2143">
        <v>41971</v>
      </c>
      <c r="I2241" s="2142">
        <v>658053</v>
      </c>
    </row>
    <row r="2242" spans="1:9" s="2139" customFormat="1" hidden="1">
      <c r="A2242" s="2140" t="s">
        <v>4899</v>
      </c>
      <c r="B2242" s="2141" t="s">
        <v>3055</v>
      </c>
      <c r="C2242" s="2141" t="s">
        <v>3142</v>
      </c>
      <c r="D2242" s="3396">
        <v>136</v>
      </c>
      <c r="E2242" s="2142">
        <v>77.11</v>
      </c>
      <c r="F2242" s="2142">
        <v>17688.38</v>
      </c>
      <c r="G2242" s="2142">
        <v>1363950.9818000002</v>
      </c>
      <c r="H2242" s="3557">
        <v>41971</v>
      </c>
      <c r="I2242" s="2142">
        <v>1363951</v>
      </c>
    </row>
    <row r="2243" spans="1:9" s="2139" customFormat="1" hidden="1">
      <c r="A2243" s="2140" t="s">
        <v>4077</v>
      </c>
      <c r="B2243" s="2141" t="s">
        <v>3054</v>
      </c>
      <c r="C2243" s="2141" t="s">
        <v>3142</v>
      </c>
      <c r="D2243" s="2141">
        <v>18</v>
      </c>
      <c r="E2243" s="2142">
        <v>73.069999999999993</v>
      </c>
      <c r="F2243" s="2142">
        <v>16731.689999999999</v>
      </c>
      <c r="G2243" s="2142">
        <v>1222584.5882999997</v>
      </c>
      <c r="H2243" s="2143">
        <v>41970</v>
      </c>
      <c r="I2243" s="2142">
        <v>1222585</v>
      </c>
    </row>
    <row r="2244" spans="1:9" s="2139" customFormat="1" hidden="1">
      <c r="A2244" s="2140" t="s">
        <v>4854</v>
      </c>
      <c r="B2244" s="2141" t="s">
        <v>3055</v>
      </c>
      <c r="C2244" s="2141" t="s">
        <v>3142</v>
      </c>
      <c r="D2244" s="3396">
        <v>76</v>
      </c>
      <c r="E2244" s="2142">
        <v>89</v>
      </c>
      <c r="F2244" s="2142">
        <v>16244.07</v>
      </c>
      <c r="G2244" s="2142">
        <v>1445722.23</v>
      </c>
      <c r="H2244" s="3557">
        <v>41968</v>
      </c>
      <c r="I2244" s="2142">
        <v>1445722</v>
      </c>
    </row>
    <row r="2245" spans="1:9" s="2139" customFormat="1" hidden="1">
      <c r="A2245" s="2140" t="s">
        <v>5489</v>
      </c>
      <c r="B2245" s="2141" t="s">
        <v>3056</v>
      </c>
      <c r="C2245" s="2141" t="s">
        <v>3142</v>
      </c>
      <c r="D2245" s="2141">
        <v>227</v>
      </c>
      <c r="E2245" s="2142">
        <v>137.1</v>
      </c>
      <c r="F2245" s="2142">
        <v>16300</v>
      </c>
      <c r="G2245" s="2142">
        <v>2234730</v>
      </c>
      <c r="H2245" s="2143">
        <v>41964</v>
      </c>
      <c r="I2245" s="2142">
        <v>2234730</v>
      </c>
    </row>
    <row r="2246" spans="1:9" s="2139" customFormat="1" hidden="1">
      <c r="A2246" s="2140" t="s">
        <v>4893</v>
      </c>
      <c r="B2246" s="2141" t="s">
        <v>3055</v>
      </c>
      <c r="C2246" s="2141" t="s">
        <v>3142</v>
      </c>
      <c r="D2246" s="3396">
        <v>128</v>
      </c>
      <c r="E2246" s="2142">
        <v>46.51</v>
      </c>
      <c r="F2246" s="2142">
        <v>15707.19</v>
      </c>
      <c r="G2246" s="2142">
        <v>730541.40689999994</v>
      </c>
      <c r="H2246" s="3557">
        <v>41962</v>
      </c>
      <c r="I2246" s="2142">
        <v>730541</v>
      </c>
    </row>
    <row r="2247" spans="1:9" s="2139" customFormat="1" hidden="1">
      <c r="A2247" s="2140" t="s">
        <v>4879</v>
      </c>
      <c r="B2247" s="2141" t="s">
        <v>3055</v>
      </c>
      <c r="C2247" s="2141" t="s">
        <v>3142</v>
      </c>
      <c r="D2247" s="3396">
        <v>112</v>
      </c>
      <c r="E2247" s="2142">
        <v>161.13999999999999</v>
      </c>
      <c r="F2247" s="2142">
        <v>18469.419999999998</v>
      </c>
      <c r="G2247" s="2142">
        <v>2976162.3387999996</v>
      </c>
      <c r="H2247" s="3557">
        <v>41960</v>
      </c>
      <c r="I2247" s="2142">
        <v>2976162</v>
      </c>
    </row>
    <row r="2248" spans="1:9" s="2139" customFormat="1" hidden="1">
      <c r="A2248" s="2140" t="s">
        <v>5435</v>
      </c>
      <c r="B2248" s="2141" t="s">
        <v>3056</v>
      </c>
      <c r="C2248" s="2141" t="s">
        <v>3142</v>
      </c>
      <c r="D2248" s="2141">
        <v>139</v>
      </c>
      <c r="E2248" s="2142">
        <v>169.15</v>
      </c>
      <c r="F2248" s="2142">
        <v>19590.002960000002</v>
      </c>
      <c r="G2248" s="2142">
        <v>3313649.0006840006</v>
      </c>
      <c r="H2248" s="2143">
        <v>41958</v>
      </c>
      <c r="I2248" s="2142">
        <v>3313649</v>
      </c>
    </row>
    <row r="2249" spans="1:9" s="2139" customFormat="1" hidden="1">
      <c r="A2249" s="2140" t="s">
        <v>5972</v>
      </c>
      <c r="B2249" s="2141" t="s">
        <v>3057</v>
      </c>
      <c r="C2249" s="2141" t="s">
        <v>3142</v>
      </c>
      <c r="D2249" s="2141">
        <v>168</v>
      </c>
      <c r="E2249" s="2142">
        <v>70.86</v>
      </c>
      <c r="F2249" s="2142">
        <v>18290</v>
      </c>
      <c r="G2249" s="2142">
        <v>1296029.3999999999</v>
      </c>
      <c r="H2249" s="2143">
        <v>41956</v>
      </c>
      <c r="I2249" s="2142">
        <v>1296029</v>
      </c>
    </row>
    <row r="2250" spans="1:9" s="2139" customFormat="1" hidden="1">
      <c r="A2250" s="2140" t="s">
        <v>5436</v>
      </c>
      <c r="B2250" s="2141" t="s">
        <v>3056</v>
      </c>
      <c r="C2250" s="2141" t="s">
        <v>3142</v>
      </c>
      <c r="D2250" s="2141">
        <v>140</v>
      </c>
      <c r="E2250" s="2142">
        <v>74.5</v>
      </c>
      <c r="F2250" s="2142">
        <v>15800</v>
      </c>
      <c r="G2250" s="2142">
        <v>1177100</v>
      </c>
      <c r="H2250" s="2143">
        <v>41947</v>
      </c>
      <c r="I2250" s="2142">
        <v>1177100</v>
      </c>
    </row>
    <row r="2251" spans="1:9" s="2139" customFormat="1" hidden="1">
      <c r="A2251" s="2140" t="s">
        <v>5437</v>
      </c>
      <c r="B2251" s="2141" t="s">
        <v>3056</v>
      </c>
      <c r="C2251" s="2141" t="s">
        <v>3142</v>
      </c>
      <c r="D2251" s="2141">
        <v>141</v>
      </c>
      <c r="E2251" s="2142">
        <v>85.7</v>
      </c>
      <c r="F2251" s="2142">
        <v>16100</v>
      </c>
      <c r="G2251" s="2142">
        <v>1379770</v>
      </c>
      <c r="H2251" s="2143">
        <v>41947</v>
      </c>
      <c r="I2251" s="2142">
        <v>1379770</v>
      </c>
    </row>
    <row r="2252" spans="1:9" s="2139" customFormat="1" hidden="1">
      <c r="A2252" s="2140" t="s">
        <v>5482</v>
      </c>
      <c r="B2252" s="2141" t="s">
        <v>3056</v>
      </c>
      <c r="C2252" s="2141" t="s">
        <v>3142</v>
      </c>
      <c r="D2252" s="2141">
        <v>216</v>
      </c>
      <c r="E2252" s="2142">
        <v>77.27</v>
      </c>
      <c r="F2252" s="2142">
        <v>15800</v>
      </c>
      <c r="G2252" s="2142">
        <v>1220866</v>
      </c>
      <c r="H2252" s="2143">
        <v>41947</v>
      </c>
      <c r="I2252" s="2142">
        <v>1220866</v>
      </c>
    </row>
    <row r="2253" spans="1:9" s="2139" customFormat="1" hidden="1">
      <c r="A2253" s="2140" t="s">
        <v>5483</v>
      </c>
      <c r="B2253" s="2141" t="s">
        <v>3056</v>
      </c>
      <c r="C2253" s="2141" t="s">
        <v>3142</v>
      </c>
      <c r="D2253" s="2141">
        <v>218</v>
      </c>
      <c r="E2253" s="2142">
        <v>70.92</v>
      </c>
      <c r="F2253" s="2142">
        <v>16300</v>
      </c>
      <c r="G2253" s="2142">
        <v>1155996</v>
      </c>
      <c r="H2253" s="2143">
        <v>41947</v>
      </c>
      <c r="I2253" s="2142">
        <v>1155996</v>
      </c>
    </row>
    <row r="2254" spans="1:9" s="2139" customFormat="1" hidden="1">
      <c r="A2254" s="2140" t="s">
        <v>4073</v>
      </c>
      <c r="B2254" s="2141" t="s">
        <v>3054</v>
      </c>
      <c r="C2254" s="2141" t="s">
        <v>3142</v>
      </c>
      <c r="D2254" s="2141">
        <v>7</v>
      </c>
      <c r="E2254" s="2142">
        <v>73</v>
      </c>
      <c r="F2254" s="2142">
        <v>16229.68</v>
      </c>
      <c r="G2254" s="2142">
        <v>1184766.6400000001</v>
      </c>
      <c r="H2254" s="2143">
        <v>41946</v>
      </c>
      <c r="I2254" s="2142">
        <v>1184767</v>
      </c>
    </row>
    <row r="2255" spans="1:9" s="2139" customFormat="1" hidden="1">
      <c r="A2255" s="2140" t="s">
        <v>4892</v>
      </c>
      <c r="B2255" s="2141" t="s">
        <v>3055</v>
      </c>
      <c r="C2255" s="2141" t="s">
        <v>3142</v>
      </c>
      <c r="D2255" s="3396">
        <v>127</v>
      </c>
      <c r="E2255" s="2142">
        <v>45.21</v>
      </c>
      <c r="F2255" s="2142">
        <v>16189.92</v>
      </c>
      <c r="G2255" s="2142">
        <v>731946.28320000006</v>
      </c>
      <c r="H2255" s="3557">
        <v>41943</v>
      </c>
      <c r="I2255" s="2142">
        <v>731946</v>
      </c>
    </row>
    <row r="2256" spans="1:9" s="2139" customFormat="1" hidden="1">
      <c r="A2256" s="2140" t="s">
        <v>4903</v>
      </c>
      <c r="B2256" s="2141" t="s">
        <v>3055</v>
      </c>
      <c r="C2256" s="2141" t="s">
        <v>3142</v>
      </c>
      <c r="D2256" s="3396">
        <v>140</v>
      </c>
      <c r="E2256" s="2142">
        <v>76.61</v>
      </c>
      <c r="F2256" s="2142">
        <v>18235.03</v>
      </c>
      <c r="G2256" s="2142">
        <v>1396985.6483</v>
      </c>
      <c r="H2256" s="3557">
        <v>41936</v>
      </c>
      <c r="I2256" s="2142">
        <v>1396986</v>
      </c>
    </row>
    <row r="2257" spans="1:9" s="2139" customFormat="1" hidden="1">
      <c r="A2257" s="2140" t="s">
        <v>4994</v>
      </c>
      <c r="B2257" s="2141" t="s">
        <v>3055</v>
      </c>
      <c r="C2257" s="2141" t="s">
        <v>3142</v>
      </c>
      <c r="D2257" s="3396">
        <v>259</v>
      </c>
      <c r="E2257" s="2142">
        <v>41.45</v>
      </c>
      <c r="F2257" s="2142">
        <v>16179.92</v>
      </c>
      <c r="G2257" s="2142">
        <v>670657.68400000001</v>
      </c>
      <c r="H2257" s="3557">
        <v>41935</v>
      </c>
      <c r="I2257" s="2142">
        <v>670658</v>
      </c>
    </row>
    <row r="2258" spans="1:9" s="2139" customFormat="1" hidden="1">
      <c r="A2258" s="2140" t="s">
        <v>4138</v>
      </c>
      <c r="B2258" s="2141" t="s">
        <v>3054</v>
      </c>
      <c r="C2258" s="2141" t="s">
        <v>3142</v>
      </c>
      <c r="D2258" s="2141">
        <v>111</v>
      </c>
      <c r="E2258" s="2142">
        <v>54.21</v>
      </c>
      <c r="F2258" s="2142">
        <v>15300</v>
      </c>
      <c r="G2258" s="2142">
        <v>829413</v>
      </c>
      <c r="H2258" s="2143">
        <v>41933</v>
      </c>
      <c r="I2258" s="2142">
        <v>829413</v>
      </c>
    </row>
    <row r="2259" spans="1:9" s="2139" customFormat="1" hidden="1">
      <c r="A2259" s="2140" t="s">
        <v>4933</v>
      </c>
      <c r="B2259" s="2141" t="s">
        <v>3055</v>
      </c>
      <c r="C2259" s="2141" t="s">
        <v>3142</v>
      </c>
      <c r="D2259" s="3396">
        <v>177</v>
      </c>
      <c r="E2259" s="2142">
        <v>84.53</v>
      </c>
      <c r="F2259" s="2142">
        <v>16441.12</v>
      </c>
      <c r="G2259" s="2142">
        <v>1389767.8735999998</v>
      </c>
      <c r="H2259" s="3557">
        <v>41930</v>
      </c>
      <c r="I2259" s="2142">
        <v>1389768</v>
      </c>
    </row>
    <row r="2260" spans="1:9" s="2139" customFormat="1" hidden="1">
      <c r="A2260" s="2140" t="s">
        <v>4123</v>
      </c>
      <c r="B2260" s="2141" t="s">
        <v>3054</v>
      </c>
      <c r="C2260" s="2141" t="s">
        <v>3142</v>
      </c>
      <c r="D2260" s="2141">
        <v>89</v>
      </c>
      <c r="E2260" s="2142">
        <v>73.900000000000006</v>
      </c>
      <c r="F2260" s="2142">
        <v>16232.42</v>
      </c>
      <c r="G2260" s="2142">
        <v>1199575.838</v>
      </c>
      <c r="H2260" s="2143">
        <v>41929</v>
      </c>
      <c r="I2260" s="2142">
        <v>1199576</v>
      </c>
    </row>
    <row r="2261" spans="1:9" s="2139" customFormat="1" hidden="1">
      <c r="A2261" s="2140" t="s">
        <v>4950</v>
      </c>
      <c r="B2261" s="2141" t="s">
        <v>3055</v>
      </c>
      <c r="C2261" s="2141" t="s">
        <v>3142</v>
      </c>
      <c r="D2261" s="3396">
        <v>202</v>
      </c>
      <c r="E2261" s="2142">
        <v>94.8</v>
      </c>
      <c r="F2261" s="2142">
        <v>17215.07</v>
      </c>
      <c r="G2261" s="2142">
        <v>1631988.6359999999</v>
      </c>
      <c r="H2261" s="3557">
        <v>41929</v>
      </c>
      <c r="I2261" s="2142">
        <v>1631989</v>
      </c>
    </row>
    <row r="2262" spans="1:9" s="2139" customFormat="1" hidden="1">
      <c r="A2262" s="2140" t="s">
        <v>4099</v>
      </c>
      <c r="B2262" s="2141" t="s">
        <v>3054</v>
      </c>
      <c r="C2262" s="2141" t="s">
        <v>3142</v>
      </c>
      <c r="D2262" s="2141">
        <v>55</v>
      </c>
      <c r="E2262" s="2142">
        <v>45.94</v>
      </c>
      <c r="F2262" s="2142">
        <v>14800</v>
      </c>
      <c r="G2262" s="2142">
        <v>679912</v>
      </c>
      <c r="H2262" s="2143">
        <v>41928</v>
      </c>
      <c r="I2262" s="2142">
        <v>349912</v>
      </c>
    </row>
    <row r="2263" spans="1:9" s="2139" customFormat="1" hidden="1">
      <c r="A2263" s="2140" t="s">
        <v>4276</v>
      </c>
      <c r="B2263" s="2141" t="s">
        <v>3054</v>
      </c>
      <c r="C2263" s="2141" t="s">
        <v>3142</v>
      </c>
      <c r="D2263" s="2141">
        <v>272</v>
      </c>
      <c r="E2263" s="2142">
        <v>37.9</v>
      </c>
      <c r="F2263" s="2142">
        <v>14713.27</v>
      </c>
      <c r="G2263" s="2142">
        <v>557632.93299999996</v>
      </c>
      <c r="H2263" s="2143">
        <v>41927</v>
      </c>
      <c r="I2263" s="2142">
        <v>557633</v>
      </c>
    </row>
    <row r="2264" spans="1:9" s="2139" customFormat="1" hidden="1">
      <c r="A2264" s="2140" t="s">
        <v>4124</v>
      </c>
      <c r="B2264" s="2141" t="s">
        <v>3054</v>
      </c>
      <c r="C2264" s="2141" t="s">
        <v>3142</v>
      </c>
      <c r="D2264" s="2141">
        <v>90</v>
      </c>
      <c r="E2264" s="2142">
        <v>72.930000000000007</v>
      </c>
      <c r="F2264" s="2142">
        <v>16231.53</v>
      </c>
      <c r="G2264" s="2142">
        <v>1183765.4829000002</v>
      </c>
      <c r="H2264" s="2143">
        <v>41926</v>
      </c>
      <c r="I2264" s="2142">
        <v>1183765</v>
      </c>
    </row>
    <row r="2265" spans="1:9" s="2139" customFormat="1" hidden="1">
      <c r="A2265" s="2140" t="s">
        <v>4263</v>
      </c>
      <c r="B2265" s="2141" t="s">
        <v>3054</v>
      </c>
      <c r="C2265" s="2141" t="s">
        <v>3142</v>
      </c>
      <c r="D2265" s="2141">
        <v>257</v>
      </c>
      <c r="E2265" s="2142">
        <v>61.76</v>
      </c>
      <c r="F2265" s="2142">
        <v>17718.95</v>
      </c>
      <c r="G2265" s="2142">
        <v>1094322.352</v>
      </c>
      <c r="H2265" s="2143">
        <v>41926</v>
      </c>
      <c r="I2265" s="2142">
        <v>1094322</v>
      </c>
    </row>
    <row r="2266" spans="1:9" s="2139" customFormat="1" hidden="1">
      <c r="A2266" s="2140" t="s">
        <v>4829</v>
      </c>
      <c r="B2266" s="2141" t="s">
        <v>3055</v>
      </c>
      <c r="C2266" s="2141" t="s">
        <v>3142</v>
      </c>
      <c r="D2266" s="3396">
        <v>46</v>
      </c>
      <c r="E2266" s="2142">
        <v>48.53</v>
      </c>
      <c r="F2266" s="2142">
        <v>15711.29</v>
      </c>
      <c r="G2266" s="2142">
        <v>762468.90370000002</v>
      </c>
      <c r="H2266" s="3557">
        <v>41926</v>
      </c>
      <c r="I2266" s="2142">
        <v>762469</v>
      </c>
    </row>
    <row r="2267" spans="1:9" s="2139" customFormat="1" hidden="1">
      <c r="A2267" s="2140" t="s">
        <v>4855</v>
      </c>
      <c r="B2267" s="2141" t="s">
        <v>3055</v>
      </c>
      <c r="C2267" s="2141" t="s">
        <v>3142</v>
      </c>
      <c r="D2267" s="3396">
        <v>77</v>
      </c>
      <c r="E2267" s="2142">
        <v>48.83</v>
      </c>
      <c r="F2267" s="2142">
        <v>16198.06</v>
      </c>
      <c r="G2267" s="2142">
        <v>790951.26979999989</v>
      </c>
      <c r="H2267" s="3557">
        <v>41926</v>
      </c>
      <c r="I2267" s="2142">
        <v>790951</v>
      </c>
    </row>
    <row r="2268" spans="1:9" s="2139" customFormat="1" hidden="1">
      <c r="A2268" s="2140" t="s">
        <v>4958</v>
      </c>
      <c r="B2268" s="2141" t="s">
        <v>3055</v>
      </c>
      <c r="C2268" s="2141" t="s">
        <v>3142</v>
      </c>
      <c r="D2268" s="3396">
        <v>217</v>
      </c>
      <c r="E2268" s="2142">
        <v>35.270000000000003</v>
      </c>
      <c r="F2268" s="2142">
        <v>16160.61</v>
      </c>
      <c r="G2268" s="2142">
        <v>569984.71470000013</v>
      </c>
      <c r="H2268" s="3557">
        <v>41926</v>
      </c>
      <c r="I2268" s="2142">
        <v>569985</v>
      </c>
    </row>
    <row r="2269" spans="1:9" s="2139" customFormat="1" hidden="1">
      <c r="A2269" s="2140" t="s">
        <v>4244</v>
      </c>
      <c r="B2269" s="2141" t="s">
        <v>3054</v>
      </c>
      <c r="C2269" s="2141" t="s">
        <v>3142</v>
      </c>
      <c r="D2269" s="2141">
        <v>236</v>
      </c>
      <c r="E2269" s="2142">
        <v>45.9</v>
      </c>
      <c r="F2269" s="2142">
        <v>15791.26</v>
      </c>
      <c r="G2269" s="2142">
        <v>724818.83400000003</v>
      </c>
      <c r="H2269" s="2143">
        <v>41925</v>
      </c>
      <c r="I2269" s="2142">
        <v>724819</v>
      </c>
    </row>
    <row r="2270" spans="1:9" s="2139" customFormat="1" hidden="1">
      <c r="A2270" s="2140" t="s">
        <v>4284</v>
      </c>
      <c r="B2270" s="2141" t="s">
        <v>3054</v>
      </c>
      <c r="C2270" s="2141" t="s">
        <v>3142</v>
      </c>
      <c r="D2270" s="2141">
        <v>282</v>
      </c>
      <c r="E2270" s="2142">
        <v>23.34</v>
      </c>
      <c r="F2270" s="2142">
        <v>17586.23</v>
      </c>
      <c r="G2270" s="2142">
        <v>410462.60819999996</v>
      </c>
      <c r="H2270" s="2143">
        <v>41925</v>
      </c>
      <c r="I2270" s="2142">
        <v>410463</v>
      </c>
    </row>
    <row r="2271" spans="1:9" s="2139" customFormat="1" hidden="1">
      <c r="A2271" s="2140" t="s">
        <v>4870</v>
      </c>
      <c r="B2271" s="2141" t="s">
        <v>3055</v>
      </c>
      <c r="C2271" s="2141" t="s">
        <v>3142</v>
      </c>
      <c r="D2271" s="3396">
        <v>97</v>
      </c>
      <c r="E2271" s="2142">
        <v>35.119999999999997</v>
      </c>
      <c r="F2271" s="2142">
        <v>16858.28</v>
      </c>
      <c r="G2271" s="2142">
        <v>592062.79359999986</v>
      </c>
      <c r="H2271" s="3557">
        <v>41925</v>
      </c>
      <c r="I2271" s="2142">
        <v>592063</v>
      </c>
    </row>
    <row r="2272" spans="1:9" s="2139" customFormat="1" hidden="1">
      <c r="A2272" s="2140" t="s">
        <v>4115</v>
      </c>
      <c r="B2272" s="2141" t="s">
        <v>3054</v>
      </c>
      <c r="C2272" s="2141" t="s">
        <v>3142</v>
      </c>
      <c r="D2272" s="2141">
        <v>76</v>
      </c>
      <c r="E2272" s="2142">
        <v>45.45</v>
      </c>
      <c r="F2272" s="2142">
        <v>15190.18</v>
      </c>
      <c r="G2272" s="2142">
        <v>690393.6810000001</v>
      </c>
      <c r="H2272" s="2143">
        <v>41923</v>
      </c>
      <c r="I2272" s="2142">
        <v>690394</v>
      </c>
    </row>
    <row r="2273" spans="1:9" s="2139" customFormat="1" hidden="1">
      <c r="A2273" s="2140" t="s">
        <v>4172</v>
      </c>
      <c r="B2273" s="2141" t="s">
        <v>3054</v>
      </c>
      <c r="C2273" s="2141" t="s">
        <v>3142</v>
      </c>
      <c r="D2273" s="2141">
        <v>151</v>
      </c>
      <c r="E2273" s="2142">
        <v>62.67</v>
      </c>
      <c r="F2273" s="2142">
        <v>16620.36</v>
      </c>
      <c r="G2273" s="2142">
        <v>1041597.9612</v>
      </c>
      <c r="H2273" s="2143">
        <v>41923</v>
      </c>
      <c r="I2273" s="2142">
        <v>1041598</v>
      </c>
    </row>
    <row r="2274" spans="1:9" s="2139" customFormat="1" hidden="1">
      <c r="A2274" s="2140" t="s">
        <v>4259</v>
      </c>
      <c r="B2274" s="2141" t="s">
        <v>3054</v>
      </c>
      <c r="C2274" s="2141" t="s">
        <v>3142</v>
      </c>
      <c r="D2274" s="2141">
        <v>252</v>
      </c>
      <c r="E2274" s="2142">
        <v>39.03</v>
      </c>
      <c r="F2274" s="2142">
        <v>15972.29</v>
      </c>
      <c r="G2274" s="2142">
        <v>623398.47870000009</v>
      </c>
      <c r="H2274" s="2143">
        <v>41923</v>
      </c>
      <c r="I2274" s="2142">
        <v>623398</v>
      </c>
    </row>
    <row r="2275" spans="1:9" s="2139" customFormat="1" hidden="1">
      <c r="A2275" s="2140" t="s">
        <v>4955</v>
      </c>
      <c r="B2275" s="2141" t="s">
        <v>3055</v>
      </c>
      <c r="C2275" s="2141" t="s">
        <v>3142</v>
      </c>
      <c r="D2275" s="3396">
        <v>211</v>
      </c>
      <c r="E2275" s="2142">
        <v>47.59</v>
      </c>
      <c r="F2275" s="2142">
        <v>16500</v>
      </c>
      <c r="G2275" s="2142">
        <v>785235</v>
      </c>
      <c r="H2275" s="3557">
        <v>41923</v>
      </c>
      <c r="I2275" s="2142">
        <v>785235</v>
      </c>
    </row>
    <row r="2276" spans="1:9" s="2139" customFormat="1" hidden="1">
      <c r="A2276" s="2140" t="s">
        <v>4956</v>
      </c>
      <c r="B2276" s="2141" t="s">
        <v>3055</v>
      </c>
      <c r="C2276" s="2141" t="s">
        <v>3142</v>
      </c>
      <c r="D2276" s="3396">
        <v>212</v>
      </c>
      <c r="E2276" s="2142">
        <v>90</v>
      </c>
      <c r="F2276" s="2142">
        <v>16243.64</v>
      </c>
      <c r="G2276" s="2142">
        <v>1461927.5999999999</v>
      </c>
      <c r="H2276" s="3557">
        <v>41923</v>
      </c>
      <c r="I2276" s="2142">
        <v>1461928</v>
      </c>
    </row>
    <row r="2277" spans="1:9" s="2139" customFormat="1" hidden="1">
      <c r="A2277" s="2140" t="s">
        <v>4121</v>
      </c>
      <c r="B2277" s="2141" t="s">
        <v>3054</v>
      </c>
      <c r="C2277" s="2141" t="s">
        <v>3142</v>
      </c>
      <c r="D2277" s="2141">
        <v>87</v>
      </c>
      <c r="E2277" s="2142">
        <v>40.04</v>
      </c>
      <c r="F2277" s="2142">
        <v>15175.62</v>
      </c>
      <c r="G2277" s="2142">
        <v>607631.82480000006</v>
      </c>
      <c r="H2277" s="2143">
        <v>41922</v>
      </c>
      <c r="I2277" s="2142">
        <v>607632</v>
      </c>
    </row>
    <row r="2278" spans="1:9" s="2139" customFormat="1" hidden="1">
      <c r="A2278" s="2140" t="s">
        <v>4300</v>
      </c>
      <c r="B2278" s="2141" t="s">
        <v>3054</v>
      </c>
      <c r="C2278" s="2141" t="s">
        <v>3142</v>
      </c>
      <c r="D2278" s="2141">
        <v>313</v>
      </c>
      <c r="E2278" s="2142">
        <v>43.28</v>
      </c>
      <c r="F2278" s="2142">
        <v>15900</v>
      </c>
      <c r="G2278" s="2142">
        <v>688152</v>
      </c>
      <c r="H2278" s="2143">
        <v>41922</v>
      </c>
      <c r="I2278" s="2142">
        <v>688152</v>
      </c>
    </row>
    <row r="2279" spans="1:9" s="2139" customFormat="1" hidden="1">
      <c r="A2279" s="2140" t="s">
        <v>4228</v>
      </c>
      <c r="B2279" s="2141" t="s">
        <v>3054</v>
      </c>
      <c r="C2279" s="2141" t="s">
        <v>3142</v>
      </c>
      <c r="D2279" s="2141">
        <v>218</v>
      </c>
      <c r="E2279" s="2142">
        <v>76.58</v>
      </c>
      <c r="F2279" s="2142">
        <v>18034.830000000002</v>
      </c>
      <c r="G2279" s="2142">
        <v>1381107.2814000002</v>
      </c>
      <c r="H2279" s="2143">
        <v>41921</v>
      </c>
      <c r="I2279" s="2142">
        <v>1381107</v>
      </c>
    </row>
    <row r="2280" spans="1:9" s="2139" customFormat="1" hidden="1">
      <c r="A2280" s="2140" t="s">
        <v>4278</v>
      </c>
      <c r="B2280" s="2141" t="s">
        <v>3054</v>
      </c>
      <c r="C2280" s="2141" t="s">
        <v>3142</v>
      </c>
      <c r="D2280" s="2141">
        <v>275</v>
      </c>
      <c r="E2280" s="2142">
        <v>55.32</v>
      </c>
      <c r="F2280" s="2142">
        <v>15209.78</v>
      </c>
      <c r="G2280" s="2142">
        <v>841405.02960000001</v>
      </c>
      <c r="H2280" s="2143">
        <v>41921</v>
      </c>
      <c r="I2280" s="2142">
        <v>841405</v>
      </c>
    </row>
    <row r="2281" spans="1:9" s="2139" customFormat="1" hidden="1">
      <c r="A2281" s="2140" t="s">
        <v>4281</v>
      </c>
      <c r="B2281" s="2141" t="s">
        <v>3054</v>
      </c>
      <c r="C2281" s="2141" t="s">
        <v>3142</v>
      </c>
      <c r="D2281" s="2141">
        <v>278</v>
      </c>
      <c r="E2281" s="2142">
        <v>70.05</v>
      </c>
      <c r="F2281" s="2142">
        <v>17728.75</v>
      </c>
      <c r="G2281" s="2142">
        <v>1241898.9375</v>
      </c>
      <c r="H2281" s="2143">
        <v>41921</v>
      </c>
      <c r="I2281" s="2142">
        <v>1241899</v>
      </c>
    </row>
    <row r="2282" spans="1:9" s="2139" customFormat="1" hidden="1">
      <c r="A2282" s="2140" t="s">
        <v>4312</v>
      </c>
      <c r="B2282" s="2141" t="s">
        <v>3054</v>
      </c>
      <c r="C2282" s="2141" t="s">
        <v>3142</v>
      </c>
      <c r="D2282" s="2141">
        <v>327</v>
      </c>
      <c r="E2282" s="2142">
        <v>36.6</v>
      </c>
      <c r="F2282" s="2142">
        <v>18063.61</v>
      </c>
      <c r="G2282" s="2142">
        <v>661128.12600000005</v>
      </c>
      <c r="H2282" s="2143">
        <v>41921</v>
      </c>
      <c r="I2282" s="2142">
        <v>661128</v>
      </c>
    </row>
    <row r="2283" spans="1:9" s="2139" customFormat="1" hidden="1">
      <c r="A2283" s="2140" t="s">
        <v>4920</v>
      </c>
      <c r="B2283" s="2141" t="s">
        <v>3055</v>
      </c>
      <c r="C2283" s="2141" t="s">
        <v>3142</v>
      </c>
      <c r="D2283" s="3396">
        <v>159</v>
      </c>
      <c r="E2283" s="2142">
        <v>72.010000000000005</v>
      </c>
      <c r="F2283" s="2142">
        <v>18230.88</v>
      </c>
      <c r="G2283" s="2142">
        <v>1312805.6688000001</v>
      </c>
      <c r="H2283" s="3557">
        <v>41921</v>
      </c>
      <c r="I2283" s="2142">
        <v>1312806</v>
      </c>
    </row>
    <row r="2284" spans="1:9" s="2139" customFormat="1" hidden="1">
      <c r="A2284" s="2140" t="s">
        <v>4938</v>
      </c>
      <c r="B2284" s="2141" t="s">
        <v>3055</v>
      </c>
      <c r="C2284" s="2141" t="s">
        <v>3142</v>
      </c>
      <c r="D2284" s="3396">
        <v>187</v>
      </c>
      <c r="E2284" s="2142">
        <v>65.849999999999994</v>
      </c>
      <c r="F2284" s="2142">
        <v>18414.62</v>
      </c>
      <c r="G2284" s="2142">
        <v>1212602.7269999997</v>
      </c>
      <c r="H2284" s="3557">
        <v>41921</v>
      </c>
      <c r="I2284" s="2142">
        <v>1212603</v>
      </c>
    </row>
    <row r="2285" spans="1:9" s="2139" customFormat="1" hidden="1">
      <c r="A2285" s="2140" t="s">
        <v>4971</v>
      </c>
      <c r="B2285" s="2141" t="s">
        <v>3055</v>
      </c>
      <c r="C2285" s="2141" t="s">
        <v>3142</v>
      </c>
      <c r="D2285" s="3396">
        <v>233</v>
      </c>
      <c r="E2285" s="2142">
        <v>87.26</v>
      </c>
      <c r="F2285" s="2142">
        <v>18042.96</v>
      </c>
      <c r="G2285" s="2142">
        <v>1574428.6895999999</v>
      </c>
      <c r="H2285" s="3557">
        <v>41921</v>
      </c>
      <c r="I2285" s="2142">
        <v>1574429</v>
      </c>
    </row>
    <row r="2286" spans="1:9" s="2139" customFormat="1" hidden="1">
      <c r="A2286" s="2140" t="s">
        <v>4992</v>
      </c>
      <c r="B2286" s="2141" t="s">
        <v>3055</v>
      </c>
      <c r="C2286" s="2141" t="s">
        <v>3142</v>
      </c>
      <c r="D2286" s="3396">
        <v>257</v>
      </c>
      <c r="E2286" s="2142">
        <v>41.42</v>
      </c>
      <c r="F2286" s="2142">
        <v>16179.84</v>
      </c>
      <c r="G2286" s="2142">
        <v>670168.97279999999</v>
      </c>
      <c r="H2286" s="3557">
        <v>41921</v>
      </c>
      <c r="I2286" s="2142">
        <v>670169</v>
      </c>
    </row>
    <row r="2287" spans="1:9" s="2139" customFormat="1" hidden="1">
      <c r="A2287" s="2140" t="s">
        <v>5001</v>
      </c>
      <c r="B2287" s="2141" t="s">
        <v>3055</v>
      </c>
      <c r="C2287" s="2141" t="s">
        <v>3142</v>
      </c>
      <c r="D2287" s="3396">
        <v>275</v>
      </c>
      <c r="E2287" s="2142">
        <v>74.540000000000006</v>
      </c>
      <c r="F2287" s="2142">
        <v>15800</v>
      </c>
      <c r="G2287" s="2142">
        <v>1177732</v>
      </c>
      <c r="H2287" s="3557">
        <v>41921</v>
      </c>
      <c r="I2287" s="2142">
        <v>1177732</v>
      </c>
    </row>
    <row r="2288" spans="1:9" s="2139" customFormat="1" hidden="1">
      <c r="A2288" s="2140" t="s">
        <v>4093</v>
      </c>
      <c r="B2288" s="2141" t="s">
        <v>3054</v>
      </c>
      <c r="C2288" s="2141" t="s">
        <v>3142</v>
      </c>
      <c r="D2288" s="2141">
        <v>43</v>
      </c>
      <c r="E2288" s="2142">
        <v>22.71</v>
      </c>
      <c r="F2288" s="2142">
        <v>15880.22</v>
      </c>
      <c r="G2288" s="2142">
        <v>360639.79619999998</v>
      </c>
      <c r="H2288" s="2143">
        <v>41920</v>
      </c>
      <c r="I2288" s="2142">
        <v>360640</v>
      </c>
    </row>
    <row r="2289" spans="1:9" s="2139" customFormat="1" hidden="1">
      <c r="A2289" s="2140" t="s">
        <v>4103</v>
      </c>
      <c r="B2289" s="2141" t="s">
        <v>3054</v>
      </c>
      <c r="C2289" s="2141" t="s">
        <v>3142</v>
      </c>
      <c r="D2289" s="2141">
        <v>62</v>
      </c>
      <c r="E2289" s="2142">
        <v>42.62</v>
      </c>
      <c r="F2289" s="2142">
        <v>15182.88</v>
      </c>
      <c r="G2289" s="2142">
        <v>647094.34559999988</v>
      </c>
      <c r="H2289" s="2143">
        <v>41920</v>
      </c>
      <c r="I2289" s="2142">
        <v>647094</v>
      </c>
    </row>
    <row r="2290" spans="1:9" s="2139" customFormat="1" hidden="1">
      <c r="A2290" s="2140" t="s">
        <v>4104</v>
      </c>
      <c r="B2290" s="2141" t="s">
        <v>3054</v>
      </c>
      <c r="C2290" s="2141" t="s">
        <v>3142</v>
      </c>
      <c r="D2290" s="2141">
        <v>63</v>
      </c>
      <c r="E2290" s="2142">
        <v>43</v>
      </c>
      <c r="F2290" s="2142">
        <v>15183.91</v>
      </c>
      <c r="G2290" s="2142">
        <v>652908.13</v>
      </c>
      <c r="H2290" s="2143">
        <v>41920</v>
      </c>
      <c r="I2290" s="2142">
        <v>652908</v>
      </c>
    </row>
    <row r="2291" spans="1:9" s="2139" customFormat="1" hidden="1">
      <c r="A2291" s="2140" t="s">
        <v>4222</v>
      </c>
      <c r="B2291" s="2141" t="s">
        <v>3054</v>
      </c>
      <c r="C2291" s="2141" t="s">
        <v>3142</v>
      </c>
      <c r="D2291" s="2141">
        <v>211</v>
      </c>
      <c r="E2291" s="2142">
        <v>57.25</v>
      </c>
      <c r="F2291" s="2142">
        <v>18012.82</v>
      </c>
      <c r="G2291" s="2142">
        <v>1031233.9449999999</v>
      </c>
      <c r="H2291" s="2143">
        <v>41920</v>
      </c>
      <c r="I2291" s="2142">
        <v>1031234</v>
      </c>
    </row>
    <row r="2292" spans="1:9" s="2139" customFormat="1" hidden="1">
      <c r="A2292" s="2140" t="s">
        <v>4247</v>
      </c>
      <c r="B2292" s="2141" t="s">
        <v>3054</v>
      </c>
      <c r="C2292" s="2141" t="s">
        <v>3142</v>
      </c>
      <c r="D2292" s="2141">
        <v>239</v>
      </c>
      <c r="E2292" s="2142">
        <v>39.299999999999997</v>
      </c>
      <c r="F2292" s="2142">
        <v>16572.97</v>
      </c>
      <c r="G2292" s="2142">
        <v>651317.72100000002</v>
      </c>
      <c r="H2292" s="2143">
        <v>41920</v>
      </c>
      <c r="I2292" s="2142">
        <v>651318</v>
      </c>
    </row>
    <row r="2293" spans="1:9" s="2139" customFormat="1" hidden="1">
      <c r="A2293" s="2140" t="s">
        <v>4256</v>
      </c>
      <c r="B2293" s="2141" t="s">
        <v>3054</v>
      </c>
      <c r="C2293" s="2141" t="s">
        <v>3142</v>
      </c>
      <c r="D2293" s="2141">
        <v>249</v>
      </c>
      <c r="E2293" s="2142">
        <v>48.64</v>
      </c>
      <c r="F2293" s="2142">
        <v>15797.39</v>
      </c>
      <c r="G2293" s="2142">
        <v>768385.04960000003</v>
      </c>
      <c r="H2293" s="2143">
        <v>41920</v>
      </c>
      <c r="I2293" s="2142">
        <v>768385</v>
      </c>
    </row>
    <row r="2294" spans="1:9" s="2139" customFormat="1" hidden="1">
      <c r="A2294" s="2140" t="s">
        <v>4790</v>
      </c>
      <c r="B2294" s="2141" t="s">
        <v>3055</v>
      </c>
      <c r="C2294" s="2141" t="s">
        <v>3142</v>
      </c>
      <c r="D2294" s="3396">
        <v>1</v>
      </c>
      <c r="E2294" s="2142">
        <v>38.49</v>
      </c>
      <c r="F2294" s="2142">
        <v>18670.7</v>
      </c>
      <c r="G2294" s="2142">
        <v>718635.24300000002</v>
      </c>
      <c r="H2294" s="3557">
        <v>41920</v>
      </c>
      <c r="I2294" s="2142">
        <v>718635</v>
      </c>
    </row>
    <row r="2295" spans="1:9" s="2139" customFormat="1" hidden="1">
      <c r="A2295" s="2140" t="s">
        <v>4865</v>
      </c>
      <c r="B2295" s="2141" t="s">
        <v>3055</v>
      </c>
      <c r="C2295" s="2141" t="s">
        <v>3142</v>
      </c>
      <c r="D2295" s="3396">
        <v>89</v>
      </c>
      <c r="E2295" s="2142">
        <v>92.62</v>
      </c>
      <c r="F2295" s="2142">
        <v>16246.26</v>
      </c>
      <c r="G2295" s="2142">
        <v>1504728.6012000002</v>
      </c>
      <c r="H2295" s="3557">
        <v>41920</v>
      </c>
      <c r="I2295" s="2142">
        <v>1504729</v>
      </c>
    </row>
    <row r="2296" spans="1:9" s="2139" customFormat="1" hidden="1">
      <c r="A2296" s="2140" t="s">
        <v>4842</v>
      </c>
      <c r="B2296" s="2141" t="s">
        <v>3055</v>
      </c>
      <c r="C2296" s="2141" t="s">
        <v>3142</v>
      </c>
      <c r="D2296" s="3396">
        <v>60</v>
      </c>
      <c r="E2296" s="2142">
        <v>80.39</v>
      </c>
      <c r="F2296" s="2142">
        <v>16538.09</v>
      </c>
      <c r="G2296" s="2142">
        <v>1329497.0551</v>
      </c>
      <c r="H2296" s="3557">
        <v>41918</v>
      </c>
      <c r="I2296" s="2142">
        <v>1329497</v>
      </c>
    </row>
    <row r="2297" spans="1:9" s="2139" customFormat="1" hidden="1">
      <c r="A2297" s="2140" t="s">
        <v>4084</v>
      </c>
      <c r="B2297" s="2141" t="s">
        <v>3054</v>
      </c>
      <c r="C2297" s="2141" t="s">
        <v>3142</v>
      </c>
      <c r="D2297" s="2141">
        <v>26</v>
      </c>
      <c r="E2297" s="2142">
        <v>45.88</v>
      </c>
      <c r="F2297" s="2142">
        <v>15191.21</v>
      </c>
      <c r="G2297" s="2142">
        <v>696972.71479999996</v>
      </c>
      <c r="H2297" s="2143">
        <v>41917</v>
      </c>
      <c r="I2297" s="2142">
        <v>696973</v>
      </c>
    </row>
    <row r="2298" spans="1:9" s="2139" customFormat="1" hidden="1">
      <c r="A2298" s="2140" t="s">
        <v>4120</v>
      </c>
      <c r="B2298" s="2141" t="s">
        <v>3054</v>
      </c>
      <c r="C2298" s="2141" t="s">
        <v>3142</v>
      </c>
      <c r="D2298" s="2141">
        <v>81</v>
      </c>
      <c r="E2298" s="2142">
        <v>35.08</v>
      </c>
      <c r="F2298" s="2142">
        <v>15157.39</v>
      </c>
      <c r="G2298" s="2142">
        <v>531721.24119999993</v>
      </c>
      <c r="H2298" s="2143">
        <v>41917</v>
      </c>
      <c r="I2298" s="2142">
        <v>531721</v>
      </c>
    </row>
    <row r="2299" spans="1:9" s="2139" customFormat="1" hidden="1">
      <c r="A2299" s="2140" t="s">
        <v>4136</v>
      </c>
      <c r="B2299" s="2141" t="s">
        <v>3054</v>
      </c>
      <c r="C2299" s="2141" t="s">
        <v>3142</v>
      </c>
      <c r="D2299" s="2141">
        <v>109</v>
      </c>
      <c r="E2299" s="2142">
        <v>97.12</v>
      </c>
      <c r="F2299" s="2142">
        <v>17748.599999999999</v>
      </c>
      <c r="G2299" s="2142">
        <v>1723744.0319999999</v>
      </c>
      <c r="H2299" s="2143">
        <v>41917</v>
      </c>
      <c r="I2299" s="2142">
        <v>1723744</v>
      </c>
    </row>
    <row r="2300" spans="1:9" s="2139" customFormat="1" hidden="1">
      <c r="A2300" s="2140" t="s">
        <v>4137</v>
      </c>
      <c r="B2300" s="2141" t="s">
        <v>3054</v>
      </c>
      <c r="C2300" s="2141" t="s">
        <v>3142</v>
      </c>
      <c r="D2300" s="2141">
        <v>110</v>
      </c>
      <c r="E2300" s="2142">
        <v>94.37</v>
      </c>
      <c r="F2300" s="2142">
        <v>17800</v>
      </c>
      <c r="G2300" s="2142">
        <v>1679786</v>
      </c>
      <c r="H2300" s="2143">
        <v>41917</v>
      </c>
      <c r="I2300" s="2142">
        <v>1679786</v>
      </c>
    </row>
    <row r="2301" spans="1:9" s="2139" customFormat="1" hidden="1">
      <c r="A2301" s="2140" t="s">
        <v>4153</v>
      </c>
      <c r="B2301" s="2141" t="s">
        <v>3054</v>
      </c>
      <c r="C2301" s="2141" t="s">
        <v>3142</v>
      </c>
      <c r="D2301" s="2141">
        <v>130</v>
      </c>
      <c r="E2301" s="2142">
        <v>81.2</v>
      </c>
      <c r="F2301" s="2142">
        <v>16238.53</v>
      </c>
      <c r="G2301" s="2142">
        <v>1318568.6360000002</v>
      </c>
      <c r="H2301" s="2143">
        <v>41917</v>
      </c>
      <c r="I2301" s="2142">
        <v>1318569</v>
      </c>
    </row>
    <row r="2302" spans="1:9" s="2139" customFormat="1" hidden="1">
      <c r="A2302" s="2140" t="s">
        <v>4309</v>
      </c>
      <c r="B2302" s="2141" t="s">
        <v>3054</v>
      </c>
      <c r="C2302" s="2141" t="s">
        <v>3142</v>
      </c>
      <c r="D2302" s="2141">
        <v>323</v>
      </c>
      <c r="E2302" s="2142">
        <v>43.29</v>
      </c>
      <c r="F2302" s="2142">
        <v>15900</v>
      </c>
      <c r="G2302" s="2142">
        <v>688311</v>
      </c>
      <c r="H2302" s="2143">
        <v>41916</v>
      </c>
      <c r="I2302" s="2142">
        <v>688311</v>
      </c>
    </row>
    <row r="2303" spans="1:9" s="2139" customFormat="1" hidden="1">
      <c r="A2303" s="2140" t="s">
        <v>4895</v>
      </c>
      <c r="B2303" s="2141" t="s">
        <v>3055</v>
      </c>
      <c r="C2303" s="2141" t="s">
        <v>3142</v>
      </c>
      <c r="D2303" s="3396">
        <v>130</v>
      </c>
      <c r="E2303" s="2142">
        <v>45.87</v>
      </c>
      <c r="F2303" s="2142">
        <v>16191.49</v>
      </c>
      <c r="G2303" s="2142">
        <v>742703.64629999991</v>
      </c>
      <c r="H2303" s="3557">
        <v>41916</v>
      </c>
      <c r="I2303" s="2142">
        <v>742704</v>
      </c>
    </row>
    <row r="2304" spans="1:9" s="2139" customFormat="1" hidden="1">
      <c r="A2304" s="2140" t="s">
        <v>4080</v>
      </c>
      <c r="B2304" s="2141" t="s">
        <v>3054</v>
      </c>
      <c r="C2304" s="2141" t="s">
        <v>3142</v>
      </c>
      <c r="D2304" s="2141">
        <v>21</v>
      </c>
      <c r="E2304" s="2142">
        <v>112.19</v>
      </c>
      <c r="F2304" s="2142">
        <v>18455.509999999998</v>
      </c>
      <c r="G2304" s="2142">
        <v>2070523.6668999998</v>
      </c>
      <c r="H2304" s="2143">
        <v>41915</v>
      </c>
      <c r="I2304" s="2142">
        <v>2070524</v>
      </c>
    </row>
    <row r="2305" spans="1:9" s="2139" customFormat="1" hidden="1">
      <c r="A2305" s="2140" t="s">
        <v>4183</v>
      </c>
      <c r="B2305" s="2141" t="s">
        <v>3054</v>
      </c>
      <c r="C2305" s="2141" t="s">
        <v>3142</v>
      </c>
      <c r="D2305" s="2141">
        <v>168</v>
      </c>
      <c r="E2305" s="2142">
        <v>58.76</v>
      </c>
      <c r="F2305" s="2142">
        <v>15815.05</v>
      </c>
      <c r="G2305" s="2142">
        <v>929292.33799999987</v>
      </c>
      <c r="H2305" s="2143">
        <v>41915</v>
      </c>
      <c r="I2305" s="2142">
        <v>929292</v>
      </c>
    </row>
    <row r="2306" spans="1:9" s="2139" customFormat="1" hidden="1">
      <c r="A2306" s="2140" t="s">
        <v>4243</v>
      </c>
      <c r="B2306" s="2141" t="s">
        <v>3054</v>
      </c>
      <c r="C2306" s="2141" t="s">
        <v>3142</v>
      </c>
      <c r="D2306" s="2141">
        <v>235</v>
      </c>
      <c r="E2306" s="2142">
        <v>50.71</v>
      </c>
      <c r="F2306" s="2142">
        <v>15801.57</v>
      </c>
      <c r="G2306" s="2142">
        <v>801297.61470000003</v>
      </c>
      <c r="H2306" s="2143">
        <v>41915</v>
      </c>
      <c r="I2306" s="2142">
        <v>801298</v>
      </c>
    </row>
    <row r="2307" spans="1:9" s="2139" customFormat="1" hidden="1">
      <c r="A2307" s="2140" t="s">
        <v>4307</v>
      </c>
      <c r="B2307" s="2141" t="s">
        <v>3054</v>
      </c>
      <c r="C2307" s="2141" t="s">
        <v>3142</v>
      </c>
      <c r="D2307" s="2141">
        <v>321</v>
      </c>
      <c r="E2307" s="2142">
        <v>43.29</v>
      </c>
      <c r="F2307" s="2142">
        <v>15784.71</v>
      </c>
      <c r="G2307" s="2142">
        <v>683320.09589999996</v>
      </c>
      <c r="H2307" s="2143">
        <v>41915</v>
      </c>
      <c r="I2307" s="2142">
        <v>683320</v>
      </c>
    </row>
    <row r="2308" spans="1:9" s="2139" customFormat="1" hidden="1">
      <c r="A2308" s="2140" t="s">
        <v>4838</v>
      </c>
      <c r="B2308" s="2141" t="s">
        <v>3055</v>
      </c>
      <c r="C2308" s="2141" t="s">
        <v>3142</v>
      </c>
      <c r="D2308" s="3396">
        <v>56</v>
      </c>
      <c r="E2308" s="2142">
        <v>27.38</v>
      </c>
      <c r="F2308" s="2142">
        <v>16118.18</v>
      </c>
      <c r="G2308" s="2142">
        <v>441315.7684</v>
      </c>
      <c r="H2308" s="3557">
        <v>41915</v>
      </c>
      <c r="I2308" s="2142">
        <v>441316</v>
      </c>
    </row>
    <row r="2309" spans="1:9" s="2139" customFormat="1" hidden="1">
      <c r="A2309" s="2140" t="s">
        <v>4857</v>
      </c>
      <c r="B2309" s="2141" t="s">
        <v>3055</v>
      </c>
      <c r="C2309" s="2141" t="s">
        <v>3142</v>
      </c>
      <c r="D2309" s="3396">
        <v>79</v>
      </c>
      <c r="E2309" s="2142">
        <v>29.31</v>
      </c>
      <c r="F2309" s="2142">
        <v>16130.16</v>
      </c>
      <c r="G2309" s="2142">
        <v>472774.98959999997</v>
      </c>
      <c r="H2309" s="3557">
        <v>41915</v>
      </c>
      <c r="I2309" s="2142">
        <v>472775</v>
      </c>
    </row>
    <row r="2310" spans="1:9" s="2139" customFormat="1" hidden="1">
      <c r="A2310" s="2140" t="s">
        <v>4902</v>
      </c>
      <c r="B2310" s="2141" t="s">
        <v>3055</v>
      </c>
      <c r="C2310" s="2141" t="s">
        <v>3142</v>
      </c>
      <c r="D2310" s="3396">
        <v>139</v>
      </c>
      <c r="E2310" s="2142">
        <v>79</v>
      </c>
      <c r="F2310" s="2142">
        <v>18237</v>
      </c>
      <c r="G2310" s="2142">
        <v>1440723</v>
      </c>
      <c r="H2310" s="3557">
        <v>41915</v>
      </c>
      <c r="I2310" s="2142">
        <v>1440723</v>
      </c>
    </row>
    <row r="2311" spans="1:9" s="2139" customFormat="1" hidden="1">
      <c r="A2311" s="2140" t="s">
        <v>4976</v>
      </c>
      <c r="B2311" s="2141" t="s">
        <v>3055</v>
      </c>
      <c r="C2311" s="2141" t="s">
        <v>3142</v>
      </c>
      <c r="D2311" s="3396">
        <v>239</v>
      </c>
      <c r="E2311" s="2142">
        <v>72.02</v>
      </c>
      <c r="F2311" s="2142">
        <v>18030.88</v>
      </c>
      <c r="G2311" s="2142">
        <v>1298583.9776000001</v>
      </c>
      <c r="H2311" s="3557">
        <v>41915</v>
      </c>
      <c r="I2311" s="2142">
        <v>1298584</v>
      </c>
    </row>
    <row r="2312" spans="1:9" s="2139" customFormat="1" hidden="1">
      <c r="A2312" s="2140" t="s">
        <v>4149</v>
      </c>
      <c r="B2312" s="2141" t="s">
        <v>3054</v>
      </c>
      <c r="C2312" s="2141" t="s">
        <v>3142</v>
      </c>
      <c r="D2312" s="2141">
        <v>126</v>
      </c>
      <c r="E2312" s="2142">
        <v>56.06</v>
      </c>
      <c r="F2312" s="2142">
        <v>15209.32</v>
      </c>
      <c r="G2312" s="2142">
        <v>852634.47920000006</v>
      </c>
      <c r="H2312" s="2143">
        <v>41914</v>
      </c>
      <c r="I2312" s="2142">
        <v>852634</v>
      </c>
    </row>
    <row r="2313" spans="1:9" s="2139" customFormat="1" hidden="1">
      <c r="A2313" s="2140" t="s">
        <v>4199</v>
      </c>
      <c r="B2313" s="2141" t="s">
        <v>3054</v>
      </c>
      <c r="C2313" s="2141" t="s">
        <v>3142</v>
      </c>
      <c r="D2313" s="2141">
        <v>186</v>
      </c>
      <c r="E2313" s="2142">
        <v>50.02</v>
      </c>
      <c r="F2313" s="2142">
        <v>15800.22</v>
      </c>
      <c r="G2313" s="2142">
        <v>790327.00439999998</v>
      </c>
      <c r="H2313" s="2143">
        <v>41914</v>
      </c>
      <c r="I2313" s="2142">
        <v>790327</v>
      </c>
    </row>
    <row r="2314" spans="1:9" s="2139" customFormat="1" hidden="1">
      <c r="A2314" s="2140" t="s">
        <v>4205</v>
      </c>
      <c r="B2314" s="2141" t="s">
        <v>3054</v>
      </c>
      <c r="C2314" s="2141" t="s">
        <v>3142</v>
      </c>
      <c r="D2314" s="2141">
        <v>192</v>
      </c>
      <c r="E2314" s="2142">
        <v>50.01</v>
      </c>
      <c r="F2314" s="2142">
        <v>15792.96</v>
      </c>
      <c r="G2314" s="2142">
        <v>789805.92959999992</v>
      </c>
      <c r="H2314" s="2143">
        <v>41914</v>
      </c>
      <c r="I2314" s="2142">
        <v>789806</v>
      </c>
    </row>
    <row r="2315" spans="1:9" s="2139" customFormat="1" hidden="1">
      <c r="A2315" s="2140" t="s">
        <v>4214</v>
      </c>
      <c r="B2315" s="2141" t="s">
        <v>3054</v>
      </c>
      <c r="C2315" s="2141" t="s">
        <v>3142</v>
      </c>
      <c r="D2315" s="2141">
        <v>202</v>
      </c>
      <c r="E2315" s="2142">
        <v>74.5</v>
      </c>
      <c r="F2315" s="2142">
        <v>18033.009999999998</v>
      </c>
      <c r="G2315" s="2142">
        <v>1343459.2449999999</v>
      </c>
      <c r="H2315" s="2143">
        <v>41914</v>
      </c>
      <c r="I2315" s="2142">
        <v>1343459</v>
      </c>
    </row>
    <row r="2316" spans="1:9" s="2139" customFormat="1" hidden="1">
      <c r="A2316" s="2140" t="s">
        <v>4218</v>
      </c>
      <c r="B2316" s="2141" t="s">
        <v>3054</v>
      </c>
      <c r="C2316" s="2141" t="s">
        <v>3142</v>
      </c>
      <c r="D2316" s="2141">
        <v>207</v>
      </c>
      <c r="E2316" s="2142">
        <v>74.48</v>
      </c>
      <c r="F2316" s="2142">
        <v>18032.98</v>
      </c>
      <c r="G2316" s="2142">
        <v>1343096.3504000001</v>
      </c>
      <c r="H2316" s="2143">
        <v>41914</v>
      </c>
      <c r="I2316" s="2142">
        <v>1343096</v>
      </c>
    </row>
    <row r="2317" spans="1:9" s="2139" customFormat="1" hidden="1">
      <c r="A2317" s="2140" t="s">
        <v>4231</v>
      </c>
      <c r="B2317" s="2141" t="s">
        <v>3054</v>
      </c>
      <c r="C2317" s="2141" t="s">
        <v>3142</v>
      </c>
      <c r="D2317" s="2141">
        <v>221</v>
      </c>
      <c r="E2317" s="2142">
        <v>68.459999999999994</v>
      </c>
      <c r="F2317" s="2142">
        <v>18027.09</v>
      </c>
      <c r="G2317" s="2142">
        <v>1234134.5813999998</v>
      </c>
      <c r="H2317" s="2143">
        <v>41914</v>
      </c>
      <c r="I2317" s="2142">
        <v>1234135</v>
      </c>
    </row>
    <row r="2318" spans="1:9" s="2139" customFormat="1" hidden="1">
      <c r="A2318" s="2140" t="s">
        <v>4287</v>
      </c>
      <c r="B2318" s="2141" t="s">
        <v>3054</v>
      </c>
      <c r="C2318" s="2141" t="s">
        <v>3142</v>
      </c>
      <c r="D2318" s="2141">
        <v>286</v>
      </c>
      <c r="E2318" s="2142">
        <v>68.92</v>
      </c>
      <c r="F2318" s="2142">
        <v>17724.45</v>
      </c>
      <c r="G2318" s="2142">
        <v>1221569.094</v>
      </c>
      <c r="H2318" s="2143">
        <v>41914</v>
      </c>
      <c r="I2318" s="2142">
        <v>1221569</v>
      </c>
    </row>
    <row r="2319" spans="1:9" s="2139" customFormat="1" hidden="1">
      <c r="A2319" s="2140" t="s">
        <v>4297</v>
      </c>
      <c r="B2319" s="2141" t="s">
        <v>3054</v>
      </c>
      <c r="C2319" s="2141" t="s">
        <v>3142</v>
      </c>
      <c r="D2319" s="2141">
        <v>299</v>
      </c>
      <c r="E2319" s="2142">
        <v>80.72</v>
      </c>
      <c r="F2319" s="2142">
        <v>16638.16</v>
      </c>
      <c r="G2319" s="2142">
        <v>1343032.2752</v>
      </c>
      <c r="H2319" s="2143">
        <v>41914</v>
      </c>
      <c r="I2319" s="2142">
        <v>1343032</v>
      </c>
    </row>
    <row r="2320" spans="1:9" s="2139" customFormat="1" hidden="1">
      <c r="A2320" s="2140" t="s">
        <v>4305</v>
      </c>
      <c r="B2320" s="2141" t="s">
        <v>3054</v>
      </c>
      <c r="C2320" s="2141" t="s">
        <v>3142</v>
      </c>
      <c r="D2320" s="2141">
        <v>319</v>
      </c>
      <c r="E2320" s="2142">
        <v>46.18</v>
      </c>
      <c r="F2320" s="2142">
        <v>16591.919999999998</v>
      </c>
      <c r="G2320" s="2142">
        <v>766214.8655999999</v>
      </c>
      <c r="H2320" s="2143">
        <v>41914</v>
      </c>
      <c r="I2320" s="2142">
        <v>766215</v>
      </c>
    </row>
    <row r="2321" spans="1:9" s="2139" customFormat="1" hidden="1">
      <c r="A2321" s="2140" t="s">
        <v>4888</v>
      </c>
      <c r="B2321" s="2141" t="s">
        <v>3055</v>
      </c>
      <c r="C2321" s="2141" t="s">
        <v>3142</v>
      </c>
      <c r="D2321" s="3396">
        <v>122</v>
      </c>
      <c r="E2321" s="2142">
        <v>49.23</v>
      </c>
      <c r="F2321" s="2142">
        <v>16198.91</v>
      </c>
      <c r="G2321" s="2142">
        <v>797472.33929999999</v>
      </c>
      <c r="H2321" s="3557">
        <v>41914</v>
      </c>
      <c r="I2321" s="2142">
        <v>797472</v>
      </c>
    </row>
    <row r="2322" spans="1:9" s="2139" customFormat="1" hidden="1">
      <c r="A2322" s="2140" t="s">
        <v>4889</v>
      </c>
      <c r="B2322" s="2141" t="s">
        <v>3055</v>
      </c>
      <c r="C2322" s="2141" t="s">
        <v>3142</v>
      </c>
      <c r="D2322" s="3396">
        <v>123</v>
      </c>
      <c r="E2322" s="2142">
        <v>45.82</v>
      </c>
      <c r="F2322" s="2142">
        <v>16191.38</v>
      </c>
      <c r="G2322" s="2142">
        <v>741889.03159999999</v>
      </c>
      <c r="H2322" s="3557">
        <v>41914</v>
      </c>
      <c r="I2322" s="2142">
        <v>741889</v>
      </c>
    </row>
    <row r="2323" spans="1:9" s="2139" customFormat="1" hidden="1">
      <c r="A2323" s="2140" t="s">
        <v>4932</v>
      </c>
      <c r="B2323" s="2141" t="s">
        <v>3055</v>
      </c>
      <c r="C2323" s="2141" t="s">
        <v>3142</v>
      </c>
      <c r="D2323" s="3396">
        <v>176</v>
      </c>
      <c r="E2323" s="2142">
        <v>33.83</v>
      </c>
      <c r="F2323" s="2142">
        <v>16152.9</v>
      </c>
      <c r="G2323" s="2142">
        <v>546452.60699999996</v>
      </c>
      <c r="H2323" s="3557">
        <v>41914</v>
      </c>
      <c r="I2323" s="2142">
        <v>546453</v>
      </c>
    </row>
    <row r="2324" spans="1:9" s="2139" customFormat="1" hidden="1">
      <c r="A2324" s="2140" t="s">
        <v>4963</v>
      </c>
      <c r="B2324" s="2141" t="s">
        <v>3055</v>
      </c>
      <c r="C2324" s="2141" t="s">
        <v>3142</v>
      </c>
      <c r="D2324" s="3396">
        <v>222</v>
      </c>
      <c r="E2324" s="2142">
        <v>51.87</v>
      </c>
      <c r="F2324" s="2142">
        <v>16404.05</v>
      </c>
      <c r="G2324" s="2142">
        <v>850878.07349999994</v>
      </c>
      <c r="H2324" s="3557">
        <v>41914</v>
      </c>
      <c r="I2324" s="2142">
        <v>850878</v>
      </c>
    </row>
    <row r="2325" spans="1:9" s="2139" customFormat="1" hidden="1">
      <c r="A2325" s="2140" t="s">
        <v>4165</v>
      </c>
      <c r="B2325" s="2141" t="s">
        <v>3054</v>
      </c>
      <c r="C2325" s="2141" t="s">
        <v>3142</v>
      </c>
      <c r="D2325" s="2141">
        <v>143</v>
      </c>
      <c r="E2325" s="2142">
        <v>73.37</v>
      </c>
      <c r="F2325" s="2142">
        <v>17731.97</v>
      </c>
      <c r="G2325" s="2142">
        <v>1300994.6389000001</v>
      </c>
      <c r="H2325" s="2143">
        <v>41913</v>
      </c>
      <c r="I2325" s="2142">
        <v>1300995</v>
      </c>
    </row>
    <row r="2326" spans="1:9" s="2139" customFormat="1" hidden="1">
      <c r="A2326" s="2140" t="s">
        <v>4178</v>
      </c>
      <c r="B2326" s="2141" t="s">
        <v>3054</v>
      </c>
      <c r="C2326" s="2141" t="s">
        <v>3142</v>
      </c>
      <c r="D2326" s="2141">
        <v>162</v>
      </c>
      <c r="E2326" s="2142">
        <v>40.630000000000003</v>
      </c>
      <c r="F2326" s="2142">
        <v>15976.45</v>
      </c>
      <c r="G2326" s="2142">
        <v>649123.16350000002</v>
      </c>
      <c r="H2326" s="2143">
        <v>41913</v>
      </c>
      <c r="I2326" s="2142">
        <v>649123</v>
      </c>
    </row>
    <row r="2327" spans="1:9" s="2139" customFormat="1" hidden="1">
      <c r="A2327" s="2140" t="s">
        <v>4223</v>
      </c>
      <c r="B2327" s="2141" t="s">
        <v>3054</v>
      </c>
      <c r="C2327" s="2141" t="s">
        <v>3142</v>
      </c>
      <c r="D2327" s="2141">
        <v>212</v>
      </c>
      <c r="E2327" s="2142">
        <v>62.09</v>
      </c>
      <c r="F2327" s="2142">
        <v>18019.61</v>
      </c>
      <c r="G2327" s="2142">
        <v>1118837.5849000001</v>
      </c>
      <c r="H2327" s="2143">
        <v>41913</v>
      </c>
      <c r="I2327" s="2142">
        <v>1118838</v>
      </c>
    </row>
    <row r="2328" spans="1:9" s="2139" customFormat="1" hidden="1">
      <c r="A2328" s="2140" t="s">
        <v>4285</v>
      </c>
      <c r="B2328" s="2141" t="s">
        <v>3054</v>
      </c>
      <c r="C2328" s="2141" t="s">
        <v>3142</v>
      </c>
      <c r="D2328" s="2141">
        <v>283</v>
      </c>
      <c r="E2328" s="2142">
        <v>44.67</v>
      </c>
      <c r="F2328" s="2142">
        <v>17689.14</v>
      </c>
      <c r="G2328" s="2142">
        <v>790173.88379999995</v>
      </c>
      <c r="H2328" s="2143">
        <v>41913</v>
      </c>
      <c r="I2328" s="2142">
        <v>790174</v>
      </c>
    </row>
    <row r="2329" spans="1:9" s="2139" customFormat="1" hidden="1">
      <c r="A2329" s="2140" t="s">
        <v>4814</v>
      </c>
      <c r="B2329" s="2141" t="s">
        <v>3055</v>
      </c>
      <c r="C2329" s="2141" t="s">
        <v>3142</v>
      </c>
      <c r="D2329" s="3396">
        <v>28</v>
      </c>
      <c r="E2329" s="2142">
        <v>78.38</v>
      </c>
      <c r="F2329" s="2142">
        <v>18036.5</v>
      </c>
      <c r="G2329" s="2142">
        <v>1413700.8699999999</v>
      </c>
      <c r="H2329" s="3557">
        <v>41913</v>
      </c>
      <c r="I2329" s="2142">
        <v>1413701</v>
      </c>
    </row>
    <row r="2330" spans="1:9" s="2139" customFormat="1" hidden="1">
      <c r="A2330" s="2140" t="s">
        <v>4830</v>
      </c>
      <c r="B2330" s="2141" t="s">
        <v>3055</v>
      </c>
      <c r="C2330" s="2141" t="s">
        <v>3142</v>
      </c>
      <c r="D2330" s="3396">
        <v>47</v>
      </c>
      <c r="E2330" s="2142">
        <v>51.16</v>
      </c>
      <c r="F2330" s="2142">
        <v>16202.72</v>
      </c>
      <c r="G2330" s="2142">
        <v>828931.15519999992</v>
      </c>
      <c r="H2330" s="3557">
        <v>41913</v>
      </c>
      <c r="I2330" s="2142">
        <v>828931</v>
      </c>
    </row>
    <row r="2331" spans="1:9" s="2139" customFormat="1" hidden="1">
      <c r="A2331" s="2140" t="s">
        <v>4837</v>
      </c>
      <c r="B2331" s="2141" t="s">
        <v>3055</v>
      </c>
      <c r="C2331" s="2141" t="s">
        <v>3142</v>
      </c>
      <c r="D2331" s="3396">
        <v>55</v>
      </c>
      <c r="E2331" s="2142">
        <v>37.4</v>
      </c>
      <c r="F2331" s="2142">
        <v>16166.92</v>
      </c>
      <c r="G2331" s="2142">
        <v>604642.80799999996</v>
      </c>
      <c r="H2331" s="3557">
        <v>41913</v>
      </c>
      <c r="I2331" s="2142">
        <v>604643</v>
      </c>
    </row>
    <row r="2332" spans="1:9" s="2139" customFormat="1" hidden="1">
      <c r="A2332" s="2140" t="s">
        <v>4878</v>
      </c>
      <c r="B2332" s="2141" t="s">
        <v>3055</v>
      </c>
      <c r="C2332" s="2141" t="s">
        <v>3142</v>
      </c>
      <c r="D2332" s="3396">
        <v>111</v>
      </c>
      <c r="E2332" s="2142">
        <v>84.01</v>
      </c>
      <c r="F2332" s="2142">
        <v>17440.72</v>
      </c>
      <c r="G2332" s="2142">
        <v>1465194.8872000002</v>
      </c>
      <c r="H2332" s="3557">
        <v>41913</v>
      </c>
      <c r="I2332" s="2142">
        <v>1465195</v>
      </c>
    </row>
    <row r="2333" spans="1:9" s="2139" customFormat="1" hidden="1">
      <c r="A2333" s="2140" t="s">
        <v>4981</v>
      </c>
      <c r="B2333" s="2141" t="s">
        <v>3055</v>
      </c>
      <c r="C2333" s="2141" t="s">
        <v>3142</v>
      </c>
      <c r="D2333" s="3396">
        <v>245</v>
      </c>
      <c r="E2333" s="2142">
        <v>79.540000000000006</v>
      </c>
      <c r="F2333" s="2142">
        <v>18200</v>
      </c>
      <c r="G2333" s="2142">
        <v>1447628</v>
      </c>
      <c r="H2333" s="3557">
        <v>41913</v>
      </c>
      <c r="I2333" s="2142">
        <v>1447628</v>
      </c>
    </row>
    <row r="2334" spans="1:9" s="2139" customFormat="1" hidden="1">
      <c r="A2334" s="2140" t="s">
        <v>4200</v>
      </c>
      <c r="B2334" s="2141" t="s">
        <v>3054</v>
      </c>
      <c r="C2334" s="2141" t="s">
        <v>3142</v>
      </c>
      <c r="D2334" s="2141">
        <v>187</v>
      </c>
      <c r="E2334" s="2142">
        <v>50.04</v>
      </c>
      <c r="F2334" s="2142">
        <v>15800.26</v>
      </c>
      <c r="G2334" s="2142">
        <v>790645.01040000003</v>
      </c>
      <c r="H2334" s="2143">
        <v>41912</v>
      </c>
      <c r="I2334" s="2142">
        <v>790645</v>
      </c>
    </row>
    <row r="2335" spans="1:9" s="2139" customFormat="1" hidden="1">
      <c r="A2335" s="2140" t="s">
        <v>4203</v>
      </c>
      <c r="B2335" s="2141" t="s">
        <v>3054</v>
      </c>
      <c r="C2335" s="2141" t="s">
        <v>3142</v>
      </c>
      <c r="D2335" s="2141">
        <v>190</v>
      </c>
      <c r="E2335" s="2142">
        <v>50.02</v>
      </c>
      <c r="F2335" s="2142">
        <v>15800.22</v>
      </c>
      <c r="G2335" s="2142">
        <v>790327.00439999998</v>
      </c>
      <c r="H2335" s="2143">
        <v>41912</v>
      </c>
      <c r="I2335" s="2142">
        <v>790327</v>
      </c>
    </row>
    <row r="2336" spans="1:9" s="2139" customFormat="1" hidden="1">
      <c r="A2336" s="2140" t="s">
        <v>4204</v>
      </c>
      <c r="B2336" s="2141" t="s">
        <v>3054</v>
      </c>
      <c r="C2336" s="2141" t="s">
        <v>3142</v>
      </c>
      <c r="D2336" s="2141">
        <v>191</v>
      </c>
      <c r="E2336" s="2142">
        <v>49.97</v>
      </c>
      <c r="F2336" s="2142">
        <v>15800.12</v>
      </c>
      <c r="G2336" s="2142">
        <v>789531.99640000006</v>
      </c>
      <c r="H2336" s="2143">
        <v>41912</v>
      </c>
      <c r="I2336" s="2142">
        <v>789532</v>
      </c>
    </row>
    <row r="2337" spans="1:9" s="2139" customFormat="1" hidden="1">
      <c r="A2337" s="2140" t="s">
        <v>4206</v>
      </c>
      <c r="B2337" s="2141" t="s">
        <v>3054</v>
      </c>
      <c r="C2337" s="2141" t="s">
        <v>3142</v>
      </c>
      <c r="D2337" s="2141">
        <v>193</v>
      </c>
      <c r="E2337" s="2142">
        <v>50.01</v>
      </c>
      <c r="F2337" s="2142">
        <v>15800.2</v>
      </c>
      <c r="G2337" s="2142">
        <v>790168.00199999998</v>
      </c>
      <c r="H2337" s="2143">
        <v>41912</v>
      </c>
      <c r="I2337" s="2142">
        <v>790168</v>
      </c>
    </row>
    <row r="2338" spans="1:9" s="2139" customFormat="1" hidden="1">
      <c r="A2338" s="2140" t="s">
        <v>4211</v>
      </c>
      <c r="B2338" s="2141" t="s">
        <v>3054</v>
      </c>
      <c r="C2338" s="2141" t="s">
        <v>3142</v>
      </c>
      <c r="D2338" s="2141">
        <v>199</v>
      </c>
      <c r="E2338" s="2142">
        <v>74.489999999999995</v>
      </c>
      <c r="F2338" s="2142">
        <v>18032.990000000002</v>
      </c>
      <c r="G2338" s="2142">
        <v>1343277.4251000001</v>
      </c>
      <c r="H2338" s="2143">
        <v>41912</v>
      </c>
      <c r="I2338" s="2142">
        <v>1343277</v>
      </c>
    </row>
    <row r="2339" spans="1:9" s="2139" customFormat="1" hidden="1">
      <c r="A2339" s="2140" t="s">
        <v>4229</v>
      </c>
      <c r="B2339" s="2141" t="s">
        <v>3054</v>
      </c>
      <c r="C2339" s="2141" t="s">
        <v>3142</v>
      </c>
      <c r="D2339" s="2141">
        <v>219</v>
      </c>
      <c r="E2339" s="2142">
        <v>58.4</v>
      </c>
      <c r="F2339" s="2142">
        <v>18014.54</v>
      </c>
      <c r="G2339" s="2142">
        <v>1052049.1359999999</v>
      </c>
      <c r="H2339" s="2143">
        <v>41912</v>
      </c>
      <c r="I2339" s="2142">
        <v>1052049</v>
      </c>
    </row>
    <row r="2340" spans="1:9" s="2139" customFormat="1" hidden="1">
      <c r="A2340" s="2140" t="s">
        <v>4235</v>
      </c>
      <c r="B2340" s="2141" t="s">
        <v>3054</v>
      </c>
      <c r="C2340" s="2141" t="s">
        <v>3142</v>
      </c>
      <c r="D2340" s="2141">
        <v>226</v>
      </c>
      <c r="E2340" s="2142">
        <v>74.09</v>
      </c>
      <c r="F2340" s="2142">
        <v>18032.63</v>
      </c>
      <c r="G2340" s="2142">
        <v>1336037.5567000001</v>
      </c>
      <c r="H2340" s="2143">
        <v>41912</v>
      </c>
      <c r="I2340" s="2142">
        <v>1336038</v>
      </c>
    </row>
    <row r="2341" spans="1:9" s="2139" customFormat="1" hidden="1">
      <c r="A2341" s="2140" t="s">
        <v>4241</v>
      </c>
      <c r="B2341" s="2141" t="s">
        <v>3054</v>
      </c>
      <c r="C2341" s="2141" t="s">
        <v>3142</v>
      </c>
      <c r="D2341" s="2141">
        <v>232</v>
      </c>
      <c r="E2341" s="2142">
        <v>47.6</v>
      </c>
      <c r="F2341" s="2142">
        <v>15321.3</v>
      </c>
      <c r="G2341" s="2142">
        <v>729293.88</v>
      </c>
      <c r="H2341" s="2143">
        <v>41912</v>
      </c>
      <c r="I2341" s="2142">
        <v>729294</v>
      </c>
    </row>
    <row r="2342" spans="1:9" s="2139" customFormat="1" hidden="1">
      <c r="A2342" s="2140" t="s">
        <v>4246</v>
      </c>
      <c r="B2342" s="2141" t="s">
        <v>3054</v>
      </c>
      <c r="C2342" s="2141" t="s">
        <v>3142</v>
      </c>
      <c r="D2342" s="2141">
        <v>238</v>
      </c>
      <c r="E2342" s="2142">
        <v>84.55</v>
      </c>
      <c r="F2342" s="2142">
        <v>16640.97</v>
      </c>
      <c r="G2342" s="2142">
        <v>1406994.0135000001</v>
      </c>
      <c r="H2342" s="2143">
        <v>41912</v>
      </c>
      <c r="I2342" s="2142">
        <v>1406994</v>
      </c>
    </row>
    <row r="2343" spans="1:9" s="2139" customFormat="1" hidden="1">
      <c r="A2343" s="2140" t="s">
        <v>4269</v>
      </c>
      <c r="B2343" s="2141" t="s">
        <v>3054</v>
      </c>
      <c r="C2343" s="2141" t="s">
        <v>3142</v>
      </c>
      <c r="D2343" s="2141">
        <v>265</v>
      </c>
      <c r="E2343" s="2142">
        <v>68.95</v>
      </c>
      <c r="F2343" s="2142">
        <v>16227.61</v>
      </c>
      <c r="G2343" s="2142">
        <v>1118893.7095000001</v>
      </c>
      <c r="H2343" s="2143">
        <v>41912</v>
      </c>
      <c r="I2343" s="2142">
        <v>1118894</v>
      </c>
    </row>
    <row r="2344" spans="1:9" s="2139" customFormat="1" hidden="1">
      <c r="A2344" s="2140" t="s">
        <v>4799</v>
      </c>
      <c r="B2344" s="2141" t="s">
        <v>3055</v>
      </c>
      <c r="C2344" s="2141" t="s">
        <v>3142</v>
      </c>
      <c r="D2344" s="3396">
        <v>11</v>
      </c>
      <c r="E2344" s="2142">
        <v>68.97</v>
      </c>
      <c r="F2344" s="2142">
        <v>18227.830000000002</v>
      </c>
      <c r="G2344" s="2142">
        <v>1257173.4351000001</v>
      </c>
      <c r="H2344" s="3557">
        <v>41912</v>
      </c>
      <c r="I2344" s="2142">
        <v>1257173</v>
      </c>
    </row>
    <row r="2345" spans="1:9" s="2139" customFormat="1" hidden="1">
      <c r="A2345" s="2140" t="s">
        <v>4807</v>
      </c>
      <c r="B2345" s="2141" t="s">
        <v>3055</v>
      </c>
      <c r="C2345" s="2141" t="s">
        <v>3142</v>
      </c>
      <c r="D2345" s="3396">
        <v>20</v>
      </c>
      <c r="E2345" s="2142">
        <v>84.33</v>
      </c>
      <c r="F2345" s="2142">
        <v>18440.98</v>
      </c>
      <c r="G2345" s="2142">
        <v>1555127.8433999999</v>
      </c>
      <c r="H2345" s="3557">
        <v>41912</v>
      </c>
      <c r="I2345" s="2142">
        <v>1555128</v>
      </c>
    </row>
    <row r="2346" spans="1:9" s="2139" customFormat="1" hidden="1">
      <c r="A2346" s="2140" t="s">
        <v>4853</v>
      </c>
      <c r="B2346" s="2141" t="s">
        <v>3055</v>
      </c>
      <c r="C2346" s="2141" t="s">
        <v>3142</v>
      </c>
      <c r="D2346" s="3396">
        <v>75</v>
      </c>
      <c r="E2346" s="2142">
        <v>43.94</v>
      </c>
      <c r="F2346" s="2142">
        <v>16186.72</v>
      </c>
      <c r="G2346" s="2142">
        <v>711244.47679999995</v>
      </c>
      <c r="H2346" s="3557">
        <v>41912</v>
      </c>
      <c r="I2346" s="2142">
        <v>711244</v>
      </c>
    </row>
    <row r="2347" spans="1:9" s="2139" customFormat="1" hidden="1">
      <c r="A2347" s="2140" t="s">
        <v>4924</v>
      </c>
      <c r="B2347" s="2141" t="s">
        <v>3055</v>
      </c>
      <c r="C2347" s="2141" t="s">
        <v>3142</v>
      </c>
      <c r="D2347" s="3396">
        <v>163</v>
      </c>
      <c r="E2347" s="2142">
        <v>67.31</v>
      </c>
      <c r="F2347" s="2142">
        <v>18726.060000000001</v>
      </c>
      <c r="G2347" s="2142">
        <v>1260451.0986000001</v>
      </c>
      <c r="H2347" s="3557">
        <v>41912</v>
      </c>
      <c r="I2347" s="2142">
        <v>1260451</v>
      </c>
    </row>
    <row r="2348" spans="1:9" s="2139" customFormat="1" hidden="1">
      <c r="A2348" s="2140" t="s">
        <v>4961</v>
      </c>
      <c r="B2348" s="2141" t="s">
        <v>3055</v>
      </c>
      <c r="C2348" s="2141" t="s">
        <v>3142</v>
      </c>
      <c r="D2348" s="3396">
        <v>220</v>
      </c>
      <c r="E2348" s="2142">
        <v>42.79</v>
      </c>
      <c r="F2348" s="2142">
        <v>16182.1</v>
      </c>
      <c r="G2348" s="2142">
        <v>692432.05900000001</v>
      </c>
      <c r="H2348" s="3557">
        <v>41912</v>
      </c>
      <c r="I2348" s="2142">
        <v>692432</v>
      </c>
    </row>
    <row r="2349" spans="1:9" s="2139" customFormat="1" hidden="1">
      <c r="A2349" s="2140" t="s">
        <v>4990</v>
      </c>
      <c r="B2349" s="2141" t="s">
        <v>3055</v>
      </c>
      <c r="C2349" s="2141" t="s">
        <v>3142</v>
      </c>
      <c r="D2349" s="3396">
        <v>255</v>
      </c>
      <c r="E2349" s="2142">
        <v>44.19</v>
      </c>
      <c r="F2349" s="2142">
        <v>16887.36</v>
      </c>
      <c r="G2349" s="2142">
        <v>746252.43839999998</v>
      </c>
      <c r="H2349" s="3557">
        <v>41912</v>
      </c>
      <c r="I2349" s="2142">
        <v>746252</v>
      </c>
    </row>
    <row r="2350" spans="1:9" s="2139" customFormat="1" hidden="1">
      <c r="A2350" s="2140" t="s">
        <v>4075</v>
      </c>
      <c r="B2350" s="2141" t="s">
        <v>3054</v>
      </c>
      <c r="C2350" s="2141" t="s">
        <v>3142</v>
      </c>
      <c r="D2350" s="2141">
        <v>13</v>
      </c>
      <c r="E2350" s="2142">
        <v>69.48</v>
      </c>
      <c r="F2350" s="2142">
        <v>17228.16</v>
      </c>
      <c r="G2350" s="2142">
        <v>1197012.5568000001</v>
      </c>
      <c r="H2350" s="2143">
        <v>41911</v>
      </c>
      <c r="I2350" s="2142">
        <v>1197013</v>
      </c>
    </row>
    <row r="2351" spans="1:9" s="2139" customFormat="1" hidden="1">
      <c r="A2351" s="2140" t="s">
        <v>4164</v>
      </c>
      <c r="B2351" s="2141" t="s">
        <v>3054</v>
      </c>
      <c r="C2351" s="2141" t="s">
        <v>3142</v>
      </c>
      <c r="D2351" s="2141">
        <v>142</v>
      </c>
      <c r="E2351" s="2142">
        <v>69.569999999999993</v>
      </c>
      <c r="F2351" s="2142">
        <v>17728.25</v>
      </c>
      <c r="G2351" s="2142">
        <v>1233354.3524999998</v>
      </c>
      <c r="H2351" s="2143">
        <v>41911</v>
      </c>
      <c r="I2351" s="2142">
        <v>1233354</v>
      </c>
    </row>
    <row r="2352" spans="1:9" s="2139" customFormat="1" hidden="1">
      <c r="A2352" s="2140" t="s">
        <v>4191</v>
      </c>
      <c r="B2352" s="2141" t="s">
        <v>3054</v>
      </c>
      <c r="C2352" s="2141" t="s">
        <v>3142</v>
      </c>
      <c r="D2352" s="2141">
        <v>177</v>
      </c>
      <c r="E2352" s="2142">
        <v>53.21</v>
      </c>
      <c r="F2352" s="2142">
        <v>16606.189999999999</v>
      </c>
      <c r="G2352" s="2142">
        <v>883615.36989999993</v>
      </c>
      <c r="H2352" s="2143">
        <v>41911</v>
      </c>
      <c r="I2352" s="2142">
        <v>883615</v>
      </c>
    </row>
    <row r="2353" spans="1:9" s="2139" customFormat="1" hidden="1">
      <c r="A2353" s="2140" t="s">
        <v>4210</v>
      </c>
      <c r="B2353" s="2141" t="s">
        <v>3054</v>
      </c>
      <c r="C2353" s="2141" t="s">
        <v>3142</v>
      </c>
      <c r="D2353" s="2141">
        <v>198</v>
      </c>
      <c r="E2353" s="2142">
        <v>74.53</v>
      </c>
      <c r="F2353" s="2142">
        <v>18033.03</v>
      </c>
      <c r="G2353" s="2142">
        <v>1344001.7259</v>
      </c>
      <c r="H2353" s="2143">
        <v>41911</v>
      </c>
      <c r="I2353" s="2142">
        <v>1344002</v>
      </c>
    </row>
    <row r="2354" spans="1:9" s="2139" customFormat="1" hidden="1">
      <c r="A2354" s="2140" t="s">
        <v>4250</v>
      </c>
      <c r="B2354" s="2141" t="s">
        <v>3054</v>
      </c>
      <c r="C2354" s="2141" t="s">
        <v>3142</v>
      </c>
      <c r="D2354" s="2141">
        <v>242</v>
      </c>
      <c r="E2354" s="2142">
        <v>45.85</v>
      </c>
      <c r="F2354" s="2142">
        <v>16591.14</v>
      </c>
      <c r="G2354" s="2142">
        <v>760703.76899999997</v>
      </c>
      <c r="H2354" s="2143">
        <v>41911</v>
      </c>
      <c r="I2354" s="2142">
        <v>760704</v>
      </c>
    </row>
    <row r="2355" spans="1:9" s="2139" customFormat="1" hidden="1">
      <c r="A2355" s="2140" t="s">
        <v>4274</v>
      </c>
      <c r="B2355" s="2141" t="s">
        <v>3054</v>
      </c>
      <c r="C2355" s="2141" t="s">
        <v>3142</v>
      </c>
      <c r="D2355" s="2141">
        <v>270</v>
      </c>
      <c r="E2355" s="2142">
        <v>45.82</v>
      </c>
      <c r="F2355" s="2142">
        <v>16191.07</v>
      </c>
      <c r="G2355" s="2142">
        <v>741874.82739999995</v>
      </c>
      <c r="H2355" s="2143">
        <v>41911</v>
      </c>
      <c r="I2355" s="2142">
        <v>741875</v>
      </c>
    </row>
    <row r="2356" spans="1:9" s="2139" customFormat="1" hidden="1">
      <c r="A2356" s="2140" t="s">
        <v>4304</v>
      </c>
      <c r="B2356" s="2141" t="s">
        <v>3054</v>
      </c>
      <c r="C2356" s="2141" t="s">
        <v>3142</v>
      </c>
      <c r="D2356" s="2141">
        <v>318</v>
      </c>
      <c r="E2356" s="2142">
        <v>41.65</v>
      </c>
      <c r="F2356" s="2142">
        <v>16198.99</v>
      </c>
      <c r="G2356" s="2142">
        <v>674687.93349999993</v>
      </c>
      <c r="H2356" s="2143">
        <v>41911</v>
      </c>
      <c r="I2356" s="2142">
        <v>674688</v>
      </c>
    </row>
    <row r="2357" spans="1:9" s="2139" customFormat="1" hidden="1">
      <c r="A2357" s="2140" t="s">
        <v>4820</v>
      </c>
      <c r="B2357" s="2141" t="s">
        <v>3055</v>
      </c>
      <c r="C2357" s="2141" t="s">
        <v>3142</v>
      </c>
      <c r="D2357" s="3396">
        <v>35</v>
      </c>
      <c r="E2357" s="2142">
        <v>93.03</v>
      </c>
      <c r="F2357" s="2142">
        <v>18046.5</v>
      </c>
      <c r="G2357" s="2142">
        <v>1678865.895</v>
      </c>
      <c r="H2357" s="3557">
        <v>41911</v>
      </c>
      <c r="I2357" s="2142">
        <v>1678866</v>
      </c>
    </row>
    <row r="2358" spans="1:9" s="2139" customFormat="1" hidden="1">
      <c r="A2358" s="2140" t="s">
        <v>4885</v>
      </c>
      <c r="B2358" s="2141" t="s">
        <v>3055</v>
      </c>
      <c r="C2358" s="2141" t="s">
        <v>3142</v>
      </c>
      <c r="D2358" s="3396">
        <v>119</v>
      </c>
      <c r="E2358" s="2142">
        <v>44.63</v>
      </c>
      <c r="F2358" s="2142">
        <v>16300</v>
      </c>
      <c r="G2358" s="2142">
        <v>727469</v>
      </c>
      <c r="H2358" s="3557">
        <v>41911</v>
      </c>
      <c r="I2358" s="2142">
        <v>727469</v>
      </c>
    </row>
    <row r="2359" spans="1:9" s="2139" customFormat="1" hidden="1">
      <c r="A2359" s="2140" t="s">
        <v>4909</v>
      </c>
      <c r="B2359" s="2141" t="s">
        <v>3055</v>
      </c>
      <c r="C2359" s="2141" t="s">
        <v>3142</v>
      </c>
      <c r="D2359" s="3396">
        <v>147</v>
      </c>
      <c r="E2359" s="2142">
        <v>84.32</v>
      </c>
      <c r="F2359" s="2142">
        <v>18300</v>
      </c>
      <c r="G2359" s="2142">
        <v>1543055.9999999998</v>
      </c>
      <c r="H2359" s="3557">
        <v>41911</v>
      </c>
      <c r="I2359" s="2142">
        <v>1543056</v>
      </c>
    </row>
    <row r="2360" spans="1:9" s="2139" customFormat="1" hidden="1">
      <c r="A2360" s="2140" t="s">
        <v>4941</v>
      </c>
      <c r="B2360" s="2141" t="s">
        <v>3055</v>
      </c>
      <c r="C2360" s="2141" t="s">
        <v>3142</v>
      </c>
      <c r="D2360" s="3396">
        <v>190</v>
      </c>
      <c r="E2360" s="2142">
        <v>56.34</v>
      </c>
      <c r="F2360" s="2142">
        <v>16911.66</v>
      </c>
      <c r="G2360" s="2142">
        <v>952802.92440000002</v>
      </c>
      <c r="H2360" s="3557">
        <v>41911</v>
      </c>
      <c r="I2360" s="2142">
        <v>952803</v>
      </c>
    </row>
    <row r="2361" spans="1:9" s="2139" customFormat="1" hidden="1">
      <c r="A2361" s="2140" t="s">
        <v>4168</v>
      </c>
      <c r="B2361" s="2141" t="s">
        <v>3054</v>
      </c>
      <c r="C2361" s="2141" t="s">
        <v>3142</v>
      </c>
      <c r="D2361" s="2141">
        <v>147</v>
      </c>
      <c r="E2361" s="2142">
        <v>76.22</v>
      </c>
      <c r="F2361" s="2142">
        <v>18434.52</v>
      </c>
      <c r="G2361" s="2142">
        <v>1405079.1144000001</v>
      </c>
      <c r="H2361" s="2143">
        <v>41910</v>
      </c>
      <c r="I2361" s="2142">
        <v>1405079</v>
      </c>
    </row>
    <row r="2362" spans="1:9" s="2139" customFormat="1" hidden="1">
      <c r="A2362" s="2140" t="s">
        <v>4192</v>
      </c>
      <c r="B2362" s="2141" t="s">
        <v>3054</v>
      </c>
      <c r="C2362" s="2141" t="s">
        <v>3142</v>
      </c>
      <c r="D2362" s="2141">
        <v>178</v>
      </c>
      <c r="E2362" s="2142">
        <v>50.82</v>
      </c>
      <c r="F2362" s="2142">
        <v>15801.79</v>
      </c>
      <c r="G2362" s="2142">
        <v>803046.9678000001</v>
      </c>
      <c r="H2362" s="2143">
        <v>41910</v>
      </c>
      <c r="I2362" s="2142">
        <v>803047</v>
      </c>
    </row>
    <row r="2363" spans="1:9" s="2139" customFormat="1" hidden="1">
      <c r="A2363" s="2140" t="s">
        <v>4267</v>
      </c>
      <c r="B2363" s="2141" t="s">
        <v>3054</v>
      </c>
      <c r="C2363" s="2141" t="s">
        <v>3142</v>
      </c>
      <c r="D2363" s="2141">
        <v>262</v>
      </c>
      <c r="E2363" s="2142">
        <v>64.33</v>
      </c>
      <c r="F2363" s="2142">
        <v>17722.41</v>
      </c>
      <c r="G2363" s="2142">
        <v>1140082.6353</v>
      </c>
      <c r="H2363" s="2143">
        <v>41910</v>
      </c>
      <c r="I2363" s="2142">
        <v>1140083</v>
      </c>
    </row>
    <row r="2364" spans="1:9" s="2139" customFormat="1" hidden="1">
      <c r="A2364" s="2140" t="s">
        <v>4283</v>
      </c>
      <c r="B2364" s="2141" t="s">
        <v>3054</v>
      </c>
      <c r="C2364" s="2141" t="s">
        <v>3142</v>
      </c>
      <c r="D2364" s="2141">
        <v>281</v>
      </c>
      <c r="E2364" s="2142">
        <v>49.3</v>
      </c>
      <c r="F2364" s="2142">
        <v>18398.759999999998</v>
      </c>
      <c r="G2364" s="2142">
        <v>907058.8679999999</v>
      </c>
      <c r="H2364" s="2143">
        <v>41910</v>
      </c>
      <c r="I2364" s="2142">
        <v>907059</v>
      </c>
    </row>
    <row r="2365" spans="1:9" s="2139" customFormat="1" hidden="1">
      <c r="A2365" s="2140" t="s">
        <v>4925</v>
      </c>
      <c r="B2365" s="2141" t="s">
        <v>3055</v>
      </c>
      <c r="C2365" s="2141" t="s">
        <v>3142</v>
      </c>
      <c r="D2365" s="3396">
        <v>165</v>
      </c>
      <c r="E2365" s="2142">
        <v>54.26</v>
      </c>
      <c r="F2365" s="2142">
        <v>16408.27</v>
      </c>
      <c r="G2365" s="2142">
        <v>890312.73019999999</v>
      </c>
      <c r="H2365" s="3557">
        <v>41910</v>
      </c>
      <c r="I2365" s="2142">
        <v>890313</v>
      </c>
    </row>
    <row r="2366" spans="1:9" s="2139" customFormat="1" hidden="1">
      <c r="A2366" s="2140" t="s">
        <v>4939</v>
      </c>
      <c r="B2366" s="2141" t="s">
        <v>3055</v>
      </c>
      <c r="C2366" s="2141" t="s">
        <v>3142</v>
      </c>
      <c r="D2366" s="3396">
        <v>188</v>
      </c>
      <c r="E2366" s="2142">
        <v>116.91</v>
      </c>
      <c r="F2366" s="2142">
        <v>18457.43</v>
      </c>
      <c r="G2366" s="2142">
        <v>2157858.1412999998</v>
      </c>
      <c r="H2366" s="3557">
        <v>41910</v>
      </c>
      <c r="I2366" s="2142">
        <v>2157858</v>
      </c>
    </row>
    <row r="2367" spans="1:9" s="2139" customFormat="1" hidden="1">
      <c r="A2367" s="2140" t="s">
        <v>4119</v>
      </c>
      <c r="B2367" s="2141" t="s">
        <v>3054</v>
      </c>
      <c r="C2367" s="2141" t="s">
        <v>3142</v>
      </c>
      <c r="D2367" s="2141">
        <v>80</v>
      </c>
      <c r="E2367" s="2142">
        <v>45.73</v>
      </c>
      <c r="F2367" s="2142">
        <v>15991.09</v>
      </c>
      <c r="G2367" s="2142">
        <v>731272.5456999999</v>
      </c>
      <c r="H2367" s="2143">
        <v>41909</v>
      </c>
      <c r="I2367" s="2142">
        <v>731273</v>
      </c>
    </row>
    <row r="2368" spans="1:9" s="2139" customFormat="1" hidden="1">
      <c r="A2368" s="2140" t="s">
        <v>4127</v>
      </c>
      <c r="B2368" s="2141" t="s">
        <v>3054</v>
      </c>
      <c r="C2368" s="2141" t="s">
        <v>3142</v>
      </c>
      <c r="D2368" s="2141">
        <v>98</v>
      </c>
      <c r="E2368" s="2142">
        <v>21.75</v>
      </c>
      <c r="F2368" s="2142">
        <v>15870.01</v>
      </c>
      <c r="G2368" s="2142">
        <v>345172.71750000003</v>
      </c>
      <c r="H2368" s="2143">
        <v>41909</v>
      </c>
      <c r="I2368" s="2142">
        <v>345173</v>
      </c>
    </row>
    <row r="2369" spans="1:9" s="2139" customFormat="1" hidden="1">
      <c r="A2369" s="2140" t="s">
        <v>4131</v>
      </c>
      <c r="B2369" s="2141" t="s">
        <v>3054</v>
      </c>
      <c r="C2369" s="2141" t="s">
        <v>3142</v>
      </c>
      <c r="D2369" s="2141">
        <v>103</v>
      </c>
      <c r="E2369" s="2142">
        <v>30.91</v>
      </c>
      <c r="F2369" s="2142">
        <v>15138.5</v>
      </c>
      <c r="G2369" s="2142">
        <v>467931.03499999997</v>
      </c>
      <c r="H2369" s="2143">
        <v>41909</v>
      </c>
      <c r="I2369" s="2142">
        <v>467931</v>
      </c>
    </row>
    <row r="2370" spans="1:9" s="2139" customFormat="1" hidden="1">
      <c r="A2370" s="2140" t="s">
        <v>4139</v>
      </c>
      <c r="B2370" s="2141" t="s">
        <v>3054</v>
      </c>
      <c r="C2370" s="2141" t="s">
        <v>3142</v>
      </c>
      <c r="D2370" s="2141">
        <v>115</v>
      </c>
      <c r="E2370" s="2142">
        <v>53.43</v>
      </c>
      <c r="F2370" s="2142">
        <v>15206.58</v>
      </c>
      <c r="G2370" s="2142">
        <v>812487.56940000004</v>
      </c>
      <c r="H2370" s="2143">
        <v>41909</v>
      </c>
      <c r="I2370" s="2142">
        <v>812488</v>
      </c>
    </row>
    <row r="2371" spans="1:9" s="2139" customFormat="1" hidden="1">
      <c r="A2371" s="2140" t="s">
        <v>4294</v>
      </c>
      <c r="B2371" s="2141" t="s">
        <v>3054</v>
      </c>
      <c r="C2371" s="2141" t="s">
        <v>3142</v>
      </c>
      <c r="D2371" s="2141">
        <v>296</v>
      </c>
      <c r="E2371" s="2142">
        <v>40.97</v>
      </c>
      <c r="F2371" s="2142">
        <v>15300</v>
      </c>
      <c r="G2371" s="2142">
        <v>626841</v>
      </c>
      <c r="H2371" s="2143">
        <v>41909</v>
      </c>
      <c r="I2371" s="2142">
        <v>626841</v>
      </c>
    </row>
    <row r="2372" spans="1:9" s="2139" customFormat="1" hidden="1">
      <c r="A2372" s="2140" t="s">
        <v>4802</v>
      </c>
      <c r="B2372" s="2141" t="s">
        <v>3055</v>
      </c>
      <c r="C2372" s="2141" t="s">
        <v>3142</v>
      </c>
      <c r="D2372" s="3396">
        <v>15</v>
      </c>
      <c r="E2372" s="2142">
        <v>41.46</v>
      </c>
      <c r="F2372" s="2142">
        <v>16179.95</v>
      </c>
      <c r="G2372" s="2142">
        <v>670820.72700000007</v>
      </c>
      <c r="H2372" s="3557">
        <v>41909</v>
      </c>
      <c r="I2372" s="2142">
        <v>670821</v>
      </c>
    </row>
    <row r="2373" spans="1:9" s="2139" customFormat="1" hidden="1">
      <c r="A2373" s="2140" t="s">
        <v>4882</v>
      </c>
      <c r="B2373" s="2141" t="s">
        <v>3055</v>
      </c>
      <c r="C2373" s="2141" t="s">
        <v>3142</v>
      </c>
      <c r="D2373" s="3396">
        <v>116</v>
      </c>
      <c r="E2373" s="2142">
        <v>47.23</v>
      </c>
      <c r="F2373" s="2142">
        <v>16300</v>
      </c>
      <c r="G2373" s="2142">
        <v>769849</v>
      </c>
      <c r="H2373" s="3557">
        <v>41909</v>
      </c>
      <c r="I2373" s="2142">
        <v>769849</v>
      </c>
    </row>
    <row r="2374" spans="1:9" s="2139" customFormat="1" hidden="1">
      <c r="A2374" s="2140" t="s">
        <v>4887</v>
      </c>
      <c r="B2374" s="2141" t="s">
        <v>3055</v>
      </c>
      <c r="C2374" s="2141" t="s">
        <v>3142</v>
      </c>
      <c r="D2374" s="3396">
        <v>121</v>
      </c>
      <c r="E2374" s="2142">
        <v>49.54</v>
      </c>
      <c r="F2374" s="2142">
        <v>16399.54</v>
      </c>
      <c r="G2374" s="2142">
        <v>812433.21160000004</v>
      </c>
      <c r="H2374" s="3557">
        <v>41909</v>
      </c>
      <c r="I2374" s="2142">
        <v>812433</v>
      </c>
    </row>
    <row r="2375" spans="1:9" s="2139" customFormat="1" hidden="1">
      <c r="A2375" s="2140" t="s">
        <v>4965</v>
      </c>
      <c r="B2375" s="2141" t="s">
        <v>3055</v>
      </c>
      <c r="C2375" s="2141" t="s">
        <v>3142</v>
      </c>
      <c r="D2375" s="3396">
        <v>225</v>
      </c>
      <c r="E2375" s="2142">
        <v>47.23</v>
      </c>
      <c r="F2375" s="2142">
        <v>16194.6</v>
      </c>
      <c r="G2375" s="2142">
        <v>764870.95799999998</v>
      </c>
      <c r="H2375" s="3557">
        <v>41909</v>
      </c>
      <c r="I2375" s="2142">
        <v>764871</v>
      </c>
    </row>
    <row r="2376" spans="1:9" s="2139" customFormat="1" hidden="1">
      <c r="A2376" s="2140" t="s">
        <v>4984</v>
      </c>
      <c r="B2376" s="2141" t="s">
        <v>3055</v>
      </c>
      <c r="C2376" s="2141" t="s">
        <v>3142</v>
      </c>
      <c r="D2376" s="3396">
        <v>248</v>
      </c>
      <c r="E2376" s="2142">
        <v>41.48</v>
      </c>
      <c r="F2376" s="2142">
        <v>16300</v>
      </c>
      <c r="G2376" s="2142">
        <v>676124</v>
      </c>
      <c r="H2376" s="3557">
        <v>41909</v>
      </c>
      <c r="I2376" s="2142">
        <v>676124</v>
      </c>
    </row>
    <row r="2377" spans="1:9" s="2139" customFormat="1" hidden="1">
      <c r="A2377" s="2140" t="s">
        <v>4989</v>
      </c>
      <c r="B2377" s="2141" t="s">
        <v>3055</v>
      </c>
      <c r="C2377" s="2141" t="s">
        <v>3142</v>
      </c>
      <c r="D2377" s="3396">
        <v>253</v>
      </c>
      <c r="E2377" s="2142">
        <v>39.9</v>
      </c>
      <c r="F2377" s="2142">
        <v>17000</v>
      </c>
      <c r="G2377" s="2142">
        <v>678300</v>
      </c>
      <c r="H2377" s="3557">
        <v>41909</v>
      </c>
      <c r="I2377" s="2142">
        <v>678300</v>
      </c>
    </row>
    <row r="2378" spans="1:9" s="2139" customFormat="1" hidden="1">
      <c r="A2378" s="2140" t="s">
        <v>4081</v>
      </c>
      <c r="B2378" s="2141" t="s">
        <v>3054</v>
      </c>
      <c r="C2378" s="2141" t="s">
        <v>3142</v>
      </c>
      <c r="D2378" s="2141">
        <v>22</v>
      </c>
      <c r="E2378" s="2142">
        <v>45.89</v>
      </c>
      <c r="F2378" s="2142">
        <v>15791.23</v>
      </c>
      <c r="G2378" s="2142">
        <v>724659.54469999997</v>
      </c>
      <c r="H2378" s="2143">
        <v>41908</v>
      </c>
      <c r="I2378" s="2142">
        <v>724660</v>
      </c>
    </row>
    <row r="2379" spans="1:9" s="2139" customFormat="1" hidden="1">
      <c r="A2379" s="2140" t="s">
        <v>4114</v>
      </c>
      <c r="B2379" s="2141" t="s">
        <v>3054</v>
      </c>
      <c r="C2379" s="2141" t="s">
        <v>3142</v>
      </c>
      <c r="D2379" s="2141">
        <v>75</v>
      </c>
      <c r="E2379" s="2142">
        <v>45.44</v>
      </c>
      <c r="F2379" s="2142">
        <v>15190.16</v>
      </c>
      <c r="G2379" s="2142">
        <v>690240.87040000001</v>
      </c>
      <c r="H2379" s="2143">
        <v>41908</v>
      </c>
      <c r="I2379" s="2142">
        <v>690241</v>
      </c>
    </row>
    <row r="2380" spans="1:9" s="2139" customFormat="1" hidden="1">
      <c r="A2380" s="2140" t="s">
        <v>4141</v>
      </c>
      <c r="B2380" s="2141" t="s">
        <v>3054</v>
      </c>
      <c r="C2380" s="2141" t="s">
        <v>3142</v>
      </c>
      <c r="D2380" s="2141">
        <v>117</v>
      </c>
      <c r="E2380" s="2142">
        <v>56.89</v>
      </c>
      <c r="F2380" s="2142">
        <v>18406.310000000001</v>
      </c>
      <c r="G2380" s="2142">
        <v>1047134.9759000001</v>
      </c>
      <c r="H2380" s="2143">
        <v>41908</v>
      </c>
      <c r="I2380" s="2142">
        <v>1047135</v>
      </c>
    </row>
    <row r="2381" spans="1:9" s="2139" customFormat="1" hidden="1">
      <c r="A2381" s="2140" t="s">
        <v>4155</v>
      </c>
      <c r="B2381" s="2141" t="s">
        <v>3054</v>
      </c>
      <c r="C2381" s="2141" t="s">
        <v>3142</v>
      </c>
      <c r="D2381" s="2141">
        <v>132</v>
      </c>
      <c r="E2381" s="2142">
        <v>74.430000000000007</v>
      </c>
      <c r="F2381" s="2142">
        <v>16232.94</v>
      </c>
      <c r="G2381" s="2142">
        <v>1208217.7242000001</v>
      </c>
      <c r="H2381" s="2143">
        <v>41908</v>
      </c>
      <c r="I2381" s="2142">
        <v>1208218</v>
      </c>
    </row>
    <row r="2382" spans="1:9" s="2139" customFormat="1" hidden="1">
      <c r="A2382" s="2140" t="s">
        <v>4171</v>
      </c>
      <c r="B2382" s="2141" t="s">
        <v>3054</v>
      </c>
      <c r="C2382" s="2141" t="s">
        <v>3142</v>
      </c>
      <c r="D2382" s="2141">
        <v>150</v>
      </c>
      <c r="E2382" s="2142">
        <v>35.94</v>
      </c>
      <c r="F2382" s="2142">
        <v>15680.97</v>
      </c>
      <c r="G2382" s="2142">
        <v>563574.06179999991</v>
      </c>
      <c r="H2382" s="2143">
        <v>41908</v>
      </c>
      <c r="I2382" s="2142">
        <v>563574</v>
      </c>
    </row>
    <row r="2383" spans="1:9" s="2139" customFormat="1" hidden="1">
      <c r="A2383" s="2140" t="s">
        <v>7031</v>
      </c>
      <c r="B2383" s="3560">
        <v>12</v>
      </c>
      <c r="C2383" s="2141" t="s">
        <v>3151</v>
      </c>
      <c r="D2383" s="3396">
        <v>222</v>
      </c>
      <c r="E2383" s="2142">
        <v>42.72</v>
      </c>
      <c r="F2383" s="2142">
        <v>14414.2</v>
      </c>
      <c r="G2383" s="2142">
        <v>615775</v>
      </c>
      <c r="H2383" s="3557">
        <v>43003</v>
      </c>
      <c r="I2383" s="2142">
        <v>615775</v>
      </c>
    </row>
    <row r="2384" spans="1:9" s="2139" customFormat="1" hidden="1">
      <c r="A2384" s="2140" t="s">
        <v>6677</v>
      </c>
      <c r="B2384" s="3560">
        <v>11</v>
      </c>
      <c r="C2384" s="2141" t="s">
        <v>3151</v>
      </c>
      <c r="D2384" s="3396">
        <v>71</v>
      </c>
      <c r="E2384" s="2142">
        <v>12.52</v>
      </c>
      <c r="F2384" s="2142">
        <v>17608</v>
      </c>
      <c r="G2384" s="2142">
        <v>220452</v>
      </c>
      <c r="H2384" s="3557">
        <v>43002</v>
      </c>
      <c r="I2384" s="2142">
        <v>220452</v>
      </c>
    </row>
    <row r="2385" spans="1:9" s="2139" customFormat="1" hidden="1">
      <c r="A2385" s="2140" t="s">
        <v>6691</v>
      </c>
      <c r="B2385" s="3560">
        <v>11</v>
      </c>
      <c r="C2385" s="2141" t="s">
        <v>3151</v>
      </c>
      <c r="D2385" s="3396">
        <v>123</v>
      </c>
      <c r="E2385" s="2142">
        <v>19.989999999999998</v>
      </c>
      <c r="F2385" s="2142">
        <v>17800</v>
      </c>
      <c r="G2385" s="2142">
        <v>355822</v>
      </c>
      <c r="H2385" s="3557">
        <v>43002</v>
      </c>
      <c r="I2385" s="2142">
        <v>355822</v>
      </c>
    </row>
    <row r="2386" spans="1:9" s="2139" customFormat="1" hidden="1">
      <c r="A2386" s="2140" t="s">
        <v>6709</v>
      </c>
      <c r="B2386" s="3560">
        <v>11</v>
      </c>
      <c r="C2386" s="2141" t="s">
        <v>3151</v>
      </c>
      <c r="D2386" s="3396">
        <v>160</v>
      </c>
      <c r="E2386" s="2142">
        <v>46.64</v>
      </c>
      <c r="F2386" s="2142">
        <v>14526</v>
      </c>
      <c r="G2386" s="2142">
        <v>677493</v>
      </c>
      <c r="H2386" s="3557">
        <v>43002</v>
      </c>
      <c r="I2386" s="2142">
        <v>677493</v>
      </c>
    </row>
    <row r="2387" spans="1:9" s="2139" customFormat="1" hidden="1">
      <c r="A2387" s="2140" t="s">
        <v>7059</v>
      </c>
      <c r="B2387" s="3560">
        <v>12</v>
      </c>
      <c r="C2387" s="2141" t="s">
        <v>3151</v>
      </c>
      <c r="D2387" s="3396">
        <v>252</v>
      </c>
      <c r="E2387" s="2142">
        <v>94.1</v>
      </c>
      <c r="F2387" s="2142" t="s">
        <v>7060</v>
      </c>
      <c r="G2387" s="2142">
        <v>1594336</v>
      </c>
      <c r="H2387" s="3557">
        <v>43002</v>
      </c>
      <c r="I2387" s="2142">
        <v>1594336</v>
      </c>
    </row>
    <row r="2388" spans="1:9" s="2139" customFormat="1" hidden="1">
      <c r="A2388" s="2140" t="s">
        <v>7069</v>
      </c>
      <c r="B2388" s="3560">
        <v>12</v>
      </c>
      <c r="C2388" s="2141" t="s">
        <v>3151</v>
      </c>
      <c r="D2388" s="3396">
        <v>266</v>
      </c>
      <c r="E2388" s="2142">
        <v>79.010000000000005</v>
      </c>
      <c r="F2388" s="2142" t="s">
        <v>7070</v>
      </c>
      <c r="G2388" s="2142">
        <v>1407105</v>
      </c>
      <c r="H2388" s="3557">
        <v>43002</v>
      </c>
      <c r="I2388" s="2142">
        <v>1407105</v>
      </c>
    </row>
    <row r="2389" spans="1:9" s="2139" customFormat="1" hidden="1">
      <c r="A2389" s="2140" t="s">
        <v>6956</v>
      </c>
      <c r="B2389" s="3560">
        <v>12</v>
      </c>
      <c r="C2389" s="2141" t="s">
        <v>3151</v>
      </c>
      <c r="D2389" s="3396">
        <v>136</v>
      </c>
      <c r="E2389" s="2142">
        <v>58.71</v>
      </c>
      <c r="F2389" s="2142">
        <v>15583.05</v>
      </c>
      <c r="G2389" s="2142">
        <v>914881</v>
      </c>
      <c r="H2389" s="3557">
        <v>43001</v>
      </c>
      <c r="I2389" s="2142">
        <v>914881</v>
      </c>
    </row>
    <row r="2390" spans="1:9" s="2139" customFormat="1" hidden="1">
      <c r="A2390" s="2140" t="s">
        <v>5654</v>
      </c>
      <c r="B2390" s="3560" t="s">
        <v>3056</v>
      </c>
      <c r="C2390" s="2141" t="s">
        <v>3151</v>
      </c>
      <c r="D2390" s="3396">
        <v>292</v>
      </c>
      <c r="E2390" s="2142">
        <v>43.58</v>
      </c>
      <c r="F2390" s="2142">
        <v>14080</v>
      </c>
      <c r="G2390" s="2142">
        <v>613606</v>
      </c>
      <c r="H2390" s="3557">
        <v>43000</v>
      </c>
      <c r="I2390" s="2142">
        <v>613606</v>
      </c>
    </row>
    <row r="2391" spans="1:9" s="2139" customFormat="1" hidden="1">
      <c r="A2391" s="2140" t="s">
        <v>5656</v>
      </c>
      <c r="B2391" s="3560" t="s">
        <v>3056</v>
      </c>
      <c r="C2391" s="2141" t="s">
        <v>3151</v>
      </c>
      <c r="D2391" s="3396">
        <v>295</v>
      </c>
      <c r="E2391" s="2142">
        <v>44.02</v>
      </c>
      <c r="F2391" s="2142">
        <v>12590.6</v>
      </c>
      <c r="G2391" s="2142">
        <v>554238</v>
      </c>
      <c r="H2391" s="3557">
        <v>43000</v>
      </c>
      <c r="I2391" s="2142">
        <v>554238</v>
      </c>
    </row>
    <row r="2392" spans="1:9" s="2139" customFormat="1" hidden="1">
      <c r="A2392" s="2140" t="s">
        <v>5671</v>
      </c>
      <c r="B2392" s="3560" t="s">
        <v>3056</v>
      </c>
      <c r="C2392" s="2141" t="s">
        <v>3151</v>
      </c>
      <c r="D2392" s="3396">
        <v>340</v>
      </c>
      <c r="E2392" s="2142">
        <v>62.76</v>
      </c>
      <c r="F2392" s="2142">
        <v>15578.19</v>
      </c>
      <c r="G2392" s="2142">
        <v>977687</v>
      </c>
      <c r="H2392" s="3557">
        <v>43000</v>
      </c>
      <c r="I2392" s="2142">
        <v>977687</v>
      </c>
    </row>
    <row r="2393" spans="1:9" s="2139" customFormat="1" hidden="1">
      <c r="A2393" s="2140" t="s">
        <v>5673</v>
      </c>
      <c r="B2393" s="3560" t="s">
        <v>3056</v>
      </c>
      <c r="C2393" s="2141" t="s">
        <v>3151</v>
      </c>
      <c r="D2393" s="3396">
        <v>342</v>
      </c>
      <c r="E2393" s="2142">
        <v>62.76</v>
      </c>
      <c r="F2393" s="2142">
        <v>16060</v>
      </c>
      <c r="G2393" s="2142">
        <v>1007926</v>
      </c>
      <c r="H2393" s="3557">
        <v>43000</v>
      </c>
      <c r="I2393" s="2142">
        <v>1007926</v>
      </c>
    </row>
    <row r="2394" spans="1:9" s="2139" customFormat="1" hidden="1">
      <c r="A2394" s="2140" t="s">
        <v>6944</v>
      </c>
      <c r="B2394" s="3560">
        <v>12</v>
      </c>
      <c r="C2394" s="2141" t="s">
        <v>3151</v>
      </c>
      <c r="D2394" s="3396">
        <v>125</v>
      </c>
      <c r="E2394" s="2142">
        <v>91.55</v>
      </c>
      <c r="F2394" s="2142">
        <v>11760</v>
      </c>
      <c r="G2394" s="2142">
        <v>1076628</v>
      </c>
      <c r="H2394" s="3557">
        <v>43000</v>
      </c>
      <c r="I2394" s="2142">
        <v>1076628</v>
      </c>
    </row>
    <row r="2395" spans="1:9" s="2139" customFormat="1" hidden="1">
      <c r="A2395" s="2140" t="s">
        <v>6976</v>
      </c>
      <c r="B2395" s="3560">
        <v>12</v>
      </c>
      <c r="C2395" s="2141" t="s">
        <v>3151</v>
      </c>
      <c r="D2395" s="3396">
        <v>153</v>
      </c>
      <c r="E2395" s="2142">
        <v>58.86</v>
      </c>
      <c r="F2395" s="2142">
        <v>11235</v>
      </c>
      <c r="G2395" s="2142">
        <v>661292</v>
      </c>
      <c r="H2395" s="3557">
        <v>43000</v>
      </c>
      <c r="I2395" s="2142">
        <v>661292</v>
      </c>
    </row>
    <row r="2396" spans="1:9" s="2139" customFormat="1" hidden="1">
      <c r="A2396" s="2140" t="s">
        <v>7010</v>
      </c>
      <c r="B2396" s="3560">
        <v>12</v>
      </c>
      <c r="C2396" s="2141" t="s">
        <v>3151</v>
      </c>
      <c r="D2396" s="3396">
        <v>193</v>
      </c>
      <c r="E2396" s="2142">
        <v>19.62</v>
      </c>
      <c r="F2396" s="2142">
        <v>12600</v>
      </c>
      <c r="G2396" s="2142">
        <v>247212</v>
      </c>
      <c r="H2396" s="3557">
        <v>43000</v>
      </c>
      <c r="I2396" s="2142">
        <v>247212</v>
      </c>
    </row>
    <row r="2397" spans="1:9" s="2139" customFormat="1" hidden="1">
      <c r="A2397" s="2140" t="s">
        <v>7011</v>
      </c>
      <c r="B2397" s="3560">
        <v>12</v>
      </c>
      <c r="C2397" s="2141" t="s">
        <v>3151</v>
      </c>
      <c r="D2397" s="3396">
        <v>195</v>
      </c>
      <c r="E2397" s="2142">
        <v>20.74</v>
      </c>
      <c r="F2397" s="2142">
        <v>12600</v>
      </c>
      <c r="G2397" s="2142">
        <v>261323.99999999997</v>
      </c>
      <c r="H2397" s="3557">
        <v>43000</v>
      </c>
      <c r="I2397" s="2142">
        <v>261324</v>
      </c>
    </row>
    <row r="2398" spans="1:9" s="2139" customFormat="1" hidden="1">
      <c r="A2398" s="2140" t="s">
        <v>5567</v>
      </c>
      <c r="B2398" s="3560" t="s">
        <v>3056</v>
      </c>
      <c r="C2398" s="2141" t="s">
        <v>3151</v>
      </c>
      <c r="D2398" s="3396">
        <v>57</v>
      </c>
      <c r="E2398" s="2142">
        <v>41.5</v>
      </c>
      <c r="F2398" s="2142">
        <v>15800</v>
      </c>
      <c r="G2398" s="2142">
        <v>655700</v>
      </c>
      <c r="H2398" s="3557">
        <v>42999</v>
      </c>
      <c r="I2398" s="2142">
        <v>655700</v>
      </c>
    </row>
    <row r="2399" spans="1:9" s="2139" customFormat="1" hidden="1">
      <c r="A2399" s="2140" t="s">
        <v>6419</v>
      </c>
      <c r="B2399" s="3560">
        <v>9</v>
      </c>
      <c r="C2399" s="2141" t="s">
        <v>3151</v>
      </c>
      <c r="D2399" s="3396">
        <v>137</v>
      </c>
      <c r="E2399" s="2142">
        <v>79.680000000000007</v>
      </c>
      <c r="F2399" s="2142">
        <v>12669</v>
      </c>
      <c r="G2399" s="2142">
        <v>1009466</v>
      </c>
      <c r="H2399" s="3557">
        <v>42999</v>
      </c>
      <c r="I2399" s="2142">
        <v>1009466</v>
      </c>
    </row>
    <row r="2400" spans="1:9" s="2139" customFormat="1" hidden="1">
      <c r="A2400" s="2140" t="s">
        <v>6424</v>
      </c>
      <c r="B2400" s="3560">
        <v>9</v>
      </c>
      <c r="C2400" s="2141" t="s">
        <v>3151</v>
      </c>
      <c r="D2400" s="3396">
        <v>176</v>
      </c>
      <c r="E2400" s="2142">
        <v>43.61</v>
      </c>
      <c r="F2400" s="2142">
        <v>11845</v>
      </c>
      <c r="G2400" s="2142">
        <v>516560</v>
      </c>
      <c r="H2400" s="3557">
        <v>42999</v>
      </c>
      <c r="I2400" s="2142">
        <v>516560</v>
      </c>
    </row>
    <row r="2401" spans="1:9" s="2139" customFormat="1" hidden="1">
      <c r="A2401" s="2140" t="s">
        <v>7002</v>
      </c>
      <c r="B2401" s="3560">
        <v>12</v>
      </c>
      <c r="C2401" s="2141" t="s">
        <v>3151</v>
      </c>
      <c r="D2401" s="3396">
        <v>185</v>
      </c>
      <c r="E2401" s="2142">
        <v>35.65</v>
      </c>
      <c r="F2401" s="2142">
        <v>17000</v>
      </c>
      <c r="G2401" s="2142">
        <v>606050</v>
      </c>
      <c r="H2401" s="3557">
        <v>42999</v>
      </c>
      <c r="I2401" s="2142">
        <v>606050</v>
      </c>
    </row>
    <row r="2402" spans="1:9" s="2139" customFormat="1" hidden="1">
      <c r="A2402" s="2140" t="s">
        <v>6054</v>
      </c>
      <c r="B2402" s="3560" t="s">
        <v>3057</v>
      </c>
      <c r="C2402" s="2141" t="s">
        <v>3151</v>
      </c>
      <c r="D2402" s="3396">
        <v>160</v>
      </c>
      <c r="E2402" s="2142">
        <v>70.45</v>
      </c>
      <c r="F2402" s="2142">
        <v>16600</v>
      </c>
      <c r="G2402" s="2142">
        <v>1169470</v>
      </c>
      <c r="H2402" s="3557">
        <v>42998</v>
      </c>
      <c r="I2402" s="2142">
        <v>1169470</v>
      </c>
    </row>
    <row r="2403" spans="1:9" s="2139" customFormat="1" hidden="1">
      <c r="A2403" s="2140" t="s">
        <v>6061</v>
      </c>
      <c r="B2403" s="3560" t="s">
        <v>3057</v>
      </c>
      <c r="C2403" s="2141" t="s">
        <v>3151</v>
      </c>
      <c r="D2403" s="3396">
        <v>177</v>
      </c>
      <c r="E2403" s="2142">
        <v>46.1</v>
      </c>
      <c r="F2403" s="2142">
        <v>12800</v>
      </c>
      <c r="G2403" s="2142">
        <v>590080</v>
      </c>
      <c r="H2403" s="3557">
        <v>42998</v>
      </c>
      <c r="I2403" s="2142">
        <v>590080</v>
      </c>
    </row>
    <row r="2404" spans="1:9" s="2139" customFormat="1" hidden="1">
      <c r="A2404" s="2140" t="s">
        <v>6066</v>
      </c>
      <c r="B2404" s="3560" t="s">
        <v>3057</v>
      </c>
      <c r="C2404" s="2141" t="s">
        <v>3151</v>
      </c>
      <c r="D2404" s="3396">
        <v>182</v>
      </c>
      <c r="E2404" s="2142">
        <v>70.78</v>
      </c>
      <c r="F2404" s="2142">
        <v>15800</v>
      </c>
      <c r="G2404" s="2142">
        <v>1118324</v>
      </c>
      <c r="H2404" s="3557">
        <v>42998</v>
      </c>
      <c r="I2404" s="2142">
        <v>1118324</v>
      </c>
    </row>
    <row r="2405" spans="1:9" s="2139" customFormat="1" hidden="1">
      <c r="A2405" s="2140" t="s">
        <v>6411</v>
      </c>
      <c r="B2405" s="3560">
        <v>9</v>
      </c>
      <c r="C2405" s="2141" t="s">
        <v>3151</v>
      </c>
      <c r="D2405" s="3396">
        <v>102</v>
      </c>
      <c r="E2405" s="2142">
        <v>96.63</v>
      </c>
      <c r="F2405" s="2142">
        <v>11845</v>
      </c>
      <c r="G2405" s="2142">
        <v>1144582</v>
      </c>
      <c r="H2405" s="3557">
        <v>42998</v>
      </c>
      <c r="I2405" s="2142">
        <v>1144582</v>
      </c>
    </row>
    <row r="2406" spans="1:9" s="2139" customFormat="1" hidden="1">
      <c r="A2406" s="2140" t="s">
        <v>6115</v>
      </c>
      <c r="B2406" s="3560" t="s">
        <v>3057</v>
      </c>
      <c r="C2406" s="2141" t="s">
        <v>3151</v>
      </c>
      <c r="D2406" s="3396">
        <v>417</v>
      </c>
      <c r="E2406" s="2142">
        <v>45.45</v>
      </c>
      <c r="F2406" s="2142">
        <v>12800</v>
      </c>
      <c r="G2406" s="2142">
        <v>581760</v>
      </c>
      <c r="H2406" s="3557">
        <v>42996</v>
      </c>
      <c r="I2406" s="2142">
        <v>291760</v>
      </c>
    </row>
    <row r="2407" spans="1:9" s="2139" customFormat="1" hidden="1">
      <c r="A2407" s="2140" t="s">
        <v>6121</v>
      </c>
      <c r="B2407" s="3560" t="s">
        <v>3057</v>
      </c>
      <c r="C2407" s="2141" t="s">
        <v>3151</v>
      </c>
      <c r="D2407" s="3396">
        <v>430</v>
      </c>
      <c r="E2407" s="2142">
        <v>65.92</v>
      </c>
      <c r="F2407" s="2142">
        <v>16102</v>
      </c>
      <c r="G2407" s="2142">
        <v>1061444</v>
      </c>
      <c r="H2407" s="3557">
        <v>42996</v>
      </c>
      <c r="I2407" s="2142">
        <v>1061444</v>
      </c>
    </row>
    <row r="2408" spans="1:9" s="2139" customFormat="1" hidden="1">
      <c r="A2408" s="2140" t="s">
        <v>6128</v>
      </c>
      <c r="B2408" s="3560" t="s">
        <v>3057</v>
      </c>
      <c r="C2408" s="2141" t="s">
        <v>3151</v>
      </c>
      <c r="D2408" s="3396">
        <v>438</v>
      </c>
      <c r="E2408" s="2142">
        <v>70.45</v>
      </c>
      <c r="F2408" s="2142">
        <v>16600</v>
      </c>
      <c r="G2408" s="2142">
        <v>1169470</v>
      </c>
      <c r="H2408" s="3557">
        <v>42996</v>
      </c>
      <c r="I2408" s="2142">
        <v>589470</v>
      </c>
    </row>
    <row r="2409" spans="1:9" s="2139" customFormat="1" hidden="1">
      <c r="A2409" s="2140" t="s">
        <v>6980</v>
      </c>
      <c r="B2409" s="3560">
        <v>12</v>
      </c>
      <c r="C2409" s="2141" t="s">
        <v>3151</v>
      </c>
      <c r="D2409" s="3396">
        <v>159</v>
      </c>
      <c r="E2409" s="2142">
        <v>62.78</v>
      </c>
      <c r="F2409" s="2142">
        <v>12222</v>
      </c>
      <c r="G2409" s="2142">
        <v>767297</v>
      </c>
      <c r="H2409" s="3557">
        <v>42996</v>
      </c>
      <c r="I2409" s="2142">
        <v>767297</v>
      </c>
    </row>
    <row r="2410" spans="1:9" s="2139" customFormat="1" hidden="1">
      <c r="A2410" s="2140" t="s">
        <v>5623</v>
      </c>
      <c r="B2410" s="3560" t="s">
        <v>3056</v>
      </c>
      <c r="C2410" s="2141" t="s">
        <v>3151</v>
      </c>
      <c r="D2410" s="3396">
        <v>162</v>
      </c>
      <c r="E2410" s="2142">
        <v>56.21</v>
      </c>
      <c r="F2410" s="2142">
        <v>14080</v>
      </c>
      <c r="G2410" s="2142">
        <v>791437</v>
      </c>
      <c r="H2410" s="3557">
        <v>42995</v>
      </c>
      <c r="I2410" s="2142">
        <v>791437</v>
      </c>
    </row>
    <row r="2411" spans="1:9" s="2139" customFormat="1" hidden="1">
      <c r="A2411" s="2140" t="s">
        <v>5652</v>
      </c>
      <c r="B2411" s="3560" t="s">
        <v>3056</v>
      </c>
      <c r="C2411" s="2141" t="s">
        <v>3151</v>
      </c>
      <c r="D2411" s="3396">
        <v>289</v>
      </c>
      <c r="E2411" s="2142">
        <v>85.69</v>
      </c>
      <c r="F2411" s="2142">
        <v>19774</v>
      </c>
      <c r="G2411" s="2142">
        <v>1694434</v>
      </c>
      <c r="H2411" s="3557">
        <v>42995</v>
      </c>
      <c r="I2411" s="2142">
        <v>1694434</v>
      </c>
    </row>
    <row r="2412" spans="1:9" s="2139" customFormat="1" hidden="1">
      <c r="A2412" s="2140" t="s">
        <v>6960</v>
      </c>
      <c r="B2412" s="3560">
        <v>12</v>
      </c>
      <c r="C2412" s="2141" t="s">
        <v>3151</v>
      </c>
      <c r="D2412" s="3396">
        <v>140</v>
      </c>
      <c r="E2412" s="2142">
        <v>40.26</v>
      </c>
      <c r="F2412" s="2142">
        <v>14926</v>
      </c>
      <c r="G2412" s="2142">
        <v>600921</v>
      </c>
      <c r="H2412" s="3557">
        <v>42995</v>
      </c>
      <c r="I2412" s="2142">
        <v>600921</v>
      </c>
    </row>
    <row r="2413" spans="1:9" s="2139" customFormat="1" hidden="1">
      <c r="A2413" s="2140" t="s">
        <v>6387</v>
      </c>
      <c r="B2413" s="3560">
        <v>9</v>
      </c>
      <c r="C2413" s="2141" t="s">
        <v>3151</v>
      </c>
      <c r="D2413" s="3396">
        <v>43</v>
      </c>
      <c r="E2413" s="2142">
        <v>44.97</v>
      </c>
      <c r="F2413" s="2142">
        <v>11845</v>
      </c>
      <c r="G2413" s="2142">
        <v>532670</v>
      </c>
      <c r="H2413" s="3557">
        <v>42994</v>
      </c>
      <c r="I2413" s="2142">
        <v>532670</v>
      </c>
    </row>
    <row r="2414" spans="1:9" s="2139" customFormat="1" hidden="1">
      <c r="A2414" s="2140" t="s">
        <v>6388</v>
      </c>
      <c r="B2414" s="3560">
        <v>9</v>
      </c>
      <c r="C2414" s="2141" t="s">
        <v>3151</v>
      </c>
      <c r="D2414" s="3396">
        <v>45</v>
      </c>
      <c r="E2414" s="2142">
        <v>42.93</v>
      </c>
      <c r="F2414" s="2142">
        <v>11021</v>
      </c>
      <c r="G2414" s="2142">
        <v>473132</v>
      </c>
      <c r="H2414" s="3557">
        <v>42994</v>
      </c>
      <c r="I2414" s="2142">
        <v>473132</v>
      </c>
    </row>
    <row r="2415" spans="1:9" s="2139" customFormat="1" hidden="1">
      <c r="A2415" s="2140" t="s">
        <v>7038</v>
      </c>
      <c r="B2415" s="3560">
        <v>12</v>
      </c>
      <c r="C2415" s="2141" t="s">
        <v>3151</v>
      </c>
      <c r="D2415" s="3396">
        <v>228</v>
      </c>
      <c r="E2415" s="2142">
        <v>18.600000000000001</v>
      </c>
      <c r="F2415" s="2142">
        <v>13036.81</v>
      </c>
      <c r="G2415" s="2142">
        <v>242485</v>
      </c>
      <c r="H2415" s="3557">
        <v>42994</v>
      </c>
      <c r="I2415" s="2142">
        <v>242485</v>
      </c>
    </row>
    <row r="2416" spans="1:9" s="2139" customFormat="1" hidden="1">
      <c r="A2416" s="2140" t="s">
        <v>6106</v>
      </c>
      <c r="B2416" s="3560" t="s">
        <v>3057</v>
      </c>
      <c r="C2416" s="2141" t="s">
        <v>3151</v>
      </c>
      <c r="D2416" s="3396">
        <v>400</v>
      </c>
      <c r="E2416" s="2142">
        <v>64.23</v>
      </c>
      <c r="F2416" s="2142">
        <v>15800</v>
      </c>
      <c r="G2416" s="2142">
        <v>1014834.0000000001</v>
      </c>
      <c r="H2416" s="3557">
        <v>42993</v>
      </c>
      <c r="I2416" s="2142">
        <v>1014834</v>
      </c>
    </row>
    <row r="2417" spans="1:9" s="2139" customFormat="1" hidden="1">
      <c r="A2417" s="2140" t="s">
        <v>6107</v>
      </c>
      <c r="B2417" s="3560" t="s">
        <v>3057</v>
      </c>
      <c r="C2417" s="2141" t="s">
        <v>3151</v>
      </c>
      <c r="D2417" s="3396">
        <v>401</v>
      </c>
      <c r="E2417" s="2142">
        <v>124.94</v>
      </c>
      <c r="F2417" s="2142">
        <v>10800</v>
      </c>
      <c r="G2417" s="2142">
        <v>1349352</v>
      </c>
      <c r="H2417" s="3557">
        <v>42993</v>
      </c>
      <c r="I2417" s="2142">
        <v>1349352</v>
      </c>
    </row>
    <row r="2418" spans="1:9" s="2139" customFormat="1" hidden="1">
      <c r="A2418" s="2140" t="s">
        <v>6913</v>
      </c>
      <c r="B2418" s="3560">
        <v>12</v>
      </c>
      <c r="C2418" s="2141" t="s">
        <v>3151</v>
      </c>
      <c r="D2418" s="3396">
        <v>70</v>
      </c>
      <c r="E2418" s="2142">
        <v>32.880000000000003</v>
      </c>
      <c r="F2418" s="2142">
        <v>15175.67</v>
      </c>
      <c r="G2418" s="2142">
        <v>498976</v>
      </c>
      <c r="H2418" s="3557">
        <v>42992</v>
      </c>
      <c r="I2418" s="2142">
        <v>498976</v>
      </c>
    </row>
    <row r="2419" spans="1:9" s="2139" customFormat="1" hidden="1">
      <c r="A2419" s="2140" t="s">
        <v>7008</v>
      </c>
      <c r="B2419" s="3560">
        <v>12</v>
      </c>
      <c r="C2419" s="2141" t="s">
        <v>3151</v>
      </c>
      <c r="D2419" s="3396">
        <v>191</v>
      </c>
      <c r="E2419" s="2142">
        <v>18.87</v>
      </c>
      <c r="F2419" s="2142">
        <v>12600</v>
      </c>
      <c r="G2419" s="2142">
        <v>237762</v>
      </c>
      <c r="H2419" s="3557">
        <v>42991</v>
      </c>
      <c r="I2419" s="2142">
        <v>237762</v>
      </c>
    </row>
    <row r="2420" spans="1:9" s="2139" customFormat="1" hidden="1">
      <c r="A2420" s="2140" t="s">
        <v>7009</v>
      </c>
      <c r="B2420" s="3560">
        <v>12</v>
      </c>
      <c r="C2420" s="2141" t="s">
        <v>3151</v>
      </c>
      <c r="D2420" s="3396">
        <v>192</v>
      </c>
      <c r="E2420" s="2142">
        <v>19.62</v>
      </c>
      <c r="F2420" s="2142">
        <v>12600</v>
      </c>
      <c r="G2420" s="2142">
        <v>247212</v>
      </c>
      <c r="H2420" s="3557">
        <v>42991</v>
      </c>
      <c r="I2420" s="2142">
        <v>247212</v>
      </c>
    </row>
    <row r="2421" spans="1:9" s="2139" customFormat="1" hidden="1">
      <c r="A2421" s="2140" t="s">
        <v>6417</v>
      </c>
      <c r="B2421" s="3560">
        <v>9</v>
      </c>
      <c r="C2421" s="2141" t="s">
        <v>3151</v>
      </c>
      <c r="D2421" s="3396">
        <v>131</v>
      </c>
      <c r="E2421" s="2142">
        <v>150.25</v>
      </c>
      <c r="F2421" s="2142">
        <v>15200</v>
      </c>
      <c r="G2421" s="2142">
        <v>2283800</v>
      </c>
      <c r="H2421" s="3557">
        <v>42990</v>
      </c>
      <c r="I2421" s="2142">
        <v>2283800</v>
      </c>
    </row>
    <row r="2422" spans="1:9" s="2139" customFormat="1" hidden="1">
      <c r="A2422" s="2140" t="s">
        <v>6418</v>
      </c>
      <c r="B2422" s="3560">
        <v>9</v>
      </c>
      <c r="C2422" s="2141" t="s">
        <v>3151</v>
      </c>
      <c r="D2422" s="3396">
        <v>132</v>
      </c>
      <c r="E2422" s="2142">
        <v>79.69</v>
      </c>
      <c r="F2422" s="2142">
        <v>11931.002899999999</v>
      </c>
      <c r="G2422" s="2142">
        <v>950781</v>
      </c>
      <c r="H2422" s="3557">
        <v>42990</v>
      </c>
      <c r="I2422" s="2142">
        <v>950781</v>
      </c>
    </row>
    <row r="2423" spans="1:9" s="2139" customFormat="1" hidden="1">
      <c r="A2423" s="2140" t="s">
        <v>6425</v>
      </c>
      <c r="B2423" s="3560">
        <v>9</v>
      </c>
      <c r="C2423" s="2141" t="s">
        <v>3151</v>
      </c>
      <c r="D2423" s="3396">
        <v>180</v>
      </c>
      <c r="E2423" s="2142">
        <v>43.61</v>
      </c>
      <c r="F2423" s="2142">
        <v>11155</v>
      </c>
      <c r="G2423" s="2142">
        <v>486470</v>
      </c>
      <c r="H2423" s="3557">
        <v>42990</v>
      </c>
      <c r="I2423" s="2142">
        <v>486470</v>
      </c>
    </row>
    <row r="2424" spans="1:9" s="2139" customFormat="1" hidden="1">
      <c r="A2424" s="2140" t="s">
        <v>6426</v>
      </c>
      <c r="B2424" s="3560">
        <v>9</v>
      </c>
      <c r="C2424" s="2141" t="s">
        <v>3151</v>
      </c>
      <c r="D2424" s="3396">
        <v>181</v>
      </c>
      <c r="E2424" s="2142">
        <v>77</v>
      </c>
      <c r="F2424" s="2142">
        <v>14725.0065</v>
      </c>
      <c r="G2424" s="2142">
        <v>1133825</v>
      </c>
      <c r="H2424" s="3557">
        <v>42990</v>
      </c>
      <c r="I2424" s="2142">
        <v>1133825</v>
      </c>
    </row>
    <row r="2425" spans="1:9" s="2139" customFormat="1" hidden="1">
      <c r="A2425" s="2140" t="s">
        <v>6924</v>
      </c>
      <c r="B2425" s="3560">
        <v>12</v>
      </c>
      <c r="C2425" s="2141" t="s">
        <v>3151</v>
      </c>
      <c r="D2425" s="3396">
        <v>97</v>
      </c>
      <c r="E2425" s="2142">
        <v>86.5</v>
      </c>
      <c r="F2425" s="2142">
        <v>15200</v>
      </c>
      <c r="G2425" s="2142">
        <v>1314800</v>
      </c>
      <c r="H2425" s="3557">
        <v>42990</v>
      </c>
      <c r="I2425" s="2142">
        <v>1314800</v>
      </c>
    </row>
    <row r="2426" spans="1:9" s="2139" customFormat="1" hidden="1">
      <c r="A2426" s="2140" t="s">
        <v>6951</v>
      </c>
      <c r="B2426" s="3560">
        <v>12</v>
      </c>
      <c r="C2426" s="2141" t="s">
        <v>3151</v>
      </c>
      <c r="D2426" s="3396">
        <v>131</v>
      </c>
      <c r="E2426" s="2142">
        <v>59.86</v>
      </c>
      <c r="F2426" s="2142">
        <v>13305.6</v>
      </c>
      <c r="G2426" s="2142">
        <v>796473</v>
      </c>
      <c r="H2426" s="3557">
        <v>42990</v>
      </c>
      <c r="I2426" s="2142">
        <v>796473</v>
      </c>
    </row>
    <row r="2427" spans="1:9" s="2139" customFormat="1" hidden="1">
      <c r="A2427" s="2140" t="s">
        <v>6984</v>
      </c>
      <c r="B2427" s="3560">
        <v>12</v>
      </c>
      <c r="C2427" s="2141" t="s">
        <v>3151</v>
      </c>
      <c r="D2427" s="3396">
        <v>163</v>
      </c>
      <c r="E2427" s="2142">
        <v>21.49</v>
      </c>
      <c r="F2427" s="2142">
        <v>18300</v>
      </c>
      <c r="G2427" s="2142">
        <v>393267</v>
      </c>
      <c r="H2427" s="3557">
        <v>42990</v>
      </c>
      <c r="I2427" s="2142">
        <v>393267</v>
      </c>
    </row>
    <row r="2428" spans="1:9" s="2139" customFormat="1" hidden="1">
      <c r="A2428" s="2140" t="s">
        <v>7001</v>
      </c>
      <c r="B2428" s="3560">
        <v>12</v>
      </c>
      <c r="C2428" s="2141" t="s">
        <v>3151</v>
      </c>
      <c r="D2428" s="3396">
        <v>183</v>
      </c>
      <c r="E2428" s="2142">
        <v>36.06</v>
      </c>
      <c r="F2428" s="2142">
        <v>14283.26</v>
      </c>
      <c r="G2428" s="2142">
        <v>515054</v>
      </c>
      <c r="H2428" s="3557">
        <v>42990</v>
      </c>
      <c r="I2428" s="2142">
        <v>515054</v>
      </c>
    </row>
    <row r="2429" spans="1:9" s="2139" customFormat="1" hidden="1">
      <c r="A2429" s="2140" t="s">
        <v>5571</v>
      </c>
      <c r="B2429" s="3560" t="s">
        <v>3056</v>
      </c>
      <c r="C2429" s="2141" t="s">
        <v>3151</v>
      </c>
      <c r="D2429" s="3396">
        <v>61</v>
      </c>
      <c r="E2429" s="2142">
        <v>31.34</v>
      </c>
      <c r="F2429" s="2142">
        <v>15730.01</v>
      </c>
      <c r="G2429" s="2142">
        <v>492978</v>
      </c>
      <c r="H2429" s="3557">
        <v>42988</v>
      </c>
      <c r="I2429" s="2142">
        <v>492978</v>
      </c>
    </row>
    <row r="2430" spans="1:9" s="2139" customFormat="1" hidden="1">
      <c r="A2430" s="2140" t="s">
        <v>5572</v>
      </c>
      <c r="B2430" s="3560" t="s">
        <v>3056</v>
      </c>
      <c r="C2430" s="2141" t="s">
        <v>3151</v>
      </c>
      <c r="D2430" s="3396">
        <v>63</v>
      </c>
      <c r="E2430" s="2142">
        <v>38.380000000000003</v>
      </c>
      <c r="F2430" s="2142">
        <v>14563.95</v>
      </c>
      <c r="G2430" s="2142">
        <v>558964</v>
      </c>
      <c r="H2430" s="3557">
        <v>42988</v>
      </c>
      <c r="I2430" s="2142">
        <v>558964</v>
      </c>
    </row>
    <row r="2431" spans="1:9" s="2139" customFormat="1" hidden="1">
      <c r="A2431" s="2140" t="s">
        <v>5589</v>
      </c>
      <c r="B2431" s="3560" t="s">
        <v>3056</v>
      </c>
      <c r="C2431" s="2141" t="s">
        <v>3151</v>
      </c>
      <c r="D2431" s="3396">
        <v>92</v>
      </c>
      <c r="E2431" s="2142">
        <v>55.5</v>
      </c>
      <c r="F2431" s="2142">
        <v>12800</v>
      </c>
      <c r="G2431" s="2142">
        <v>710400</v>
      </c>
      <c r="H2431" s="3557">
        <v>42988</v>
      </c>
      <c r="I2431" s="2142">
        <v>710400</v>
      </c>
    </row>
    <row r="2432" spans="1:9" s="2139" customFormat="1" hidden="1">
      <c r="A2432" s="2140" t="s">
        <v>5592</v>
      </c>
      <c r="B2432" s="3560" t="s">
        <v>3056</v>
      </c>
      <c r="C2432" s="2141" t="s">
        <v>3151</v>
      </c>
      <c r="D2432" s="3396">
        <v>102</v>
      </c>
      <c r="E2432" s="2142">
        <v>52.41</v>
      </c>
      <c r="F2432" s="2142">
        <v>15730</v>
      </c>
      <c r="G2432" s="2142">
        <v>824409</v>
      </c>
      <c r="H2432" s="3557">
        <v>42988</v>
      </c>
      <c r="I2432" s="2142">
        <v>824409</v>
      </c>
    </row>
    <row r="2433" spans="1:9" s="2139" customFormat="1" hidden="1">
      <c r="A2433" s="2140" t="s">
        <v>5593</v>
      </c>
      <c r="B2433" s="3560" t="s">
        <v>3056</v>
      </c>
      <c r="C2433" s="2141" t="s">
        <v>3151</v>
      </c>
      <c r="D2433" s="3396">
        <v>103</v>
      </c>
      <c r="E2433" s="2142">
        <v>52.41</v>
      </c>
      <c r="F2433" s="2142">
        <v>15730</v>
      </c>
      <c r="G2433" s="2142">
        <v>824409</v>
      </c>
      <c r="H2433" s="3557">
        <v>42988</v>
      </c>
      <c r="I2433" s="2142">
        <v>824409</v>
      </c>
    </row>
    <row r="2434" spans="1:9" s="2139" customFormat="1" hidden="1">
      <c r="A2434" s="2140" t="s">
        <v>5617</v>
      </c>
      <c r="B2434" s="3560" t="s">
        <v>3056</v>
      </c>
      <c r="C2434" s="2141" t="s">
        <v>3151</v>
      </c>
      <c r="D2434" s="3396">
        <v>152</v>
      </c>
      <c r="E2434" s="2142">
        <v>50.45</v>
      </c>
      <c r="F2434" s="2142">
        <v>15488</v>
      </c>
      <c r="G2434" s="2142">
        <v>781370</v>
      </c>
      <c r="H2434" s="3557">
        <v>42988</v>
      </c>
      <c r="I2434" s="2142">
        <v>781370</v>
      </c>
    </row>
    <row r="2435" spans="1:9" s="2139" customFormat="1" hidden="1">
      <c r="A2435" s="2140" t="s">
        <v>6071</v>
      </c>
      <c r="B2435" s="3560" t="s">
        <v>3057</v>
      </c>
      <c r="C2435" s="2141" t="s">
        <v>3151</v>
      </c>
      <c r="D2435" s="3396">
        <v>189</v>
      </c>
      <c r="E2435" s="2142">
        <v>99.33</v>
      </c>
      <c r="F2435" s="2142">
        <v>15800</v>
      </c>
      <c r="G2435" s="2142">
        <v>1569414</v>
      </c>
      <c r="H2435" s="3557">
        <v>42988</v>
      </c>
      <c r="I2435" s="2142">
        <v>1569414</v>
      </c>
    </row>
    <row r="2436" spans="1:9" s="2139" customFormat="1" hidden="1">
      <c r="A2436" s="2140" t="s">
        <v>6696</v>
      </c>
      <c r="B2436" s="3560">
        <v>11</v>
      </c>
      <c r="C2436" s="2141" t="s">
        <v>3151</v>
      </c>
      <c r="D2436" s="3396">
        <v>140</v>
      </c>
      <c r="E2436" s="2142">
        <v>38.770000000000003</v>
      </c>
      <c r="F2436" s="2142">
        <v>11330</v>
      </c>
      <c r="G2436" s="2142">
        <v>439264</v>
      </c>
      <c r="H2436" s="3557">
        <v>42988</v>
      </c>
      <c r="I2436" s="2142">
        <v>439264</v>
      </c>
    </row>
    <row r="2437" spans="1:9" s="2139" customFormat="1" hidden="1">
      <c r="A2437" s="2140" t="s">
        <v>6697</v>
      </c>
      <c r="B2437" s="3560">
        <v>11</v>
      </c>
      <c r="C2437" s="2141" t="s">
        <v>3151</v>
      </c>
      <c r="D2437" s="3396">
        <v>141</v>
      </c>
      <c r="E2437" s="2142">
        <v>38.770000000000003</v>
      </c>
      <c r="F2437" s="2142">
        <v>11330</v>
      </c>
      <c r="G2437" s="2142">
        <v>439264</v>
      </c>
      <c r="H2437" s="3557">
        <v>42988</v>
      </c>
      <c r="I2437" s="2142">
        <v>439264</v>
      </c>
    </row>
    <row r="2438" spans="1:9" s="2139" customFormat="1" hidden="1">
      <c r="A2438" s="2140" t="s">
        <v>6965</v>
      </c>
      <c r="B2438" s="3560">
        <v>12</v>
      </c>
      <c r="C2438" s="2141" t="s">
        <v>3151</v>
      </c>
      <c r="D2438" s="3396">
        <v>143</v>
      </c>
      <c r="E2438" s="2142">
        <v>61.04</v>
      </c>
      <c r="F2438" s="2142" t="s">
        <v>6966</v>
      </c>
      <c r="G2438" s="2142">
        <v>1102688</v>
      </c>
      <c r="H2438" s="3557">
        <v>42988</v>
      </c>
      <c r="I2438" s="2142">
        <v>1102688</v>
      </c>
    </row>
    <row r="2439" spans="1:9" s="2139" customFormat="1" hidden="1">
      <c r="A2439" s="2140" t="s">
        <v>5585</v>
      </c>
      <c r="B2439" s="3560" t="s">
        <v>3056</v>
      </c>
      <c r="C2439" s="2141" t="s">
        <v>3151</v>
      </c>
      <c r="D2439" s="3396">
        <v>87</v>
      </c>
      <c r="E2439" s="2142">
        <v>62.34</v>
      </c>
      <c r="F2439" s="2142">
        <v>18779.2</v>
      </c>
      <c r="G2439" s="2142">
        <v>1170695</v>
      </c>
      <c r="H2439" s="3557">
        <v>42987</v>
      </c>
      <c r="I2439" s="2142">
        <v>1170695</v>
      </c>
    </row>
    <row r="2440" spans="1:9" s="2139" customFormat="1" hidden="1">
      <c r="A2440" s="2140" t="s">
        <v>5590</v>
      </c>
      <c r="B2440" s="3560" t="s">
        <v>3056</v>
      </c>
      <c r="C2440" s="2141" t="s">
        <v>3151</v>
      </c>
      <c r="D2440" s="3396">
        <v>95</v>
      </c>
      <c r="E2440" s="2142">
        <v>32.9</v>
      </c>
      <c r="F2440" s="2142">
        <v>16858.599999999999</v>
      </c>
      <c r="G2440" s="2142">
        <v>554648</v>
      </c>
      <c r="H2440" s="3557">
        <v>42987</v>
      </c>
      <c r="I2440" s="2142">
        <v>554648</v>
      </c>
    </row>
    <row r="2441" spans="1:9" s="2139" customFormat="1" hidden="1">
      <c r="A2441" s="2140" t="s">
        <v>6423</v>
      </c>
      <c r="B2441" s="3560">
        <v>9</v>
      </c>
      <c r="C2441" s="2141" t="s">
        <v>3151</v>
      </c>
      <c r="D2441" s="3396">
        <v>173</v>
      </c>
      <c r="E2441" s="2142">
        <v>40.97</v>
      </c>
      <c r="F2441" s="2142">
        <v>11489.65</v>
      </c>
      <c r="G2441" s="2142">
        <v>470731</v>
      </c>
      <c r="H2441" s="3557">
        <v>42987</v>
      </c>
      <c r="I2441" s="2142">
        <v>470731</v>
      </c>
    </row>
    <row r="2442" spans="1:9" s="2139" customFormat="1" hidden="1">
      <c r="A2442" s="2140" t="s">
        <v>6432</v>
      </c>
      <c r="B2442" s="3560">
        <v>9</v>
      </c>
      <c r="C2442" s="2141" t="s">
        <v>3151</v>
      </c>
      <c r="D2442" s="3396">
        <v>219</v>
      </c>
      <c r="E2442" s="2142">
        <v>117.5</v>
      </c>
      <c r="F2442" s="2142">
        <v>15244</v>
      </c>
      <c r="G2442" s="2142">
        <v>1791170</v>
      </c>
      <c r="H2442" s="3557">
        <v>42987</v>
      </c>
      <c r="I2442" s="2142">
        <v>1791170</v>
      </c>
    </row>
    <row r="2443" spans="1:9" s="2139" customFormat="1" hidden="1">
      <c r="A2443" s="2140" t="s">
        <v>6433</v>
      </c>
      <c r="B2443" s="3560">
        <v>9</v>
      </c>
      <c r="C2443" s="2141" t="s">
        <v>3151</v>
      </c>
      <c r="D2443" s="3396">
        <v>220</v>
      </c>
      <c r="E2443" s="2142">
        <v>117.5</v>
      </c>
      <c r="F2443" s="2142">
        <v>15244</v>
      </c>
      <c r="G2443" s="2142">
        <v>1791170</v>
      </c>
      <c r="H2443" s="3557">
        <v>42987</v>
      </c>
      <c r="I2443" s="2142">
        <v>1791170</v>
      </c>
    </row>
    <row r="2444" spans="1:9" s="2139" customFormat="1" hidden="1">
      <c r="A2444" s="2140" t="s">
        <v>6678</v>
      </c>
      <c r="B2444" s="3560">
        <v>11</v>
      </c>
      <c r="C2444" s="2141" t="s">
        <v>3151</v>
      </c>
      <c r="D2444" s="3396">
        <v>77</v>
      </c>
      <c r="E2444" s="2142">
        <v>21.5</v>
      </c>
      <c r="F2444" s="2142">
        <v>10490.56</v>
      </c>
      <c r="G2444" s="2142">
        <v>225547</v>
      </c>
      <c r="H2444" s="3557">
        <v>42987</v>
      </c>
      <c r="I2444" s="2142">
        <v>225547</v>
      </c>
    </row>
    <row r="2445" spans="1:9" s="2139" customFormat="1" hidden="1">
      <c r="A2445" s="2140" t="s">
        <v>5614</v>
      </c>
      <c r="B2445" s="3560" t="s">
        <v>3056</v>
      </c>
      <c r="C2445" s="2141" t="s">
        <v>3151</v>
      </c>
      <c r="D2445" s="3396">
        <v>146</v>
      </c>
      <c r="E2445" s="2142">
        <v>75.31</v>
      </c>
      <c r="F2445" s="2142">
        <v>16413</v>
      </c>
      <c r="G2445" s="2142">
        <v>1236063</v>
      </c>
      <c r="H2445" s="3557">
        <v>42986</v>
      </c>
      <c r="I2445" s="2142">
        <v>1236063</v>
      </c>
    </row>
    <row r="2446" spans="1:9" s="2139" customFormat="1" hidden="1">
      <c r="A2446" s="2140" t="s">
        <v>5615</v>
      </c>
      <c r="B2446" s="3560" t="s">
        <v>3056</v>
      </c>
      <c r="C2446" s="2141" t="s">
        <v>3151</v>
      </c>
      <c r="D2446" s="3396">
        <v>147</v>
      </c>
      <c r="E2446" s="2142">
        <v>75.319999999999993</v>
      </c>
      <c r="F2446" s="2142">
        <v>16413</v>
      </c>
      <c r="G2446" s="2142">
        <v>1236227</v>
      </c>
      <c r="H2446" s="3557">
        <v>42986</v>
      </c>
      <c r="I2446" s="2142">
        <v>1236227</v>
      </c>
    </row>
    <row r="2447" spans="1:9" s="2139" customFormat="1" hidden="1">
      <c r="A2447" s="2140" t="s">
        <v>5672</v>
      </c>
      <c r="B2447" s="3560" t="s">
        <v>3056</v>
      </c>
      <c r="C2447" s="2141" t="s">
        <v>3151</v>
      </c>
      <c r="D2447" s="3396">
        <v>341</v>
      </c>
      <c r="E2447" s="2142">
        <v>62.76</v>
      </c>
      <c r="F2447" s="2142">
        <v>16060</v>
      </c>
      <c r="G2447" s="2142">
        <v>1007926</v>
      </c>
      <c r="H2447" s="3557">
        <v>42986</v>
      </c>
      <c r="I2447" s="2142">
        <v>1007926</v>
      </c>
    </row>
    <row r="2448" spans="1:9" s="2139" customFormat="1" hidden="1">
      <c r="A2448" s="2140" t="s">
        <v>6927</v>
      </c>
      <c r="B2448" s="3560">
        <v>12</v>
      </c>
      <c r="C2448" s="2141" t="s">
        <v>3151</v>
      </c>
      <c r="D2448" s="3396">
        <v>102</v>
      </c>
      <c r="E2448" s="2142">
        <v>91.64</v>
      </c>
      <c r="F2448" s="2142">
        <v>11235</v>
      </c>
      <c r="G2448" s="2142">
        <v>1029575</v>
      </c>
      <c r="H2448" s="3557">
        <v>42986</v>
      </c>
      <c r="I2448" s="2142">
        <v>1029575</v>
      </c>
    </row>
    <row r="2449" spans="1:9" s="2139" customFormat="1" hidden="1">
      <c r="A2449" s="2140" t="s">
        <v>6710</v>
      </c>
      <c r="B2449" s="3560">
        <v>11</v>
      </c>
      <c r="C2449" s="2141" t="s">
        <v>3151</v>
      </c>
      <c r="D2449" s="3396">
        <v>162</v>
      </c>
      <c r="E2449" s="2142">
        <v>25.76</v>
      </c>
      <c r="F2449" s="2142">
        <v>11737.018679999999</v>
      </c>
      <c r="G2449" s="2142">
        <v>302345</v>
      </c>
      <c r="H2449" s="3557">
        <v>42985</v>
      </c>
      <c r="I2449" s="2142">
        <v>302345</v>
      </c>
    </row>
    <row r="2450" spans="1:9" s="2139" customFormat="1" hidden="1">
      <c r="A2450" s="2140" t="s">
        <v>6917</v>
      </c>
      <c r="B2450" s="3560">
        <v>12</v>
      </c>
      <c r="C2450" s="2141" t="s">
        <v>3151</v>
      </c>
      <c r="D2450" s="3396">
        <v>79</v>
      </c>
      <c r="E2450" s="2142">
        <v>140.44999999999999</v>
      </c>
      <c r="F2450" s="2142" t="s">
        <v>6918</v>
      </c>
      <c r="G2450" s="2142">
        <v>1945457</v>
      </c>
      <c r="H2450" s="3557">
        <v>42985</v>
      </c>
      <c r="I2450" s="2142">
        <v>1945457</v>
      </c>
    </row>
    <row r="2451" spans="1:9" s="2139" customFormat="1" hidden="1">
      <c r="A2451" s="2140" t="s">
        <v>5560</v>
      </c>
      <c r="B2451" s="3560" t="s">
        <v>3056</v>
      </c>
      <c r="C2451" s="2141" t="s">
        <v>3151</v>
      </c>
      <c r="D2451" s="3396">
        <v>49</v>
      </c>
      <c r="E2451" s="2142">
        <v>24.44</v>
      </c>
      <c r="F2451" s="2142">
        <v>15791.62</v>
      </c>
      <c r="G2451" s="2142">
        <v>385947</v>
      </c>
      <c r="H2451" s="3557">
        <v>42984</v>
      </c>
      <c r="I2451" s="2142">
        <v>385947</v>
      </c>
    </row>
    <row r="2452" spans="1:9" s="2139" customFormat="1" hidden="1">
      <c r="A2452" s="2140" t="s">
        <v>5561</v>
      </c>
      <c r="B2452" s="3560" t="s">
        <v>3056</v>
      </c>
      <c r="C2452" s="2141" t="s">
        <v>3151</v>
      </c>
      <c r="D2452" s="3396">
        <v>50</v>
      </c>
      <c r="E2452" s="2142">
        <v>60.48</v>
      </c>
      <c r="F2452" s="2142">
        <v>15791.6</v>
      </c>
      <c r="G2452" s="2142">
        <v>955076</v>
      </c>
      <c r="H2452" s="3557">
        <v>42984</v>
      </c>
      <c r="I2452" s="2142">
        <v>955076</v>
      </c>
    </row>
    <row r="2453" spans="1:9" s="2139" customFormat="1" hidden="1">
      <c r="A2453" s="2140" t="s">
        <v>6119</v>
      </c>
      <c r="B2453" s="3560" t="s">
        <v>3057</v>
      </c>
      <c r="C2453" s="2141" t="s">
        <v>3151</v>
      </c>
      <c r="D2453" s="3396">
        <v>422</v>
      </c>
      <c r="E2453" s="2142">
        <v>10.69</v>
      </c>
      <c r="F2453" s="2142">
        <v>17460.02</v>
      </c>
      <c r="G2453" s="2142">
        <v>186648</v>
      </c>
      <c r="H2453" s="3557">
        <v>42983</v>
      </c>
      <c r="I2453" s="2142">
        <v>186648</v>
      </c>
    </row>
    <row r="2454" spans="1:9" s="2139" customFormat="1" hidden="1">
      <c r="A2454" s="2140" t="s">
        <v>6120</v>
      </c>
      <c r="B2454" s="3560" t="s">
        <v>3057</v>
      </c>
      <c r="C2454" s="2141" t="s">
        <v>3151</v>
      </c>
      <c r="D2454" s="3396">
        <v>423</v>
      </c>
      <c r="E2454" s="2142">
        <v>11.37</v>
      </c>
      <c r="F2454" s="2142">
        <v>17460.02</v>
      </c>
      <c r="G2454" s="2142">
        <v>198520</v>
      </c>
      <c r="H2454" s="3557">
        <v>42983</v>
      </c>
      <c r="I2454" s="2142">
        <v>198520</v>
      </c>
    </row>
    <row r="2455" spans="1:9" s="2139" customFormat="1" hidden="1">
      <c r="A2455" s="2140" t="s">
        <v>6114</v>
      </c>
      <c r="B2455" s="3560" t="s">
        <v>3057</v>
      </c>
      <c r="C2455" s="2141" t="s">
        <v>3151</v>
      </c>
      <c r="D2455" s="3396">
        <v>416</v>
      </c>
      <c r="E2455" s="2142">
        <v>54.66</v>
      </c>
      <c r="F2455" s="2142">
        <v>12160.007250000001</v>
      </c>
      <c r="G2455" s="2142">
        <v>664666</v>
      </c>
      <c r="H2455" s="3557">
        <v>42982</v>
      </c>
      <c r="I2455" s="2142">
        <v>664666</v>
      </c>
    </row>
    <row r="2456" spans="1:9" s="2139" customFormat="1" hidden="1">
      <c r="A2456" s="2140" t="s">
        <v>6116</v>
      </c>
      <c r="B2456" s="3560" t="s">
        <v>3057</v>
      </c>
      <c r="C2456" s="2141" t="s">
        <v>3151</v>
      </c>
      <c r="D2456" s="3396">
        <v>418</v>
      </c>
      <c r="E2456" s="2142">
        <v>45.46</v>
      </c>
      <c r="F2456" s="2142">
        <v>10944</v>
      </c>
      <c r="G2456" s="2142">
        <v>497514</v>
      </c>
      <c r="H2456" s="3557">
        <v>42982</v>
      </c>
      <c r="I2456" s="2142">
        <v>497514</v>
      </c>
    </row>
    <row r="2457" spans="1:9" s="2139" customFormat="1" hidden="1">
      <c r="A2457" s="2140" t="s">
        <v>6127</v>
      </c>
      <c r="B2457" s="3560" t="s">
        <v>3057</v>
      </c>
      <c r="C2457" s="2141" t="s">
        <v>3151</v>
      </c>
      <c r="D2457" s="3396">
        <v>437</v>
      </c>
      <c r="E2457" s="2142">
        <v>70.459999999999994</v>
      </c>
      <c r="F2457" s="2142">
        <v>14193</v>
      </c>
      <c r="G2457" s="2142">
        <v>1000039</v>
      </c>
      <c r="H2457" s="3557">
        <v>42982</v>
      </c>
      <c r="I2457" s="2142">
        <v>1000039</v>
      </c>
    </row>
    <row r="2458" spans="1:9" s="2139" customFormat="1" hidden="1">
      <c r="A2458" s="2140" t="s">
        <v>5564</v>
      </c>
      <c r="B2458" s="3560" t="s">
        <v>3056</v>
      </c>
      <c r="C2458" s="2141" t="s">
        <v>3151</v>
      </c>
      <c r="D2458" s="3396">
        <v>53</v>
      </c>
      <c r="E2458" s="2142">
        <v>44.38</v>
      </c>
      <c r="F2458" s="2142">
        <v>10670</v>
      </c>
      <c r="G2458" s="2142">
        <v>473535</v>
      </c>
      <c r="H2458" s="3557">
        <v>42980</v>
      </c>
      <c r="I2458" s="2142">
        <v>473535</v>
      </c>
    </row>
    <row r="2459" spans="1:9" s="2139" customFormat="1" hidden="1">
      <c r="A2459" s="2140" t="s">
        <v>5641</v>
      </c>
      <c r="B2459" s="3560" t="s">
        <v>3056</v>
      </c>
      <c r="C2459" s="2141" t="s">
        <v>3151</v>
      </c>
      <c r="D2459" s="3396">
        <v>271</v>
      </c>
      <c r="E2459" s="2142">
        <v>55.42</v>
      </c>
      <c r="F2459" s="2142">
        <v>14080</v>
      </c>
      <c r="G2459" s="2142">
        <v>780314</v>
      </c>
      <c r="H2459" s="3557">
        <v>42980</v>
      </c>
      <c r="I2459" s="2142">
        <v>780314</v>
      </c>
    </row>
    <row r="2460" spans="1:9" s="2139" customFormat="1" hidden="1">
      <c r="A2460" s="2140" t="s">
        <v>6914</v>
      </c>
      <c r="B2460" s="3560">
        <v>12</v>
      </c>
      <c r="C2460" s="2141" t="s">
        <v>3151</v>
      </c>
      <c r="D2460" s="3396">
        <v>71</v>
      </c>
      <c r="E2460" s="2142">
        <v>37</v>
      </c>
      <c r="F2460" s="2142">
        <v>10897.94</v>
      </c>
      <c r="G2460" s="2142">
        <v>403224</v>
      </c>
      <c r="H2460" s="3557">
        <v>42980</v>
      </c>
      <c r="I2460" s="2142">
        <v>403224</v>
      </c>
    </row>
    <row r="2461" spans="1:9" s="2139" customFormat="1" hidden="1">
      <c r="A2461" s="2140" t="s">
        <v>6972</v>
      </c>
      <c r="B2461" s="3560">
        <v>12</v>
      </c>
      <c r="C2461" s="2141" t="s">
        <v>3151</v>
      </c>
      <c r="D2461" s="3396">
        <v>150</v>
      </c>
      <c r="E2461" s="2142">
        <v>58.86</v>
      </c>
      <c r="F2461" s="2142" t="s">
        <v>6973</v>
      </c>
      <c r="G2461" s="2142">
        <v>641454</v>
      </c>
      <c r="H2461" s="3557">
        <v>42980</v>
      </c>
      <c r="I2461" s="2142">
        <v>641454</v>
      </c>
    </row>
    <row r="2462" spans="1:9" s="2139" customFormat="1" hidden="1">
      <c r="A2462" s="2140" t="s">
        <v>6124</v>
      </c>
      <c r="B2462" s="3560" t="s">
        <v>3057</v>
      </c>
      <c r="C2462" s="2141" t="s">
        <v>3151</v>
      </c>
      <c r="D2462" s="3396">
        <v>433</v>
      </c>
      <c r="E2462" s="2142">
        <v>66.23</v>
      </c>
      <c r="F2462" s="2142">
        <v>14193</v>
      </c>
      <c r="G2462" s="2142">
        <v>940002</v>
      </c>
      <c r="H2462" s="3557">
        <v>42979</v>
      </c>
      <c r="I2462" s="2142">
        <v>940002</v>
      </c>
    </row>
    <row r="2463" spans="1:9" s="2139" customFormat="1" hidden="1">
      <c r="A2463" s="2140" t="s">
        <v>6134</v>
      </c>
      <c r="B2463" s="3560" t="s">
        <v>3057</v>
      </c>
      <c r="C2463" s="2141" t="s">
        <v>3151</v>
      </c>
      <c r="D2463" s="3396">
        <v>456</v>
      </c>
      <c r="E2463" s="2142">
        <v>49.92</v>
      </c>
      <c r="F2463" s="2142">
        <v>11520</v>
      </c>
      <c r="G2463" s="2142">
        <v>575078</v>
      </c>
      <c r="H2463" s="3557">
        <v>42979</v>
      </c>
      <c r="I2463" s="2142">
        <v>305078</v>
      </c>
    </row>
    <row r="2464" spans="1:9" s="2139" customFormat="1" hidden="1">
      <c r="A2464" s="2140" t="s">
        <v>6135</v>
      </c>
      <c r="B2464" s="3560" t="s">
        <v>3057</v>
      </c>
      <c r="C2464" s="2141" t="s">
        <v>3151</v>
      </c>
      <c r="D2464" s="3396">
        <v>470</v>
      </c>
      <c r="E2464" s="2142">
        <v>84.23</v>
      </c>
      <c r="F2464" s="2142">
        <v>14940</v>
      </c>
      <c r="G2464" s="2142">
        <v>1258396</v>
      </c>
      <c r="H2464" s="3557">
        <v>42979</v>
      </c>
      <c r="I2464" s="2142">
        <v>638396</v>
      </c>
    </row>
    <row r="2465" spans="1:9" s="2139" customFormat="1" hidden="1">
      <c r="A2465" s="2140" t="s">
        <v>7018</v>
      </c>
      <c r="B2465" s="3560">
        <v>12</v>
      </c>
      <c r="C2465" s="2141" t="s">
        <v>3151</v>
      </c>
      <c r="D2465" s="3396">
        <v>207</v>
      </c>
      <c r="E2465" s="2142">
        <v>48.41</v>
      </c>
      <c r="F2465" s="2142">
        <v>13440</v>
      </c>
      <c r="G2465" s="2142">
        <v>650630.39999999991</v>
      </c>
      <c r="H2465" s="3557">
        <v>42960</v>
      </c>
      <c r="I2465" s="2142">
        <v>139690</v>
      </c>
    </row>
    <row r="2466" spans="1:9" s="2139" customFormat="1" hidden="1">
      <c r="A2466" s="2140" t="s">
        <v>6905</v>
      </c>
      <c r="B2466" s="3560">
        <v>12</v>
      </c>
      <c r="C2466" s="2141" t="s">
        <v>3151</v>
      </c>
      <c r="D2466" s="3396">
        <v>53</v>
      </c>
      <c r="E2466" s="2142">
        <v>99.13</v>
      </c>
      <c r="F2466" s="2142">
        <v>12915</v>
      </c>
      <c r="G2466" s="2142">
        <v>1280263.95</v>
      </c>
      <c r="H2466" s="3557">
        <v>42948</v>
      </c>
      <c r="I2466" s="2142">
        <v>268456</v>
      </c>
    </row>
    <row r="2467" spans="1:9" s="2139" customFormat="1" hidden="1">
      <c r="A2467" s="2140" t="s">
        <v>6416</v>
      </c>
      <c r="B2467" s="3560">
        <v>9</v>
      </c>
      <c r="C2467" s="2141" t="s">
        <v>3151</v>
      </c>
      <c r="D2467" s="3396">
        <v>116</v>
      </c>
      <c r="E2467" s="2142">
        <v>77.16</v>
      </c>
      <c r="F2467" s="2142">
        <v>14419.99741</v>
      </c>
      <c r="G2467" s="2142">
        <v>1112647.0001556</v>
      </c>
      <c r="H2467" s="3557">
        <v>42947</v>
      </c>
      <c r="I2467" s="2142">
        <v>562647</v>
      </c>
    </row>
    <row r="2468" spans="1:9" s="2139" customFormat="1" hidden="1">
      <c r="A2468" s="2140" t="s">
        <v>6108</v>
      </c>
      <c r="B2468" s="3560" t="s">
        <v>3057</v>
      </c>
      <c r="C2468" s="2141" t="s">
        <v>3151</v>
      </c>
      <c r="D2468" s="3396">
        <v>408</v>
      </c>
      <c r="E2468" s="2142">
        <v>16.809999999999999</v>
      </c>
      <c r="F2468" s="2142">
        <v>15770.01785</v>
      </c>
      <c r="G2468" s="2142">
        <v>265094.00005849998</v>
      </c>
      <c r="H2468" s="3557">
        <v>42941</v>
      </c>
      <c r="I2468" s="2142">
        <v>265094</v>
      </c>
    </row>
    <row r="2469" spans="1:9" s="2139" customFormat="1" hidden="1">
      <c r="A2469" s="2140" t="s">
        <v>6109</v>
      </c>
      <c r="B2469" s="3560" t="s">
        <v>3057</v>
      </c>
      <c r="C2469" s="2141" t="s">
        <v>3151</v>
      </c>
      <c r="D2469" s="3396">
        <v>409</v>
      </c>
      <c r="E2469" s="2142">
        <v>25.12</v>
      </c>
      <c r="F2469" s="2142">
        <v>13109.9920382</v>
      </c>
      <c r="G2469" s="2142">
        <v>329322.99999958399</v>
      </c>
      <c r="H2469" s="3557">
        <v>42941</v>
      </c>
      <c r="I2469" s="2142">
        <v>329323</v>
      </c>
    </row>
    <row r="2470" spans="1:9" s="2139" customFormat="1" hidden="1">
      <c r="A2470" s="2140" t="s">
        <v>6080</v>
      </c>
      <c r="B2470" s="3560" t="s">
        <v>3057</v>
      </c>
      <c r="C2470" s="2141" t="s">
        <v>3151</v>
      </c>
      <c r="D2470" s="3396">
        <v>229</v>
      </c>
      <c r="E2470" s="2142">
        <v>70.61</v>
      </c>
      <c r="F2470" s="2142">
        <v>13109.998600000001</v>
      </c>
      <c r="G2470" s="2142">
        <v>925697.001146</v>
      </c>
      <c r="H2470" s="3557">
        <v>42936</v>
      </c>
      <c r="I2470" s="2142">
        <v>925697</v>
      </c>
    </row>
    <row r="2471" spans="1:9" hidden="1">
      <c r="A2471" s="3395" t="s">
        <v>5014</v>
      </c>
      <c r="B2471" s="3560" t="s">
        <v>3055</v>
      </c>
      <c r="C2471" s="3396" t="s">
        <v>3151</v>
      </c>
      <c r="D2471" s="3396">
        <v>15</v>
      </c>
      <c r="E2471" s="3397">
        <v>41.18</v>
      </c>
      <c r="F2471" s="3397">
        <v>10184.99272</v>
      </c>
      <c r="G2471" s="3397">
        <v>419418.00020960002</v>
      </c>
      <c r="H2471" s="3557">
        <v>42935</v>
      </c>
      <c r="I2471" s="3397">
        <v>419418</v>
      </c>
    </row>
    <row r="2472" spans="1:9" hidden="1">
      <c r="A2472" s="3395" t="s">
        <v>5008</v>
      </c>
      <c r="B2472" s="3560" t="s">
        <v>3055</v>
      </c>
      <c r="C2472" s="3396" t="s">
        <v>3151</v>
      </c>
      <c r="D2472" s="3396">
        <v>8</v>
      </c>
      <c r="E2472" s="3397">
        <v>71.959999999999994</v>
      </c>
      <c r="F2472" s="3397">
        <v>15326.00056</v>
      </c>
      <c r="G2472" s="3397">
        <v>1102859.0002975999</v>
      </c>
      <c r="H2472" s="3557">
        <v>42934</v>
      </c>
      <c r="I2472" s="3397">
        <v>1102859</v>
      </c>
    </row>
    <row r="2473" spans="1:9" hidden="1">
      <c r="A2473" s="3395" t="s">
        <v>5009</v>
      </c>
      <c r="B2473" s="3560" t="s">
        <v>3055</v>
      </c>
      <c r="C2473" s="3396" t="s">
        <v>3151</v>
      </c>
      <c r="D2473" s="3396">
        <v>9</v>
      </c>
      <c r="E2473" s="3397">
        <v>71.959999999999994</v>
      </c>
      <c r="F2473" s="3397">
        <v>15800</v>
      </c>
      <c r="G2473" s="3397">
        <v>1136968</v>
      </c>
      <c r="H2473" s="3557">
        <v>42934</v>
      </c>
      <c r="I2473" s="3397">
        <v>576968</v>
      </c>
    </row>
    <row r="2474" spans="1:9" s="2139" customFormat="1" hidden="1">
      <c r="A2474" s="2140" t="s">
        <v>5646</v>
      </c>
      <c r="B2474" s="3560" t="s">
        <v>3056</v>
      </c>
      <c r="C2474" s="2141" t="s">
        <v>3151</v>
      </c>
      <c r="D2474" s="3396">
        <v>279</v>
      </c>
      <c r="E2474" s="2142">
        <v>40.6</v>
      </c>
      <c r="F2474" s="2142">
        <v>19360</v>
      </c>
      <c r="G2474" s="2142">
        <v>786016</v>
      </c>
      <c r="H2474" s="3557">
        <v>42932</v>
      </c>
      <c r="I2474" s="2142">
        <v>406016</v>
      </c>
    </row>
    <row r="2475" spans="1:9" s="2139" customFormat="1" hidden="1">
      <c r="A2475" s="2140" t="s">
        <v>5631</v>
      </c>
      <c r="B2475" s="3560" t="s">
        <v>3056</v>
      </c>
      <c r="C2475" s="2141" t="s">
        <v>3151</v>
      </c>
      <c r="D2475" s="3396">
        <v>188</v>
      </c>
      <c r="E2475" s="2142">
        <v>126.72</v>
      </c>
      <c r="F2475" s="2142">
        <v>21060.85859</v>
      </c>
      <c r="G2475" s="2142">
        <v>2668832.0005247998</v>
      </c>
      <c r="H2475" s="3557">
        <v>42919</v>
      </c>
      <c r="I2475" s="2142">
        <v>538832</v>
      </c>
    </row>
    <row r="2476" spans="1:9" s="2139" customFormat="1" hidden="1">
      <c r="A2476" s="2140" t="s">
        <v>7012</v>
      </c>
      <c r="B2476" s="3560">
        <v>12</v>
      </c>
      <c r="C2476" s="2141" t="s">
        <v>3151</v>
      </c>
      <c r="D2476" s="3396">
        <v>196</v>
      </c>
      <c r="E2476" s="2142">
        <v>18.68</v>
      </c>
      <c r="F2476" s="2142">
        <v>16077.97428</v>
      </c>
      <c r="G2476" s="2142">
        <v>300336.55955040001</v>
      </c>
      <c r="H2476" s="3557">
        <v>42901</v>
      </c>
      <c r="I2476" s="2142">
        <v>150015</v>
      </c>
    </row>
    <row r="2477" spans="1:9" s="2139" customFormat="1" hidden="1">
      <c r="A2477" s="2140" t="s">
        <v>6921</v>
      </c>
      <c r="B2477" s="3560">
        <v>12</v>
      </c>
      <c r="C2477" s="2141" t="s">
        <v>3151</v>
      </c>
      <c r="D2477" s="3396">
        <v>87</v>
      </c>
      <c r="E2477" s="2142">
        <v>46.78</v>
      </c>
      <c r="F2477" s="2142">
        <v>13000</v>
      </c>
      <c r="G2477" s="2142">
        <v>608140</v>
      </c>
      <c r="H2477" s="3557">
        <v>42895</v>
      </c>
      <c r="I2477" s="2142">
        <v>307230</v>
      </c>
    </row>
    <row r="2478" spans="1:9" s="2139" customFormat="1" hidden="1">
      <c r="A2478" s="2140" t="s">
        <v>5613</v>
      </c>
      <c r="B2478" s="3560" t="s">
        <v>3056</v>
      </c>
      <c r="C2478" s="2141" t="s">
        <v>3151</v>
      </c>
      <c r="D2478" s="3396">
        <v>141</v>
      </c>
      <c r="E2478" s="2142">
        <v>76.3</v>
      </c>
      <c r="F2478" s="2142">
        <v>16800</v>
      </c>
      <c r="G2478" s="2142">
        <v>1281840</v>
      </c>
      <c r="H2478" s="3557">
        <v>42887</v>
      </c>
      <c r="I2478" s="2142">
        <v>641840</v>
      </c>
    </row>
    <row r="2479" spans="1:9" s="2139" customFormat="1" hidden="1">
      <c r="A2479" s="2140" t="s">
        <v>6680</v>
      </c>
      <c r="B2479" s="3560">
        <v>11</v>
      </c>
      <c r="C2479" s="2141" t="s">
        <v>3151</v>
      </c>
      <c r="D2479" s="3396">
        <v>81</v>
      </c>
      <c r="E2479" s="2142">
        <v>50.07</v>
      </c>
      <c r="F2479" s="2142">
        <v>13390</v>
      </c>
      <c r="G2479" s="2142">
        <v>670437.30000000005</v>
      </c>
      <c r="H2479" s="3557">
        <v>42871</v>
      </c>
      <c r="I2479" s="2142">
        <v>340973</v>
      </c>
    </row>
    <row r="2480" spans="1:9" s="2139" customFormat="1" hidden="1">
      <c r="A2480" s="2140" t="s">
        <v>5644</v>
      </c>
      <c r="B2480" s="3560" t="s">
        <v>3056</v>
      </c>
      <c r="C2480" s="2141" t="s">
        <v>3151</v>
      </c>
      <c r="D2480" s="3396">
        <v>277</v>
      </c>
      <c r="E2480" s="2142">
        <v>34.11</v>
      </c>
      <c r="F2480" s="2142">
        <v>13657.6077</v>
      </c>
      <c r="G2480" s="2142">
        <v>465860.998647</v>
      </c>
      <c r="H2480" s="3557">
        <v>42858</v>
      </c>
      <c r="I2480" s="2142">
        <v>465861</v>
      </c>
    </row>
    <row r="2481" spans="1:9" s="2139" customFormat="1" hidden="1">
      <c r="A2481" s="2140" t="s">
        <v>6652</v>
      </c>
      <c r="B2481" s="3560">
        <v>11</v>
      </c>
      <c r="C2481" s="2141" t="s">
        <v>3151</v>
      </c>
      <c r="D2481" s="3396">
        <v>17</v>
      </c>
      <c r="E2481" s="2142">
        <v>47.58</v>
      </c>
      <c r="F2481" s="2142">
        <v>14287.127259999999</v>
      </c>
      <c r="G2481" s="2142">
        <v>679781.5150307999</v>
      </c>
      <c r="H2481" s="3557">
        <v>42844</v>
      </c>
      <c r="I2481" s="2142">
        <v>680353</v>
      </c>
    </row>
    <row r="2482" spans="1:9" s="2139" customFormat="1" hidden="1">
      <c r="A2482" s="2140" t="s">
        <v>6653</v>
      </c>
      <c r="B2482" s="3560">
        <v>11</v>
      </c>
      <c r="C2482" s="2141" t="s">
        <v>3151</v>
      </c>
      <c r="D2482" s="3396">
        <v>18</v>
      </c>
      <c r="E2482" s="2142">
        <v>47.58</v>
      </c>
      <c r="F2482" s="2142">
        <v>14287.127259999999</v>
      </c>
      <c r="G2482" s="2142">
        <v>679781.5150307999</v>
      </c>
      <c r="H2482" s="3557">
        <v>42844</v>
      </c>
      <c r="I2482" s="2142">
        <v>680353</v>
      </c>
    </row>
    <row r="2483" spans="1:9" s="2139" customFormat="1" hidden="1">
      <c r="A2483" s="2140" t="s">
        <v>6117</v>
      </c>
      <c r="B2483" s="3560" t="s">
        <v>3057</v>
      </c>
      <c r="C2483" s="2141" t="s">
        <v>3151</v>
      </c>
      <c r="D2483" s="3396">
        <v>419</v>
      </c>
      <c r="E2483" s="2142">
        <v>45.92</v>
      </c>
      <c r="F2483" s="2142">
        <v>11519.99129</v>
      </c>
      <c r="G2483" s="2142">
        <v>528998.00003680005</v>
      </c>
      <c r="H2483" s="3557">
        <v>42832</v>
      </c>
      <c r="I2483" s="2142">
        <v>268998</v>
      </c>
    </row>
    <row r="2484" spans="1:9" s="2139" customFormat="1" hidden="1">
      <c r="A2484" s="2140" t="s">
        <v>6126</v>
      </c>
      <c r="B2484" s="3560" t="s">
        <v>3057</v>
      </c>
      <c r="C2484" s="2141" t="s">
        <v>3151</v>
      </c>
      <c r="D2484" s="3396">
        <v>436</v>
      </c>
      <c r="E2484" s="2142">
        <v>70.02</v>
      </c>
      <c r="F2484" s="2142">
        <v>14940</v>
      </c>
      <c r="G2484" s="2142">
        <v>1046098.7999999999</v>
      </c>
      <c r="H2484" s="3557">
        <v>42832</v>
      </c>
      <c r="I2484" s="2142">
        <v>526099</v>
      </c>
    </row>
    <row r="2485" spans="1:9" s="2139" customFormat="1" hidden="1">
      <c r="A2485" s="2140" t="s">
        <v>6429</v>
      </c>
      <c r="B2485" s="3560">
        <v>9</v>
      </c>
      <c r="C2485" s="2141" t="s">
        <v>3151</v>
      </c>
      <c r="D2485" s="3396">
        <v>198</v>
      </c>
      <c r="E2485" s="2142">
        <v>75</v>
      </c>
      <c r="F2485" s="2142">
        <v>13487.85333</v>
      </c>
      <c r="G2485" s="2142">
        <v>1011588.99975</v>
      </c>
      <c r="H2485" s="3557">
        <v>42817</v>
      </c>
      <c r="I2485" s="2142">
        <v>1011589</v>
      </c>
    </row>
    <row r="2486" spans="1:9" s="2139" customFormat="1" hidden="1">
      <c r="A2486" s="2140" t="s">
        <v>6078</v>
      </c>
      <c r="B2486" s="3560" t="s">
        <v>3057</v>
      </c>
      <c r="C2486" s="2141" t="s">
        <v>3151</v>
      </c>
      <c r="D2486" s="3396">
        <v>227</v>
      </c>
      <c r="E2486" s="2142">
        <v>68.19</v>
      </c>
      <c r="F2486" s="2142">
        <v>13800</v>
      </c>
      <c r="G2486" s="2142">
        <v>941022</v>
      </c>
      <c r="H2486" s="3557">
        <v>42815</v>
      </c>
      <c r="I2486" s="2142">
        <v>471022</v>
      </c>
    </row>
    <row r="2487" spans="1:9" s="2139" customFormat="1" hidden="1">
      <c r="A2487" s="2140" t="s">
        <v>7032</v>
      </c>
      <c r="B2487" s="3560">
        <v>12</v>
      </c>
      <c r="C2487" s="2141" t="s">
        <v>3151</v>
      </c>
      <c r="D2487" s="3396">
        <v>223</v>
      </c>
      <c r="E2487" s="2142">
        <v>51.94</v>
      </c>
      <c r="F2487" s="2142">
        <v>11760</v>
      </c>
      <c r="G2487" s="2142">
        <v>610814.4</v>
      </c>
      <c r="H2487" s="3557">
        <v>42815</v>
      </c>
      <c r="I2487" s="2142">
        <v>229991</v>
      </c>
    </row>
    <row r="2488" spans="1:9" s="2139" customFormat="1" hidden="1">
      <c r="A2488" s="2140" t="s">
        <v>6660</v>
      </c>
      <c r="B2488" s="3560">
        <v>11</v>
      </c>
      <c r="C2488" s="2141" t="s">
        <v>3151</v>
      </c>
      <c r="D2488" s="3396">
        <v>28</v>
      </c>
      <c r="E2488" s="2142">
        <v>47.58</v>
      </c>
      <c r="F2488" s="2142">
        <v>15361.990760000001</v>
      </c>
      <c r="G2488" s="2142">
        <v>730923.52036079997</v>
      </c>
      <c r="H2488" s="3557">
        <v>42787</v>
      </c>
      <c r="I2488" s="2142">
        <v>371538</v>
      </c>
    </row>
    <row r="2489" spans="1:9" s="2139" customFormat="1" hidden="1">
      <c r="A2489" s="2140" t="s">
        <v>6661</v>
      </c>
      <c r="B2489" s="3560">
        <v>11</v>
      </c>
      <c r="C2489" s="2141" t="s">
        <v>3151</v>
      </c>
      <c r="D2489" s="3396">
        <v>29</v>
      </c>
      <c r="E2489" s="2142">
        <v>47.58</v>
      </c>
      <c r="F2489" s="2142">
        <v>15361.990760000001</v>
      </c>
      <c r="G2489" s="2142">
        <v>730923.52036079997</v>
      </c>
      <c r="H2489" s="3557">
        <v>42787</v>
      </c>
      <c r="I2489" s="2142">
        <v>371538</v>
      </c>
    </row>
    <row r="2490" spans="1:9" s="2139" customFormat="1" hidden="1">
      <c r="A2490" s="2140" t="s">
        <v>6662</v>
      </c>
      <c r="B2490" s="3560">
        <v>11</v>
      </c>
      <c r="C2490" s="2141" t="s">
        <v>3151</v>
      </c>
      <c r="D2490" s="3396">
        <v>30</v>
      </c>
      <c r="E2490" s="2142">
        <v>84.29</v>
      </c>
      <c r="F2490" s="2142">
        <v>15939</v>
      </c>
      <c r="G2490" s="2142">
        <v>1343498.31</v>
      </c>
      <c r="H2490" s="3557">
        <v>42787</v>
      </c>
      <c r="I2490" s="2142">
        <v>674614</v>
      </c>
    </row>
    <row r="2491" spans="1:9" s="2139" customFormat="1" hidden="1">
      <c r="A2491" s="2140" t="s">
        <v>6663</v>
      </c>
      <c r="B2491" s="3560">
        <v>11</v>
      </c>
      <c r="C2491" s="2141" t="s">
        <v>3151</v>
      </c>
      <c r="D2491" s="3396">
        <v>31</v>
      </c>
      <c r="E2491" s="2142">
        <v>82.62</v>
      </c>
      <c r="F2491" s="2142">
        <v>14438</v>
      </c>
      <c r="G2491" s="2142">
        <v>1192867.56</v>
      </c>
      <c r="H2491" s="3557">
        <v>42787</v>
      </c>
      <c r="I2491" s="2142">
        <v>603878</v>
      </c>
    </row>
    <row r="2492" spans="1:9" s="2139" customFormat="1" hidden="1">
      <c r="A2492" s="2140" t="s">
        <v>6664</v>
      </c>
      <c r="B2492" s="3560">
        <v>11</v>
      </c>
      <c r="C2492" s="2141" t="s">
        <v>3151</v>
      </c>
      <c r="D2492" s="3396">
        <v>32</v>
      </c>
      <c r="E2492" s="2142">
        <v>46.64</v>
      </c>
      <c r="F2492" s="2142">
        <v>12128</v>
      </c>
      <c r="G2492" s="2142">
        <v>565649.92000000004</v>
      </c>
      <c r="H2492" s="3557">
        <v>42787</v>
      </c>
      <c r="I2492" s="2142">
        <v>286135</v>
      </c>
    </row>
    <row r="2493" spans="1:9" s="2139" customFormat="1" hidden="1">
      <c r="A2493" s="2140" t="s">
        <v>6665</v>
      </c>
      <c r="B2493" s="3560">
        <v>11</v>
      </c>
      <c r="C2493" s="2141" t="s">
        <v>3151</v>
      </c>
      <c r="D2493" s="3396">
        <v>33</v>
      </c>
      <c r="E2493" s="2142">
        <v>46.64</v>
      </c>
      <c r="F2493" s="2142">
        <v>12128</v>
      </c>
      <c r="G2493" s="2142">
        <v>565649.92000000004</v>
      </c>
      <c r="H2493" s="3557">
        <v>42787</v>
      </c>
      <c r="I2493" s="2142">
        <v>286135</v>
      </c>
    </row>
    <row r="2494" spans="1:9" s="2139" customFormat="1" hidden="1">
      <c r="A2494" s="2140" t="s">
        <v>6692</v>
      </c>
      <c r="B2494" s="3560">
        <v>11</v>
      </c>
      <c r="C2494" s="2141" t="s">
        <v>3151</v>
      </c>
      <c r="D2494" s="3396">
        <v>133</v>
      </c>
      <c r="E2494" s="2142">
        <v>88.25</v>
      </c>
      <c r="F2494" s="2142">
        <v>12463</v>
      </c>
      <c r="G2494" s="2142">
        <v>1099859.75</v>
      </c>
      <c r="H2494" s="3557">
        <v>42771</v>
      </c>
      <c r="I2494" s="2142">
        <v>551024</v>
      </c>
    </row>
    <row r="2495" spans="1:9" s="2139" customFormat="1" hidden="1">
      <c r="A2495" s="2140" t="s">
        <v>6693</v>
      </c>
      <c r="B2495" s="3560">
        <v>11</v>
      </c>
      <c r="C2495" s="2141" t="s">
        <v>3151</v>
      </c>
      <c r="D2495" s="3396">
        <v>135</v>
      </c>
      <c r="E2495" s="2142">
        <v>82.38</v>
      </c>
      <c r="F2495" s="2142">
        <v>12462.995755</v>
      </c>
      <c r="G2495" s="2142">
        <v>1026701.5902968999</v>
      </c>
      <c r="H2495" s="3557">
        <v>42771</v>
      </c>
      <c r="I2495" s="2142">
        <v>520062</v>
      </c>
    </row>
    <row r="2496" spans="1:9" s="2139" customFormat="1" hidden="1">
      <c r="A2496" s="2140" t="s">
        <v>6686</v>
      </c>
      <c r="B2496" s="3560">
        <v>11</v>
      </c>
      <c r="C2496" s="2141" t="s">
        <v>3151</v>
      </c>
      <c r="D2496" s="3396">
        <v>100</v>
      </c>
      <c r="E2496" s="2142">
        <v>203.27</v>
      </c>
      <c r="F2496" s="2142">
        <v>16285.326647899999</v>
      </c>
      <c r="G2496" s="2142">
        <v>3310319</v>
      </c>
      <c r="H2496" s="3557">
        <v>42761</v>
      </c>
      <c r="I2496" s="2142">
        <v>3312924</v>
      </c>
    </row>
    <row r="2497" spans="1:9" s="2139" customFormat="1" hidden="1">
      <c r="A2497" s="2140" t="s">
        <v>5634</v>
      </c>
      <c r="B2497" s="3560" t="s">
        <v>3056</v>
      </c>
      <c r="C2497" s="2141" t="s">
        <v>3151</v>
      </c>
      <c r="D2497" s="3396">
        <v>242</v>
      </c>
      <c r="E2497" s="2142">
        <v>67.75</v>
      </c>
      <c r="F2497" s="2142">
        <v>13200</v>
      </c>
      <c r="G2497" s="2142">
        <v>894300</v>
      </c>
      <c r="H2497" s="3557">
        <v>42759</v>
      </c>
      <c r="I2497" s="2142">
        <v>454300</v>
      </c>
    </row>
    <row r="2498" spans="1:9" s="2139" customFormat="1" hidden="1">
      <c r="A2498" s="2140" t="s">
        <v>6672</v>
      </c>
      <c r="B2498" s="3560">
        <v>11</v>
      </c>
      <c r="C2498" s="2141" t="s">
        <v>3151</v>
      </c>
      <c r="D2498" s="3396">
        <v>42</v>
      </c>
      <c r="E2498" s="2142">
        <v>46.64</v>
      </c>
      <c r="F2498" s="2142">
        <v>10990.081399999999</v>
      </c>
      <c r="G2498" s="2142">
        <v>512577.39649599994</v>
      </c>
      <c r="H2498" s="3557">
        <v>42758</v>
      </c>
      <c r="I2498" s="2142">
        <v>513017</v>
      </c>
    </row>
    <row r="2499" spans="1:9" s="2139" customFormat="1" hidden="1">
      <c r="A2499" s="2140" t="s">
        <v>6673</v>
      </c>
      <c r="B2499" s="3560">
        <v>11</v>
      </c>
      <c r="C2499" s="2141" t="s">
        <v>3151</v>
      </c>
      <c r="D2499" s="3396">
        <v>43</v>
      </c>
      <c r="E2499" s="2142">
        <v>46.64</v>
      </c>
      <c r="F2499" s="2142">
        <v>10990.081399999999</v>
      </c>
      <c r="G2499" s="2142">
        <v>512577.39649599994</v>
      </c>
      <c r="H2499" s="3557">
        <v>42758</v>
      </c>
      <c r="I2499" s="2142">
        <v>513017</v>
      </c>
    </row>
    <row r="2500" spans="1:9" s="2139" customFormat="1" hidden="1">
      <c r="A2500" s="2140" t="s">
        <v>7019</v>
      </c>
      <c r="B2500" s="3560">
        <v>12</v>
      </c>
      <c r="C2500" s="2141" t="s">
        <v>3151</v>
      </c>
      <c r="D2500" s="3396">
        <v>208</v>
      </c>
      <c r="E2500" s="2142">
        <v>37.32</v>
      </c>
      <c r="F2500" s="2142">
        <v>12551.8</v>
      </c>
      <c r="G2500" s="2142">
        <v>468433.17599999998</v>
      </c>
      <c r="H2500" s="3557">
        <v>42741</v>
      </c>
      <c r="I2500" s="2142">
        <v>471948</v>
      </c>
    </row>
    <row r="2501" spans="1:9" s="2139" customFormat="1" hidden="1">
      <c r="A2501" s="2140" t="s">
        <v>5633</v>
      </c>
      <c r="B2501" s="3560" t="s">
        <v>3056</v>
      </c>
      <c r="C2501" s="2141" t="s">
        <v>3151</v>
      </c>
      <c r="D2501" s="3396">
        <v>241</v>
      </c>
      <c r="E2501" s="2142">
        <v>67.760000000000005</v>
      </c>
      <c r="F2501" s="2142">
        <v>13200</v>
      </c>
      <c r="G2501" s="2142">
        <v>894432.00000000012</v>
      </c>
      <c r="H2501" s="3557">
        <v>42736</v>
      </c>
      <c r="I2501" s="2142">
        <v>454432</v>
      </c>
    </row>
    <row r="2502" spans="1:9" s="2139" customFormat="1" hidden="1">
      <c r="A2502" s="2140" t="s">
        <v>6399</v>
      </c>
      <c r="B2502" s="3560">
        <v>9</v>
      </c>
      <c r="C2502" s="2141" t="s">
        <v>3151</v>
      </c>
      <c r="D2502" s="3396">
        <v>87</v>
      </c>
      <c r="E2502" s="2142">
        <v>46.43</v>
      </c>
      <c r="F2502" s="2142">
        <v>10490.54</v>
      </c>
      <c r="G2502" s="2142">
        <v>487075.77220000006</v>
      </c>
      <c r="H2502" s="3557">
        <v>42736</v>
      </c>
      <c r="I2502" s="2142">
        <v>487076</v>
      </c>
    </row>
    <row r="2503" spans="1:9" s="2139" customFormat="1" hidden="1">
      <c r="A2503" s="2140" t="s">
        <v>6947</v>
      </c>
      <c r="B2503" s="2141">
        <v>12</v>
      </c>
      <c r="C2503" s="2141" t="s">
        <v>3151</v>
      </c>
      <c r="D2503" s="2141">
        <v>128</v>
      </c>
      <c r="E2503" s="2142">
        <v>46.48</v>
      </c>
      <c r="F2503" s="2142">
        <v>16805.256000000001</v>
      </c>
      <c r="G2503" s="2142">
        <v>781108.29888000002</v>
      </c>
      <c r="H2503" s="2143">
        <v>42733</v>
      </c>
      <c r="I2503" s="2142">
        <v>780100</v>
      </c>
    </row>
    <row r="2504" spans="1:9" s="2139" customFormat="1" hidden="1">
      <c r="A2504" s="2140" t="s">
        <v>5530</v>
      </c>
      <c r="B2504" s="2141" t="s">
        <v>3056</v>
      </c>
      <c r="C2504" s="2141" t="s">
        <v>3151</v>
      </c>
      <c r="D2504" s="2141">
        <v>2</v>
      </c>
      <c r="E2504" s="2142">
        <v>73.23</v>
      </c>
      <c r="F2504" s="2142">
        <v>16200</v>
      </c>
      <c r="G2504" s="2142">
        <v>1186326</v>
      </c>
      <c r="H2504" s="2143">
        <v>42720</v>
      </c>
      <c r="I2504" s="2142">
        <v>596326</v>
      </c>
    </row>
    <row r="2505" spans="1:9" s="2139" customFormat="1" hidden="1">
      <c r="A2505" s="2140" t="s">
        <v>6898</v>
      </c>
      <c r="B2505" s="2141">
        <v>12</v>
      </c>
      <c r="C2505" s="2141" t="s">
        <v>3151</v>
      </c>
      <c r="D2505" s="2141">
        <v>6</v>
      </c>
      <c r="E2505" s="2142">
        <v>119.45</v>
      </c>
      <c r="F2505" s="2142">
        <v>13749.75</v>
      </c>
      <c r="G2505" s="2142">
        <v>1642407.6375</v>
      </c>
      <c r="H2505" s="2143">
        <v>42683</v>
      </c>
      <c r="I2505" s="2142">
        <v>1640070</v>
      </c>
    </row>
    <row r="2506" spans="1:9" s="2139" customFormat="1" hidden="1">
      <c r="A2506" s="2140" t="s">
        <v>7074</v>
      </c>
      <c r="B2506" s="2141">
        <v>12</v>
      </c>
      <c r="C2506" s="2141" t="s">
        <v>3151</v>
      </c>
      <c r="D2506" s="2141">
        <v>271</v>
      </c>
      <c r="E2506" s="2142">
        <v>66.91</v>
      </c>
      <c r="F2506" s="2142">
        <v>25800</v>
      </c>
      <c r="G2506" s="2142">
        <v>1726278</v>
      </c>
      <c r="H2506" s="2143">
        <v>42683</v>
      </c>
      <c r="I2506" s="2142">
        <v>1723698</v>
      </c>
    </row>
    <row r="2507" spans="1:9" s="2139" customFormat="1" hidden="1">
      <c r="A2507" s="2140" t="s">
        <v>6899</v>
      </c>
      <c r="B2507" s="2141">
        <v>12</v>
      </c>
      <c r="C2507" s="2141" t="s">
        <v>3151</v>
      </c>
      <c r="D2507" s="2141">
        <v>20</v>
      </c>
      <c r="E2507" s="2142">
        <v>100.6</v>
      </c>
      <c r="F2507" s="2142">
        <v>13650</v>
      </c>
      <c r="G2507" s="2142">
        <v>1373190</v>
      </c>
      <c r="H2507" s="2143">
        <v>42681</v>
      </c>
      <c r="I2507" s="2142">
        <v>1371279</v>
      </c>
    </row>
    <row r="2508" spans="1:9" s="2139" customFormat="1" hidden="1">
      <c r="A2508" s="2140" t="s">
        <v>6940</v>
      </c>
      <c r="B2508" s="2141">
        <v>12</v>
      </c>
      <c r="C2508" s="2141" t="s">
        <v>3151</v>
      </c>
      <c r="D2508" s="2141">
        <v>119</v>
      </c>
      <c r="E2508" s="2142">
        <v>15.55</v>
      </c>
      <c r="F2508" s="2142">
        <v>17000</v>
      </c>
      <c r="G2508" s="2142">
        <v>264350</v>
      </c>
      <c r="H2508" s="2143">
        <v>42681</v>
      </c>
      <c r="I2508" s="2142">
        <v>264010</v>
      </c>
    </row>
    <row r="2509" spans="1:9" s="2139" customFormat="1" hidden="1">
      <c r="A2509" s="2140" t="s">
        <v>7013</v>
      </c>
      <c r="B2509" s="2141">
        <v>12</v>
      </c>
      <c r="C2509" s="2141" t="s">
        <v>3151</v>
      </c>
      <c r="D2509" s="2141">
        <v>198</v>
      </c>
      <c r="E2509" s="2142">
        <v>27.9</v>
      </c>
      <c r="F2509" s="2142">
        <v>12251.11</v>
      </c>
      <c r="G2509" s="2142">
        <v>341805.96899999998</v>
      </c>
      <c r="H2509" s="2143">
        <v>42680</v>
      </c>
      <c r="I2509" s="2142">
        <v>341316</v>
      </c>
    </row>
    <row r="2510" spans="1:9" s="2139" customFormat="1" hidden="1">
      <c r="A2510" s="2140" t="s">
        <v>7014</v>
      </c>
      <c r="B2510" s="2141">
        <v>12</v>
      </c>
      <c r="C2510" s="2141" t="s">
        <v>3151</v>
      </c>
      <c r="D2510" s="2141">
        <v>199</v>
      </c>
      <c r="E2510" s="2142">
        <v>29.56</v>
      </c>
      <c r="F2510" s="2142">
        <v>13221.1</v>
      </c>
      <c r="G2510" s="2142">
        <v>390815.71600000001</v>
      </c>
      <c r="H2510" s="2143">
        <v>42680</v>
      </c>
      <c r="I2510" s="2142">
        <v>390287</v>
      </c>
    </row>
    <row r="2511" spans="1:9" s="2139" customFormat="1" hidden="1">
      <c r="A2511" s="2140" t="s">
        <v>6427</v>
      </c>
      <c r="B2511" s="2141">
        <v>9</v>
      </c>
      <c r="C2511" s="2141" t="s">
        <v>3151</v>
      </c>
      <c r="D2511" s="2141">
        <v>182</v>
      </c>
      <c r="E2511" s="2142">
        <v>192.58</v>
      </c>
      <c r="F2511" s="2142">
        <v>14075.97</v>
      </c>
      <c r="G2511" s="2142">
        <v>2710750.3026000001</v>
      </c>
      <c r="H2511" s="2143">
        <v>42670</v>
      </c>
      <c r="I2511" s="2142">
        <v>2710750</v>
      </c>
    </row>
    <row r="2512" spans="1:9" s="2139" customFormat="1" hidden="1">
      <c r="A2512" s="2140" t="s">
        <v>6420</v>
      </c>
      <c r="B2512" s="2141">
        <v>9</v>
      </c>
      <c r="C2512" s="2141" t="s">
        <v>3151</v>
      </c>
      <c r="D2512" s="2141">
        <v>139</v>
      </c>
      <c r="E2512" s="2142">
        <v>74.87</v>
      </c>
      <c r="F2512" s="2142">
        <v>12288.93</v>
      </c>
      <c r="G2512" s="2142">
        <v>920072.18910000008</v>
      </c>
      <c r="H2512" s="2143">
        <v>42668</v>
      </c>
      <c r="I2512" s="2142">
        <v>920072</v>
      </c>
    </row>
    <row r="2513" spans="1:9" s="2139" customFormat="1" hidden="1">
      <c r="A2513" s="2140" t="s">
        <v>6959</v>
      </c>
      <c r="B2513" s="2141">
        <v>12</v>
      </c>
      <c r="C2513" s="2141" t="s">
        <v>3151</v>
      </c>
      <c r="D2513" s="2141">
        <v>139</v>
      </c>
      <c r="E2513" s="2142">
        <v>57.37</v>
      </c>
      <c r="F2513" s="2142">
        <v>11407.19</v>
      </c>
      <c r="G2513" s="2142">
        <v>654430.49029999995</v>
      </c>
      <c r="H2513" s="2143">
        <v>42666</v>
      </c>
      <c r="I2513" s="2142">
        <v>653518</v>
      </c>
    </row>
    <row r="2514" spans="1:9" s="2139" customFormat="1" hidden="1">
      <c r="A2514" s="2140" t="s">
        <v>6410</v>
      </c>
      <c r="B2514" s="2141">
        <v>9</v>
      </c>
      <c r="C2514" s="2141" t="s">
        <v>3151</v>
      </c>
      <c r="D2514" s="2141">
        <v>101</v>
      </c>
      <c r="E2514" s="2142">
        <v>47.77</v>
      </c>
      <c r="F2514" s="2142">
        <v>11845.0073268</v>
      </c>
      <c r="G2514" s="2142">
        <v>565836.00000123598</v>
      </c>
      <c r="H2514" s="2143">
        <v>42657</v>
      </c>
      <c r="I2514" s="2142">
        <v>565836</v>
      </c>
    </row>
    <row r="2515" spans="1:9" s="2139" customFormat="1" hidden="1">
      <c r="A2515" s="2140" t="s">
        <v>6422</v>
      </c>
      <c r="B2515" s="2141">
        <v>9</v>
      </c>
      <c r="C2515" s="2141" t="s">
        <v>3151</v>
      </c>
      <c r="D2515" s="2141">
        <v>171</v>
      </c>
      <c r="E2515" s="2142">
        <v>78.959999999999994</v>
      </c>
      <c r="F2515" s="2142">
        <v>15244</v>
      </c>
      <c r="G2515" s="2142">
        <v>1203666.24</v>
      </c>
      <c r="H2515" s="2143">
        <v>42653</v>
      </c>
      <c r="I2515" s="2142">
        <v>1203666</v>
      </c>
    </row>
    <row r="2516" spans="1:9" s="2139" customFormat="1" hidden="1">
      <c r="A2516" s="2140" t="s">
        <v>5529</v>
      </c>
      <c r="B2516" s="2141" t="s">
        <v>3056</v>
      </c>
      <c r="C2516" s="2141" t="s">
        <v>3151</v>
      </c>
      <c r="D2516" s="2141">
        <v>1</v>
      </c>
      <c r="E2516" s="2142">
        <v>49.48</v>
      </c>
      <c r="F2516" s="2142">
        <v>15390</v>
      </c>
      <c r="G2516" s="2142">
        <v>761497.2</v>
      </c>
      <c r="H2516" s="2143">
        <v>42622</v>
      </c>
      <c r="I2516" s="2142">
        <v>761497</v>
      </c>
    </row>
    <row r="2517" spans="1:9" s="2139" customFormat="1" hidden="1">
      <c r="A2517" s="2140" t="s">
        <v>7047</v>
      </c>
      <c r="B2517" s="2141">
        <v>12</v>
      </c>
      <c r="C2517" s="2141" t="s">
        <v>3151</v>
      </c>
      <c r="D2517" s="2141">
        <v>237</v>
      </c>
      <c r="E2517" s="2142">
        <v>43.16</v>
      </c>
      <c r="F2517" s="2142">
        <v>10673.27</v>
      </c>
      <c r="G2517" s="2142">
        <v>460658.33319999999</v>
      </c>
      <c r="H2517" s="2143">
        <v>42601</v>
      </c>
      <c r="I2517" s="2142">
        <v>460018</v>
      </c>
    </row>
    <row r="2518" spans="1:9" s="2139" customFormat="1" hidden="1">
      <c r="A2518" s="2140" t="s">
        <v>6701</v>
      </c>
      <c r="B2518" s="2141">
        <v>11</v>
      </c>
      <c r="C2518" s="2141" t="s">
        <v>3151</v>
      </c>
      <c r="D2518" s="2141">
        <v>146</v>
      </c>
      <c r="E2518" s="2142">
        <v>92.81</v>
      </c>
      <c r="F2518" s="2142">
        <v>10990.09</v>
      </c>
      <c r="G2518" s="2142">
        <v>1019990.2529000001</v>
      </c>
      <c r="H2518" s="2143">
        <v>42598</v>
      </c>
      <c r="I2518" s="2142">
        <v>1020760</v>
      </c>
    </row>
    <row r="2519" spans="1:9" s="2139" customFormat="1" hidden="1">
      <c r="A2519" s="2140" t="s">
        <v>5558</v>
      </c>
      <c r="B2519" s="2141" t="s">
        <v>3056</v>
      </c>
      <c r="C2519" s="2141" t="s">
        <v>3151</v>
      </c>
      <c r="D2519" s="2141">
        <v>47</v>
      </c>
      <c r="E2519" s="2142">
        <v>12</v>
      </c>
      <c r="F2519" s="2142">
        <v>12800</v>
      </c>
      <c r="G2519" s="2142">
        <v>153600</v>
      </c>
      <c r="H2519" s="2143">
        <v>42596</v>
      </c>
      <c r="I2519" s="2142">
        <v>83600</v>
      </c>
    </row>
    <row r="2520" spans="1:9" s="2139" customFormat="1" hidden="1">
      <c r="A2520" s="2140" t="s">
        <v>6958</v>
      </c>
      <c r="B2520" s="2141">
        <v>12</v>
      </c>
      <c r="C2520" s="2141" t="s">
        <v>3151</v>
      </c>
      <c r="D2520" s="2141">
        <v>138</v>
      </c>
      <c r="E2520" s="2142">
        <v>21.46</v>
      </c>
      <c r="F2520" s="2142">
        <v>13167</v>
      </c>
      <c r="G2520" s="2142">
        <v>282563.82</v>
      </c>
      <c r="H2520" s="2143">
        <v>42595</v>
      </c>
      <c r="I2520" s="2142">
        <v>282169</v>
      </c>
    </row>
    <row r="2521" spans="1:9" s="2139" customFormat="1" hidden="1">
      <c r="A2521" s="2140" t="s">
        <v>5569</v>
      </c>
      <c r="B2521" s="2141" t="s">
        <v>3056</v>
      </c>
      <c r="C2521" s="2141" t="s">
        <v>3151</v>
      </c>
      <c r="D2521" s="2141">
        <v>59</v>
      </c>
      <c r="E2521" s="2142">
        <v>52.51</v>
      </c>
      <c r="F2521" s="2142">
        <v>15010</v>
      </c>
      <c r="G2521" s="2142">
        <v>788175.1</v>
      </c>
      <c r="H2521" s="2143">
        <v>42587</v>
      </c>
      <c r="I2521" s="2142">
        <v>788175</v>
      </c>
    </row>
    <row r="2522" spans="1:9" hidden="1">
      <c r="A2522" s="3395" t="s">
        <v>5010</v>
      </c>
      <c r="B2522" s="3396" t="s">
        <v>3055</v>
      </c>
      <c r="C2522" s="3396" t="s">
        <v>3151</v>
      </c>
      <c r="D2522" s="3396">
        <v>10</v>
      </c>
      <c r="E2522" s="3397">
        <v>68.72</v>
      </c>
      <c r="F2522" s="3397">
        <v>15800</v>
      </c>
      <c r="G2522" s="3397">
        <v>1085776</v>
      </c>
      <c r="H2522" s="3557">
        <v>42585</v>
      </c>
      <c r="I2522" s="3397">
        <v>545776</v>
      </c>
    </row>
    <row r="2523" spans="1:9" hidden="1">
      <c r="A2523" s="3395" t="s">
        <v>5011</v>
      </c>
      <c r="B2523" s="3396" t="s">
        <v>3055</v>
      </c>
      <c r="C2523" s="3396" t="s">
        <v>3151</v>
      </c>
      <c r="D2523" s="3396">
        <v>11</v>
      </c>
      <c r="E2523" s="3397">
        <v>39.549999999999997</v>
      </c>
      <c r="F2523" s="3397">
        <v>13500</v>
      </c>
      <c r="G2523" s="3397">
        <v>533925</v>
      </c>
      <c r="H2523" s="3557">
        <v>42585</v>
      </c>
      <c r="I2523" s="3397">
        <v>273925</v>
      </c>
    </row>
    <row r="2524" spans="1:9" hidden="1">
      <c r="A2524" s="3395" t="s">
        <v>5012</v>
      </c>
      <c r="B2524" s="3396" t="s">
        <v>3055</v>
      </c>
      <c r="C2524" s="3396" t="s">
        <v>3151</v>
      </c>
      <c r="D2524" s="3396">
        <v>12</v>
      </c>
      <c r="E2524" s="3397">
        <v>41.29</v>
      </c>
      <c r="F2524" s="3397">
        <v>10500</v>
      </c>
      <c r="G2524" s="3397">
        <v>433545</v>
      </c>
      <c r="H2524" s="3557">
        <v>42585</v>
      </c>
      <c r="I2524" s="3397">
        <v>223545</v>
      </c>
    </row>
    <row r="2525" spans="1:9" hidden="1">
      <c r="A2525" s="3395" t="s">
        <v>5013</v>
      </c>
      <c r="B2525" s="3396" t="s">
        <v>3055</v>
      </c>
      <c r="C2525" s="3396" t="s">
        <v>3151</v>
      </c>
      <c r="D2525" s="3396">
        <v>13</v>
      </c>
      <c r="E2525" s="3397">
        <v>41.29</v>
      </c>
      <c r="F2525" s="3397">
        <v>10500</v>
      </c>
      <c r="G2525" s="3397">
        <v>433545</v>
      </c>
      <c r="H2525" s="3557">
        <v>42585</v>
      </c>
      <c r="I2525" s="3397">
        <v>223545</v>
      </c>
    </row>
    <row r="2526" spans="1:9" s="2139" customFormat="1" hidden="1">
      <c r="A2526" s="2140" t="s">
        <v>6897</v>
      </c>
      <c r="B2526" s="2141">
        <v>12</v>
      </c>
      <c r="C2526" s="2141" t="s">
        <v>3151</v>
      </c>
      <c r="D2526" s="2141">
        <v>5</v>
      </c>
      <c r="E2526" s="2142">
        <v>120.59</v>
      </c>
      <c r="F2526" s="2142">
        <v>14175.001</v>
      </c>
      <c r="G2526" s="2142">
        <v>1709363.3705900002</v>
      </c>
      <c r="H2526" s="2143">
        <v>42573</v>
      </c>
      <c r="I2526" s="2142">
        <v>1706954</v>
      </c>
    </row>
    <row r="2527" spans="1:9" s="2139" customFormat="1" hidden="1">
      <c r="A2527" s="2140" t="s">
        <v>6698</v>
      </c>
      <c r="B2527" s="2141">
        <v>11</v>
      </c>
      <c r="C2527" s="2141" t="s">
        <v>3151</v>
      </c>
      <c r="D2527" s="2141">
        <v>142</v>
      </c>
      <c r="E2527" s="2142">
        <v>52.82</v>
      </c>
      <c r="F2527" s="2142">
        <v>11330</v>
      </c>
      <c r="G2527" s="2142">
        <v>598450.6</v>
      </c>
      <c r="H2527" s="2143">
        <v>42569</v>
      </c>
      <c r="I2527" s="2142">
        <v>308904</v>
      </c>
    </row>
    <row r="2528" spans="1:9" s="2139" customFormat="1" hidden="1">
      <c r="A2528" s="2140" t="s">
        <v>5038</v>
      </c>
      <c r="B2528" s="2141" t="s">
        <v>3056</v>
      </c>
      <c r="C2528" s="2141" t="s">
        <v>3261</v>
      </c>
      <c r="D2528" s="2141">
        <v>23</v>
      </c>
      <c r="E2528" s="2142">
        <v>45.98</v>
      </c>
      <c r="F2528" s="2142">
        <v>25800</v>
      </c>
      <c r="G2528" s="2142">
        <v>1186284</v>
      </c>
      <c r="H2528" s="2143">
        <v>41948</v>
      </c>
      <c r="I2528" s="2142">
        <v>1186284</v>
      </c>
    </row>
    <row r="2529" spans="1:9" s="2139" customFormat="1" hidden="1">
      <c r="A2529" s="2140" t="s">
        <v>5043</v>
      </c>
      <c r="B2529" s="2141" t="s">
        <v>3056</v>
      </c>
      <c r="C2529" s="2141" t="s">
        <v>3261</v>
      </c>
      <c r="D2529" s="2141">
        <v>30</v>
      </c>
      <c r="E2529" s="2142">
        <v>89.17</v>
      </c>
      <c r="F2529" s="2142">
        <v>27300</v>
      </c>
      <c r="G2529" s="2142">
        <v>2434341</v>
      </c>
      <c r="H2529" s="2143">
        <v>41948</v>
      </c>
      <c r="I2529" s="2142">
        <v>502905</v>
      </c>
    </row>
    <row r="2530" spans="1:9" s="2139" customFormat="1" hidden="1">
      <c r="A2530" s="2140" t="s">
        <v>5698</v>
      </c>
      <c r="B2530" s="2141" t="s">
        <v>3057</v>
      </c>
      <c r="C2530" s="2141" t="s">
        <v>3261</v>
      </c>
      <c r="D2530" s="2141">
        <v>55</v>
      </c>
      <c r="E2530" s="2142">
        <v>64.3</v>
      </c>
      <c r="F2530" s="2142">
        <v>26800</v>
      </c>
      <c r="G2530" s="2142">
        <v>1723240</v>
      </c>
      <c r="H2530" s="2143">
        <v>41948</v>
      </c>
      <c r="I2530" s="2142">
        <v>1723240</v>
      </c>
    </row>
    <row r="2531" spans="1:9" s="2139" customFormat="1" hidden="1">
      <c r="A2531" s="2140" t="s">
        <v>5700</v>
      </c>
      <c r="B2531" s="2141" t="s">
        <v>3057</v>
      </c>
      <c r="C2531" s="2141" t="s">
        <v>3261</v>
      </c>
      <c r="D2531" s="2141">
        <v>57</v>
      </c>
      <c r="E2531" s="2142">
        <v>68.900000000000006</v>
      </c>
      <c r="F2531" s="2142">
        <v>33300</v>
      </c>
      <c r="G2531" s="2142">
        <v>2294370</v>
      </c>
      <c r="H2531" s="2143">
        <v>41948</v>
      </c>
      <c r="I2531" s="2142">
        <v>2294370</v>
      </c>
    </row>
    <row r="2532" spans="1:9" s="2139" customFormat="1" hidden="1">
      <c r="A2532" s="2140" t="s">
        <v>5702</v>
      </c>
      <c r="B2532" s="2141" t="s">
        <v>3057</v>
      </c>
      <c r="C2532" s="2141" t="s">
        <v>3261</v>
      </c>
      <c r="D2532" s="2141">
        <v>67</v>
      </c>
      <c r="E2532" s="2142">
        <v>29.94</v>
      </c>
      <c r="F2532" s="2142">
        <v>25800</v>
      </c>
      <c r="G2532" s="2142">
        <v>772452</v>
      </c>
      <c r="H2532" s="2143">
        <v>41948</v>
      </c>
      <c r="I2532" s="2142">
        <v>772452</v>
      </c>
    </row>
    <row r="2533" spans="1:9" s="2139" customFormat="1" hidden="1">
      <c r="A2533" s="2140" t="s">
        <v>5705</v>
      </c>
      <c r="B2533" s="2141" t="s">
        <v>3057</v>
      </c>
      <c r="C2533" s="2141" t="s">
        <v>3261</v>
      </c>
      <c r="D2533" s="2141">
        <v>70</v>
      </c>
      <c r="E2533" s="2142">
        <v>24.11</v>
      </c>
      <c r="F2533" s="2142">
        <v>25511</v>
      </c>
      <c r="G2533" s="2142">
        <v>615070.21</v>
      </c>
      <c r="H2533" s="2143">
        <v>41948</v>
      </c>
      <c r="I2533" s="2142">
        <v>615070</v>
      </c>
    </row>
    <row r="2534" spans="1:9" s="2139" customFormat="1" hidden="1">
      <c r="A2534" s="2140" t="s">
        <v>5715</v>
      </c>
      <c r="B2534" s="2141" t="s">
        <v>3057</v>
      </c>
      <c r="C2534" s="2141" t="s">
        <v>3261</v>
      </c>
      <c r="D2534" s="2141">
        <v>107</v>
      </c>
      <c r="E2534" s="2142">
        <v>44.68</v>
      </c>
      <c r="F2534" s="2142">
        <v>25800</v>
      </c>
      <c r="G2534" s="2142">
        <v>1152744</v>
      </c>
      <c r="H2534" s="2143">
        <v>41948</v>
      </c>
      <c r="I2534" s="2142">
        <v>1152744</v>
      </c>
    </row>
    <row r="2535" spans="1:9" s="2139" customFormat="1" hidden="1">
      <c r="A2535" s="2140" t="s">
        <v>4339</v>
      </c>
      <c r="B2535" s="2141" t="s">
        <v>3055</v>
      </c>
      <c r="C2535" s="2141" t="s">
        <v>3261</v>
      </c>
      <c r="D2535" s="3396">
        <v>26</v>
      </c>
      <c r="E2535" s="2142">
        <v>39.799999999999997</v>
      </c>
      <c r="F2535" s="2142">
        <v>25800</v>
      </c>
      <c r="G2535" s="2142">
        <v>1026839.9999999999</v>
      </c>
      <c r="H2535" s="3557">
        <v>41947</v>
      </c>
      <c r="I2535" s="2142">
        <v>516840</v>
      </c>
    </row>
    <row r="2536" spans="1:9" s="2139" customFormat="1" hidden="1">
      <c r="A2536" s="2140" t="s">
        <v>4351</v>
      </c>
      <c r="B2536" s="2141" t="s">
        <v>3055</v>
      </c>
      <c r="C2536" s="2141" t="s">
        <v>3261</v>
      </c>
      <c r="D2536" s="3396">
        <v>39</v>
      </c>
      <c r="E2536" s="2142">
        <v>33.49</v>
      </c>
      <c r="F2536" s="2142">
        <v>25800</v>
      </c>
      <c r="G2536" s="2142">
        <v>864042</v>
      </c>
      <c r="H2536" s="3557">
        <v>41947</v>
      </c>
      <c r="I2536" s="2142">
        <v>434042</v>
      </c>
    </row>
    <row r="2537" spans="1:9" s="2139" customFormat="1" hidden="1">
      <c r="A2537" s="2140" t="s">
        <v>4352</v>
      </c>
      <c r="B2537" s="2141" t="s">
        <v>3055</v>
      </c>
      <c r="C2537" s="2141" t="s">
        <v>3261</v>
      </c>
      <c r="D2537" s="3396">
        <v>40</v>
      </c>
      <c r="E2537" s="2142">
        <v>34.4</v>
      </c>
      <c r="F2537" s="2142">
        <v>25800</v>
      </c>
      <c r="G2537" s="2142">
        <v>887520</v>
      </c>
      <c r="H2537" s="3557">
        <v>41947</v>
      </c>
      <c r="I2537" s="2142">
        <v>887520</v>
      </c>
    </row>
    <row r="2538" spans="1:9" s="2139" customFormat="1" hidden="1">
      <c r="A2538" s="2140" t="s">
        <v>4359</v>
      </c>
      <c r="B2538" s="2141" t="s">
        <v>3055</v>
      </c>
      <c r="C2538" s="2141" t="s">
        <v>3261</v>
      </c>
      <c r="D2538" s="3396">
        <v>50</v>
      </c>
      <c r="E2538" s="2142">
        <v>91.05</v>
      </c>
      <c r="F2538" s="2142">
        <v>33300</v>
      </c>
      <c r="G2538" s="2142">
        <v>3031965</v>
      </c>
      <c r="H2538" s="3557">
        <v>41947</v>
      </c>
      <c r="I2538" s="2142">
        <v>1521965</v>
      </c>
    </row>
    <row r="2539" spans="1:9" s="2139" customFormat="1" hidden="1">
      <c r="A2539" s="2140" t="s">
        <v>4373</v>
      </c>
      <c r="B2539" s="2141" t="s">
        <v>3055</v>
      </c>
      <c r="C2539" s="2141" t="s">
        <v>3261</v>
      </c>
      <c r="D2539" s="3396">
        <v>66</v>
      </c>
      <c r="E2539" s="2142">
        <v>88.42</v>
      </c>
      <c r="F2539" s="2142">
        <v>33300</v>
      </c>
      <c r="G2539" s="2142">
        <v>2944386</v>
      </c>
      <c r="H2539" s="3557">
        <v>41947</v>
      </c>
      <c r="I2539" s="2142">
        <v>2944386</v>
      </c>
    </row>
    <row r="2540" spans="1:9" s="2139" customFormat="1" hidden="1">
      <c r="A2540" s="2140" t="s">
        <v>5707</v>
      </c>
      <c r="B2540" s="2141" t="s">
        <v>3057</v>
      </c>
      <c r="C2540" s="2141" t="s">
        <v>3261</v>
      </c>
      <c r="D2540" s="2141">
        <v>73</v>
      </c>
      <c r="E2540" s="2142">
        <v>35.01</v>
      </c>
      <c r="F2540" s="2142">
        <v>32800</v>
      </c>
      <c r="G2540" s="2142">
        <v>1148328</v>
      </c>
      <c r="H2540" s="2143">
        <v>41947</v>
      </c>
      <c r="I2540" s="2142">
        <v>1148328</v>
      </c>
    </row>
    <row r="2541" spans="1:9" s="2139" customFormat="1" hidden="1">
      <c r="A2541" s="2140" t="s">
        <v>5708</v>
      </c>
      <c r="B2541" s="2141" t="s">
        <v>3057</v>
      </c>
      <c r="C2541" s="2141" t="s">
        <v>3261</v>
      </c>
      <c r="D2541" s="2141">
        <v>79</v>
      </c>
      <c r="E2541" s="2142">
        <v>65.5</v>
      </c>
      <c r="F2541" s="2142">
        <v>32800</v>
      </c>
      <c r="G2541" s="2142">
        <v>2148400</v>
      </c>
      <c r="H2541" s="2143">
        <v>41947</v>
      </c>
      <c r="I2541" s="2142">
        <v>2148400</v>
      </c>
    </row>
    <row r="2542" spans="1:9" s="2139" customFormat="1" hidden="1">
      <c r="A2542" s="2140" t="s">
        <v>5696</v>
      </c>
      <c r="B2542" s="2141" t="s">
        <v>3057</v>
      </c>
      <c r="C2542" s="2141" t="s">
        <v>3261</v>
      </c>
      <c r="D2542" s="2141">
        <v>51</v>
      </c>
      <c r="E2542" s="2142">
        <v>65.7</v>
      </c>
      <c r="F2542" s="2142">
        <v>27300</v>
      </c>
      <c r="G2542" s="2142">
        <v>1793610</v>
      </c>
      <c r="H2542" s="2143">
        <v>41945</v>
      </c>
      <c r="I2542" s="2142">
        <v>473610</v>
      </c>
    </row>
    <row r="2543" spans="1:9" s="2139" customFormat="1" hidden="1">
      <c r="A2543" s="2140" t="s">
        <v>5714</v>
      </c>
      <c r="B2543" s="2141" t="s">
        <v>3057</v>
      </c>
      <c r="C2543" s="2141" t="s">
        <v>3261</v>
      </c>
      <c r="D2543" s="2141">
        <v>106</v>
      </c>
      <c r="E2543" s="2142">
        <v>42.28</v>
      </c>
      <c r="F2543" s="2142">
        <v>25800</v>
      </c>
      <c r="G2543" s="2142">
        <v>1090824</v>
      </c>
      <c r="H2543" s="2143">
        <v>41945</v>
      </c>
      <c r="I2543" s="2142">
        <v>1090824</v>
      </c>
    </row>
    <row r="2544" spans="1:9" s="2139" customFormat="1" hidden="1">
      <c r="A2544" s="2140" t="s">
        <v>4322</v>
      </c>
      <c r="B2544" s="2141" t="s">
        <v>3055</v>
      </c>
      <c r="C2544" s="2141" t="s">
        <v>3261</v>
      </c>
      <c r="D2544" s="3396">
        <v>6</v>
      </c>
      <c r="E2544" s="2142">
        <v>162.02000000000001</v>
      </c>
      <c r="F2544" s="2142">
        <v>36300</v>
      </c>
      <c r="G2544" s="2142">
        <v>5881326</v>
      </c>
      <c r="H2544" s="3557">
        <v>41941</v>
      </c>
      <c r="I2544" s="2142">
        <v>5881326</v>
      </c>
    </row>
    <row r="2545" spans="1:9" s="2139" customFormat="1" hidden="1">
      <c r="A2545" s="2140" t="s">
        <v>4342</v>
      </c>
      <c r="B2545" s="2141" t="s">
        <v>3055</v>
      </c>
      <c r="C2545" s="2141" t="s">
        <v>3261</v>
      </c>
      <c r="D2545" s="3396">
        <v>29</v>
      </c>
      <c r="E2545" s="2142">
        <v>38.56</v>
      </c>
      <c r="F2545" s="2142">
        <v>25800</v>
      </c>
      <c r="G2545" s="2142">
        <v>994848.00000000012</v>
      </c>
      <c r="H2545" s="3557">
        <v>41941</v>
      </c>
      <c r="I2545" s="2142">
        <v>994848</v>
      </c>
    </row>
    <row r="2546" spans="1:9" s="2139" customFormat="1" hidden="1">
      <c r="A2546" s="2140" t="s">
        <v>4411</v>
      </c>
      <c r="B2546" s="2141" t="s">
        <v>3055</v>
      </c>
      <c r="C2546" s="2141" t="s">
        <v>3261</v>
      </c>
      <c r="D2546" s="3396">
        <v>131</v>
      </c>
      <c r="E2546" s="2142">
        <v>44.17</v>
      </c>
      <c r="F2546" s="2142">
        <v>25800</v>
      </c>
      <c r="G2546" s="2142">
        <v>1139586</v>
      </c>
      <c r="H2546" s="3557">
        <v>41940</v>
      </c>
      <c r="I2546" s="2142">
        <v>249586</v>
      </c>
    </row>
    <row r="2547" spans="1:9" s="2139" customFormat="1" hidden="1">
      <c r="A2547" s="2140" t="s">
        <v>5055</v>
      </c>
      <c r="B2547" s="2141" t="s">
        <v>3056</v>
      </c>
      <c r="C2547" s="2141" t="s">
        <v>3261</v>
      </c>
      <c r="D2547" s="2141">
        <v>52</v>
      </c>
      <c r="E2547" s="2142">
        <v>95.66</v>
      </c>
      <c r="F2547" s="2142">
        <v>25800</v>
      </c>
      <c r="G2547" s="2142">
        <v>2468028</v>
      </c>
      <c r="H2547" s="2143">
        <v>41940</v>
      </c>
      <c r="I2547" s="2142">
        <v>2468028</v>
      </c>
    </row>
    <row r="2548" spans="1:9" s="2139" customFormat="1" hidden="1">
      <c r="A2548" s="2140" t="s">
        <v>5057</v>
      </c>
      <c r="B2548" s="2141" t="s">
        <v>3056</v>
      </c>
      <c r="C2548" s="2141" t="s">
        <v>3261</v>
      </c>
      <c r="D2548" s="2141">
        <v>55</v>
      </c>
      <c r="E2548" s="2142">
        <v>53.76</v>
      </c>
      <c r="F2548" s="2142">
        <v>26300</v>
      </c>
      <c r="G2548" s="2142">
        <v>1413888</v>
      </c>
      <c r="H2548" s="2143">
        <v>41940</v>
      </c>
      <c r="I2548" s="2142">
        <v>1413888</v>
      </c>
    </row>
    <row r="2549" spans="1:9" s="2139" customFormat="1" hidden="1">
      <c r="A2549" s="2140" t="s">
        <v>4348</v>
      </c>
      <c r="B2549" s="2141" t="s">
        <v>3055</v>
      </c>
      <c r="C2549" s="2141" t="s">
        <v>3261</v>
      </c>
      <c r="D2549" s="3396">
        <v>36</v>
      </c>
      <c r="E2549" s="2142">
        <v>49.46</v>
      </c>
      <c r="F2549" s="2142">
        <v>27300</v>
      </c>
      <c r="G2549" s="2142">
        <v>1350258</v>
      </c>
      <c r="H2549" s="3557">
        <v>41939</v>
      </c>
      <c r="I2549" s="2142">
        <v>1350258</v>
      </c>
    </row>
    <row r="2550" spans="1:9" s="2139" customFormat="1" hidden="1">
      <c r="A2550" s="2140" t="s">
        <v>4349</v>
      </c>
      <c r="B2550" s="2141" t="s">
        <v>3055</v>
      </c>
      <c r="C2550" s="2141" t="s">
        <v>3261</v>
      </c>
      <c r="D2550" s="3396">
        <v>37</v>
      </c>
      <c r="E2550" s="2142">
        <v>42.74</v>
      </c>
      <c r="F2550" s="2142">
        <v>26800</v>
      </c>
      <c r="G2550" s="2142">
        <v>1145432</v>
      </c>
      <c r="H2550" s="3557">
        <v>41939</v>
      </c>
      <c r="I2550" s="2142">
        <v>1145432</v>
      </c>
    </row>
    <row r="2551" spans="1:9" s="2139" customFormat="1" hidden="1">
      <c r="A2551" s="2140" t="s">
        <v>5047</v>
      </c>
      <c r="B2551" s="2141" t="s">
        <v>3056</v>
      </c>
      <c r="C2551" s="2141" t="s">
        <v>3261</v>
      </c>
      <c r="D2551" s="2141">
        <v>39</v>
      </c>
      <c r="E2551" s="2142">
        <v>132.78</v>
      </c>
      <c r="F2551" s="2142">
        <v>32800</v>
      </c>
      <c r="G2551" s="2142">
        <v>4355184</v>
      </c>
      <c r="H2551" s="2143">
        <v>41939</v>
      </c>
      <c r="I2551" s="2142">
        <v>4355184</v>
      </c>
    </row>
    <row r="2552" spans="1:9" s="2139" customFormat="1" hidden="1">
      <c r="A2552" s="2140" t="s">
        <v>5048</v>
      </c>
      <c r="B2552" s="2141" t="s">
        <v>3056</v>
      </c>
      <c r="C2552" s="2141" t="s">
        <v>3261</v>
      </c>
      <c r="D2552" s="2141">
        <v>42</v>
      </c>
      <c r="E2552" s="2142">
        <v>140.59</v>
      </c>
      <c r="F2552" s="2142">
        <v>26800</v>
      </c>
      <c r="G2552" s="2142">
        <v>3767812</v>
      </c>
      <c r="H2552" s="2143">
        <v>41939</v>
      </c>
      <c r="I2552" s="2142">
        <v>3767812</v>
      </c>
    </row>
    <row r="2553" spans="1:9" s="2139" customFormat="1" hidden="1">
      <c r="A2553" s="2140" t="s">
        <v>5049</v>
      </c>
      <c r="B2553" s="2141" t="s">
        <v>3056</v>
      </c>
      <c r="C2553" s="2141" t="s">
        <v>3261</v>
      </c>
      <c r="D2553" s="2141">
        <v>43</v>
      </c>
      <c r="E2553" s="2142">
        <v>136.71</v>
      </c>
      <c r="F2553" s="2142">
        <v>33300</v>
      </c>
      <c r="G2553" s="2142">
        <v>4552443</v>
      </c>
      <c r="H2553" s="2143">
        <v>41939</v>
      </c>
      <c r="I2553" s="2142">
        <v>4552443</v>
      </c>
    </row>
    <row r="2554" spans="1:9" s="2139" customFormat="1" hidden="1">
      <c r="A2554" s="2140" t="s">
        <v>5052</v>
      </c>
      <c r="B2554" s="2141" t="s">
        <v>3056</v>
      </c>
      <c r="C2554" s="2141" t="s">
        <v>3261</v>
      </c>
      <c r="D2554" s="2141">
        <v>47</v>
      </c>
      <c r="E2554" s="2142">
        <v>62.36</v>
      </c>
      <c r="F2554" s="2142">
        <v>26800</v>
      </c>
      <c r="G2554" s="2142">
        <v>1671248</v>
      </c>
      <c r="H2554" s="2143">
        <v>41939</v>
      </c>
      <c r="I2554" s="2142">
        <v>1671248</v>
      </c>
    </row>
    <row r="2555" spans="1:9" s="2139" customFormat="1" hidden="1">
      <c r="A2555" s="2140" t="s">
        <v>5053</v>
      </c>
      <c r="B2555" s="2141" t="s">
        <v>3056</v>
      </c>
      <c r="C2555" s="2141" t="s">
        <v>3261</v>
      </c>
      <c r="D2555" s="2141">
        <v>48</v>
      </c>
      <c r="E2555" s="2142">
        <v>64.88</v>
      </c>
      <c r="F2555" s="2142">
        <v>27300</v>
      </c>
      <c r="G2555" s="2142">
        <v>1771223.9999999998</v>
      </c>
      <c r="H2555" s="2143">
        <v>41939</v>
      </c>
      <c r="I2555" s="2142">
        <v>1771224</v>
      </c>
    </row>
    <row r="2556" spans="1:9" s="2139" customFormat="1" hidden="1">
      <c r="A2556" s="2140" t="s">
        <v>5054</v>
      </c>
      <c r="B2556" s="2141" t="s">
        <v>3056</v>
      </c>
      <c r="C2556" s="2141" t="s">
        <v>3261</v>
      </c>
      <c r="D2556" s="2141">
        <v>49</v>
      </c>
      <c r="E2556" s="2142">
        <v>100.41</v>
      </c>
      <c r="F2556" s="2142">
        <v>25800</v>
      </c>
      <c r="G2556" s="2142">
        <v>2590578</v>
      </c>
      <c r="H2556" s="2143">
        <v>41939</v>
      </c>
      <c r="I2556" s="2142">
        <v>2590578</v>
      </c>
    </row>
    <row r="2557" spans="1:9" s="2139" customFormat="1" hidden="1">
      <c r="A2557" s="2140" t="s">
        <v>5045</v>
      </c>
      <c r="B2557" s="2141" t="s">
        <v>3056</v>
      </c>
      <c r="C2557" s="2141" t="s">
        <v>3261</v>
      </c>
      <c r="D2557" s="2141">
        <v>36</v>
      </c>
      <c r="E2557" s="2142">
        <v>62.5</v>
      </c>
      <c r="F2557" s="2142">
        <v>26800</v>
      </c>
      <c r="G2557" s="2142">
        <v>1675000</v>
      </c>
      <c r="H2557" s="2143">
        <v>41936</v>
      </c>
      <c r="I2557" s="2142">
        <v>1675000</v>
      </c>
    </row>
    <row r="2558" spans="1:9" s="2139" customFormat="1" hidden="1">
      <c r="A2558" s="2140" t="s">
        <v>5046</v>
      </c>
      <c r="B2558" s="2141" t="s">
        <v>3056</v>
      </c>
      <c r="C2558" s="2141" t="s">
        <v>3261</v>
      </c>
      <c r="D2558" s="2141">
        <v>38</v>
      </c>
      <c r="E2558" s="2142">
        <v>78.900000000000006</v>
      </c>
      <c r="F2558" s="2142">
        <v>26800</v>
      </c>
      <c r="G2558" s="2142">
        <v>2114520</v>
      </c>
      <c r="H2558" s="2143">
        <v>41936</v>
      </c>
      <c r="I2558" s="2142">
        <v>2114520</v>
      </c>
    </row>
    <row r="2559" spans="1:9" s="2139" customFormat="1" hidden="1">
      <c r="A2559" s="2140" t="s">
        <v>4363</v>
      </c>
      <c r="B2559" s="2141" t="s">
        <v>3055</v>
      </c>
      <c r="C2559" s="2141" t="s">
        <v>3261</v>
      </c>
      <c r="D2559" s="3396">
        <v>55</v>
      </c>
      <c r="E2559" s="2142">
        <v>34.69</v>
      </c>
      <c r="F2559" s="2142">
        <v>25800</v>
      </c>
      <c r="G2559" s="2142">
        <v>895001.99999999988</v>
      </c>
      <c r="H2559" s="3557">
        <v>41935</v>
      </c>
      <c r="I2559" s="2142">
        <v>895002</v>
      </c>
    </row>
    <row r="2560" spans="1:9" s="2139" customFormat="1" hidden="1">
      <c r="A2560" s="2140" t="s">
        <v>4364</v>
      </c>
      <c r="B2560" s="2141" t="s">
        <v>3055</v>
      </c>
      <c r="C2560" s="2141" t="s">
        <v>3261</v>
      </c>
      <c r="D2560" s="3396">
        <v>56</v>
      </c>
      <c r="E2560" s="2142">
        <v>34.69</v>
      </c>
      <c r="F2560" s="2142">
        <v>25800</v>
      </c>
      <c r="G2560" s="2142">
        <v>895001.99999999988</v>
      </c>
      <c r="H2560" s="3557">
        <v>41935</v>
      </c>
      <c r="I2560" s="2142">
        <v>895002</v>
      </c>
    </row>
    <row r="2561" spans="1:9" s="2139" customFormat="1" hidden="1">
      <c r="A2561" s="2140" t="s">
        <v>4383</v>
      </c>
      <c r="B2561" s="2141" t="s">
        <v>3055</v>
      </c>
      <c r="C2561" s="2141" t="s">
        <v>3261</v>
      </c>
      <c r="D2561" s="3396">
        <v>80</v>
      </c>
      <c r="E2561" s="2142">
        <v>93.32</v>
      </c>
      <c r="F2561" s="2142">
        <v>33300</v>
      </c>
      <c r="G2561" s="2142">
        <v>3107556</v>
      </c>
      <c r="H2561" s="3557">
        <v>41935</v>
      </c>
      <c r="I2561" s="2142">
        <v>641845</v>
      </c>
    </row>
    <row r="2562" spans="1:9" s="2139" customFormat="1" hidden="1">
      <c r="A2562" s="2140" t="s">
        <v>4391</v>
      </c>
      <c r="B2562" s="2141" t="s">
        <v>3055</v>
      </c>
      <c r="C2562" s="2141" t="s">
        <v>3261</v>
      </c>
      <c r="D2562" s="3396">
        <v>96</v>
      </c>
      <c r="E2562" s="2142">
        <v>42.84</v>
      </c>
      <c r="F2562" s="2142">
        <v>25800</v>
      </c>
      <c r="G2562" s="2142">
        <v>1105272</v>
      </c>
      <c r="H2562" s="3557">
        <v>41934</v>
      </c>
      <c r="I2562" s="2142">
        <v>1105272</v>
      </c>
    </row>
    <row r="2563" spans="1:9" s="2139" customFormat="1" hidden="1">
      <c r="A2563" s="2140" t="s">
        <v>4432</v>
      </c>
      <c r="B2563" s="2141" t="s">
        <v>3055</v>
      </c>
      <c r="C2563" s="2141" t="s">
        <v>3261</v>
      </c>
      <c r="D2563" s="3396">
        <v>161</v>
      </c>
      <c r="E2563" s="2142">
        <v>96.92</v>
      </c>
      <c r="F2563" s="2142">
        <v>25800</v>
      </c>
      <c r="G2563" s="2142">
        <v>2500536</v>
      </c>
      <c r="H2563" s="3557">
        <v>41934</v>
      </c>
      <c r="I2563" s="2142">
        <v>2500536</v>
      </c>
    </row>
    <row r="2564" spans="1:9" s="2139" customFormat="1" hidden="1">
      <c r="A2564" s="2140" t="s">
        <v>4433</v>
      </c>
      <c r="B2564" s="2141" t="s">
        <v>3055</v>
      </c>
      <c r="C2564" s="2141" t="s">
        <v>3261</v>
      </c>
      <c r="D2564" s="3396">
        <v>162</v>
      </c>
      <c r="E2564" s="2142">
        <v>92.37</v>
      </c>
      <c r="F2564" s="2142">
        <v>35800</v>
      </c>
      <c r="G2564" s="2142">
        <v>3306846</v>
      </c>
      <c r="H2564" s="3557">
        <v>41934</v>
      </c>
      <c r="I2564" s="2142">
        <v>3306846</v>
      </c>
    </row>
    <row r="2565" spans="1:9" s="2139" customFormat="1" hidden="1">
      <c r="A2565" s="2140" t="s">
        <v>5044</v>
      </c>
      <c r="B2565" s="2141" t="s">
        <v>3056</v>
      </c>
      <c r="C2565" s="2141" t="s">
        <v>3261</v>
      </c>
      <c r="D2565" s="2141">
        <v>35</v>
      </c>
      <c r="E2565" s="2142">
        <v>49.12</v>
      </c>
      <c r="F2565" s="2142">
        <v>27300</v>
      </c>
      <c r="G2565" s="2142">
        <v>1340976</v>
      </c>
      <c r="H2565" s="2143">
        <v>41934</v>
      </c>
      <c r="I2565" s="2142">
        <v>1340976</v>
      </c>
    </row>
    <row r="2566" spans="1:9" s="2139" customFormat="1" hidden="1">
      <c r="A2566" s="2140" t="s">
        <v>5697</v>
      </c>
      <c r="B2566" s="2141" t="s">
        <v>3057</v>
      </c>
      <c r="C2566" s="2141" t="s">
        <v>3261</v>
      </c>
      <c r="D2566" s="2141">
        <v>52</v>
      </c>
      <c r="E2566" s="2142">
        <v>68.900000000000006</v>
      </c>
      <c r="F2566" s="2142">
        <v>27300</v>
      </c>
      <c r="G2566" s="2142">
        <v>1880970.0000000002</v>
      </c>
      <c r="H2566" s="2143">
        <v>41934</v>
      </c>
      <c r="I2566" s="2142">
        <v>1880970</v>
      </c>
    </row>
    <row r="2567" spans="1:9" s="2139" customFormat="1" hidden="1">
      <c r="A2567" s="2140" t="s">
        <v>5029</v>
      </c>
      <c r="B2567" s="2141" t="s">
        <v>3056</v>
      </c>
      <c r="C2567" s="2141" t="s">
        <v>3261</v>
      </c>
      <c r="D2567" s="2141">
        <v>9</v>
      </c>
      <c r="E2567" s="2142">
        <v>172.26</v>
      </c>
      <c r="F2567" s="2142">
        <v>35800</v>
      </c>
      <c r="G2567" s="2142">
        <v>6166908</v>
      </c>
      <c r="H2567" s="2143">
        <v>41932</v>
      </c>
      <c r="I2567" s="2142">
        <v>6166908</v>
      </c>
    </row>
    <row r="2568" spans="1:9" s="2139" customFormat="1" hidden="1">
      <c r="A2568" s="2140" t="s">
        <v>4323</v>
      </c>
      <c r="B2568" s="2141" t="s">
        <v>3055</v>
      </c>
      <c r="C2568" s="2141" t="s">
        <v>3261</v>
      </c>
      <c r="D2568" s="3396">
        <v>7</v>
      </c>
      <c r="E2568" s="2142">
        <v>82.15</v>
      </c>
      <c r="F2568" s="2142">
        <v>36300</v>
      </c>
      <c r="G2568" s="2142">
        <v>2982045</v>
      </c>
      <c r="H2568" s="3557">
        <v>41930</v>
      </c>
      <c r="I2568" s="2142">
        <v>2982045</v>
      </c>
    </row>
    <row r="2569" spans="1:9" s="2139" customFormat="1" hidden="1">
      <c r="A2569" s="2140" t="s">
        <v>4329</v>
      </c>
      <c r="B2569" s="2141" t="s">
        <v>3055</v>
      </c>
      <c r="C2569" s="2141" t="s">
        <v>3261</v>
      </c>
      <c r="D2569" s="3396">
        <v>15</v>
      </c>
      <c r="E2569" s="2142">
        <v>27.85</v>
      </c>
      <c r="F2569" s="2142">
        <v>27300</v>
      </c>
      <c r="G2569" s="2142">
        <v>760305</v>
      </c>
      <c r="H2569" s="3557">
        <v>41930</v>
      </c>
      <c r="I2569" s="2142">
        <v>760305</v>
      </c>
    </row>
    <row r="2570" spans="1:9" s="2139" customFormat="1" hidden="1">
      <c r="A2570" s="2140" t="s">
        <v>4332</v>
      </c>
      <c r="B2570" s="2141" t="s">
        <v>3055</v>
      </c>
      <c r="C2570" s="2141" t="s">
        <v>3261</v>
      </c>
      <c r="D2570" s="3396">
        <v>18</v>
      </c>
      <c r="E2570" s="2142">
        <v>81.67</v>
      </c>
      <c r="F2570" s="2142">
        <v>33300</v>
      </c>
      <c r="G2570" s="2142">
        <v>2719611</v>
      </c>
      <c r="H2570" s="3557">
        <v>41930</v>
      </c>
      <c r="I2570" s="2142">
        <v>2719611</v>
      </c>
    </row>
    <row r="2571" spans="1:9" s="2139" customFormat="1" hidden="1">
      <c r="A2571" s="2140" t="s">
        <v>4344</v>
      </c>
      <c r="B2571" s="2141" t="s">
        <v>3055</v>
      </c>
      <c r="C2571" s="2141" t="s">
        <v>3261</v>
      </c>
      <c r="D2571" s="3396">
        <v>31</v>
      </c>
      <c r="E2571" s="2142">
        <v>48.3</v>
      </c>
      <c r="F2571" s="2142">
        <v>26300</v>
      </c>
      <c r="G2571" s="2142">
        <v>1270290</v>
      </c>
      <c r="H2571" s="3557">
        <v>41929</v>
      </c>
      <c r="I2571" s="2142">
        <v>1270290</v>
      </c>
    </row>
    <row r="2572" spans="1:9" s="2139" customFormat="1" hidden="1">
      <c r="A2572" s="2140" t="s">
        <v>3762</v>
      </c>
      <c r="B2572" s="2141" t="s">
        <v>3054</v>
      </c>
      <c r="C2572" s="2141" t="s">
        <v>3261</v>
      </c>
      <c r="D2572" s="2141">
        <v>45</v>
      </c>
      <c r="E2572" s="2142">
        <v>52.36</v>
      </c>
      <c r="F2572" s="2142">
        <v>25800</v>
      </c>
      <c r="G2572" s="2142">
        <v>1350888</v>
      </c>
      <c r="H2572" s="2143">
        <v>41925</v>
      </c>
      <c r="I2572" s="2142">
        <v>1350888</v>
      </c>
    </row>
    <row r="2573" spans="1:9" s="2139" customFormat="1" hidden="1">
      <c r="A2573" s="2140" t="s">
        <v>4385</v>
      </c>
      <c r="B2573" s="2141" t="s">
        <v>3055</v>
      </c>
      <c r="C2573" s="2141" t="s">
        <v>3261</v>
      </c>
      <c r="D2573" s="3396">
        <v>83</v>
      </c>
      <c r="E2573" s="2142">
        <v>81.3</v>
      </c>
      <c r="F2573" s="2142">
        <v>32800</v>
      </c>
      <c r="G2573" s="2142">
        <v>2666640</v>
      </c>
      <c r="H2573" s="3557">
        <v>41923</v>
      </c>
      <c r="I2573" s="2142">
        <v>2666640</v>
      </c>
    </row>
    <row r="2574" spans="1:9" s="2139" customFormat="1" hidden="1">
      <c r="A2574" s="2140" t="s">
        <v>3803</v>
      </c>
      <c r="B2574" s="2141" t="s">
        <v>3054</v>
      </c>
      <c r="C2574" s="2141" t="s">
        <v>3261</v>
      </c>
      <c r="D2574" s="2141">
        <v>176</v>
      </c>
      <c r="E2574" s="2142">
        <v>133.28</v>
      </c>
      <c r="F2574" s="2142">
        <v>32800</v>
      </c>
      <c r="G2574" s="2142">
        <v>4371584</v>
      </c>
      <c r="H2574" s="2143">
        <v>41921</v>
      </c>
      <c r="I2574" s="2142">
        <v>4371584</v>
      </c>
    </row>
    <row r="2575" spans="1:9" s="2139" customFormat="1" hidden="1">
      <c r="A2575" s="2140" t="s">
        <v>3775</v>
      </c>
      <c r="B2575" s="2141" t="s">
        <v>3054</v>
      </c>
      <c r="C2575" s="2141" t="s">
        <v>3261</v>
      </c>
      <c r="D2575" s="2141">
        <v>79</v>
      </c>
      <c r="E2575" s="2142">
        <v>44.32</v>
      </c>
      <c r="F2575" s="2142">
        <v>25800</v>
      </c>
      <c r="G2575" s="2142">
        <v>1143456</v>
      </c>
      <c r="H2575" s="2143">
        <v>41915</v>
      </c>
      <c r="I2575" s="2142">
        <v>1143456</v>
      </c>
    </row>
    <row r="2576" spans="1:9" s="2139" customFormat="1" hidden="1">
      <c r="A2576" s="2140" t="s">
        <v>3771</v>
      </c>
      <c r="B2576" s="2141" t="s">
        <v>3054</v>
      </c>
      <c r="C2576" s="2141" t="s">
        <v>3261</v>
      </c>
      <c r="D2576" s="2141">
        <v>59</v>
      </c>
      <c r="E2576" s="2142">
        <v>74.64</v>
      </c>
      <c r="F2576" s="2142">
        <v>26800</v>
      </c>
      <c r="G2576" s="2142">
        <v>2000352</v>
      </c>
      <c r="H2576" s="2143">
        <v>41908</v>
      </c>
      <c r="I2576" s="2142">
        <v>2000352</v>
      </c>
    </row>
    <row r="2577" spans="1:9" s="2139" customFormat="1" hidden="1">
      <c r="A2577" s="2140" t="s">
        <v>3791</v>
      </c>
      <c r="B2577" s="2141" t="s">
        <v>3054</v>
      </c>
      <c r="C2577" s="2141" t="s">
        <v>3261</v>
      </c>
      <c r="D2577" s="2141">
        <v>155</v>
      </c>
      <c r="E2577" s="2142">
        <v>22</v>
      </c>
      <c r="F2577" s="2142">
        <v>26000</v>
      </c>
      <c r="G2577" s="2142">
        <v>572000</v>
      </c>
      <c r="H2577" s="2143">
        <v>41908</v>
      </c>
      <c r="I2577" s="2142">
        <v>572000</v>
      </c>
    </row>
    <row r="2578" spans="1:9" s="2139" customFormat="1" hidden="1">
      <c r="A2578" s="2140" t="s">
        <v>3792</v>
      </c>
      <c r="B2578" s="2141" t="s">
        <v>3054</v>
      </c>
      <c r="C2578" s="2141" t="s">
        <v>3261</v>
      </c>
      <c r="D2578" s="2141">
        <v>156</v>
      </c>
      <c r="E2578" s="2142">
        <v>30.79</v>
      </c>
      <c r="F2578" s="2142">
        <v>26000</v>
      </c>
      <c r="G2578" s="2142">
        <v>800540</v>
      </c>
      <c r="H2578" s="2143">
        <v>41908</v>
      </c>
      <c r="I2578" s="2142">
        <v>800540</v>
      </c>
    </row>
    <row r="2579" spans="1:9" s="2139" customFormat="1" hidden="1">
      <c r="A2579" s="2140" t="s">
        <v>4345</v>
      </c>
      <c r="B2579" s="2141" t="s">
        <v>3055</v>
      </c>
      <c r="C2579" s="2141" t="s">
        <v>3261</v>
      </c>
      <c r="D2579" s="3396">
        <v>32</v>
      </c>
      <c r="E2579" s="2142">
        <v>34.69</v>
      </c>
      <c r="F2579" s="2142">
        <v>25800</v>
      </c>
      <c r="G2579" s="2142">
        <v>895001.99999999988</v>
      </c>
      <c r="H2579" s="3557">
        <v>41908</v>
      </c>
      <c r="I2579" s="2142">
        <v>895002</v>
      </c>
    </row>
    <row r="2580" spans="1:9" s="2139" customFormat="1" hidden="1">
      <c r="A2580" s="2140" t="s">
        <v>4358</v>
      </c>
      <c r="B2580" s="2141" t="s">
        <v>3055</v>
      </c>
      <c r="C2580" s="2141" t="s">
        <v>3261</v>
      </c>
      <c r="D2580" s="3396">
        <v>49</v>
      </c>
      <c r="E2580" s="2142">
        <v>92.8</v>
      </c>
      <c r="F2580" s="2142">
        <v>32800</v>
      </c>
      <c r="G2580" s="2142">
        <v>3043840</v>
      </c>
      <c r="H2580" s="3557">
        <v>41908</v>
      </c>
      <c r="I2580" s="2142">
        <v>3043840</v>
      </c>
    </row>
    <row r="2581" spans="1:9" s="2139" customFormat="1" hidden="1">
      <c r="A2581" s="2140" t="s">
        <v>4384</v>
      </c>
      <c r="B2581" s="2141" t="s">
        <v>3055</v>
      </c>
      <c r="C2581" s="2141" t="s">
        <v>3261</v>
      </c>
      <c r="D2581" s="3396">
        <v>82</v>
      </c>
      <c r="E2581" s="2142">
        <v>93.66</v>
      </c>
      <c r="F2581" s="2142">
        <v>32800</v>
      </c>
      <c r="G2581" s="2142">
        <v>3072048</v>
      </c>
      <c r="H2581" s="3557">
        <v>41908</v>
      </c>
      <c r="I2581" s="2142">
        <v>3072048</v>
      </c>
    </row>
    <row r="2582" spans="1:9" s="2139" customFormat="1" hidden="1">
      <c r="A2582" s="2140" t="s">
        <v>3777</v>
      </c>
      <c r="B2582" s="2141" t="s">
        <v>3054</v>
      </c>
      <c r="C2582" s="2141" t="s">
        <v>3261</v>
      </c>
      <c r="D2582" s="2141">
        <v>86</v>
      </c>
      <c r="E2582" s="2142">
        <v>42.64</v>
      </c>
      <c r="F2582" s="2142">
        <v>27300</v>
      </c>
      <c r="G2582" s="2142">
        <v>1164072</v>
      </c>
      <c r="H2582" s="2143">
        <v>41907</v>
      </c>
      <c r="I2582" s="2142">
        <v>1164072</v>
      </c>
    </row>
    <row r="2583" spans="1:9" s="2139" customFormat="1" hidden="1">
      <c r="A2583" s="2140" t="s">
        <v>4361</v>
      </c>
      <c r="B2583" s="2141" t="s">
        <v>3055</v>
      </c>
      <c r="C2583" s="2141" t="s">
        <v>3261</v>
      </c>
      <c r="D2583" s="3396">
        <v>52</v>
      </c>
      <c r="E2583" s="2142">
        <v>34.69</v>
      </c>
      <c r="F2583" s="2142">
        <v>25800</v>
      </c>
      <c r="G2583" s="2142">
        <v>895001.99999999988</v>
      </c>
      <c r="H2583" s="3557">
        <v>41907</v>
      </c>
      <c r="I2583" s="2142">
        <v>195002</v>
      </c>
    </row>
    <row r="2584" spans="1:9" s="2139" customFormat="1" hidden="1">
      <c r="A2584" s="2140" t="s">
        <v>4362</v>
      </c>
      <c r="B2584" s="2141" t="s">
        <v>3055</v>
      </c>
      <c r="C2584" s="2141" t="s">
        <v>3261</v>
      </c>
      <c r="D2584" s="3396">
        <v>53</v>
      </c>
      <c r="E2584" s="2142">
        <v>34.69</v>
      </c>
      <c r="F2584" s="2142">
        <v>25800</v>
      </c>
      <c r="G2584" s="2142">
        <v>895001.99999999988</v>
      </c>
      <c r="H2584" s="3557">
        <v>41907</v>
      </c>
      <c r="I2584" s="2142">
        <v>465002</v>
      </c>
    </row>
    <row r="2585" spans="1:9" s="2139" customFormat="1" hidden="1">
      <c r="A2585" s="2140" t="s">
        <v>3793</v>
      </c>
      <c r="B2585" s="2141" t="s">
        <v>3054</v>
      </c>
      <c r="C2585" s="2141" t="s">
        <v>3261</v>
      </c>
      <c r="D2585" s="2141">
        <v>157</v>
      </c>
      <c r="E2585" s="2142">
        <v>48.4</v>
      </c>
      <c r="F2585" s="2142">
        <v>25300</v>
      </c>
      <c r="G2585" s="2142">
        <v>1224520</v>
      </c>
      <c r="H2585" s="2143">
        <v>41906</v>
      </c>
      <c r="I2585" s="2142">
        <v>1224520</v>
      </c>
    </row>
    <row r="2586" spans="1:9" s="2139" customFormat="1" hidden="1">
      <c r="A2586" s="2140" t="s">
        <v>3796</v>
      </c>
      <c r="B2586" s="2141" t="s">
        <v>3054</v>
      </c>
      <c r="C2586" s="2141" t="s">
        <v>3261</v>
      </c>
      <c r="D2586" s="2141">
        <v>162</v>
      </c>
      <c r="E2586" s="2142">
        <v>30.79</v>
      </c>
      <c r="F2586" s="2142">
        <v>25800</v>
      </c>
      <c r="G2586" s="2142">
        <v>794382</v>
      </c>
      <c r="H2586" s="2143">
        <v>41905</v>
      </c>
      <c r="I2586" s="2142">
        <v>794382</v>
      </c>
    </row>
    <row r="2587" spans="1:9" s="2139" customFormat="1" hidden="1">
      <c r="A2587" s="2140" t="s">
        <v>3789</v>
      </c>
      <c r="B2587" s="2141" t="s">
        <v>3054</v>
      </c>
      <c r="C2587" s="2141" t="s">
        <v>3261</v>
      </c>
      <c r="D2587" s="2141">
        <v>142</v>
      </c>
      <c r="E2587" s="2142">
        <v>58.38</v>
      </c>
      <c r="F2587" s="2142">
        <v>26800</v>
      </c>
      <c r="G2587" s="2142">
        <v>1564584</v>
      </c>
      <c r="H2587" s="2143">
        <v>41903</v>
      </c>
      <c r="I2587" s="2142">
        <v>1564584</v>
      </c>
    </row>
    <row r="2588" spans="1:9" s="2139" customFormat="1" hidden="1">
      <c r="A2588" s="2140" t="s">
        <v>3753</v>
      </c>
      <c r="B2588" s="2141" t="s">
        <v>3054</v>
      </c>
      <c r="C2588" s="2141" t="s">
        <v>3261</v>
      </c>
      <c r="D2588" s="2141">
        <v>35</v>
      </c>
      <c r="E2588" s="2142">
        <v>40.93</v>
      </c>
      <c r="F2588" s="2142">
        <v>25800</v>
      </c>
      <c r="G2588" s="2142">
        <v>1055994</v>
      </c>
      <c r="H2588" s="2143">
        <v>41902</v>
      </c>
      <c r="I2588" s="2142">
        <v>1055994</v>
      </c>
    </row>
    <row r="2589" spans="1:9" s="2139" customFormat="1" hidden="1">
      <c r="A2589" s="2140" t="s">
        <v>3851</v>
      </c>
      <c r="B2589" s="2141" t="s">
        <v>3054</v>
      </c>
      <c r="C2589" s="2141" t="s">
        <v>3161</v>
      </c>
      <c r="D2589" s="2141">
        <v>65</v>
      </c>
      <c r="E2589" s="2142">
        <v>65.86</v>
      </c>
      <c r="F2589" s="2142">
        <v>17600</v>
      </c>
      <c r="G2589" s="2142">
        <v>1159136</v>
      </c>
      <c r="H2589" s="2143">
        <v>41912</v>
      </c>
      <c r="I2589" s="2142">
        <v>1159136</v>
      </c>
    </row>
    <row r="2590" spans="1:9" s="2139" customFormat="1" hidden="1">
      <c r="A2590" s="2140" t="s">
        <v>3921</v>
      </c>
      <c r="B2590" s="2141" t="s">
        <v>3054</v>
      </c>
      <c r="C2590" s="2141" t="s">
        <v>3161</v>
      </c>
      <c r="D2590" s="2141">
        <v>191</v>
      </c>
      <c r="E2590" s="2142">
        <v>34.76</v>
      </c>
      <c r="F2590" s="2142">
        <v>19800</v>
      </c>
      <c r="G2590" s="2142">
        <v>688248</v>
      </c>
      <c r="H2590" s="2143">
        <v>41911</v>
      </c>
      <c r="I2590" s="2142">
        <v>688248</v>
      </c>
    </row>
    <row r="2591" spans="1:9" s="2139" customFormat="1" hidden="1">
      <c r="A2591" s="2140" t="s">
        <v>3922</v>
      </c>
      <c r="B2591" s="2141" t="s">
        <v>3054</v>
      </c>
      <c r="C2591" s="2141" t="s">
        <v>3161</v>
      </c>
      <c r="D2591" s="2141">
        <v>192</v>
      </c>
      <c r="E2591" s="2142">
        <v>22.91</v>
      </c>
      <c r="F2591" s="2142">
        <v>19800</v>
      </c>
      <c r="G2591" s="2142">
        <v>453618</v>
      </c>
      <c r="H2591" s="2143">
        <v>41911</v>
      </c>
      <c r="I2591" s="2142">
        <v>233618</v>
      </c>
    </row>
    <row r="2592" spans="1:9" s="2139" customFormat="1" hidden="1">
      <c r="A2592" s="2140" t="s">
        <v>3902</v>
      </c>
      <c r="B2592" s="2141" t="s">
        <v>3054</v>
      </c>
      <c r="C2592" s="2141" t="s">
        <v>3161</v>
      </c>
      <c r="D2592" s="2141">
        <v>170</v>
      </c>
      <c r="E2592" s="2142">
        <v>80.37</v>
      </c>
      <c r="F2592" s="2142">
        <v>19800</v>
      </c>
      <c r="G2592" s="2142">
        <v>1591326</v>
      </c>
      <c r="H2592" s="2143">
        <v>41909</v>
      </c>
      <c r="I2592" s="2142">
        <v>801326</v>
      </c>
    </row>
    <row r="2593" spans="1:9" s="2139" customFormat="1" hidden="1">
      <c r="A2593" s="2140" t="s">
        <v>3903</v>
      </c>
      <c r="B2593" s="2141" t="s">
        <v>3054</v>
      </c>
      <c r="C2593" s="2141" t="s">
        <v>3161</v>
      </c>
      <c r="D2593" s="2141">
        <v>171</v>
      </c>
      <c r="E2593" s="2142">
        <v>64.66</v>
      </c>
      <c r="F2593" s="2142">
        <v>19800</v>
      </c>
      <c r="G2593" s="2142">
        <v>1280268</v>
      </c>
      <c r="H2593" s="2143">
        <v>41909</v>
      </c>
      <c r="I2593" s="2142">
        <v>640268</v>
      </c>
    </row>
    <row r="2594" spans="1:9" s="2139" customFormat="1" hidden="1">
      <c r="A2594" s="2140" t="s">
        <v>3904</v>
      </c>
      <c r="B2594" s="2141" t="s">
        <v>3054</v>
      </c>
      <c r="C2594" s="2141" t="s">
        <v>3161</v>
      </c>
      <c r="D2594" s="2141">
        <v>172</v>
      </c>
      <c r="E2594" s="2142">
        <v>70.260000000000005</v>
      </c>
      <c r="F2594" s="2142">
        <v>19800</v>
      </c>
      <c r="G2594" s="2142">
        <v>1391148</v>
      </c>
      <c r="H2594" s="2143">
        <v>41909</v>
      </c>
      <c r="I2594" s="2142">
        <v>701148</v>
      </c>
    </row>
    <row r="2595" spans="1:9" s="2139" customFormat="1" hidden="1">
      <c r="A2595" s="2140" t="s">
        <v>3923</v>
      </c>
      <c r="B2595" s="2141" t="s">
        <v>3054</v>
      </c>
      <c r="C2595" s="2141" t="s">
        <v>3161</v>
      </c>
      <c r="D2595" s="2141">
        <v>193</v>
      </c>
      <c r="E2595" s="2142">
        <v>49.54</v>
      </c>
      <c r="F2595" s="2142">
        <v>19800</v>
      </c>
      <c r="G2595" s="2142">
        <v>980892</v>
      </c>
      <c r="H2595" s="2143">
        <v>41909</v>
      </c>
      <c r="I2595" s="2142">
        <v>490892</v>
      </c>
    </row>
    <row r="2596" spans="1:9" s="2139" customFormat="1" hidden="1">
      <c r="A2596" s="2140" t="s">
        <v>3888</v>
      </c>
      <c r="B2596" s="2141" t="s">
        <v>3054</v>
      </c>
      <c r="C2596" s="2141" t="s">
        <v>3161</v>
      </c>
      <c r="D2596" s="2141">
        <v>149</v>
      </c>
      <c r="E2596" s="2142">
        <v>23.81</v>
      </c>
      <c r="F2596" s="2142">
        <v>19800</v>
      </c>
      <c r="G2596" s="2142">
        <v>471438</v>
      </c>
      <c r="H2596" s="2143">
        <v>41908</v>
      </c>
      <c r="I2596" s="2142">
        <v>242032</v>
      </c>
    </row>
    <row r="2597" spans="1:9" s="2139" customFormat="1" hidden="1">
      <c r="A2597" s="2140" t="s">
        <v>4529</v>
      </c>
      <c r="B2597" s="2141" t="s">
        <v>3055</v>
      </c>
      <c r="C2597" s="2141" t="s">
        <v>3161</v>
      </c>
      <c r="D2597" s="3396">
        <v>142</v>
      </c>
      <c r="E2597" s="2142">
        <v>107.77</v>
      </c>
      <c r="F2597" s="2142">
        <v>22329</v>
      </c>
      <c r="G2597" s="2142">
        <v>2406396.33</v>
      </c>
      <c r="H2597" s="3557">
        <v>41908</v>
      </c>
      <c r="I2597" s="2142">
        <v>2406396</v>
      </c>
    </row>
    <row r="2598" spans="1:9" s="2139" customFormat="1" hidden="1">
      <c r="A2598" s="2140" t="s">
        <v>4556</v>
      </c>
      <c r="B2598" s="2141" t="s">
        <v>3055</v>
      </c>
      <c r="C2598" s="2141" t="s">
        <v>3161</v>
      </c>
      <c r="D2598" s="3396">
        <v>177</v>
      </c>
      <c r="E2598" s="2142">
        <v>74.92</v>
      </c>
      <c r="F2598" s="2142">
        <v>15629</v>
      </c>
      <c r="G2598" s="2142">
        <v>1170924.68</v>
      </c>
      <c r="H2598" s="3557">
        <v>41908</v>
      </c>
      <c r="I2598" s="2142">
        <v>1170925</v>
      </c>
    </row>
    <row r="2599" spans="1:9" s="2139" customFormat="1" hidden="1">
      <c r="A2599" s="2140" t="s">
        <v>3867</v>
      </c>
      <c r="B2599" s="2141" t="s">
        <v>3054</v>
      </c>
      <c r="C2599" s="2141" t="s">
        <v>3161</v>
      </c>
      <c r="D2599" s="2141">
        <v>87</v>
      </c>
      <c r="E2599" s="2142">
        <v>40.86</v>
      </c>
      <c r="F2599" s="2142">
        <v>18100</v>
      </c>
      <c r="G2599" s="2142">
        <v>739566</v>
      </c>
      <c r="H2599" s="2143">
        <v>41905</v>
      </c>
      <c r="I2599" s="2142">
        <v>739566</v>
      </c>
    </row>
    <row r="2600" spans="1:9" s="2139" customFormat="1" hidden="1">
      <c r="A2600" s="2140" t="s">
        <v>3868</v>
      </c>
      <c r="B2600" s="2141" t="s">
        <v>3054</v>
      </c>
      <c r="C2600" s="2141" t="s">
        <v>3161</v>
      </c>
      <c r="D2600" s="2141">
        <v>88</v>
      </c>
      <c r="E2600" s="2142">
        <v>26.58</v>
      </c>
      <c r="F2600" s="2142">
        <v>18300</v>
      </c>
      <c r="G2600" s="2142">
        <v>486413.99999999994</v>
      </c>
      <c r="H2600" s="2143">
        <v>41905</v>
      </c>
      <c r="I2600" s="2142">
        <v>486414</v>
      </c>
    </row>
    <row r="2601" spans="1:9" s="2139" customFormat="1" hidden="1">
      <c r="A2601" s="2140" t="s">
        <v>3866</v>
      </c>
      <c r="B2601" s="2141" t="s">
        <v>3054</v>
      </c>
      <c r="C2601" s="2141" t="s">
        <v>3161</v>
      </c>
      <c r="D2601" s="2141">
        <v>86</v>
      </c>
      <c r="E2601" s="2142">
        <v>52.56</v>
      </c>
      <c r="F2601" s="2142">
        <v>17600</v>
      </c>
      <c r="G2601" s="2142">
        <v>925056</v>
      </c>
      <c r="H2601" s="2143">
        <v>41903</v>
      </c>
      <c r="I2601" s="2142">
        <v>925056</v>
      </c>
    </row>
    <row r="2602" spans="1:9" s="2139" customFormat="1" hidden="1">
      <c r="A2602" s="2140" t="s">
        <v>3854</v>
      </c>
      <c r="B2602" s="2141" t="s">
        <v>3054</v>
      </c>
      <c r="C2602" s="2141" t="s">
        <v>3161</v>
      </c>
      <c r="D2602" s="2141">
        <v>70</v>
      </c>
      <c r="E2602" s="2142">
        <v>50.87</v>
      </c>
      <c r="F2602" s="2142">
        <v>18000</v>
      </c>
      <c r="G2602" s="2142">
        <v>915660</v>
      </c>
      <c r="H2602" s="2143">
        <v>41901</v>
      </c>
      <c r="I2602" s="2142">
        <v>915660</v>
      </c>
    </row>
    <row r="2603" spans="1:9" s="2139" customFormat="1" hidden="1">
      <c r="A2603" s="2140" t="s">
        <v>3855</v>
      </c>
      <c r="B2603" s="2141" t="s">
        <v>3054</v>
      </c>
      <c r="C2603" s="2141" t="s">
        <v>3161</v>
      </c>
      <c r="D2603" s="2141">
        <v>71</v>
      </c>
      <c r="E2603" s="2142">
        <v>50.14</v>
      </c>
      <c r="F2603" s="2142">
        <v>17800</v>
      </c>
      <c r="G2603" s="2142">
        <v>892492</v>
      </c>
      <c r="H2603" s="2143">
        <v>41901</v>
      </c>
      <c r="I2603" s="2142">
        <v>892492</v>
      </c>
    </row>
    <row r="2604" spans="1:9" s="2139" customFormat="1" hidden="1">
      <c r="A2604" s="2140" t="s">
        <v>3856</v>
      </c>
      <c r="B2604" s="2141" t="s">
        <v>3054</v>
      </c>
      <c r="C2604" s="2141" t="s">
        <v>3161</v>
      </c>
      <c r="D2604" s="2141">
        <v>72</v>
      </c>
      <c r="E2604" s="2142">
        <v>49.87</v>
      </c>
      <c r="F2604" s="2142">
        <v>17800</v>
      </c>
      <c r="G2604" s="2142">
        <v>887686</v>
      </c>
      <c r="H2604" s="2143">
        <v>41901</v>
      </c>
      <c r="I2604" s="2142">
        <v>887686</v>
      </c>
    </row>
    <row r="2605" spans="1:9" s="2139" customFormat="1" hidden="1">
      <c r="A2605" s="2140" t="s">
        <v>3857</v>
      </c>
      <c r="B2605" s="2141" t="s">
        <v>3054</v>
      </c>
      <c r="C2605" s="2141" t="s">
        <v>3161</v>
      </c>
      <c r="D2605" s="2141">
        <v>73</v>
      </c>
      <c r="E2605" s="2142">
        <v>58.74</v>
      </c>
      <c r="F2605" s="2142">
        <v>18000</v>
      </c>
      <c r="G2605" s="2142">
        <v>1057320</v>
      </c>
      <c r="H2605" s="2143">
        <v>41901</v>
      </c>
      <c r="I2605" s="2142">
        <v>1057320</v>
      </c>
    </row>
    <row r="2606" spans="1:9" s="2139" customFormat="1" hidden="1">
      <c r="A2606" s="2140" t="s">
        <v>3958</v>
      </c>
      <c r="B2606" s="2141" t="s">
        <v>3054</v>
      </c>
      <c r="C2606" s="2141" t="s">
        <v>3161</v>
      </c>
      <c r="D2606" s="2141">
        <v>232</v>
      </c>
      <c r="E2606" s="2142">
        <v>42.1</v>
      </c>
      <c r="F2606" s="2142">
        <v>17600</v>
      </c>
      <c r="G2606" s="2142">
        <v>740960</v>
      </c>
      <c r="H2606" s="2143">
        <v>41898</v>
      </c>
      <c r="I2606" s="2142">
        <v>380960</v>
      </c>
    </row>
    <row r="2607" spans="1:9" s="2139" customFormat="1" hidden="1">
      <c r="A2607" s="2140" t="s">
        <v>4537</v>
      </c>
      <c r="B2607" s="2141" t="s">
        <v>3055</v>
      </c>
      <c r="C2607" s="2141" t="s">
        <v>3161</v>
      </c>
      <c r="D2607" s="3396">
        <v>153</v>
      </c>
      <c r="E2607" s="2142">
        <v>63.33</v>
      </c>
      <c r="F2607" s="2142">
        <v>22329</v>
      </c>
      <c r="G2607" s="2142">
        <v>1414095.57</v>
      </c>
      <c r="H2607" s="3557">
        <v>41898</v>
      </c>
      <c r="I2607" s="2142">
        <v>295707</v>
      </c>
    </row>
    <row r="2608" spans="1:9" s="2139" customFormat="1" hidden="1">
      <c r="A2608" s="2140" t="s">
        <v>4548</v>
      </c>
      <c r="B2608" s="2141" t="s">
        <v>3055</v>
      </c>
      <c r="C2608" s="2141" t="s">
        <v>3161</v>
      </c>
      <c r="D2608" s="3396">
        <v>166</v>
      </c>
      <c r="E2608" s="2142">
        <v>88.96</v>
      </c>
      <c r="F2608" s="2142">
        <v>23800</v>
      </c>
      <c r="G2608" s="2142">
        <v>2117248</v>
      </c>
      <c r="H2608" s="3557">
        <v>41898</v>
      </c>
      <c r="I2608" s="2142">
        <v>438196</v>
      </c>
    </row>
    <row r="2609" spans="1:9" s="2139" customFormat="1" hidden="1">
      <c r="A2609" s="2140" t="s">
        <v>3849</v>
      </c>
      <c r="B2609" s="2141" t="s">
        <v>3054</v>
      </c>
      <c r="C2609" s="2141" t="s">
        <v>3161</v>
      </c>
      <c r="D2609" s="2141">
        <v>62</v>
      </c>
      <c r="E2609" s="2142">
        <v>46.84</v>
      </c>
      <c r="F2609" s="2142">
        <v>17600</v>
      </c>
      <c r="G2609" s="2142">
        <v>824384.00000000012</v>
      </c>
      <c r="H2609" s="2143">
        <v>41897</v>
      </c>
      <c r="I2609" s="2142">
        <v>824384</v>
      </c>
    </row>
    <row r="2610" spans="1:9" s="2139" customFormat="1" hidden="1">
      <c r="A2610" s="2140" t="s">
        <v>3847</v>
      </c>
      <c r="B2610" s="2141" t="s">
        <v>3054</v>
      </c>
      <c r="C2610" s="2141" t="s">
        <v>3161</v>
      </c>
      <c r="D2610" s="2141">
        <v>60</v>
      </c>
      <c r="E2610" s="2142">
        <v>45.6</v>
      </c>
      <c r="F2610" s="2142">
        <v>17600</v>
      </c>
      <c r="G2610" s="2142">
        <v>802560</v>
      </c>
      <c r="H2610" s="2143">
        <v>41896</v>
      </c>
      <c r="I2610" s="2142">
        <v>802560</v>
      </c>
    </row>
    <row r="2611" spans="1:9" s="2139" customFormat="1" hidden="1">
      <c r="A2611" s="2140" t="s">
        <v>3848</v>
      </c>
      <c r="B2611" s="2141" t="s">
        <v>3054</v>
      </c>
      <c r="C2611" s="2141" t="s">
        <v>3161</v>
      </c>
      <c r="D2611" s="2141">
        <v>61</v>
      </c>
      <c r="E2611" s="2142">
        <v>49.4</v>
      </c>
      <c r="F2611" s="2142">
        <v>17900</v>
      </c>
      <c r="G2611" s="2142">
        <v>884260</v>
      </c>
      <c r="H2611" s="2143">
        <v>41896</v>
      </c>
      <c r="I2611" s="2142">
        <v>884260</v>
      </c>
    </row>
    <row r="2612" spans="1:9" s="2139" customFormat="1" hidden="1">
      <c r="A2612" s="2140" t="s">
        <v>4490</v>
      </c>
      <c r="B2612" s="2141" t="s">
        <v>3055</v>
      </c>
      <c r="C2612" s="2141" t="s">
        <v>3161</v>
      </c>
      <c r="D2612" s="3396">
        <v>73</v>
      </c>
      <c r="E2612" s="2142">
        <v>64.37</v>
      </c>
      <c r="F2612" s="2142">
        <v>15629</v>
      </c>
      <c r="G2612" s="2142">
        <v>1006038.7300000001</v>
      </c>
      <c r="H2612" s="3557">
        <v>41896</v>
      </c>
      <c r="I2612" s="2142">
        <v>1006039</v>
      </c>
    </row>
    <row r="2613" spans="1:9" s="2139" customFormat="1" hidden="1">
      <c r="A2613" s="2140" t="s">
        <v>4491</v>
      </c>
      <c r="B2613" s="2141" t="s">
        <v>3055</v>
      </c>
      <c r="C2613" s="2141" t="s">
        <v>3161</v>
      </c>
      <c r="D2613" s="3396">
        <v>75</v>
      </c>
      <c r="E2613" s="2142">
        <v>76.08</v>
      </c>
      <c r="F2613" s="2142">
        <v>15629</v>
      </c>
      <c r="G2613" s="2142">
        <v>1189054.32</v>
      </c>
      <c r="H2613" s="3557">
        <v>41896</v>
      </c>
      <c r="I2613" s="2142">
        <v>1189054</v>
      </c>
    </row>
    <row r="2614" spans="1:9" s="2139" customFormat="1" hidden="1">
      <c r="A2614" s="2140" t="s">
        <v>4524</v>
      </c>
      <c r="B2614" s="2141" t="s">
        <v>3055</v>
      </c>
      <c r="C2614" s="2141" t="s">
        <v>3161</v>
      </c>
      <c r="D2614" s="3396">
        <v>136</v>
      </c>
      <c r="E2614" s="2142">
        <v>44.21</v>
      </c>
      <c r="F2614" s="2142">
        <v>15629</v>
      </c>
      <c r="G2614" s="2142">
        <v>690958.09</v>
      </c>
      <c r="H2614" s="3557">
        <v>41896</v>
      </c>
      <c r="I2614" s="2142">
        <v>690958</v>
      </c>
    </row>
    <row r="2615" spans="1:9" s="2139" customFormat="1" hidden="1">
      <c r="A2615" s="2140" t="s">
        <v>4587</v>
      </c>
      <c r="B2615" s="2141" t="s">
        <v>3055</v>
      </c>
      <c r="C2615" s="2141" t="s">
        <v>3161</v>
      </c>
      <c r="D2615" s="3396">
        <v>218</v>
      </c>
      <c r="E2615" s="2142">
        <v>38.950000000000003</v>
      </c>
      <c r="F2615" s="2142">
        <v>21300</v>
      </c>
      <c r="G2615" s="2142">
        <v>829635.00000000012</v>
      </c>
      <c r="H2615" s="3557">
        <v>41896</v>
      </c>
      <c r="I2615" s="2142">
        <v>829635</v>
      </c>
    </row>
    <row r="2616" spans="1:9" s="2139" customFormat="1" hidden="1">
      <c r="A2616" s="2140" t="s">
        <v>3852</v>
      </c>
      <c r="B2616" s="2141" t="s">
        <v>3054</v>
      </c>
      <c r="C2616" s="2141" t="s">
        <v>3161</v>
      </c>
      <c r="D2616" s="2141">
        <v>66</v>
      </c>
      <c r="E2616" s="2142">
        <v>55.86</v>
      </c>
      <c r="F2616" s="2142">
        <v>17300</v>
      </c>
      <c r="G2616" s="2142">
        <v>966378</v>
      </c>
      <c r="H2616" s="2143">
        <v>41895</v>
      </c>
      <c r="I2616" s="2142">
        <v>966378</v>
      </c>
    </row>
    <row r="2617" spans="1:9" s="2139" customFormat="1" hidden="1">
      <c r="A2617" s="2140" t="s">
        <v>3884</v>
      </c>
      <c r="B2617" s="2141" t="s">
        <v>3054</v>
      </c>
      <c r="C2617" s="2141" t="s">
        <v>3161</v>
      </c>
      <c r="D2617" s="2141">
        <v>131</v>
      </c>
      <c r="E2617" s="2142">
        <v>65.14</v>
      </c>
      <c r="F2617" s="2142">
        <v>17600</v>
      </c>
      <c r="G2617" s="2142">
        <v>1146464</v>
      </c>
      <c r="H2617" s="2143">
        <v>41895</v>
      </c>
      <c r="I2617" s="2142">
        <v>1146464</v>
      </c>
    </row>
    <row r="2618" spans="1:9" s="2139" customFormat="1" hidden="1">
      <c r="A2618" s="2140" t="s">
        <v>3875</v>
      </c>
      <c r="B2618" s="2141" t="s">
        <v>3054</v>
      </c>
      <c r="C2618" s="2141" t="s">
        <v>3161</v>
      </c>
      <c r="D2618" s="2141">
        <v>107</v>
      </c>
      <c r="E2618" s="2142">
        <v>74.09</v>
      </c>
      <c r="F2618" s="2142">
        <v>24100</v>
      </c>
      <c r="G2618" s="2142">
        <v>1785569</v>
      </c>
      <c r="H2618" s="2143">
        <v>41894</v>
      </c>
      <c r="I2618" s="2142">
        <v>1785569</v>
      </c>
    </row>
    <row r="2619" spans="1:9" s="2139" customFormat="1" hidden="1">
      <c r="A2619" s="2140" t="s">
        <v>3876</v>
      </c>
      <c r="B2619" s="2141" t="s">
        <v>3054</v>
      </c>
      <c r="C2619" s="2141" t="s">
        <v>3161</v>
      </c>
      <c r="D2619" s="2141">
        <v>108</v>
      </c>
      <c r="E2619" s="2142">
        <v>89.48</v>
      </c>
      <c r="F2619" s="2142">
        <v>24100</v>
      </c>
      <c r="G2619" s="2142">
        <v>2156468</v>
      </c>
      <c r="H2619" s="2143">
        <v>41894</v>
      </c>
      <c r="I2619" s="2142">
        <v>2156468</v>
      </c>
    </row>
    <row r="2620" spans="1:9" s="2139" customFormat="1" hidden="1">
      <c r="A2620" s="2140" t="s">
        <v>3886</v>
      </c>
      <c r="B2620" s="2141" t="s">
        <v>3054</v>
      </c>
      <c r="C2620" s="2141" t="s">
        <v>3161</v>
      </c>
      <c r="D2620" s="2141">
        <v>146</v>
      </c>
      <c r="E2620" s="2142">
        <v>83.39</v>
      </c>
      <c r="F2620" s="2142">
        <v>17600</v>
      </c>
      <c r="G2620" s="2142">
        <v>1467664</v>
      </c>
      <c r="H2620" s="2143">
        <v>41894</v>
      </c>
      <c r="I2620" s="2142">
        <v>1467664</v>
      </c>
    </row>
    <row r="2621" spans="1:9" s="2139" customFormat="1" hidden="1">
      <c r="A2621" s="2140" t="s">
        <v>4499</v>
      </c>
      <c r="B2621" s="2141" t="s">
        <v>3055</v>
      </c>
      <c r="C2621" s="2141" t="s">
        <v>3161</v>
      </c>
      <c r="D2621" s="3396">
        <v>92</v>
      </c>
      <c r="E2621" s="2142">
        <v>41</v>
      </c>
      <c r="F2621" s="2142">
        <v>19800</v>
      </c>
      <c r="G2621" s="2142">
        <v>811800</v>
      </c>
      <c r="H2621" s="3557">
        <v>41894</v>
      </c>
      <c r="I2621" s="2142">
        <v>811800</v>
      </c>
    </row>
    <row r="2622" spans="1:9" s="2139" customFormat="1" hidden="1">
      <c r="A2622" s="2140" t="s">
        <v>4500</v>
      </c>
      <c r="B2622" s="2141" t="s">
        <v>3055</v>
      </c>
      <c r="C2622" s="2141" t="s">
        <v>3161</v>
      </c>
      <c r="D2622" s="3396">
        <v>93</v>
      </c>
      <c r="E2622" s="2142">
        <v>44.15</v>
      </c>
      <c r="F2622" s="2142">
        <v>19800</v>
      </c>
      <c r="G2622" s="2142">
        <v>874170</v>
      </c>
      <c r="H2622" s="3557">
        <v>41894</v>
      </c>
      <c r="I2622" s="2142">
        <v>874170</v>
      </c>
    </row>
    <row r="2623" spans="1:9" s="2139" customFormat="1" hidden="1">
      <c r="A2623" s="2140" t="s">
        <v>4503</v>
      </c>
      <c r="B2623" s="2141" t="s">
        <v>3055</v>
      </c>
      <c r="C2623" s="2141" t="s">
        <v>3161</v>
      </c>
      <c r="D2623" s="3396">
        <v>97</v>
      </c>
      <c r="E2623" s="2142">
        <v>44.21</v>
      </c>
      <c r="F2623" s="2142">
        <v>15629</v>
      </c>
      <c r="G2623" s="2142">
        <v>690958.09</v>
      </c>
      <c r="H2623" s="3557">
        <v>41894</v>
      </c>
      <c r="I2623" s="2142">
        <v>690958</v>
      </c>
    </row>
    <row r="2624" spans="1:9" s="2139" customFormat="1" hidden="1">
      <c r="A2624" s="2140" t="s">
        <v>3809</v>
      </c>
      <c r="B2624" s="2141" t="s">
        <v>3054</v>
      </c>
      <c r="C2624" s="2141" t="s">
        <v>3161</v>
      </c>
      <c r="D2624" s="2141">
        <v>10</v>
      </c>
      <c r="E2624" s="2142">
        <v>46.63</v>
      </c>
      <c r="F2624" s="2142">
        <v>17600</v>
      </c>
      <c r="G2624" s="2142">
        <v>820688</v>
      </c>
      <c r="H2624" s="2143">
        <v>41893</v>
      </c>
      <c r="I2624" s="2142">
        <v>820688</v>
      </c>
    </row>
    <row r="2625" spans="1:9" s="2139" customFormat="1" hidden="1">
      <c r="A2625" s="2140" t="s">
        <v>3824</v>
      </c>
      <c r="B2625" s="2141" t="s">
        <v>3054</v>
      </c>
      <c r="C2625" s="2141" t="s">
        <v>3161</v>
      </c>
      <c r="D2625" s="2141">
        <v>27</v>
      </c>
      <c r="E2625" s="2142">
        <v>106.43</v>
      </c>
      <c r="F2625" s="2142">
        <v>24100</v>
      </c>
      <c r="G2625" s="2142">
        <v>2564963</v>
      </c>
      <c r="H2625" s="2143">
        <v>41893</v>
      </c>
      <c r="I2625" s="2142">
        <v>2564963</v>
      </c>
    </row>
    <row r="2626" spans="1:9" s="2139" customFormat="1" hidden="1">
      <c r="A2626" s="2140" t="s">
        <v>3826</v>
      </c>
      <c r="B2626" s="2141" t="s">
        <v>3054</v>
      </c>
      <c r="C2626" s="2141" t="s">
        <v>3161</v>
      </c>
      <c r="D2626" s="2141">
        <v>29</v>
      </c>
      <c r="E2626" s="2142">
        <v>68.77</v>
      </c>
      <c r="F2626" s="2142">
        <v>23800</v>
      </c>
      <c r="G2626" s="2142">
        <v>1636726</v>
      </c>
      <c r="H2626" s="2143">
        <v>41893</v>
      </c>
      <c r="I2626" s="2142">
        <v>1636726</v>
      </c>
    </row>
    <row r="2627" spans="1:9" s="2139" customFormat="1" hidden="1">
      <c r="A2627" s="2140" t="s">
        <v>3827</v>
      </c>
      <c r="B2627" s="2141" t="s">
        <v>3054</v>
      </c>
      <c r="C2627" s="2141" t="s">
        <v>3161</v>
      </c>
      <c r="D2627" s="2141">
        <v>30</v>
      </c>
      <c r="E2627" s="2142">
        <v>68.77</v>
      </c>
      <c r="F2627" s="2142">
        <v>23800</v>
      </c>
      <c r="G2627" s="2142">
        <v>1636726</v>
      </c>
      <c r="H2627" s="2143">
        <v>41893</v>
      </c>
      <c r="I2627" s="2142">
        <v>1636726</v>
      </c>
    </row>
    <row r="2628" spans="1:9" s="2139" customFormat="1" hidden="1">
      <c r="A2628" s="2140" t="s">
        <v>3828</v>
      </c>
      <c r="B2628" s="2141" t="s">
        <v>3054</v>
      </c>
      <c r="C2628" s="2141" t="s">
        <v>3161</v>
      </c>
      <c r="D2628" s="2141">
        <v>31</v>
      </c>
      <c r="E2628" s="2142">
        <v>67.94</v>
      </c>
      <c r="F2628" s="2142">
        <v>23800</v>
      </c>
      <c r="G2628" s="2142">
        <v>1616972</v>
      </c>
      <c r="H2628" s="2143">
        <v>41893</v>
      </c>
      <c r="I2628" s="2142">
        <v>1616972</v>
      </c>
    </row>
    <row r="2629" spans="1:9" s="2139" customFormat="1" hidden="1">
      <c r="A2629" s="2140" t="s">
        <v>3829</v>
      </c>
      <c r="B2629" s="2141" t="s">
        <v>3054</v>
      </c>
      <c r="C2629" s="2141" t="s">
        <v>3161</v>
      </c>
      <c r="D2629" s="2141">
        <v>32</v>
      </c>
      <c r="E2629" s="2142">
        <v>69.599999999999994</v>
      </c>
      <c r="F2629" s="2142">
        <v>23800</v>
      </c>
      <c r="G2629" s="2142">
        <v>1656479.9999999998</v>
      </c>
      <c r="H2629" s="2143">
        <v>41893</v>
      </c>
      <c r="I2629" s="2142">
        <v>1656480</v>
      </c>
    </row>
    <row r="2630" spans="1:9" s="2139" customFormat="1" hidden="1">
      <c r="A2630" s="2140" t="s">
        <v>3833</v>
      </c>
      <c r="B2630" s="2141" t="s">
        <v>3054</v>
      </c>
      <c r="C2630" s="2141" t="s">
        <v>3161</v>
      </c>
      <c r="D2630" s="2141">
        <v>37</v>
      </c>
      <c r="E2630" s="2142">
        <v>57.08</v>
      </c>
      <c r="F2630" s="2142">
        <v>23800</v>
      </c>
      <c r="G2630" s="2142">
        <v>1358504</v>
      </c>
      <c r="H2630" s="2143">
        <v>41893</v>
      </c>
      <c r="I2630" s="2142">
        <v>1358504</v>
      </c>
    </row>
    <row r="2631" spans="1:9" s="2139" customFormat="1" hidden="1">
      <c r="A2631" s="2140" t="s">
        <v>3839</v>
      </c>
      <c r="B2631" s="2141" t="s">
        <v>3054</v>
      </c>
      <c r="C2631" s="2141" t="s">
        <v>3161</v>
      </c>
      <c r="D2631" s="2141">
        <v>48</v>
      </c>
      <c r="E2631" s="2142">
        <v>48.52</v>
      </c>
      <c r="F2631" s="2142">
        <v>17300</v>
      </c>
      <c r="G2631" s="2142">
        <v>839396</v>
      </c>
      <c r="H2631" s="2143">
        <v>41893</v>
      </c>
      <c r="I2631" s="2142">
        <v>839396</v>
      </c>
    </row>
    <row r="2632" spans="1:9" s="2139" customFormat="1" hidden="1">
      <c r="A2632" s="2140" t="s">
        <v>3844</v>
      </c>
      <c r="B2632" s="2141" t="s">
        <v>3054</v>
      </c>
      <c r="C2632" s="2141" t="s">
        <v>3161</v>
      </c>
      <c r="D2632" s="2141">
        <v>53</v>
      </c>
      <c r="E2632" s="2142">
        <v>74.77</v>
      </c>
      <c r="F2632" s="2142">
        <v>17600</v>
      </c>
      <c r="G2632" s="2142">
        <v>1315952</v>
      </c>
      <c r="H2632" s="2143">
        <v>41893</v>
      </c>
      <c r="I2632" s="2142">
        <v>1315952</v>
      </c>
    </row>
    <row r="2633" spans="1:9" s="2139" customFormat="1" hidden="1">
      <c r="A2633" s="2140" t="s">
        <v>3846</v>
      </c>
      <c r="B2633" s="2141" t="s">
        <v>3054</v>
      </c>
      <c r="C2633" s="2141" t="s">
        <v>3161</v>
      </c>
      <c r="D2633" s="2141">
        <v>59</v>
      </c>
      <c r="E2633" s="2142">
        <v>31.26</v>
      </c>
      <c r="F2633" s="2142">
        <v>17600</v>
      </c>
      <c r="G2633" s="2142">
        <v>550176</v>
      </c>
      <c r="H2633" s="2143">
        <v>41893</v>
      </c>
      <c r="I2633" s="2142">
        <v>550176</v>
      </c>
    </row>
    <row r="2634" spans="1:9" s="2139" customFormat="1" hidden="1">
      <c r="A2634" s="2140" t="s">
        <v>3881</v>
      </c>
      <c r="B2634" s="2141" t="s">
        <v>3054</v>
      </c>
      <c r="C2634" s="2141" t="s">
        <v>3161</v>
      </c>
      <c r="D2634" s="2141">
        <v>123</v>
      </c>
      <c r="E2634" s="2142">
        <v>65.069999999999993</v>
      </c>
      <c r="F2634" s="2142">
        <v>17600</v>
      </c>
      <c r="G2634" s="2142">
        <v>1145231.9999999998</v>
      </c>
      <c r="H2634" s="2143">
        <v>41893</v>
      </c>
      <c r="I2634" s="2142">
        <v>1145232</v>
      </c>
    </row>
    <row r="2635" spans="1:9" s="2139" customFormat="1" hidden="1">
      <c r="A2635" s="2140" t="s">
        <v>3907</v>
      </c>
      <c r="B2635" s="2141" t="s">
        <v>3054</v>
      </c>
      <c r="C2635" s="2141" t="s">
        <v>3161</v>
      </c>
      <c r="D2635" s="2141">
        <v>176</v>
      </c>
      <c r="E2635" s="2142">
        <v>40.22</v>
      </c>
      <c r="F2635" s="2142">
        <v>19800</v>
      </c>
      <c r="G2635" s="2142">
        <v>796356</v>
      </c>
      <c r="H2635" s="2143">
        <v>41893</v>
      </c>
      <c r="I2635" s="2142">
        <v>796356</v>
      </c>
    </row>
    <row r="2636" spans="1:9" s="2139" customFormat="1" hidden="1">
      <c r="A2636" s="2140" t="s">
        <v>3928</v>
      </c>
      <c r="B2636" s="2141" t="s">
        <v>3054</v>
      </c>
      <c r="C2636" s="2141" t="s">
        <v>3161</v>
      </c>
      <c r="D2636" s="2141">
        <v>199</v>
      </c>
      <c r="E2636" s="2142">
        <v>42.82</v>
      </c>
      <c r="F2636" s="2142">
        <v>18800</v>
      </c>
      <c r="G2636" s="2142">
        <v>805016</v>
      </c>
      <c r="H2636" s="2143">
        <v>41893</v>
      </c>
      <c r="I2636" s="2142">
        <v>805016</v>
      </c>
    </row>
    <row r="2637" spans="1:9" s="2139" customFormat="1" hidden="1">
      <c r="A2637" s="2140" t="s">
        <v>3929</v>
      </c>
      <c r="B2637" s="2141" t="s">
        <v>3054</v>
      </c>
      <c r="C2637" s="2141" t="s">
        <v>3161</v>
      </c>
      <c r="D2637" s="2141">
        <v>200</v>
      </c>
      <c r="E2637" s="2142">
        <v>46.26</v>
      </c>
      <c r="F2637" s="2142">
        <v>18800</v>
      </c>
      <c r="G2637" s="2142">
        <v>869688</v>
      </c>
      <c r="H2637" s="2143">
        <v>41893</v>
      </c>
      <c r="I2637" s="2142">
        <v>219688</v>
      </c>
    </row>
    <row r="2638" spans="1:9" s="2139" customFormat="1" hidden="1">
      <c r="A2638" s="2140" t="s">
        <v>3930</v>
      </c>
      <c r="B2638" s="2141" t="s">
        <v>3054</v>
      </c>
      <c r="C2638" s="2141" t="s">
        <v>3161</v>
      </c>
      <c r="D2638" s="2141">
        <v>201</v>
      </c>
      <c r="E2638" s="2142">
        <v>49.48</v>
      </c>
      <c r="F2638" s="2142">
        <v>18800</v>
      </c>
      <c r="G2638" s="2142">
        <v>930223.99999999988</v>
      </c>
      <c r="H2638" s="2143">
        <v>41893</v>
      </c>
      <c r="I2638" s="2142">
        <v>250224</v>
      </c>
    </row>
    <row r="2639" spans="1:9" s="2139" customFormat="1" hidden="1">
      <c r="A2639" s="2140" t="s">
        <v>3942</v>
      </c>
      <c r="B2639" s="2141" t="s">
        <v>3054</v>
      </c>
      <c r="C2639" s="2141" t="s">
        <v>3161</v>
      </c>
      <c r="D2639" s="2141">
        <v>215</v>
      </c>
      <c r="E2639" s="2142">
        <v>73.540000000000006</v>
      </c>
      <c r="F2639" s="2142">
        <v>20532</v>
      </c>
      <c r="G2639" s="2142">
        <v>1509923.28</v>
      </c>
      <c r="H2639" s="2143">
        <v>41893</v>
      </c>
      <c r="I2639" s="2142">
        <v>379923</v>
      </c>
    </row>
    <row r="2640" spans="1:9" s="2139" customFormat="1" hidden="1">
      <c r="A2640" s="2140" t="s">
        <v>3943</v>
      </c>
      <c r="B2640" s="2141" t="s">
        <v>3054</v>
      </c>
      <c r="C2640" s="2141" t="s">
        <v>3161</v>
      </c>
      <c r="D2640" s="2141">
        <v>216</v>
      </c>
      <c r="E2640" s="2142">
        <v>70.28</v>
      </c>
      <c r="F2640" s="2142">
        <v>20530</v>
      </c>
      <c r="G2640" s="2142">
        <v>1442848.4</v>
      </c>
      <c r="H2640" s="2143">
        <v>41893</v>
      </c>
      <c r="I2640" s="2142">
        <v>342848</v>
      </c>
    </row>
    <row r="2641" spans="1:9" s="2139" customFormat="1" hidden="1">
      <c r="A2641" s="2140" t="s">
        <v>3945</v>
      </c>
      <c r="B2641" s="2141" t="s">
        <v>3054</v>
      </c>
      <c r="C2641" s="2141" t="s">
        <v>3161</v>
      </c>
      <c r="D2641" s="2141">
        <v>218</v>
      </c>
      <c r="E2641" s="2142">
        <v>64.27</v>
      </c>
      <c r="F2641" s="2142">
        <v>20530</v>
      </c>
      <c r="G2641" s="2142">
        <v>1319463.0999999999</v>
      </c>
      <c r="H2641" s="2143">
        <v>41893</v>
      </c>
      <c r="I2641" s="2142">
        <v>1319463</v>
      </c>
    </row>
    <row r="2642" spans="1:9" s="2139" customFormat="1" hidden="1">
      <c r="A2642" s="2140" t="s">
        <v>3948</v>
      </c>
      <c r="B2642" s="2141" t="s">
        <v>3054</v>
      </c>
      <c r="C2642" s="2141" t="s">
        <v>3161</v>
      </c>
      <c r="D2642" s="2141">
        <v>221</v>
      </c>
      <c r="E2642" s="2142">
        <v>57.28</v>
      </c>
      <c r="F2642" s="2142">
        <v>21800</v>
      </c>
      <c r="G2642" s="2142">
        <v>1248704</v>
      </c>
      <c r="H2642" s="2143">
        <v>41893</v>
      </c>
      <c r="I2642" s="2142">
        <v>1248704</v>
      </c>
    </row>
    <row r="2643" spans="1:9" s="2139" customFormat="1" hidden="1">
      <c r="A2643" s="2140" t="s">
        <v>4488</v>
      </c>
      <c r="B2643" s="2141" t="s">
        <v>3055</v>
      </c>
      <c r="C2643" s="2141" t="s">
        <v>3161</v>
      </c>
      <c r="D2643" s="3396">
        <v>71</v>
      </c>
      <c r="E2643" s="2142">
        <v>136.21</v>
      </c>
      <c r="F2643" s="2142">
        <v>22329</v>
      </c>
      <c r="G2643" s="2142">
        <v>3041433.0900000003</v>
      </c>
      <c r="H2643" s="3557">
        <v>41893</v>
      </c>
      <c r="I2643" s="2142">
        <v>3041433</v>
      </c>
    </row>
    <row r="2644" spans="1:9" s="2139" customFormat="1" hidden="1">
      <c r="A2644" s="2140" t="s">
        <v>4528</v>
      </c>
      <c r="B2644" s="2141" t="s">
        <v>3055</v>
      </c>
      <c r="C2644" s="2141" t="s">
        <v>3161</v>
      </c>
      <c r="D2644" s="3396">
        <v>140</v>
      </c>
      <c r="E2644" s="2142">
        <v>43.4</v>
      </c>
      <c r="F2644" s="2142">
        <v>15629</v>
      </c>
      <c r="G2644" s="2142">
        <v>678298.6</v>
      </c>
      <c r="H2644" s="3557">
        <v>41893</v>
      </c>
      <c r="I2644" s="2142">
        <v>678299</v>
      </c>
    </row>
    <row r="2645" spans="1:9" s="2139" customFormat="1" hidden="1">
      <c r="A2645" s="2140" t="s">
        <v>3874</v>
      </c>
      <c r="B2645" s="2141" t="s">
        <v>3054</v>
      </c>
      <c r="C2645" s="2141" t="s">
        <v>3161</v>
      </c>
      <c r="D2645" s="2141">
        <v>102</v>
      </c>
      <c r="E2645" s="2142">
        <v>73</v>
      </c>
      <c r="F2645" s="2142">
        <v>17600</v>
      </c>
      <c r="G2645" s="2142">
        <v>1284800</v>
      </c>
      <c r="H2645" s="2143">
        <v>41892</v>
      </c>
      <c r="I2645" s="2142">
        <v>306736</v>
      </c>
    </row>
    <row r="2646" spans="1:9" s="2139" customFormat="1" hidden="1">
      <c r="A2646" s="2140" t="s">
        <v>3905</v>
      </c>
      <c r="B2646" s="2141" t="s">
        <v>3054</v>
      </c>
      <c r="C2646" s="2141" t="s">
        <v>3161</v>
      </c>
      <c r="D2646" s="2141">
        <v>173</v>
      </c>
      <c r="E2646" s="2142">
        <v>51.05</v>
      </c>
      <c r="F2646" s="2142">
        <v>19800</v>
      </c>
      <c r="G2646" s="2142">
        <v>1010790</v>
      </c>
      <c r="H2646" s="2143">
        <v>41892</v>
      </c>
      <c r="I2646" s="2142">
        <v>462176</v>
      </c>
    </row>
    <row r="2647" spans="1:9" s="2139" customFormat="1" hidden="1">
      <c r="A2647" s="2140" t="s">
        <v>3906</v>
      </c>
      <c r="B2647" s="2141" t="s">
        <v>3054</v>
      </c>
      <c r="C2647" s="2141" t="s">
        <v>3161</v>
      </c>
      <c r="D2647" s="2141">
        <v>175</v>
      </c>
      <c r="E2647" s="2142">
        <v>43.32</v>
      </c>
      <c r="F2647" s="2142">
        <v>19800</v>
      </c>
      <c r="G2647" s="2142">
        <v>857736</v>
      </c>
      <c r="H2647" s="2143">
        <v>41892</v>
      </c>
      <c r="I2647" s="2142">
        <v>188924</v>
      </c>
    </row>
    <row r="2648" spans="1:9" s="2139" customFormat="1" hidden="1">
      <c r="A2648" s="2140" t="s">
        <v>3908</v>
      </c>
      <c r="B2648" s="2141" t="s">
        <v>3054</v>
      </c>
      <c r="C2648" s="2141" t="s">
        <v>3161</v>
      </c>
      <c r="D2648" s="2141">
        <v>177</v>
      </c>
      <c r="E2648" s="2142">
        <v>71.349999999999994</v>
      </c>
      <c r="F2648" s="2142">
        <v>19800</v>
      </c>
      <c r="G2648" s="2142">
        <v>1412730</v>
      </c>
      <c r="H2648" s="2143">
        <v>41892</v>
      </c>
      <c r="I2648" s="2142">
        <v>294710</v>
      </c>
    </row>
    <row r="2649" spans="1:9" s="2139" customFormat="1" hidden="1">
      <c r="A2649" s="2140" t="s">
        <v>3909</v>
      </c>
      <c r="B2649" s="2141" t="s">
        <v>3054</v>
      </c>
      <c r="C2649" s="2141" t="s">
        <v>3161</v>
      </c>
      <c r="D2649" s="2141">
        <v>178</v>
      </c>
      <c r="E2649" s="2142">
        <v>69.739999999999995</v>
      </c>
      <c r="F2649" s="2142">
        <v>19800</v>
      </c>
      <c r="G2649" s="2142">
        <v>1380852</v>
      </c>
      <c r="H2649" s="2143">
        <v>41892</v>
      </c>
      <c r="I2649" s="2142">
        <v>690852</v>
      </c>
    </row>
    <row r="2650" spans="1:9" s="2139" customFormat="1" hidden="1">
      <c r="A2650" s="2140" t="s">
        <v>3910</v>
      </c>
      <c r="B2650" s="2141" t="s">
        <v>3054</v>
      </c>
      <c r="C2650" s="2141" t="s">
        <v>3161</v>
      </c>
      <c r="D2650" s="2141">
        <v>179</v>
      </c>
      <c r="E2650" s="2142">
        <v>68.430000000000007</v>
      </c>
      <c r="F2650" s="2142">
        <v>19800</v>
      </c>
      <c r="G2650" s="2142">
        <v>1354914.0000000002</v>
      </c>
      <c r="H2650" s="2143">
        <v>41892</v>
      </c>
      <c r="I2650" s="2142">
        <v>684914</v>
      </c>
    </row>
    <row r="2651" spans="1:9" s="2139" customFormat="1" hidden="1">
      <c r="A2651" s="2140" t="s">
        <v>3911</v>
      </c>
      <c r="B2651" s="2141" t="s">
        <v>3054</v>
      </c>
      <c r="C2651" s="2141" t="s">
        <v>3161</v>
      </c>
      <c r="D2651" s="2141">
        <v>180</v>
      </c>
      <c r="E2651" s="2142">
        <v>53.48</v>
      </c>
      <c r="F2651" s="2142">
        <v>19800</v>
      </c>
      <c r="G2651" s="2142">
        <v>1058904</v>
      </c>
      <c r="H2651" s="2143">
        <v>41892</v>
      </c>
      <c r="I2651" s="2142">
        <v>1058904</v>
      </c>
    </row>
    <row r="2652" spans="1:9" s="2139" customFormat="1" hidden="1">
      <c r="A2652" s="2140" t="s">
        <v>3915</v>
      </c>
      <c r="B2652" s="2141" t="s">
        <v>3054</v>
      </c>
      <c r="C2652" s="2141" t="s">
        <v>3161</v>
      </c>
      <c r="D2652" s="2141">
        <v>185</v>
      </c>
      <c r="E2652" s="2142">
        <v>54.88</v>
      </c>
      <c r="F2652" s="2142">
        <v>19800</v>
      </c>
      <c r="G2652" s="2142">
        <v>1086624</v>
      </c>
      <c r="H2652" s="2143">
        <v>41892</v>
      </c>
      <c r="I2652" s="2142">
        <v>478208</v>
      </c>
    </row>
    <row r="2653" spans="1:9" s="2139" customFormat="1" hidden="1">
      <c r="A2653" s="2140" t="s">
        <v>3916</v>
      </c>
      <c r="B2653" s="2141" t="s">
        <v>3054</v>
      </c>
      <c r="C2653" s="2141" t="s">
        <v>3161</v>
      </c>
      <c r="D2653" s="2141">
        <v>186</v>
      </c>
      <c r="E2653" s="2142">
        <v>57.88</v>
      </c>
      <c r="F2653" s="2142">
        <v>19800</v>
      </c>
      <c r="G2653" s="2142">
        <v>1146024</v>
      </c>
      <c r="H2653" s="2143">
        <v>41892</v>
      </c>
      <c r="I2653" s="2142">
        <v>576024</v>
      </c>
    </row>
    <row r="2654" spans="1:9" s="2139" customFormat="1" hidden="1">
      <c r="A2654" s="2140" t="s">
        <v>3917</v>
      </c>
      <c r="B2654" s="2141" t="s">
        <v>3054</v>
      </c>
      <c r="C2654" s="2141" t="s">
        <v>3161</v>
      </c>
      <c r="D2654" s="2141">
        <v>187</v>
      </c>
      <c r="E2654" s="2142">
        <v>58.53</v>
      </c>
      <c r="F2654" s="2142">
        <v>19800</v>
      </c>
      <c r="G2654" s="2142">
        <v>1158894</v>
      </c>
      <c r="H2654" s="2143">
        <v>41892</v>
      </c>
      <c r="I2654" s="2142">
        <v>1158894</v>
      </c>
    </row>
    <row r="2655" spans="1:9" s="2139" customFormat="1" hidden="1">
      <c r="A2655" s="2140" t="s">
        <v>3918</v>
      </c>
      <c r="B2655" s="2141" t="s">
        <v>3054</v>
      </c>
      <c r="C2655" s="2141" t="s">
        <v>3161</v>
      </c>
      <c r="D2655" s="2141">
        <v>188</v>
      </c>
      <c r="E2655" s="2142">
        <v>51.89</v>
      </c>
      <c r="F2655" s="2142">
        <v>19800</v>
      </c>
      <c r="G2655" s="2142">
        <v>1027422</v>
      </c>
      <c r="H2655" s="2143">
        <v>41892</v>
      </c>
      <c r="I2655" s="2142">
        <v>218808</v>
      </c>
    </row>
    <row r="2656" spans="1:9" s="2139" customFormat="1" hidden="1">
      <c r="A2656" s="2140" t="s">
        <v>3919</v>
      </c>
      <c r="B2656" s="2141" t="s">
        <v>3054</v>
      </c>
      <c r="C2656" s="2141" t="s">
        <v>3161</v>
      </c>
      <c r="D2656" s="2141">
        <v>189</v>
      </c>
      <c r="E2656" s="2142">
        <v>55.88</v>
      </c>
      <c r="F2656" s="2142">
        <v>19800</v>
      </c>
      <c r="G2656" s="2142">
        <v>1106424</v>
      </c>
      <c r="H2656" s="2143">
        <v>41892</v>
      </c>
      <c r="I2656" s="2142">
        <v>210688</v>
      </c>
    </row>
    <row r="2657" spans="1:9" s="2139" customFormat="1" hidden="1">
      <c r="A2657" s="2140" t="s">
        <v>3920</v>
      </c>
      <c r="B2657" s="2141" t="s">
        <v>3054</v>
      </c>
      <c r="C2657" s="2141" t="s">
        <v>3161</v>
      </c>
      <c r="D2657" s="2141">
        <v>190</v>
      </c>
      <c r="E2657" s="2142">
        <v>51.45</v>
      </c>
      <c r="F2657" s="2142">
        <v>19800</v>
      </c>
      <c r="G2657" s="2142">
        <v>1018710</v>
      </c>
      <c r="H2657" s="2143">
        <v>41892</v>
      </c>
      <c r="I2657" s="2142">
        <v>443968</v>
      </c>
    </row>
    <row r="2658" spans="1:9" s="2139" customFormat="1" hidden="1">
      <c r="A2658" s="2140" t="s">
        <v>3931</v>
      </c>
      <c r="B2658" s="2141" t="s">
        <v>3054</v>
      </c>
      <c r="C2658" s="2141" t="s">
        <v>3161</v>
      </c>
      <c r="D2658" s="2141">
        <v>202</v>
      </c>
      <c r="E2658" s="2142">
        <v>81.61</v>
      </c>
      <c r="F2658" s="2142">
        <v>19800</v>
      </c>
      <c r="G2658" s="2142">
        <v>1615878</v>
      </c>
      <c r="H2658" s="2143">
        <v>41892</v>
      </c>
      <c r="I2658" s="2142">
        <v>338056</v>
      </c>
    </row>
    <row r="2659" spans="1:9" s="2139" customFormat="1" hidden="1">
      <c r="A2659" s="2140" t="s">
        <v>3932</v>
      </c>
      <c r="B2659" s="2141" t="s">
        <v>3054</v>
      </c>
      <c r="C2659" s="2141" t="s">
        <v>3161</v>
      </c>
      <c r="D2659" s="2141">
        <v>203</v>
      </c>
      <c r="E2659" s="2142">
        <v>45.79</v>
      </c>
      <c r="F2659" s="2142">
        <v>19800</v>
      </c>
      <c r="G2659" s="2142">
        <v>906642</v>
      </c>
      <c r="H2659" s="2143">
        <v>41892</v>
      </c>
      <c r="I2659" s="2142">
        <v>437830</v>
      </c>
    </row>
    <row r="2660" spans="1:9" s="2139" customFormat="1" hidden="1">
      <c r="A2660" s="2140" t="s">
        <v>3933</v>
      </c>
      <c r="B2660" s="2141" t="s">
        <v>3054</v>
      </c>
      <c r="C2660" s="2141" t="s">
        <v>3161</v>
      </c>
      <c r="D2660" s="2141">
        <v>205</v>
      </c>
      <c r="E2660" s="2142">
        <v>47.29</v>
      </c>
      <c r="F2660" s="2142">
        <v>19800</v>
      </c>
      <c r="G2660" s="2142">
        <v>936342</v>
      </c>
      <c r="H2660" s="2143">
        <v>41892</v>
      </c>
      <c r="I2660" s="2142">
        <v>397728</v>
      </c>
    </row>
    <row r="2661" spans="1:9" s="2139" customFormat="1" hidden="1">
      <c r="A2661" s="2140" t="s">
        <v>3934</v>
      </c>
      <c r="B2661" s="2141" t="s">
        <v>3054</v>
      </c>
      <c r="C2661" s="2141" t="s">
        <v>3161</v>
      </c>
      <c r="D2661" s="2141">
        <v>206</v>
      </c>
      <c r="E2661" s="2142">
        <v>43.35</v>
      </c>
      <c r="F2661" s="2142">
        <v>19800</v>
      </c>
      <c r="G2661" s="2142">
        <v>858330</v>
      </c>
      <c r="H2661" s="2143">
        <v>41892</v>
      </c>
      <c r="I2661" s="2142">
        <v>389518</v>
      </c>
    </row>
    <row r="2662" spans="1:9" s="2139" customFormat="1" hidden="1">
      <c r="A2662" s="2140" t="s">
        <v>3935</v>
      </c>
      <c r="B2662" s="2141" t="s">
        <v>3054</v>
      </c>
      <c r="C2662" s="2141" t="s">
        <v>3161</v>
      </c>
      <c r="D2662" s="2141">
        <v>207</v>
      </c>
      <c r="E2662" s="2142">
        <v>109.6</v>
      </c>
      <c r="F2662" s="2142">
        <v>19800</v>
      </c>
      <c r="G2662" s="2142">
        <v>2170080</v>
      </c>
      <c r="H2662" s="2143">
        <v>41892</v>
      </c>
      <c r="I2662" s="2142">
        <v>643050</v>
      </c>
    </row>
    <row r="2663" spans="1:9" s="2139" customFormat="1" hidden="1">
      <c r="A2663" s="2140" t="s">
        <v>3936</v>
      </c>
      <c r="B2663" s="2141" t="s">
        <v>3054</v>
      </c>
      <c r="C2663" s="2141" t="s">
        <v>3161</v>
      </c>
      <c r="D2663" s="2141">
        <v>208</v>
      </c>
      <c r="E2663" s="2142">
        <v>67.930000000000007</v>
      </c>
      <c r="F2663" s="2142">
        <v>19800</v>
      </c>
      <c r="G2663" s="2142">
        <v>1345014.0000000002</v>
      </c>
      <c r="H2663" s="2143">
        <v>41892</v>
      </c>
      <c r="I2663" s="2142">
        <v>476994</v>
      </c>
    </row>
    <row r="2664" spans="1:9" s="2139" customFormat="1" hidden="1">
      <c r="A2664" s="2140" t="s">
        <v>3937</v>
      </c>
      <c r="B2664" s="2141" t="s">
        <v>3054</v>
      </c>
      <c r="C2664" s="2141" t="s">
        <v>3161</v>
      </c>
      <c r="D2664" s="2141">
        <v>209</v>
      </c>
      <c r="E2664" s="2142">
        <v>50.24</v>
      </c>
      <c r="F2664" s="2142">
        <v>19800</v>
      </c>
      <c r="G2664" s="2142">
        <v>994752</v>
      </c>
      <c r="H2664" s="2143">
        <v>41892</v>
      </c>
      <c r="I2664" s="2142">
        <v>416138</v>
      </c>
    </row>
    <row r="2665" spans="1:9" s="2139" customFormat="1" hidden="1">
      <c r="A2665" s="2140" t="s">
        <v>3938</v>
      </c>
      <c r="B2665" s="2141" t="s">
        <v>3054</v>
      </c>
      <c r="C2665" s="2141" t="s">
        <v>3161</v>
      </c>
      <c r="D2665" s="2141">
        <v>210</v>
      </c>
      <c r="E2665" s="2142">
        <v>51.25</v>
      </c>
      <c r="F2665" s="2142">
        <v>19800</v>
      </c>
      <c r="G2665" s="2142">
        <v>1014750</v>
      </c>
      <c r="H2665" s="2143">
        <v>41892</v>
      </c>
      <c r="I2665" s="2142">
        <v>516136</v>
      </c>
    </row>
    <row r="2666" spans="1:9" s="2139" customFormat="1" hidden="1">
      <c r="A2666" s="2140" t="s">
        <v>3939</v>
      </c>
      <c r="B2666" s="2141" t="s">
        <v>3054</v>
      </c>
      <c r="C2666" s="2141" t="s">
        <v>3161</v>
      </c>
      <c r="D2666" s="2141">
        <v>211</v>
      </c>
      <c r="E2666" s="2142">
        <v>68.040000000000006</v>
      </c>
      <c r="F2666" s="2142">
        <v>19800</v>
      </c>
      <c r="G2666" s="2142">
        <v>1347192.0000000002</v>
      </c>
      <c r="H2666" s="2143">
        <v>41892</v>
      </c>
      <c r="I2666" s="2142">
        <v>279172</v>
      </c>
    </row>
    <row r="2667" spans="1:9" s="2139" customFormat="1" hidden="1">
      <c r="A2667" s="2140" t="s">
        <v>3940</v>
      </c>
      <c r="B2667" s="2141" t="s">
        <v>3054</v>
      </c>
      <c r="C2667" s="2141" t="s">
        <v>3161</v>
      </c>
      <c r="D2667" s="2141">
        <v>212</v>
      </c>
      <c r="E2667" s="2142">
        <v>69.08</v>
      </c>
      <c r="F2667" s="2142">
        <v>19800</v>
      </c>
      <c r="G2667" s="2142">
        <v>1367784</v>
      </c>
      <c r="H2667" s="2143">
        <v>41892</v>
      </c>
      <c r="I2667" s="2142">
        <v>282536</v>
      </c>
    </row>
    <row r="2668" spans="1:9" s="2139" customFormat="1" hidden="1">
      <c r="A2668" s="2140" t="s">
        <v>3941</v>
      </c>
      <c r="B2668" s="2141" t="s">
        <v>3054</v>
      </c>
      <c r="C2668" s="2141" t="s">
        <v>3161</v>
      </c>
      <c r="D2668" s="2141">
        <v>213</v>
      </c>
      <c r="E2668" s="2142">
        <v>77.48</v>
      </c>
      <c r="F2668" s="2142">
        <v>19800</v>
      </c>
      <c r="G2668" s="2142">
        <v>1534104</v>
      </c>
      <c r="H2668" s="2143">
        <v>41892</v>
      </c>
      <c r="I2668" s="2142">
        <v>312224</v>
      </c>
    </row>
    <row r="2669" spans="1:9" s="2139" customFormat="1" hidden="1">
      <c r="A2669" s="2140" t="s">
        <v>3949</v>
      </c>
      <c r="B2669" s="2141" t="s">
        <v>3054</v>
      </c>
      <c r="C2669" s="2141" t="s">
        <v>3161</v>
      </c>
      <c r="D2669" s="2141">
        <v>222</v>
      </c>
      <c r="E2669" s="2142">
        <v>32.270000000000003</v>
      </c>
      <c r="F2669" s="2142">
        <v>18800</v>
      </c>
      <c r="G2669" s="2142">
        <v>606676.00000000012</v>
      </c>
      <c r="H2669" s="2143">
        <v>41892</v>
      </c>
      <c r="I2669" s="2142">
        <v>606676</v>
      </c>
    </row>
    <row r="2670" spans="1:9" s="2139" customFormat="1" hidden="1">
      <c r="A2670" s="2140" t="s">
        <v>3950</v>
      </c>
      <c r="B2670" s="2141" t="s">
        <v>3054</v>
      </c>
      <c r="C2670" s="2141" t="s">
        <v>3161</v>
      </c>
      <c r="D2670" s="2141">
        <v>223</v>
      </c>
      <c r="E2670" s="2142">
        <v>33.54</v>
      </c>
      <c r="F2670" s="2142">
        <v>18800</v>
      </c>
      <c r="G2670" s="2142">
        <v>630552</v>
      </c>
      <c r="H2670" s="2143">
        <v>41892</v>
      </c>
      <c r="I2670" s="2142">
        <v>630552</v>
      </c>
    </row>
    <row r="2671" spans="1:9" s="2139" customFormat="1" hidden="1">
      <c r="A2671" s="2140" t="s">
        <v>4456</v>
      </c>
      <c r="B2671" s="2141" t="s">
        <v>3055</v>
      </c>
      <c r="C2671" s="2141" t="s">
        <v>3161</v>
      </c>
      <c r="D2671" s="3396">
        <v>32</v>
      </c>
      <c r="E2671" s="2142">
        <v>67.239999999999995</v>
      </c>
      <c r="F2671" s="2142">
        <v>21829</v>
      </c>
      <c r="G2671" s="2142">
        <v>1467781.96</v>
      </c>
      <c r="H2671" s="3557">
        <v>41892</v>
      </c>
      <c r="I2671" s="2142">
        <v>1467782</v>
      </c>
    </row>
    <row r="2672" spans="1:9" s="2139" customFormat="1" hidden="1">
      <c r="A2672" s="2140" t="s">
        <v>4457</v>
      </c>
      <c r="B2672" s="2141" t="s">
        <v>3055</v>
      </c>
      <c r="C2672" s="2141" t="s">
        <v>3161</v>
      </c>
      <c r="D2672" s="3396">
        <v>33</v>
      </c>
      <c r="E2672" s="2142">
        <v>67.41</v>
      </c>
      <c r="F2672" s="2142">
        <v>21829</v>
      </c>
      <c r="G2672" s="2142">
        <v>1471492.89</v>
      </c>
      <c r="H2672" s="3557">
        <v>41892</v>
      </c>
      <c r="I2672" s="2142">
        <v>1471493</v>
      </c>
    </row>
    <row r="2673" spans="1:9" s="2139" customFormat="1" hidden="1">
      <c r="A2673" s="2140" t="s">
        <v>4480</v>
      </c>
      <c r="B2673" s="2141" t="s">
        <v>3055</v>
      </c>
      <c r="C2673" s="2141" t="s">
        <v>3161</v>
      </c>
      <c r="D2673" s="3396">
        <v>60</v>
      </c>
      <c r="E2673" s="2142">
        <v>53.44</v>
      </c>
      <c r="F2673" s="2142">
        <v>15629</v>
      </c>
      <c r="G2673" s="2142">
        <v>835213.76</v>
      </c>
      <c r="H2673" s="3557">
        <v>41892</v>
      </c>
      <c r="I2673" s="2142">
        <v>835214</v>
      </c>
    </row>
    <row r="2674" spans="1:9" s="2139" customFormat="1" hidden="1">
      <c r="A2674" s="2140" t="s">
        <v>4484</v>
      </c>
      <c r="B2674" s="2141" t="s">
        <v>3055</v>
      </c>
      <c r="C2674" s="2141" t="s">
        <v>3161</v>
      </c>
      <c r="D2674" s="3396">
        <v>67</v>
      </c>
      <c r="E2674" s="2142">
        <v>95.34</v>
      </c>
      <c r="F2674" s="2142">
        <v>21829</v>
      </c>
      <c r="G2674" s="2142">
        <v>2081176.86</v>
      </c>
      <c r="H2674" s="3557">
        <v>41892</v>
      </c>
      <c r="I2674" s="2142">
        <v>2081177</v>
      </c>
    </row>
    <row r="2675" spans="1:9" s="2139" customFormat="1" hidden="1">
      <c r="A2675" s="2140" t="s">
        <v>4504</v>
      </c>
      <c r="B2675" s="2141" t="s">
        <v>3055</v>
      </c>
      <c r="C2675" s="2141" t="s">
        <v>3161</v>
      </c>
      <c r="D2675" s="3396">
        <v>98</v>
      </c>
      <c r="E2675" s="2142">
        <v>43.13</v>
      </c>
      <c r="F2675" s="2142">
        <v>15629</v>
      </c>
      <c r="G2675" s="2142">
        <v>674078.77</v>
      </c>
      <c r="H2675" s="3557">
        <v>41892</v>
      </c>
      <c r="I2675" s="2142">
        <v>674079</v>
      </c>
    </row>
    <row r="2676" spans="1:9" s="2139" customFormat="1" hidden="1">
      <c r="A2676" s="2140" t="s">
        <v>4574</v>
      </c>
      <c r="B2676" s="2141" t="s">
        <v>3055</v>
      </c>
      <c r="C2676" s="2141" t="s">
        <v>3161</v>
      </c>
      <c r="D2676" s="3396">
        <v>203</v>
      </c>
      <c r="E2676" s="2142">
        <v>66.599999999999994</v>
      </c>
      <c r="F2676" s="2142">
        <v>21829</v>
      </c>
      <c r="G2676" s="2142">
        <v>1453811.4</v>
      </c>
      <c r="H2676" s="3557">
        <v>41892</v>
      </c>
      <c r="I2676" s="2142">
        <v>1453811</v>
      </c>
    </row>
    <row r="2677" spans="1:9" s="2139" customFormat="1" hidden="1">
      <c r="A2677" s="2140" t="s">
        <v>4575</v>
      </c>
      <c r="B2677" s="2141" t="s">
        <v>3055</v>
      </c>
      <c r="C2677" s="2141" t="s">
        <v>3161</v>
      </c>
      <c r="D2677" s="3396">
        <v>205</v>
      </c>
      <c r="E2677" s="2142">
        <v>68.209999999999994</v>
      </c>
      <c r="F2677" s="2142">
        <v>21829</v>
      </c>
      <c r="G2677" s="2142">
        <v>1488956.0899999999</v>
      </c>
      <c r="H2677" s="3557">
        <v>41892</v>
      </c>
      <c r="I2677" s="2142">
        <v>1488956</v>
      </c>
    </row>
    <row r="2678" spans="1:9" s="2139" customFormat="1" hidden="1">
      <c r="A2678" s="2140" t="s">
        <v>4527</v>
      </c>
      <c r="B2678" s="2141" t="s">
        <v>3055</v>
      </c>
      <c r="C2678" s="2141" t="s">
        <v>3161</v>
      </c>
      <c r="D2678" s="3396">
        <v>139</v>
      </c>
      <c r="E2678" s="2142">
        <v>43.13</v>
      </c>
      <c r="F2678" s="2142">
        <v>15629</v>
      </c>
      <c r="G2678" s="2142">
        <v>674078.77</v>
      </c>
      <c r="H2678" s="3557">
        <v>41890</v>
      </c>
      <c r="I2678" s="2142">
        <v>674079</v>
      </c>
    </row>
    <row r="2679" spans="1:9" s="2139" customFormat="1" hidden="1">
      <c r="A2679" s="2140" t="s">
        <v>4458</v>
      </c>
      <c r="B2679" s="2141" t="s">
        <v>3055</v>
      </c>
      <c r="C2679" s="2141" t="s">
        <v>3161</v>
      </c>
      <c r="D2679" s="3396">
        <v>35</v>
      </c>
      <c r="E2679" s="2142">
        <v>67.41</v>
      </c>
      <c r="F2679" s="2142">
        <v>21829</v>
      </c>
      <c r="G2679" s="2142">
        <v>1471492.89</v>
      </c>
      <c r="H2679" s="3557">
        <v>41889</v>
      </c>
      <c r="I2679" s="2142">
        <v>1471493</v>
      </c>
    </row>
    <row r="2680" spans="1:9" s="2139" customFormat="1" hidden="1">
      <c r="A2680" s="2140" t="s">
        <v>4470</v>
      </c>
      <c r="B2680" s="2141" t="s">
        <v>3055</v>
      </c>
      <c r="C2680" s="2141" t="s">
        <v>3161</v>
      </c>
      <c r="D2680" s="3396">
        <v>48</v>
      </c>
      <c r="E2680" s="2142">
        <v>63.49</v>
      </c>
      <c r="F2680" s="2142">
        <v>18029</v>
      </c>
      <c r="G2680" s="2142">
        <v>1144661.21</v>
      </c>
      <c r="H2680" s="3557">
        <v>41889</v>
      </c>
      <c r="I2680" s="2142">
        <v>242053</v>
      </c>
    </row>
    <row r="2681" spans="1:9" s="2139" customFormat="1" hidden="1">
      <c r="A2681" s="2140" t="s">
        <v>4486</v>
      </c>
      <c r="B2681" s="2141" t="s">
        <v>3055</v>
      </c>
      <c r="C2681" s="2141" t="s">
        <v>3161</v>
      </c>
      <c r="D2681" s="3396">
        <v>69</v>
      </c>
      <c r="E2681" s="2142">
        <v>97.54</v>
      </c>
      <c r="F2681" s="2142">
        <v>22329</v>
      </c>
      <c r="G2681" s="2142">
        <v>2177970.66</v>
      </c>
      <c r="H2681" s="3557">
        <v>41889</v>
      </c>
      <c r="I2681" s="2142">
        <v>2177971</v>
      </c>
    </row>
    <row r="2682" spans="1:9" s="2139" customFormat="1" hidden="1">
      <c r="A2682" s="2140" t="s">
        <v>4487</v>
      </c>
      <c r="B2682" s="2141" t="s">
        <v>3055</v>
      </c>
      <c r="C2682" s="2141" t="s">
        <v>3161</v>
      </c>
      <c r="D2682" s="3396">
        <v>70</v>
      </c>
      <c r="E2682" s="2142">
        <v>175.74</v>
      </c>
      <c r="F2682" s="2142">
        <v>18029</v>
      </c>
      <c r="G2682" s="2142">
        <v>3168416.46</v>
      </c>
      <c r="H2682" s="3557">
        <v>41889</v>
      </c>
      <c r="I2682" s="2142">
        <v>3168416</v>
      </c>
    </row>
    <row r="2683" spans="1:9" s="2139" customFormat="1" hidden="1">
      <c r="A2683" s="2140" t="s">
        <v>4496</v>
      </c>
      <c r="B2683" s="2141" t="s">
        <v>3055</v>
      </c>
      <c r="C2683" s="2141" t="s">
        <v>3161</v>
      </c>
      <c r="D2683" s="3396">
        <v>80</v>
      </c>
      <c r="E2683" s="2142">
        <v>47.87</v>
      </c>
      <c r="F2683" s="2142">
        <v>15829</v>
      </c>
      <c r="G2683" s="2142">
        <v>757734.23</v>
      </c>
      <c r="H2683" s="3557">
        <v>41889</v>
      </c>
      <c r="I2683" s="2142">
        <v>757734</v>
      </c>
    </row>
    <row r="2684" spans="1:9" s="2139" customFormat="1" hidden="1">
      <c r="A2684" s="2140" t="s">
        <v>4505</v>
      </c>
      <c r="B2684" s="2141" t="s">
        <v>3055</v>
      </c>
      <c r="C2684" s="2141" t="s">
        <v>3161</v>
      </c>
      <c r="D2684" s="3396">
        <v>99</v>
      </c>
      <c r="E2684" s="2142">
        <v>43.22</v>
      </c>
      <c r="F2684" s="2142">
        <v>15629</v>
      </c>
      <c r="G2684" s="2142">
        <v>675485.38</v>
      </c>
      <c r="H2684" s="3557">
        <v>41889</v>
      </c>
      <c r="I2684" s="2142">
        <v>675485</v>
      </c>
    </row>
    <row r="2685" spans="1:9" s="2139" customFormat="1" hidden="1">
      <c r="A2685" s="2140" t="s">
        <v>4514</v>
      </c>
      <c r="B2685" s="2141" t="s">
        <v>3055</v>
      </c>
      <c r="C2685" s="2141" t="s">
        <v>3161</v>
      </c>
      <c r="D2685" s="3396">
        <v>118</v>
      </c>
      <c r="E2685" s="2142">
        <v>75.760000000000005</v>
      </c>
      <c r="F2685" s="2142">
        <v>21829</v>
      </c>
      <c r="G2685" s="2142">
        <v>1653765.04</v>
      </c>
      <c r="H2685" s="3557">
        <v>41889</v>
      </c>
      <c r="I2685" s="2142">
        <v>1653765</v>
      </c>
    </row>
    <row r="2686" spans="1:9" s="2139" customFormat="1" hidden="1">
      <c r="A2686" s="2140" t="s">
        <v>4523</v>
      </c>
      <c r="B2686" s="2141" t="s">
        <v>3055</v>
      </c>
      <c r="C2686" s="2141" t="s">
        <v>3161</v>
      </c>
      <c r="D2686" s="3396">
        <v>135</v>
      </c>
      <c r="E2686" s="2142">
        <v>43.14</v>
      </c>
      <c r="F2686" s="2142">
        <v>15629</v>
      </c>
      <c r="G2686" s="2142">
        <v>674235.06</v>
      </c>
      <c r="H2686" s="3557">
        <v>41889</v>
      </c>
      <c r="I2686" s="2142">
        <v>674235</v>
      </c>
    </row>
    <row r="2687" spans="1:9" s="2139" customFormat="1" hidden="1">
      <c r="A2687" s="2140" t="s">
        <v>4542</v>
      </c>
      <c r="B2687" s="2141" t="s">
        <v>3055</v>
      </c>
      <c r="C2687" s="2141" t="s">
        <v>3161</v>
      </c>
      <c r="D2687" s="3396">
        <v>159</v>
      </c>
      <c r="E2687" s="2142">
        <v>42.41</v>
      </c>
      <c r="F2687" s="2142">
        <v>21800</v>
      </c>
      <c r="G2687" s="2142">
        <v>924537.99999999988</v>
      </c>
      <c r="H2687" s="3557">
        <v>41889</v>
      </c>
      <c r="I2687" s="2142">
        <v>924538</v>
      </c>
    </row>
    <row r="2688" spans="1:9" s="2139" customFormat="1" hidden="1">
      <c r="A2688" s="2140" t="s">
        <v>4555</v>
      </c>
      <c r="B2688" s="2141" t="s">
        <v>3055</v>
      </c>
      <c r="C2688" s="2141" t="s">
        <v>3161</v>
      </c>
      <c r="D2688" s="3396">
        <v>176</v>
      </c>
      <c r="E2688" s="2142">
        <v>95.69</v>
      </c>
      <c r="F2688" s="2142">
        <v>21829</v>
      </c>
      <c r="G2688" s="2142">
        <v>2088817.01</v>
      </c>
      <c r="H2688" s="3557">
        <v>41889</v>
      </c>
      <c r="I2688" s="2142">
        <v>2088817</v>
      </c>
    </row>
    <row r="2689" spans="1:9" s="2139" customFormat="1" hidden="1">
      <c r="A2689" s="2140" t="s">
        <v>4576</v>
      </c>
      <c r="B2689" s="2141" t="s">
        <v>3055</v>
      </c>
      <c r="C2689" s="2141" t="s">
        <v>3161</v>
      </c>
      <c r="D2689" s="3396">
        <v>206</v>
      </c>
      <c r="E2689" s="2142">
        <v>67.41</v>
      </c>
      <c r="F2689" s="2142">
        <v>21829</v>
      </c>
      <c r="G2689" s="2142">
        <v>1471492.89</v>
      </c>
      <c r="H2689" s="3557">
        <v>41889</v>
      </c>
      <c r="I2689" s="2142">
        <v>1471493</v>
      </c>
    </row>
    <row r="2690" spans="1:9" s="2139" customFormat="1" hidden="1">
      <c r="A2690" s="2140" t="s">
        <v>4589</v>
      </c>
      <c r="B2690" s="2141" t="s">
        <v>3055</v>
      </c>
      <c r="C2690" s="2141" t="s">
        <v>3161</v>
      </c>
      <c r="D2690" s="3396">
        <v>220</v>
      </c>
      <c r="E2690" s="2142">
        <v>38.92</v>
      </c>
      <c r="F2690" s="2142">
        <v>21300</v>
      </c>
      <c r="G2690" s="2142">
        <v>828996</v>
      </c>
      <c r="H2690" s="3557">
        <v>41889</v>
      </c>
      <c r="I2690" s="2142">
        <v>828996</v>
      </c>
    </row>
    <row r="2691" spans="1:9" s="2139" customFormat="1" hidden="1">
      <c r="A2691" s="2140" t="s">
        <v>4436</v>
      </c>
      <c r="B2691" s="2141" t="s">
        <v>3055</v>
      </c>
      <c r="C2691" s="2141" t="s">
        <v>3161</v>
      </c>
      <c r="D2691" s="3396">
        <v>5</v>
      </c>
      <c r="E2691" s="2142">
        <v>38.92</v>
      </c>
      <c r="F2691" s="2142">
        <v>21300</v>
      </c>
      <c r="G2691" s="2142">
        <v>828996</v>
      </c>
      <c r="H2691" s="3557">
        <v>41888</v>
      </c>
      <c r="I2691" s="2142">
        <v>828996</v>
      </c>
    </row>
    <row r="2692" spans="1:9" s="2139" customFormat="1" hidden="1">
      <c r="A2692" s="2140" t="s">
        <v>4439</v>
      </c>
      <c r="B2692" s="2141" t="s">
        <v>3055</v>
      </c>
      <c r="C2692" s="2141" t="s">
        <v>3161</v>
      </c>
      <c r="D2692" s="3396">
        <v>8</v>
      </c>
      <c r="E2692" s="2142">
        <v>39.49</v>
      </c>
      <c r="F2692" s="2142">
        <v>21300</v>
      </c>
      <c r="G2692" s="2142">
        <v>841137</v>
      </c>
      <c r="H2692" s="3557">
        <v>41888</v>
      </c>
      <c r="I2692" s="2142">
        <v>841137</v>
      </c>
    </row>
    <row r="2693" spans="1:9" s="2139" customFormat="1" hidden="1">
      <c r="A2693" s="2140" t="s">
        <v>4445</v>
      </c>
      <c r="B2693" s="2141" t="s">
        <v>3055</v>
      </c>
      <c r="C2693" s="2141" t="s">
        <v>3161</v>
      </c>
      <c r="D2693" s="3396">
        <v>15</v>
      </c>
      <c r="E2693" s="2142">
        <v>38.92</v>
      </c>
      <c r="F2693" s="2142">
        <v>21300</v>
      </c>
      <c r="G2693" s="2142">
        <v>828996</v>
      </c>
      <c r="H2693" s="3557">
        <v>41888</v>
      </c>
      <c r="I2693" s="2142">
        <v>828996</v>
      </c>
    </row>
    <row r="2694" spans="1:9" s="2139" customFormat="1" hidden="1">
      <c r="A2694" s="2140" t="s">
        <v>4460</v>
      </c>
      <c r="B2694" s="2141" t="s">
        <v>3055</v>
      </c>
      <c r="C2694" s="2141" t="s">
        <v>3161</v>
      </c>
      <c r="D2694" s="3396">
        <v>37</v>
      </c>
      <c r="E2694" s="2142">
        <v>46.54</v>
      </c>
      <c r="F2694" s="2142">
        <v>22329</v>
      </c>
      <c r="G2694" s="2142">
        <v>1039191.66</v>
      </c>
      <c r="H2694" s="3557">
        <v>41888</v>
      </c>
      <c r="I2694" s="2142">
        <v>1039192</v>
      </c>
    </row>
    <row r="2695" spans="1:9" s="2139" customFormat="1" hidden="1">
      <c r="A2695" s="2140" t="s">
        <v>4463</v>
      </c>
      <c r="B2695" s="2141" t="s">
        <v>3055</v>
      </c>
      <c r="C2695" s="2141" t="s">
        <v>3161</v>
      </c>
      <c r="D2695" s="3396">
        <v>40</v>
      </c>
      <c r="E2695" s="2142">
        <v>44.2</v>
      </c>
      <c r="F2695" s="2142">
        <v>15629</v>
      </c>
      <c r="G2695" s="2142">
        <v>690801.8</v>
      </c>
      <c r="H2695" s="3557">
        <v>41888</v>
      </c>
      <c r="I2695" s="2142">
        <v>690802</v>
      </c>
    </row>
    <row r="2696" spans="1:9" s="2139" customFormat="1" hidden="1">
      <c r="A2696" s="2140" t="s">
        <v>4472</v>
      </c>
      <c r="B2696" s="2141" t="s">
        <v>3055</v>
      </c>
      <c r="C2696" s="2141" t="s">
        <v>3161</v>
      </c>
      <c r="D2696" s="3396">
        <v>51</v>
      </c>
      <c r="E2696" s="2142">
        <v>34.04</v>
      </c>
      <c r="F2696" s="2142">
        <v>19800</v>
      </c>
      <c r="G2696" s="2142">
        <v>673992</v>
      </c>
      <c r="H2696" s="3557">
        <v>41888</v>
      </c>
      <c r="I2696" s="2142">
        <v>673992</v>
      </c>
    </row>
    <row r="2697" spans="1:9" s="2139" customFormat="1" hidden="1">
      <c r="A2697" s="2140" t="s">
        <v>4473</v>
      </c>
      <c r="B2697" s="2141" t="s">
        <v>3055</v>
      </c>
      <c r="C2697" s="2141" t="s">
        <v>3161</v>
      </c>
      <c r="D2697" s="3396">
        <v>52</v>
      </c>
      <c r="E2697" s="2142">
        <v>57.4</v>
      </c>
      <c r="F2697" s="2142">
        <v>21800</v>
      </c>
      <c r="G2697" s="2142">
        <v>1251320</v>
      </c>
      <c r="H2697" s="3557">
        <v>41888</v>
      </c>
      <c r="I2697" s="2142">
        <v>1251320</v>
      </c>
    </row>
    <row r="2698" spans="1:9" s="2139" customFormat="1" hidden="1">
      <c r="A2698" s="2140" t="s">
        <v>4474</v>
      </c>
      <c r="B2698" s="2141" t="s">
        <v>3055</v>
      </c>
      <c r="C2698" s="2141" t="s">
        <v>3161</v>
      </c>
      <c r="D2698" s="3396">
        <v>53</v>
      </c>
      <c r="E2698" s="2142">
        <v>49.07</v>
      </c>
      <c r="F2698" s="2142">
        <v>19800</v>
      </c>
      <c r="G2698" s="2142">
        <v>971586</v>
      </c>
      <c r="H2698" s="3557">
        <v>41888</v>
      </c>
      <c r="I2698" s="2142">
        <v>971586</v>
      </c>
    </row>
    <row r="2699" spans="1:9" s="2139" customFormat="1" hidden="1">
      <c r="A2699" s="2140" t="s">
        <v>4481</v>
      </c>
      <c r="B2699" s="2141" t="s">
        <v>3055</v>
      </c>
      <c r="C2699" s="2141" t="s">
        <v>3161</v>
      </c>
      <c r="D2699" s="3396">
        <v>61</v>
      </c>
      <c r="E2699" s="2142">
        <v>61.77</v>
      </c>
      <c r="F2699" s="2142">
        <v>18029</v>
      </c>
      <c r="G2699" s="2142">
        <v>1113651.33</v>
      </c>
      <c r="H2699" s="3557">
        <v>41888</v>
      </c>
      <c r="I2699" s="2142">
        <v>1113651</v>
      </c>
    </row>
    <row r="2700" spans="1:9" s="2139" customFormat="1" hidden="1">
      <c r="A2700" s="2140" t="s">
        <v>4544</v>
      </c>
      <c r="B2700" s="2141" t="s">
        <v>3055</v>
      </c>
      <c r="C2700" s="2141" t="s">
        <v>3161</v>
      </c>
      <c r="D2700" s="3396">
        <v>161</v>
      </c>
      <c r="E2700" s="2142">
        <v>23.85</v>
      </c>
      <c r="F2700" s="2142">
        <v>19800</v>
      </c>
      <c r="G2700" s="2142">
        <v>472230</v>
      </c>
      <c r="H2700" s="3557">
        <v>41888</v>
      </c>
      <c r="I2700" s="2142">
        <v>472230</v>
      </c>
    </row>
    <row r="2701" spans="1:9" s="2139" customFormat="1" hidden="1">
      <c r="A2701" s="2140" t="s">
        <v>4550</v>
      </c>
      <c r="B2701" s="2141" t="s">
        <v>3055</v>
      </c>
      <c r="C2701" s="2141" t="s">
        <v>3161</v>
      </c>
      <c r="D2701" s="3396">
        <v>169</v>
      </c>
      <c r="E2701" s="2142">
        <v>27.01</v>
      </c>
      <c r="F2701" s="2142">
        <v>19800</v>
      </c>
      <c r="G2701" s="2142">
        <v>534798</v>
      </c>
      <c r="H2701" s="3557">
        <v>41888</v>
      </c>
      <c r="I2701" s="2142">
        <v>534798</v>
      </c>
    </row>
    <row r="2702" spans="1:9" s="2139" customFormat="1" hidden="1">
      <c r="A2702" s="2140" t="s">
        <v>4562</v>
      </c>
      <c r="B2702" s="2141" t="s">
        <v>3055</v>
      </c>
      <c r="C2702" s="2141" t="s">
        <v>3161</v>
      </c>
      <c r="D2702" s="3396">
        <v>185</v>
      </c>
      <c r="E2702" s="2142">
        <v>47.2</v>
      </c>
      <c r="F2702" s="2142">
        <v>15629</v>
      </c>
      <c r="G2702" s="2142">
        <v>737688.8</v>
      </c>
      <c r="H2702" s="3557">
        <v>41888</v>
      </c>
      <c r="I2702" s="2142">
        <v>737689</v>
      </c>
    </row>
    <row r="2703" spans="1:9" s="2139" customFormat="1" hidden="1">
      <c r="A2703" s="2140" t="s">
        <v>4564</v>
      </c>
      <c r="B2703" s="2141" t="s">
        <v>3055</v>
      </c>
      <c r="C2703" s="2141" t="s">
        <v>3161</v>
      </c>
      <c r="D2703" s="3396">
        <v>187</v>
      </c>
      <c r="E2703" s="2142">
        <v>37.090000000000003</v>
      </c>
      <c r="F2703" s="2142">
        <v>21800</v>
      </c>
      <c r="G2703" s="2142">
        <v>808562.00000000012</v>
      </c>
      <c r="H2703" s="3557">
        <v>41888</v>
      </c>
      <c r="I2703" s="2142">
        <v>178562</v>
      </c>
    </row>
    <row r="2704" spans="1:9" s="2139" customFormat="1" hidden="1">
      <c r="A2704" s="2140" t="s">
        <v>4565</v>
      </c>
      <c r="B2704" s="2141" t="s">
        <v>3055</v>
      </c>
      <c r="C2704" s="2141" t="s">
        <v>3161</v>
      </c>
      <c r="D2704" s="3396">
        <v>188</v>
      </c>
      <c r="E2704" s="2142">
        <v>45.62</v>
      </c>
      <c r="F2704" s="2142">
        <v>19800</v>
      </c>
      <c r="G2704" s="2142">
        <v>903276</v>
      </c>
      <c r="H2704" s="3557">
        <v>41888</v>
      </c>
      <c r="I2704" s="2142">
        <v>189216</v>
      </c>
    </row>
    <row r="2705" spans="1:9" s="2139" customFormat="1" hidden="1">
      <c r="A2705" s="2140" t="s">
        <v>4590</v>
      </c>
      <c r="B2705" s="2141" t="s">
        <v>3055</v>
      </c>
      <c r="C2705" s="2141" t="s">
        <v>3161</v>
      </c>
      <c r="D2705" s="3396">
        <v>221</v>
      </c>
      <c r="E2705" s="2142">
        <v>39.479999999999997</v>
      </c>
      <c r="F2705" s="2142">
        <v>21300</v>
      </c>
      <c r="G2705" s="2142">
        <v>840923.99999999988</v>
      </c>
      <c r="H2705" s="3557">
        <v>41888</v>
      </c>
      <c r="I2705" s="2142">
        <v>840924</v>
      </c>
    </row>
    <row r="2706" spans="1:9" s="2139" customFormat="1" hidden="1">
      <c r="A2706" s="2140" t="s">
        <v>4591</v>
      </c>
      <c r="B2706" s="2141" t="s">
        <v>3055</v>
      </c>
      <c r="C2706" s="2141" t="s">
        <v>3161</v>
      </c>
      <c r="D2706" s="3396">
        <v>222</v>
      </c>
      <c r="E2706" s="2142">
        <v>38.369999999999997</v>
      </c>
      <c r="F2706" s="2142">
        <v>21300</v>
      </c>
      <c r="G2706" s="2142">
        <v>817281</v>
      </c>
      <c r="H2706" s="3557">
        <v>41888</v>
      </c>
      <c r="I2706" s="2142">
        <v>817281</v>
      </c>
    </row>
    <row r="2707" spans="1:9" s="2139" customFormat="1" hidden="1">
      <c r="A2707" s="2140" t="s">
        <v>4593</v>
      </c>
      <c r="B2707" s="2141" t="s">
        <v>3055</v>
      </c>
      <c r="C2707" s="2141" t="s">
        <v>3161</v>
      </c>
      <c r="D2707" s="3396">
        <v>225</v>
      </c>
      <c r="E2707" s="2142">
        <v>38.92</v>
      </c>
      <c r="F2707" s="2142">
        <v>21300</v>
      </c>
      <c r="G2707" s="2142">
        <v>828996</v>
      </c>
      <c r="H2707" s="3557">
        <v>41888</v>
      </c>
      <c r="I2707" s="2142">
        <v>828996</v>
      </c>
    </row>
    <row r="2708" spans="1:9" s="2139" customFormat="1" hidden="1">
      <c r="A2708" s="2140" t="s">
        <v>4598</v>
      </c>
      <c r="B2708" s="2141" t="s">
        <v>3055</v>
      </c>
      <c r="C2708" s="2141" t="s">
        <v>3161</v>
      </c>
      <c r="D2708" s="3396">
        <v>235</v>
      </c>
      <c r="E2708" s="2142">
        <v>39.44</v>
      </c>
      <c r="F2708" s="2142">
        <v>21300</v>
      </c>
      <c r="G2708" s="2142">
        <v>840072</v>
      </c>
      <c r="H2708" s="3557">
        <v>41888</v>
      </c>
      <c r="I2708" s="2142">
        <v>840072</v>
      </c>
    </row>
    <row r="2709" spans="1:9" s="2139" customFormat="1" hidden="1">
      <c r="A2709" s="2140" t="s">
        <v>4599</v>
      </c>
      <c r="B2709" s="2141" t="s">
        <v>3055</v>
      </c>
      <c r="C2709" s="2141" t="s">
        <v>3161</v>
      </c>
      <c r="D2709" s="3396">
        <v>236</v>
      </c>
      <c r="E2709" s="2142">
        <v>38.369999999999997</v>
      </c>
      <c r="F2709" s="2142">
        <v>21300</v>
      </c>
      <c r="G2709" s="2142">
        <v>817281</v>
      </c>
      <c r="H2709" s="3557">
        <v>41888</v>
      </c>
      <c r="I2709" s="2142">
        <v>817281</v>
      </c>
    </row>
    <row r="2710" spans="1:9" s="2139" customFormat="1" hidden="1">
      <c r="A2710" s="2140" t="s">
        <v>4601</v>
      </c>
      <c r="B2710" s="2141" t="s">
        <v>3055</v>
      </c>
      <c r="C2710" s="2141" t="s">
        <v>3161</v>
      </c>
      <c r="D2710" s="3396">
        <v>238</v>
      </c>
      <c r="E2710" s="2142">
        <v>38.96</v>
      </c>
      <c r="F2710" s="2142">
        <v>21300</v>
      </c>
      <c r="G2710" s="2142">
        <v>829848</v>
      </c>
      <c r="H2710" s="3557">
        <v>41888</v>
      </c>
      <c r="I2710" s="2142">
        <v>829848</v>
      </c>
    </row>
    <row r="2711" spans="1:9" s="2139" customFormat="1" hidden="1">
      <c r="A2711" s="2140" t="s">
        <v>4438</v>
      </c>
      <c r="B2711" s="2141" t="s">
        <v>3055</v>
      </c>
      <c r="C2711" s="2141" t="s">
        <v>3161</v>
      </c>
      <c r="D2711" s="3396">
        <v>7</v>
      </c>
      <c r="E2711" s="2142">
        <v>38.93</v>
      </c>
      <c r="F2711" s="2142">
        <v>21300</v>
      </c>
      <c r="G2711" s="2142">
        <v>829209</v>
      </c>
      <c r="H2711" s="3557">
        <v>41887</v>
      </c>
      <c r="I2711" s="2142">
        <v>829209</v>
      </c>
    </row>
    <row r="2712" spans="1:9" s="2139" customFormat="1" hidden="1">
      <c r="A2712" s="2140" t="s">
        <v>4440</v>
      </c>
      <c r="B2712" s="2141" t="s">
        <v>3055</v>
      </c>
      <c r="C2712" s="2141" t="s">
        <v>3161</v>
      </c>
      <c r="D2712" s="3396">
        <v>9</v>
      </c>
      <c r="E2712" s="2142">
        <v>38.36</v>
      </c>
      <c r="F2712" s="2142">
        <v>21300</v>
      </c>
      <c r="G2712" s="2142">
        <v>817068</v>
      </c>
      <c r="H2712" s="3557">
        <v>41887</v>
      </c>
      <c r="I2712" s="2142">
        <v>817068</v>
      </c>
    </row>
    <row r="2713" spans="1:9" s="2139" customFormat="1" hidden="1">
      <c r="A2713" s="2140" t="s">
        <v>4466</v>
      </c>
      <c r="B2713" s="2141" t="s">
        <v>3055</v>
      </c>
      <c r="C2713" s="2141" t="s">
        <v>3161</v>
      </c>
      <c r="D2713" s="3396">
        <v>43</v>
      </c>
      <c r="E2713" s="2142">
        <v>42.13</v>
      </c>
      <c r="F2713" s="2142">
        <v>15629</v>
      </c>
      <c r="G2713" s="2142">
        <v>658449.77</v>
      </c>
      <c r="H2713" s="3557">
        <v>41887</v>
      </c>
      <c r="I2713" s="2142">
        <v>658450</v>
      </c>
    </row>
    <row r="2714" spans="1:9" s="2139" customFormat="1" hidden="1">
      <c r="A2714" s="2140" t="s">
        <v>4453</v>
      </c>
      <c r="B2714" s="2141" t="s">
        <v>3055</v>
      </c>
      <c r="C2714" s="2141" t="s">
        <v>3161</v>
      </c>
      <c r="D2714" s="3396">
        <v>29</v>
      </c>
      <c r="E2714" s="2142">
        <v>82.02</v>
      </c>
      <c r="F2714" s="2142">
        <v>21829</v>
      </c>
      <c r="G2714" s="2142">
        <v>1790414.5799999998</v>
      </c>
      <c r="H2714" s="3557">
        <v>41886</v>
      </c>
      <c r="I2714" s="2142">
        <v>1790415</v>
      </c>
    </row>
    <row r="2715" spans="1:9" s="2139" customFormat="1" hidden="1">
      <c r="A2715" s="2140" t="s">
        <v>4511</v>
      </c>
      <c r="B2715" s="2141" t="s">
        <v>3055</v>
      </c>
      <c r="C2715" s="2141" t="s">
        <v>3161</v>
      </c>
      <c r="D2715" s="3396">
        <v>112</v>
      </c>
      <c r="E2715" s="2142">
        <v>67.41</v>
      </c>
      <c r="F2715" s="2142">
        <v>21829</v>
      </c>
      <c r="G2715" s="2142">
        <v>1471492.89</v>
      </c>
      <c r="H2715" s="3557">
        <v>41886</v>
      </c>
      <c r="I2715" s="2142">
        <v>1471493</v>
      </c>
    </row>
    <row r="2716" spans="1:9" s="2139" customFormat="1" hidden="1">
      <c r="A2716" s="2140" t="s">
        <v>4512</v>
      </c>
      <c r="B2716" s="2141" t="s">
        <v>3055</v>
      </c>
      <c r="C2716" s="2141" t="s">
        <v>3161</v>
      </c>
      <c r="D2716" s="3396">
        <v>113</v>
      </c>
      <c r="E2716" s="2142">
        <v>67.400000000000006</v>
      </c>
      <c r="F2716" s="2142">
        <v>21829</v>
      </c>
      <c r="G2716" s="2142">
        <v>1471274.6</v>
      </c>
      <c r="H2716" s="3557">
        <v>41886</v>
      </c>
      <c r="I2716" s="2142">
        <v>1471275</v>
      </c>
    </row>
    <row r="2717" spans="1:9" s="2139" customFormat="1" hidden="1">
      <c r="A2717" s="2140" t="s">
        <v>4525</v>
      </c>
      <c r="B2717" s="2141" t="s">
        <v>3055</v>
      </c>
      <c r="C2717" s="2141" t="s">
        <v>3161</v>
      </c>
      <c r="D2717" s="3396">
        <v>137</v>
      </c>
      <c r="E2717" s="2142">
        <v>44.21</v>
      </c>
      <c r="F2717" s="2142">
        <v>15629</v>
      </c>
      <c r="G2717" s="2142">
        <v>690958.09</v>
      </c>
      <c r="H2717" s="3557">
        <v>41886</v>
      </c>
      <c r="I2717" s="2142">
        <v>690958</v>
      </c>
    </row>
    <row r="2718" spans="1:9" s="2139" customFormat="1" hidden="1">
      <c r="A2718" s="2140" t="s">
        <v>4530</v>
      </c>
      <c r="B2718" s="2141" t="s">
        <v>3055</v>
      </c>
      <c r="C2718" s="2141" t="s">
        <v>3161</v>
      </c>
      <c r="D2718" s="3396">
        <v>143</v>
      </c>
      <c r="E2718" s="2142">
        <v>124.64</v>
      </c>
      <c r="F2718" s="2142">
        <v>21829</v>
      </c>
      <c r="G2718" s="2142">
        <v>2720766.56</v>
      </c>
      <c r="H2718" s="3557">
        <v>41886</v>
      </c>
      <c r="I2718" s="2142">
        <v>2720767</v>
      </c>
    </row>
    <row r="2719" spans="1:9" s="2139" customFormat="1" hidden="1">
      <c r="A2719" s="2140" t="s">
        <v>4535</v>
      </c>
      <c r="B2719" s="2141" t="s">
        <v>3055</v>
      </c>
      <c r="C2719" s="2141" t="s">
        <v>3161</v>
      </c>
      <c r="D2719" s="3396">
        <v>151</v>
      </c>
      <c r="E2719" s="2142">
        <v>58</v>
      </c>
      <c r="F2719" s="2142">
        <v>15629</v>
      </c>
      <c r="G2719" s="2142">
        <v>906482</v>
      </c>
      <c r="H2719" s="3557">
        <v>41886</v>
      </c>
      <c r="I2719" s="2142">
        <v>906482</v>
      </c>
    </row>
    <row r="2720" spans="1:9" s="2139" customFormat="1" hidden="1">
      <c r="A2720" s="2140" t="s">
        <v>4580</v>
      </c>
      <c r="B2720" s="2141" t="s">
        <v>3055</v>
      </c>
      <c r="C2720" s="2141" t="s">
        <v>3161</v>
      </c>
      <c r="D2720" s="3396">
        <v>210</v>
      </c>
      <c r="E2720" s="2142">
        <v>67.41</v>
      </c>
      <c r="F2720" s="2142">
        <v>21829</v>
      </c>
      <c r="G2720" s="2142">
        <v>1471492.89</v>
      </c>
      <c r="H2720" s="3557">
        <v>41886</v>
      </c>
      <c r="I2720" s="2142">
        <v>1471493</v>
      </c>
    </row>
    <row r="2721" spans="1:9" s="2139" customFormat="1" hidden="1">
      <c r="A2721" s="2140" t="s">
        <v>4455</v>
      </c>
      <c r="B2721" s="2141" t="s">
        <v>3055</v>
      </c>
      <c r="C2721" s="2141" t="s">
        <v>3161</v>
      </c>
      <c r="D2721" s="3396">
        <v>31</v>
      </c>
      <c r="E2721" s="2142">
        <v>77.84</v>
      </c>
      <c r="F2721" s="2142">
        <v>21829</v>
      </c>
      <c r="G2721" s="2142">
        <v>1699169.36</v>
      </c>
      <c r="H2721" s="3557">
        <v>41885</v>
      </c>
      <c r="I2721" s="2142">
        <v>1699169</v>
      </c>
    </row>
    <row r="2722" spans="1:9" s="2139" customFormat="1" hidden="1">
      <c r="A2722" s="2140" t="s">
        <v>4515</v>
      </c>
      <c r="B2722" s="2141" t="s">
        <v>3055</v>
      </c>
      <c r="C2722" s="2141" t="s">
        <v>3161</v>
      </c>
      <c r="D2722" s="3396">
        <v>119</v>
      </c>
      <c r="E2722" s="2142">
        <v>72.319999999999993</v>
      </c>
      <c r="F2722" s="2142">
        <v>21829</v>
      </c>
      <c r="G2722" s="2142">
        <v>1578673.2799999998</v>
      </c>
      <c r="H2722" s="3557">
        <v>41885</v>
      </c>
      <c r="I2722" s="2142">
        <v>1578673</v>
      </c>
    </row>
    <row r="2723" spans="1:9" s="2139" customFormat="1" hidden="1">
      <c r="A2723" s="2140" t="s">
        <v>4534</v>
      </c>
      <c r="B2723" s="2141" t="s">
        <v>3055</v>
      </c>
      <c r="C2723" s="2141" t="s">
        <v>3161</v>
      </c>
      <c r="D2723" s="3396">
        <v>150</v>
      </c>
      <c r="E2723" s="2142">
        <v>119.13</v>
      </c>
      <c r="F2723" s="2142">
        <v>19829</v>
      </c>
      <c r="G2723" s="2142">
        <v>2362228.77</v>
      </c>
      <c r="H2723" s="3557">
        <v>41885</v>
      </c>
      <c r="I2723" s="2142">
        <v>2362229</v>
      </c>
    </row>
    <row r="2724" spans="1:9" s="2139" customFormat="1" hidden="1">
      <c r="A2724" s="2140" t="s">
        <v>3820</v>
      </c>
      <c r="B2724" s="2141" t="s">
        <v>3054</v>
      </c>
      <c r="C2724" s="2141" t="s">
        <v>3161</v>
      </c>
      <c r="D2724" s="2141">
        <v>22</v>
      </c>
      <c r="E2724" s="2142">
        <v>46.02</v>
      </c>
      <c r="F2724" s="2142">
        <v>17300</v>
      </c>
      <c r="G2724" s="2142">
        <v>796146</v>
      </c>
      <c r="H2724" s="2143"/>
      <c r="I2724" s="2142">
        <v>50000</v>
      </c>
    </row>
    <row r="2725" spans="1:9" s="2139" customFormat="1" hidden="1">
      <c r="A2725" s="2140" t="s">
        <v>3822</v>
      </c>
      <c r="B2725" s="2141" t="s">
        <v>3054</v>
      </c>
      <c r="C2725" s="2141" t="s">
        <v>3161</v>
      </c>
      <c r="D2725" s="2141">
        <v>25</v>
      </c>
      <c r="E2725" s="2142">
        <v>45.4</v>
      </c>
      <c r="F2725" s="2142">
        <v>17300</v>
      </c>
      <c r="G2725" s="2142">
        <v>785420</v>
      </c>
      <c r="H2725" s="2143"/>
      <c r="I2725" s="2142">
        <v>50000</v>
      </c>
    </row>
    <row r="2726" spans="1:9" s="2139" customFormat="1" hidden="1">
      <c r="A2726" s="2140" t="s">
        <v>3853</v>
      </c>
      <c r="B2726" s="2141" t="s">
        <v>3054</v>
      </c>
      <c r="C2726" s="2141" t="s">
        <v>3161</v>
      </c>
      <c r="D2726" s="2141">
        <v>67</v>
      </c>
      <c r="E2726" s="2142">
        <v>60.55</v>
      </c>
      <c r="F2726" s="2142">
        <v>17300</v>
      </c>
      <c r="G2726" s="2142">
        <v>1047515</v>
      </c>
      <c r="H2726" s="2143"/>
      <c r="I2726" s="2142">
        <v>110000</v>
      </c>
    </row>
    <row r="2727" spans="1:9" s="2139" customFormat="1" hidden="1">
      <c r="A2727" s="2140" t="s">
        <v>3860</v>
      </c>
      <c r="B2727" s="2141" t="s">
        <v>3054</v>
      </c>
      <c r="C2727" s="2141" t="s">
        <v>3161</v>
      </c>
      <c r="D2727" s="2141">
        <v>77</v>
      </c>
      <c r="E2727" s="2142">
        <v>55.1</v>
      </c>
      <c r="F2727" s="2142">
        <v>17800</v>
      </c>
      <c r="G2727" s="2142">
        <v>980780</v>
      </c>
      <c r="H2727" s="2143"/>
      <c r="I2727" s="2142">
        <v>240000</v>
      </c>
    </row>
    <row r="2728" spans="1:9" s="2139" customFormat="1" hidden="1">
      <c r="A2728" s="2140" t="s">
        <v>3870</v>
      </c>
      <c r="B2728" s="2141" t="s">
        <v>3054</v>
      </c>
      <c r="C2728" s="2141" t="s">
        <v>3161</v>
      </c>
      <c r="D2728" s="2141">
        <v>92</v>
      </c>
      <c r="E2728" s="2142">
        <v>75.09</v>
      </c>
      <c r="F2728" s="2142">
        <v>24400</v>
      </c>
      <c r="G2728" s="2142">
        <v>1832196</v>
      </c>
      <c r="H2728" s="2143"/>
      <c r="I2728" s="2142">
        <v>311954</v>
      </c>
    </row>
    <row r="2729" spans="1:9" s="2139" customFormat="1" hidden="1">
      <c r="A2729" s="2140" t="s">
        <v>3927</v>
      </c>
      <c r="B2729" s="2141" t="s">
        <v>3054</v>
      </c>
      <c r="C2729" s="2141" t="s">
        <v>3161</v>
      </c>
      <c r="D2729" s="2141">
        <v>198</v>
      </c>
      <c r="E2729" s="2142">
        <v>35.78</v>
      </c>
      <c r="F2729" s="2142">
        <v>19300</v>
      </c>
      <c r="G2729" s="2142">
        <v>690554</v>
      </c>
      <c r="H2729" s="2143"/>
      <c r="I2729" s="2142">
        <v>141932</v>
      </c>
    </row>
    <row r="2730" spans="1:9" s="2139" customFormat="1" hidden="1">
      <c r="A2730" s="2140" t="s">
        <v>3946</v>
      </c>
      <c r="B2730" s="2141" t="s">
        <v>3054</v>
      </c>
      <c r="C2730" s="2141" t="s">
        <v>3161</v>
      </c>
      <c r="D2730" s="2141">
        <v>219</v>
      </c>
      <c r="E2730" s="2142">
        <v>35.65</v>
      </c>
      <c r="F2730" s="2142">
        <v>20533</v>
      </c>
      <c r="G2730" s="2142">
        <v>732001.45</v>
      </c>
      <c r="H2730" s="2143"/>
      <c r="I2730" s="2142">
        <v>223276</v>
      </c>
    </row>
    <row r="2731" spans="1:9" s="2139" customFormat="1" hidden="1">
      <c r="A2731" s="2140" t="s">
        <v>3947</v>
      </c>
      <c r="B2731" s="2141" t="s">
        <v>3054</v>
      </c>
      <c r="C2731" s="2141" t="s">
        <v>3161</v>
      </c>
      <c r="D2731" s="2141">
        <v>220</v>
      </c>
      <c r="E2731" s="2142">
        <v>28.49</v>
      </c>
      <c r="F2731" s="2142">
        <v>17800</v>
      </c>
      <c r="G2731" s="2142">
        <v>507122</v>
      </c>
      <c r="H2731" s="2143"/>
      <c r="I2731" s="2142">
        <v>111570</v>
      </c>
    </row>
    <row r="2732" spans="1:9" s="2139" customFormat="1" hidden="1">
      <c r="A2732" s="2140" t="s">
        <v>4522</v>
      </c>
      <c r="B2732" s="2141" t="s">
        <v>3055</v>
      </c>
      <c r="C2732" s="2141" t="s">
        <v>3161</v>
      </c>
      <c r="D2732" s="3396">
        <v>130</v>
      </c>
      <c r="E2732" s="2142">
        <v>64.180000000000007</v>
      </c>
      <c r="F2732" s="2142">
        <v>21829</v>
      </c>
      <c r="G2732" s="2142">
        <v>1400985.2200000002</v>
      </c>
      <c r="H2732" s="3557"/>
      <c r="I2732" s="2142">
        <v>181618</v>
      </c>
    </row>
    <row r="2733" spans="1:9" s="2139" customFormat="1" hidden="1">
      <c r="A2733" s="2140" t="s">
        <v>4569</v>
      </c>
      <c r="B2733" s="2141" t="s">
        <v>3055</v>
      </c>
      <c r="C2733" s="2141" t="s">
        <v>3161</v>
      </c>
      <c r="D2733" s="3396">
        <v>198</v>
      </c>
      <c r="E2733" s="2142">
        <v>7.92</v>
      </c>
      <c r="F2733" s="2142">
        <v>15629</v>
      </c>
      <c r="G2733" s="2142">
        <v>123781.68</v>
      </c>
      <c r="H2733" s="3557"/>
      <c r="I2733" s="2142">
        <v>84694</v>
      </c>
    </row>
    <row r="2734" spans="1:9" s="2139" customFormat="1" hidden="1">
      <c r="A2734" s="2140" t="s">
        <v>4603</v>
      </c>
      <c r="B2734" s="2141" t="s">
        <v>3055</v>
      </c>
      <c r="C2734" s="2141" t="s">
        <v>3161</v>
      </c>
      <c r="D2734" s="3396">
        <v>241</v>
      </c>
      <c r="E2734" s="2142">
        <v>38.909999999999997</v>
      </c>
      <c r="F2734" s="2142">
        <v>21300</v>
      </c>
      <c r="G2734" s="2142">
        <v>828782.99999999988</v>
      </c>
      <c r="H2734" s="3557"/>
      <c r="I2734" s="2142">
        <v>110000</v>
      </c>
    </row>
    <row r="2735" spans="1:9" s="2139" customFormat="1" hidden="1">
      <c r="A2735" s="2140" t="s">
        <v>4604</v>
      </c>
      <c r="B2735" s="2141" t="s">
        <v>3055</v>
      </c>
      <c r="C2735" s="2141" t="s">
        <v>3161</v>
      </c>
      <c r="D2735" s="3396">
        <v>242</v>
      </c>
      <c r="E2735" s="2142">
        <v>39.51</v>
      </c>
      <c r="F2735" s="2142">
        <v>21300</v>
      </c>
      <c r="G2735" s="2142">
        <v>841563</v>
      </c>
      <c r="H2735" s="3557"/>
      <c r="I2735" s="2142">
        <v>110000</v>
      </c>
    </row>
    <row r="2736" spans="1:9" s="2139" customFormat="1" hidden="1">
      <c r="A2736" s="2140" t="s">
        <v>5158</v>
      </c>
      <c r="B2736" s="2141" t="s">
        <v>3056</v>
      </c>
      <c r="C2736" s="2141" t="s">
        <v>3161</v>
      </c>
      <c r="D2736" s="2141">
        <v>111</v>
      </c>
      <c r="E2736" s="2142">
        <v>94.28</v>
      </c>
      <c r="F2736" s="2142">
        <v>28119</v>
      </c>
      <c r="G2736" s="2142">
        <v>2651059.3199999998</v>
      </c>
      <c r="H2736" s="2143"/>
      <c r="I2736" s="2142">
        <v>50000</v>
      </c>
    </row>
    <row r="2737" spans="1:9" s="2139" customFormat="1" hidden="1">
      <c r="A2737" s="2140" t="s">
        <v>5257</v>
      </c>
      <c r="B2737" s="2141" t="s">
        <v>3056</v>
      </c>
      <c r="C2737" s="2141" t="s">
        <v>3161</v>
      </c>
      <c r="D2737" s="2141">
        <v>240</v>
      </c>
      <c r="E2737" s="2142">
        <v>132.51</v>
      </c>
      <c r="F2737" s="2142">
        <v>28119</v>
      </c>
      <c r="G2737" s="2142">
        <v>3726048.69</v>
      </c>
      <c r="H2737" s="2143"/>
      <c r="I2737" s="2142">
        <v>50000</v>
      </c>
    </row>
    <row r="2738" spans="1:9" s="2139" customFormat="1" hidden="1">
      <c r="A2738" s="2140" t="s">
        <v>5760</v>
      </c>
      <c r="B2738" s="2141" t="s">
        <v>3057</v>
      </c>
      <c r="C2738" s="2141" t="s">
        <v>3161</v>
      </c>
      <c r="D2738" s="2141">
        <v>47</v>
      </c>
      <c r="E2738" s="2142">
        <v>77.709999999999994</v>
      </c>
      <c r="F2738" s="2142">
        <v>19055</v>
      </c>
      <c r="G2738" s="2142">
        <v>1480764.0499999998</v>
      </c>
      <c r="H2738" s="2143"/>
      <c r="I2738" s="2142">
        <v>173058</v>
      </c>
    </row>
    <row r="2739" spans="1:9" s="2139" customFormat="1" hidden="1">
      <c r="A2739" s="2140" t="s">
        <v>5762</v>
      </c>
      <c r="B2739" s="2141" t="s">
        <v>3057</v>
      </c>
      <c r="C2739" s="2141" t="s">
        <v>3161</v>
      </c>
      <c r="D2739" s="2141">
        <v>50</v>
      </c>
      <c r="E2739" s="2142">
        <v>45.12</v>
      </c>
      <c r="F2739" s="2142">
        <v>19055</v>
      </c>
      <c r="G2739" s="2142">
        <v>859761.6</v>
      </c>
      <c r="H2739" s="2143"/>
      <c r="I2739" s="2142">
        <v>97638</v>
      </c>
    </row>
    <row r="2740" spans="1:9" s="2139" customFormat="1" hidden="1">
      <c r="A2740" s="2140" t="s">
        <v>5807</v>
      </c>
      <c r="B2740" s="2141" t="s">
        <v>3057</v>
      </c>
      <c r="C2740" s="2141" t="s">
        <v>3161</v>
      </c>
      <c r="D2740" s="2141">
        <v>121</v>
      </c>
      <c r="E2740" s="2142">
        <v>70.239999999999995</v>
      </c>
      <c r="F2740" s="2142">
        <v>27604</v>
      </c>
      <c r="G2740" s="2142">
        <v>1938904.96</v>
      </c>
      <c r="H2740" s="2143"/>
      <c r="I2740" s="2142">
        <v>226601</v>
      </c>
    </row>
    <row r="2741" spans="1:9" s="2139" customFormat="1" hidden="1">
      <c r="A2741" s="2140" t="s">
        <v>5844</v>
      </c>
      <c r="B2741" s="2141" t="s">
        <v>3057</v>
      </c>
      <c r="C2741" s="2141" t="s">
        <v>3161</v>
      </c>
      <c r="D2741" s="2141">
        <v>171</v>
      </c>
      <c r="E2741" s="2142">
        <v>83.17</v>
      </c>
      <c r="F2741" s="2142">
        <v>28119</v>
      </c>
      <c r="G2741" s="2142">
        <v>2338657.23</v>
      </c>
      <c r="H2741" s="2143"/>
      <c r="I2741" s="2142">
        <v>284367</v>
      </c>
    </row>
    <row r="2742" spans="1:9" s="2139" customFormat="1" hidden="1">
      <c r="A2742" s="2140" t="s">
        <v>5882</v>
      </c>
      <c r="B2742" s="2141" t="s">
        <v>3057</v>
      </c>
      <c r="C2742" s="2141" t="s">
        <v>3161</v>
      </c>
      <c r="D2742" s="2141">
        <v>229</v>
      </c>
      <c r="E2742" s="2142">
        <v>48.73</v>
      </c>
      <c r="F2742" s="2142">
        <v>19570</v>
      </c>
      <c r="G2742" s="2142">
        <v>953646.1</v>
      </c>
      <c r="H2742" s="2143"/>
      <c r="I2742" s="2142">
        <v>110903</v>
      </c>
    </row>
    <row r="2743" spans="1:9" s="2139" customFormat="1" hidden="1">
      <c r="A2743" s="2140" t="s">
        <v>4175</v>
      </c>
      <c r="B2743" s="2141" t="s">
        <v>3054</v>
      </c>
      <c r="C2743" s="2141" t="s">
        <v>3142</v>
      </c>
      <c r="D2743" s="2141">
        <v>156</v>
      </c>
      <c r="E2743" s="2142">
        <v>65.47</v>
      </c>
      <c r="F2743" s="2142">
        <v>16623.759999999998</v>
      </c>
      <c r="G2743" s="2142">
        <v>1088357.5671999999</v>
      </c>
      <c r="H2743" s="2143">
        <v>41908</v>
      </c>
      <c r="I2743" s="2142">
        <v>1088358</v>
      </c>
    </row>
    <row r="2744" spans="1:9" s="2139" customFormat="1" hidden="1">
      <c r="A2744" s="2140" t="s">
        <v>4179</v>
      </c>
      <c r="B2744" s="2141" t="s">
        <v>3054</v>
      </c>
      <c r="C2744" s="2141" t="s">
        <v>3142</v>
      </c>
      <c r="D2744" s="2141">
        <v>163</v>
      </c>
      <c r="E2744" s="2142">
        <v>48.39</v>
      </c>
      <c r="F2744" s="2142">
        <v>15796.84</v>
      </c>
      <c r="G2744" s="2142">
        <v>764409.08759999997</v>
      </c>
      <c r="H2744" s="2143">
        <v>41908</v>
      </c>
      <c r="I2744" s="2142">
        <v>764409</v>
      </c>
    </row>
    <row r="2745" spans="1:9" s="2139" customFormat="1" hidden="1">
      <c r="A2745" s="2140" t="s">
        <v>4181</v>
      </c>
      <c r="B2745" s="2141" t="s">
        <v>3054</v>
      </c>
      <c r="C2745" s="2141" t="s">
        <v>3142</v>
      </c>
      <c r="D2745" s="2141">
        <v>166</v>
      </c>
      <c r="E2745" s="2142">
        <v>79.040000000000006</v>
      </c>
      <c r="F2745" s="2142">
        <v>16036.85</v>
      </c>
      <c r="G2745" s="2142">
        <v>1267552.6240000001</v>
      </c>
      <c r="H2745" s="2143">
        <v>41908</v>
      </c>
      <c r="I2745" s="2142">
        <v>1267553</v>
      </c>
    </row>
    <row r="2746" spans="1:9" s="2139" customFormat="1" hidden="1">
      <c r="A2746" s="2140" t="s">
        <v>4212</v>
      </c>
      <c r="B2746" s="2141" t="s">
        <v>3054</v>
      </c>
      <c r="C2746" s="2141" t="s">
        <v>3142</v>
      </c>
      <c r="D2746" s="2141">
        <v>200</v>
      </c>
      <c r="E2746" s="2142">
        <v>67.040000000000006</v>
      </c>
      <c r="F2746" s="2142">
        <v>18029.580000000002</v>
      </c>
      <c r="G2746" s="2142">
        <v>1208703.0432000002</v>
      </c>
      <c r="H2746" s="2143">
        <v>41908</v>
      </c>
      <c r="I2746" s="2142">
        <v>1208703</v>
      </c>
    </row>
    <row r="2747" spans="1:9" s="2139" customFormat="1" hidden="1">
      <c r="A2747" s="2140" t="s">
        <v>4271</v>
      </c>
      <c r="B2747" s="2141" t="s">
        <v>3054</v>
      </c>
      <c r="C2747" s="2141" t="s">
        <v>3142</v>
      </c>
      <c r="D2747" s="2141">
        <v>267</v>
      </c>
      <c r="E2747" s="2142">
        <v>92.66</v>
      </c>
      <c r="F2747" s="2142">
        <v>16646.310000000001</v>
      </c>
      <c r="G2747" s="2142">
        <v>1542447.0846000002</v>
      </c>
      <c r="H2747" s="2143">
        <v>41908</v>
      </c>
      <c r="I2747" s="2142">
        <v>1542447</v>
      </c>
    </row>
    <row r="2748" spans="1:9" s="2139" customFormat="1" hidden="1">
      <c r="A2748" s="2140" t="s">
        <v>4275</v>
      </c>
      <c r="B2748" s="2141" t="s">
        <v>3054</v>
      </c>
      <c r="C2748" s="2141" t="s">
        <v>3142</v>
      </c>
      <c r="D2748" s="2141">
        <v>271</v>
      </c>
      <c r="E2748" s="2142">
        <v>52.5</v>
      </c>
      <c r="F2748" s="2142">
        <v>16604.919999999998</v>
      </c>
      <c r="G2748" s="2142">
        <v>871758.29999999993</v>
      </c>
      <c r="H2748" s="2143">
        <v>41908</v>
      </c>
      <c r="I2748" s="2142">
        <v>871758</v>
      </c>
    </row>
    <row r="2749" spans="1:9" s="2139" customFormat="1" hidden="1">
      <c r="A2749" s="2140" t="s">
        <v>4277</v>
      </c>
      <c r="B2749" s="2141" t="s">
        <v>3054</v>
      </c>
      <c r="C2749" s="2141" t="s">
        <v>3142</v>
      </c>
      <c r="D2749" s="2141">
        <v>273</v>
      </c>
      <c r="E2749" s="2142">
        <v>54.65</v>
      </c>
      <c r="F2749" s="2142">
        <v>15300</v>
      </c>
      <c r="G2749" s="2142">
        <v>836145</v>
      </c>
      <c r="H2749" s="2143">
        <v>41908</v>
      </c>
      <c r="I2749" s="2142">
        <v>836145</v>
      </c>
    </row>
    <row r="2750" spans="1:9" s="2139" customFormat="1" hidden="1">
      <c r="A2750" s="2140" t="s">
        <v>4310</v>
      </c>
      <c r="B2750" s="2141" t="s">
        <v>3054</v>
      </c>
      <c r="C2750" s="2141" t="s">
        <v>3142</v>
      </c>
      <c r="D2750" s="2141">
        <v>325</v>
      </c>
      <c r="E2750" s="2142">
        <v>42.86</v>
      </c>
      <c r="F2750" s="2142">
        <v>18141.77</v>
      </c>
      <c r="G2750" s="2142">
        <v>777556.2622</v>
      </c>
      <c r="H2750" s="2143">
        <v>41908</v>
      </c>
      <c r="I2750" s="2142">
        <v>397556</v>
      </c>
    </row>
    <row r="2751" spans="1:9" s="2139" customFormat="1" hidden="1">
      <c r="A2751" s="2140" t="s">
        <v>4311</v>
      </c>
      <c r="B2751" s="2141" t="s">
        <v>3054</v>
      </c>
      <c r="C2751" s="2141" t="s">
        <v>3142</v>
      </c>
      <c r="D2751" s="2141">
        <v>326</v>
      </c>
      <c r="E2751" s="2142">
        <v>26.54</v>
      </c>
      <c r="F2751" s="2142">
        <v>18105.98</v>
      </c>
      <c r="G2751" s="2142">
        <v>480532.70919999998</v>
      </c>
      <c r="H2751" s="2143">
        <v>41908</v>
      </c>
      <c r="I2751" s="2142">
        <v>240533</v>
      </c>
    </row>
    <row r="2752" spans="1:9" s="2139" customFormat="1" hidden="1">
      <c r="A2752" s="2140" t="s">
        <v>4850</v>
      </c>
      <c r="B2752" s="2141" t="s">
        <v>3055</v>
      </c>
      <c r="C2752" s="2141" t="s">
        <v>3142</v>
      </c>
      <c r="D2752" s="3396">
        <v>70</v>
      </c>
      <c r="E2752" s="2142">
        <v>77.959999999999994</v>
      </c>
      <c r="F2752" s="2142">
        <v>16536.16</v>
      </c>
      <c r="G2752" s="2142">
        <v>1289159.0336</v>
      </c>
      <c r="H2752" s="3557">
        <v>41908</v>
      </c>
      <c r="I2752" s="2142">
        <v>1289159</v>
      </c>
    </row>
    <row r="2753" spans="1:9" s="2139" customFormat="1" hidden="1">
      <c r="A2753" s="2140" t="s">
        <v>4880</v>
      </c>
      <c r="B2753" s="2141" t="s">
        <v>3055</v>
      </c>
      <c r="C2753" s="2141" t="s">
        <v>3142</v>
      </c>
      <c r="D2753" s="3396">
        <v>113</v>
      </c>
      <c r="E2753" s="2142">
        <v>74.209999999999994</v>
      </c>
      <c r="F2753" s="2142">
        <v>16425.32</v>
      </c>
      <c r="G2753" s="2142">
        <v>1218922.9971999999</v>
      </c>
      <c r="H2753" s="3557">
        <v>41908</v>
      </c>
      <c r="I2753" s="2142">
        <v>1218923</v>
      </c>
    </row>
    <row r="2754" spans="1:9" s="2139" customFormat="1" hidden="1">
      <c r="A2754" s="2140" t="s">
        <v>4891</v>
      </c>
      <c r="B2754" s="2141" t="s">
        <v>3055</v>
      </c>
      <c r="C2754" s="2141" t="s">
        <v>3142</v>
      </c>
      <c r="D2754" s="3396">
        <v>126</v>
      </c>
      <c r="E2754" s="2142">
        <v>45.86</v>
      </c>
      <c r="F2754" s="2142">
        <v>16191.47</v>
      </c>
      <c r="G2754" s="2142">
        <v>742540.81419999991</v>
      </c>
      <c r="H2754" s="3557">
        <v>41908</v>
      </c>
      <c r="I2754" s="2142">
        <v>372541</v>
      </c>
    </row>
    <row r="2755" spans="1:9" s="2139" customFormat="1" hidden="1">
      <c r="A2755" s="2140" t="s">
        <v>4900</v>
      </c>
      <c r="B2755" s="2141" t="s">
        <v>3055</v>
      </c>
      <c r="C2755" s="2141" t="s">
        <v>3142</v>
      </c>
      <c r="D2755" s="3396">
        <v>137</v>
      </c>
      <c r="E2755" s="2142">
        <v>77.11</v>
      </c>
      <c r="F2755" s="2142">
        <v>18235.45</v>
      </c>
      <c r="G2755" s="2142">
        <v>1406135.5495</v>
      </c>
      <c r="H2755" s="3557">
        <v>41908</v>
      </c>
      <c r="I2755" s="2142">
        <v>1406136</v>
      </c>
    </row>
    <row r="2756" spans="1:9" s="2139" customFormat="1" hidden="1">
      <c r="A2756" s="2140" t="s">
        <v>4926</v>
      </c>
      <c r="B2756" s="2141" t="s">
        <v>3055</v>
      </c>
      <c r="C2756" s="2141" t="s">
        <v>3142</v>
      </c>
      <c r="D2756" s="3396">
        <v>166</v>
      </c>
      <c r="E2756" s="2142">
        <v>47.23</v>
      </c>
      <c r="F2756" s="2142">
        <v>16194.6</v>
      </c>
      <c r="G2756" s="2142">
        <v>764870.95799999998</v>
      </c>
      <c r="H2756" s="3557">
        <v>41908</v>
      </c>
      <c r="I2756" s="2142">
        <v>764871</v>
      </c>
    </row>
    <row r="2757" spans="1:9" s="2139" customFormat="1" hidden="1">
      <c r="A2757" s="2140" t="s">
        <v>4931</v>
      </c>
      <c r="B2757" s="2141" t="s">
        <v>3055</v>
      </c>
      <c r="C2757" s="2141" t="s">
        <v>3142</v>
      </c>
      <c r="D2757" s="3396">
        <v>175</v>
      </c>
      <c r="E2757" s="2142">
        <v>33.83</v>
      </c>
      <c r="F2757" s="2142">
        <v>15668.28</v>
      </c>
      <c r="G2757" s="2142">
        <v>530057.91240000003</v>
      </c>
      <c r="H2757" s="3557">
        <v>41908</v>
      </c>
      <c r="I2757" s="2142">
        <v>530058</v>
      </c>
    </row>
    <row r="2758" spans="1:9" s="2139" customFormat="1" hidden="1">
      <c r="A2758" s="2140" t="s">
        <v>4946</v>
      </c>
      <c r="B2758" s="2141" t="s">
        <v>3055</v>
      </c>
      <c r="C2758" s="2141" t="s">
        <v>3142</v>
      </c>
      <c r="D2758" s="3396">
        <v>198</v>
      </c>
      <c r="E2758" s="2142">
        <v>44.63</v>
      </c>
      <c r="F2758" s="2142">
        <v>16888.490000000002</v>
      </c>
      <c r="G2758" s="2142">
        <v>753733.30870000017</v>
      </c>
      <c r="H2758" s="3557">
        <v>41908</v>
      </c>
      <c r="I2758" s="2142">
        <v>753733</v>
      </c>
    </row>
    <row r="2759" spans="1:9" s="2139" customFormat="1" hidden="1">
      <c r="A2759" s="2140" t="s">
        <v>4953</v>
      </c>
      <c r="B2759" s="2141" t="s">
        <v>3055</v>
      </c>
      <c r="C2759" s="2141" t="s">
        <v>3142</v>
      </c>
      <c r="D2759" s="3396">
        <v>206</v>
      </c>
      <c r="E2759" s="2142">
        <v>100.51</v>
      </c>
      <c r="F2759" s="2142">
        <v>16948.330000000002</v>
      </c>
      <c r="G2759" s="2142">
        <v>1703476.6483000002</v>
      </c>
      <c r="H2759" s="3557">
        <v>41908</v>
      </c>
      <c r="I2759" s="2142">
        <v>1703477</v>
      </c>
    </row>
    <row r="2760" spans="1:9" s="2139" customFormat="1" hidden="1">
      <c r="A2760" s="2140" t="s">
        <v>4960</v>
      </c>
      <c r="B2760" s="2141" t="s">
        <v>3055</v>
      </c>
      <c r="C2760" s="2141" t="s">
        <v>3142</v>
      </c>
      <c r="D2760" s="3396">
        <v>219</v>
      </c>
      <c r="E2760" s="2142">
        <v>34.49</v>
      </c>
      <c r="F2760" s="2142">
        <v>16355.7</v>
      </c>
      <c r="G2760" s="2142">
        <v>564108.09300000011</v>
      </c>
      <c r="H2760" s="3557">
        <v>41908</v>
      </c>
      <c r="I2760" s="2142">
        <v>564108</v>
      </c>
    </row>
    <row r="2761" spans="1:9" s="2139" customFormat="1" hidden="1">
      <c r="A2761" s="2140" t="s">
        <v>4962</v>
      </c>
      <c r="B2761" s="2141" t="s">
        <v>3055</v>
      </c>
      <c r="C2761" s="2141" t="s">
        <v>3142</v>
      </c>
      <c r="D2761" s="3396">
        <v>221</v>
      </c>
      <c r="E2761" s="2142">
        <v>48.63</v>
      </c>
      <c r="F2761" s="2142">
        <v>16188.07</v>
      </c>
      <c r="G2761" s="2142">
        <v>787225.84409999999</v>
      </c>
      <c r="H2761" s="3557">
        <v>41908</v>
      </c>
      <c r="I2761" s="2142">
        <v>787226</v>
      </c>
    </row>
    <row r="2762" spans="1:9" s="2139" customFormat="1" hidden="1">
      <c r="A2762" s="2140" t="s">
        <v>4964</v>
      </c>
      <c r="B2762" s="2141" t="s">
        <v>3055</v>
      </c>
      <c r="C2762" s="2141" t="s">
        <v>3142</v>
      </c>
      <c r="D2762" s="3396">
        <v>223</v>
      </c>
      <c r="E2762" s="2142">
        <v>46.09</v>
      </c>
      <c r="F2762" s="2142">
        <v>16192.01</v>
      </c>
      <c r="G2762" s="2142">
        <v>746289.74090000009</v>
      </c>
      <c r="H2762" s="3557">
        <v>41908</v>
      </c>
      <c r="I2762" s="2142">
        <v>746290</v>
      </c>
    </row>
    <row r="2763" spans="1:9" s="2139" customFormat="1" hidden="1">
      <c r="A2763" s="2140" t="s">
        <v>4968</v>
      </c>
      <c r="B2763" s="2141" t="s">
        <v>3055</v>
      </c>
      <c r="C2763" s="2141" t="s">
        <v>3142</v>
      </c>
      <c r="D2763" s="3396">
        <v>228</v>
      </c>
      <c r="E2763" s="2142">
        <v>46.09</v>
      </c>
      <c r="F2763" s="2142">
        <v>16194.63</v>
      </c>
      <c r="G2763" s="2142">
        <v>746410.49670000002</v>
      </c>
      <c r="H2763" s="3557">
        <v>41908</v>
      </c>
      <c r="I2763" s="2142">
        <v>746410</v>
      </c>
    </row>
    <row r="2764" spans="1:9" s="2139" customFormat="1" hidden="1">
      <c r="A2764" s="2140" t="s">
        <v>4982</v>
      </c>
      <c r="B2764" s="2141" t="s">
        <v>3055</v>
      </c>
      <c r="C2764" s="2141" t="s">
        <v>3142</v>
      </c>
      <c r="D2764" s="3396">
        <v>246</v>
      </c>
      <c r="E2764" s="2142">
        <v>41.46</v>
      </c>
      <c r="F2764" s="2142">
        <v>16179.92</v>
      </c>
      <c r="G2764" s="2142">
        <v>670819.48320000002</v>
      </c>
      <c r="H2764" s="3557">
        <v>41908</v>
      </c>
      <c r="I2764" s="2142">
        <v>670819</v>
      </c>
    </row>
    <row r="2765" spans="1:9" s="2139" customFormat="1" hidden="1">
      <c r="A2765" s="2140" t="s">
        <v>4991</v>
      </c>
      <c r="B2765" s="2141" t="s">
        <v>3055</v>
      </c>
      <c r="C2765" s="2141" t="s">
        <v>3142</v>
      </c>
      <c r="D2765" s="3396">
        <v>256</v>
      </c>
      <c r="E2765" s="2142">
        <v>41.48</v>
      </c>
      <c r="F2765" s="2142">
        <v>16180.01</v>
      </c>
      <c r="G2765" s="2142">
        <v>671146.81479999993</v>
      </c>
      <c r="H2765" s="3557">
        <v>41908</v>
      </c>
      <c r="I2765" s="2142">
        <v>671147</v>
      </c>
    </row>
    <row r="2766" spans="1:9" s="2139" customFormat="1" hidden="1">
      <c r="A2766" s="2140" t="s">
        <v>4993</v>
      </c>
      <c r="B2766" s="2141" t="s">
        <v>3055</v>
      </c>
      <c r="C2766" s="2141" t="s">
        <v>3142</v>
      </c>
      <c r="D2766" s="3396">
        <v>258</v>
      </c>
      <c r="E2766" s="2142">
        <v>41.45</v>
      </c>
      <c r="F2766" s="2142">
        <v>16179.92</v>
      </c>
      <c r="G2766" s="2142">
        <v>670657.68400000001</v>
      </c>
      <c r="H2766" s="3557">
        <v>41908</v>
      </c>
      <c r="I2766" s="2142">
        <v>670658</v>
      </c>
    </row>
    <row r="2767" spans="1:9" s="2139" customFormat="1" hidden="1">
      <c r="A2767" s="2140" t="s">
        <v>4105</v>
      </c>
      <c r="B2767" s="2141" t="s">
        <v>3054</v>
      </c>
      <c r="C2767" s="2141" t="s">
        <v>3142</v>
      </c>
      <c r="D2767" s="2141">
        <v>65</v>
      </c>
      <c r="E2767" s="2142">
        <v>43.01</v>
      </c>
      <c r="F2767" s="2142">
        <v>15183.94</v>
      </c>
      <c r="G2767" s="2142">
        <v>653061.25939999998</v>
      </c>
      <c r="H2767" s="2143">
        <v>41907</v>
      </c>
      <c r="I2767" s="2142">
        <v>653061</v>
      </c>
    </row>
    <row r="2768" spans="1:9" s="2139" customFormat="1" hidden="1">
      <c r="A2768" s="2140" t="s">
        <v>4106</v>
      </c>
      <c r="B2768" s="2141" t="s">
        <v>3054</v>
      </c>
      <c r="C2768" s="2141" t="s">
        <v>3142</v>
      </c>
      <c r="D2768" s="2141">
        <v>66</v>
      </c>
      <c r="E2768" s="2142">
        <v>46.04</v>
      </c>
      <c r="F2768" s="2142">
        <v>15991.59</v>
      </c>
      <c r="G2768" s="2142">
        <v>736252.80359999998</v>
      </c>
      <c r="H2768" s="2143">
        <v>41907</v>
      </c>
      <c r="I2768" s="2142">
        <v>736253</v>
      </c>
    </row>
    <row r="2769" spans="1:9" s="2139" customFormat="1" hidden="1">
      <c r="A2769" s="2140" t="s">
        <v>4126</v>
      </c>
      <c r="B2769" s="2141" t="s">
        <v>3054</v>
      </c>
      <c r="C2769" s="2141" t="s">
        <v>3142</v>
      </c>
      <c r="D2769" s="2141">
        <v>97</v>
      </c>
      <c r="E2769" s="2142">
        <v>27.6</v>
      </c>
      <c r="F2769" s="2142">
        <v>15119.56</v>
      </c>
      <c r="G2769" s="2142">
        <v>417299.85600000003</v>
      </c>
      <c r="H2769" s="2143">
        <v>41907</v>
      </c>
      <c r="I2769" s="2142">
        <v>417300</v>
      </c>
    </row>
    <row r="2770" spans="1:9" s="2139" customFormat="1" hidden="1">
      <c r="A2770" s="2140" t="s">
        <v>4182</v>
      </c>
      <c r="B2770" s="2141" t="s">
        <v>3054</v>
      </c>
      <c r="C2770" s="2141" t="s">
        <v>3142</v>
      </c>
      <c r="D2770" s="2141">
        <v>167</v>
      </c>
      <c r="E2770" s="2142">
        <v>63.66</v>
      </c>
      <c r="F2770" s="2142">
        <v>15540.94</v>
      </c>
      <c r="G2770" s="2142">
        <v>989336.24040000001</v>
      </c>
      <c r="H2770" s="2143">
        <v>41907</v>
      </c>
      <c r="I2770" s="2142">
        <v>989336</v>
      </c>
    </row>
    <row r="2771" spans="1:9" s="2139" customFormat="1" hidden="1">
      <c r="A2771" s="2140" t="s">
        <v>4818</v>
      </c>
      <c r="B2771" s="2141" t="s">
        <v>3055</v>
      </c>
      <c r="C2771" s="2141" t="s">
        <v>3142</v>
      </c>
      <c r="D2771" s="3396">
        <v>32</v>
      </c>
      <c r="E2771" s="2142">
        <v>60.28</v>
      </c>
      <c r="F2771" s="2142">
        <v>18017.439999999999</v>
      </c>
      <c r="G2771" s="2142">
        <v>1086091.2831999999</v>
      </c>
      <c r="H2771" s="3557">
        <v>41907</v>
      </c>
      <c r="I2771" s="2142">
        <v>1086091</v>
      </c>
    </row>
    <row r="2772" spans="1:9" s="2139" customFormat="1" hidden="1">
      <c r="A2772" s="2140" t="s">
        <v>4839</v>
      </c>
      <c r="B2772" s="2141" t="s">
        <v>3055</v>
      </c>
      <c r="C2772" s="2141" t="s">
        <v>3142</v>
      </c>
      <c r="D2772" s="3396">
        <v>57</v>
      </c>
      <c r="E2772" s="2142">
        <v>49.1</v>
      </c>
      <c r="F2772" s="2142">
        <v>16198.64</v>
      </c>
      <c r="G2772" s="2142">
        <v>795353.22400000005</v>
      </c>
      <c r="H2772" s="3557">
        <v>41907</v>
      </c>
      <c r="I2772" s="2142">
        <v>795353</v>
      </c>
    </row>
    <row r="2773" spans="1:9" s="2139" customFormat="1" hidden="1">
      <c r="A2773" s="2140" t="s">
        <v>4930</v>
      </c>
      <c r="B2773" s="2141" t="s">
        <v>3055</v>
      </c>
      <c r="C2773" s="2141" t="s">
        <v>3142</v>
      </c>
      <c r="D2773" s="3396">
        <v>173</v>
      </c>
      <c r="E2773" s="2142">
        <v>33.83</v>
      </c>
      <c r="F2773" s="2142">
        <v>16152.85</v>
      </c>
      <c r="G2773" s="2142">
        <v>546450.9155</v>
      </c>
      <c r="H2773" s="3557">
        <v>41907</v>
      </c>
      <c r="I2773" s="2142">
        <v>546451</v>
      </c>
    </row>
    <row r="2774" spans="1:9" s="2139" customFormat="1" hidden="1">
      <c r="A2774" s="2140" t="s">
        <v>4944</v>
      </c>
      <c r="B2774" s="2141" t="s">
        <v>3055</v>
      </c>
      <c r="C2774" s="2141" t="s">
        <v>3142</v>
      </c>
      <c r="D2774" s="3396">
        <v>196</v>
      </c>
      <c r="E2774" s="2142">
        <v>51.11</v>
      </c>
      <c r="F2774" s="2142">
        <v>16528.72</v>
      </c>
      <c r="G2774" s="2142">
        <v>844782.87920000008</v>
      </c>
      <c r="H2774" s="3557">
        <v>41907</v>
      </c>
      <c r="I2774" s="2142">
        <v>844783</v>
      </c>
    </row>
    <row r="2775" spans="1:9" s="2139" customFormat="1" hidden="1">
      <c r="A2775" s="2140" t="s">
        <v>4945</v>
      </c>
      <c r="B2775" s="2141" t="s">
        <v>3055</v>
      </c>
      <c r="C2775" s="2141" t="s">
        <v>3142</v>
      </c>
      <c r="D2775" s="3396">
        <v>197</v>
      </c>
      <c r="E2775" s="2142">
        <v>59.28</v>
      </c>
      <c r="F2775" s="2142">
        <v>16511.349999999999</v>
      </c>
      <c r="G2775" s="2142">
        <v>978792.82799999998</v>
      </c>
      <c r="H2775" s="3557">
        <v>41907</v>
      </c>
      <c r="I2775" s="2142">
        <v>978793</v>
      </c>
    </row>
    <row r="2776" spans="1:9" s="2139" customFormat="1" hidden="1">
      <c r="A2776" s="2140" t="s">
        <v>4966</v>
      </c>
      <c r="B2776" s="2141" t="s">
        <v>3055</v>
      </c>
      <c r="C2776" s="2141" t="s">
        <v>3142</v>
      </c>
      <c r="D2776" s="3396">
        <v>226</v>
      </c>
      <c r="E2776" s="2142">
        <v>47.23</v>
      </c>
      <c r="F2776" s="2142">
        <v>16190.45</v>
      </c>
      <c r="G2776" s="2142">
        <v>764674.95349999995</v>
      </c>
      <c r="H2776" s="3557">
        <v>41907</v>
      </c>
      <c r="I2776" s="2142">
        <v>764675</v>
      </c>
    </row>
    <row r="2777" spans="1:9" s="2139" customFormat="1" hidden="1">
      <c r="A2777" s="2140" t="s">
        <v>4978</v>
      </c>
      <c r="B2777" s="2141" t="s">
        <v>3055</v>
      </c>
      <c r="C2777" s="2141" t="s">
        <v>3142</v>
      </c>
      <c r="D2777" s="3396">
        <v>241</v>
      </c>
      <c r="E2777" s="2142">
        <v>72.02</v>
      </c>
      <c r="F2777" s="2142">
        <v>18030.88</v>
      </c>
      <c r="G2777" s="2142">
        <v>1298583.9776000001</v>
      </c>
      <c r="H2777" s="3557">
        <v>41907</v>
      </c>
      <c r="I2777" s="2142">
        <v>1298584</v>
      </c>
    </row>
    <row r="2778" spans="1:9" s="2139" customFormat="1" hidden="1">
      <c r="A2778" s="2140" t="s">
        <v>4082</v>
      </c>
      <c r="B2778" s="2141" t="s">
        <v>3054</v>
      </c>
      <c r="C2778" s="2141" t="s">
        <v>3142</v>
      </c>
      <c r="D2778" s="2141">
        <v>23</v>
      </c>
      <c r="E2778" s="2142">
        <v>45.87</v>
      </c>
      <c r="F2778" s="2142">
        <v>15191.19</v>
      </c>
      <c r="G2778" s="2142">
        <v>696819.88529999997</v>
      </c>
      <c r="H2778" s="2143">
        <v>41906</v>
      </c>
      <c r="I2778" s="2142">
        <v>696820</v>
      </c>
    </row>
    <row r="2779" spans="1:9" s="2139" customFormat="1" hidden="1">
      <c r="A2779" s="2140" t="s">
        <v>4100</v>
      </c>
      <c r="B2779" s="2141" t="s">
        <v>3054</v>
      </c>
      <c r="C2779" s="2141" t="s">
        <v>3142</v>
      </c>
      <c r="D2779" s="2141">
        <v>59</v>
      </c>
      <c r="E2779" s="2142">
        <v>46.57</v>
      </c>
      <c r="F2779" s="2142">
        <v>16592.82</v>
      </c>
      <c r="G2779" s="2142">
        <v>772727.6274</v>
      </c>
      <c r="H2779" s="2143">
        <v>41906</v>
      </c>
      <c r="I2779" s="2142">
        <v>772728</v>
      </c>
    </row>
    <row r="2780" spans="1:9" s="2139" customFormat="1" hidden="1">
      <c r="A2780" s="2140" t="s">
        <v>4108</v>
      </c>
      <c r="B2780" s="2141" t="s">
        <v>3054</v>
      </c>
      <c r="C2780" s="2141" t="s">
        <v>3142</v>
      </c>
      <c r="D2780" s="2141">
        <v>68</v>
      </c>
      <c r="E2780" s="2142">
        <v>43.01</v>
      </c>
      <c r="F2780" s="2142">
        <v>15183.94</v>
      </c>
      <c r="G2780" s="2142">
        <v>653061.25939999998</v>
      </c>
      <c r="H2780" s="2143">
        <v>41906</v>
      </c>
      <c r="I2780" s="2142">
        <v>653061</v>
      </c>
    </row>
    <row r="2781" spans="1:9" s="2139" customFormat="1" hidden="1">
      <c r="A2781" s="2140" t="s">
        <v>4122</v>
      </c>
      <c r="B2781" s="2141" t="s">
        <v>3054</v>
      </c>
      <c r="C2781" s="2141" t="s">
        <v>3142</v>
      </c>
      <c r="D2781" s="2141">
        <v>88</v>
      </c>
      <c r="E2781" s="2142">
        <v>39.89</v>
      </c>
      <c r="F2781" s="2142">
        <v>16574.5</v>
      </c>
      <c r="G2781" s="2142">
        <v>661156.80500000005</v>
      </c>
      <c r="H2781" s="2143">
        <v>41906</v>
      </c>
      <c r="I2781" s="2142">
        <v>661157</v>
      </c>
    </row>
    <row r="2782" spans="1:9" s="2139" customFormat="1" hidden="1">
      <c r="A2782" s="2140" t="s">
        <v>4146</v>
      </c>
      <c r="B2782" s="2141" t="s">
        <v>3054</v>
      </c>
      <c r="C2782" s="2141" t="s">
        <v>3142</v>
      </c>
      <c r="D2782" s="2141">
        <v>122</v>
      </c>
      <c r="E2782" s="2142">
        <v>52.98</v>
      </c>
      <c r="F2782" s="2142">
        <v>15205.78</v>
      </c>
      <c r="G2782" s="2142">
        <v>805602.22439999995</v>
      </c>
      <c r="H2782" s="2143">
        <v>41906</v>
      </c>
      <c r="I2782" s="2142">
        <v>805602</v>
      </c>
    </row>
    <row r="2783" spans="1:9" s="2139" customFormat="1" hidden="1">
      <c r="A2783" s="2140" t="s">
        <v>4147</v>
      </c>
      <c r="B2783" s="2141" t="s">
        <v>3054</v>
      </c>
      <c r="C2783" s="2141" t="s">
        <v>3142</v>
      </c>
      <c r="D2783" s="2141">
        <v>123</v>
      </c>
      <c r="E2783" s="2142">
        <v>46.22</v>
      </c>
      <c r="F2783" s="2142">
        <v>15192.03</v>
      </c>
      <c r="G2783" s="2142">
        <v>702175.62659999996</v>
      </c>
      <c r="H2783" s="2143">
        <v>41906</v>
      </c>
      <c r="I2783" s="2142">
        <v>702176</v>
      </c>
    </row>
    <row r="2784" spans="1:9" s="2139" customFormat="1" hidden="1">
      <c r="A2784" s="2140" t="s">
        <v>4148</v>
      </c>
      <c r="B2784" s="2141" t="s">
        <v>3054</v>
      </c>
      <c r="C2784" s="2141" t="s">
        <v>3142</v>
      </c>
      <c r="D2784" s="2141">
        <v>125</v>
      </c>
      <c r="E2784" s="2142">
        <v>56.05</v>
      </c>
      <c r="F2784" s="2142">
        <v>15209.19</v>
      </c>
      <c r="G2784" s="2142">
        <v>852475.09950000001</v>
      </c>
      <c r="H2784" s="2143">
        <v>41906</v>
      </c>
      <c r="I2784" s="2142">
        <v>852475</v>
      </c>
    </row>
    <row r="2785" spans="1:9" s="2139" customFormat="1" hidden="1">
      <c r="A2785" s="2140" t="s">
        <v>4162</v>
      </c>
      <c r="B2785" s="2141" t="s">
        <v>3054</v>
      </c>
      <c r="C2785" s="2141" t="s">
        <v>3142</v>
      </c>
      <c r="D2785" s="2141">
        <v>140</v>
      </c>
      <c r="E2785" s="2142">
        <v>55.74</v>
      </c>
      <c r="F2785" s="2142">
        <v>15724.13</v>
      </c>
      <c r="G2785" s="2142">
        <v>876463.00619999995</v>
      </c>
      <c r="H2785" s="2143">
        <v>41906</v>
      </c>
      <c r="I2785" s="2142">
        <v>876463</v>
      </c>
    </row>
    <row r="2786" spans="1:9" s="2139" customFormat="1" hidden="1">
      <c r="A2786" s="2140" t="s">
        <v>4167</v>
      </c>
      <c r="B2786" s="2141" t="s">
        <v>3054</v>
      </c>
      <c r="C2786" s="2141" t="s">
        <v>3142</v>
      </c>
      <c r="D2786" s="2141">
        <v>146</v>
      </c>
      <c r="E2786" s="2142">
        <v>79.569999999999993</v>
      </c>
      <c r="F2786" s="2142">
        <v>18437.27</v>
      </c>
      <c r="G2786" s="2142">
        <v>1467053.5739</v>
      </c>
      <c r="H2786" s="2143">
        <v>41906</v>
      </c>
      <c r="I2786" s="2142">
        <v>1467054</v>
      </c>
    </row>
    <row r="2787" spans="1:9" s="2139" customFormat="1" hidden="1">
      <c r="A2787" s="2140" t="s">
        <v>4169</v>
      </c>
      <c r="B2787" s="2141" t="s">
        <v>3054</v>
      </c>
      <c r="C2787" s="2141" t="s">
        <v>3142</v>
      </c>
      <c r="D2787" s="2141">
        <v>148</v>
      </c>
      <c r="E2787" s="2142">
        <v>50.16</v>
      </c>
      <c r="F2787" s="2142">
        <v>16200.5</v>
      </c>
      <c r="G2787" s="2142">
        <v>812617.08</v>
      </c>
      <c r="H2787" s="2143">
        <v>41906</v>
      </c>
      <c r="I2787" s="2142">
        <v>812617</v>
      </c>
    </row>
    <row r="2788" spans="1:9" s="2139" customFormat="1" hidden="1">
      <c r="A2788" s="2140" t="s">
        <v>4176</v>
      </c>
      <c r="B2788" s="2141" t="s">
        <v>3054</v>
      </c>
      <c r="C2788" s="2141" t="s">
        <v>3142</v>
      </c>
      <c r="D2788" s="2141">
        <v>158</v>
      </c>
      <c r="E2788" s="2142">
        <v>49.61</v>
      </c>
      <c r="F2788" s="2142">
        <v>15199.4</v>
      </c>
      <c r="G2788" s="2142">
        <v>754042.23399999994</v>
      </c>
      <c r="H2788" s="2143">
        <v>41906</v>
      </c>
      <c r="I2788" s="2142">
        <v>754042</v>
      </c>
    </row>
    <row r="2789" spans="1:9" s="2139" customFormat="1" hidden="1">
      <c r="A2789" s="2140" t="s">
        <v>4190</v>
      </c>
      <c r="B2789" s="2141" t="s">
        <v>3054</v>
      </c>
      <c r="C2789" s="2141" t="s">
        <v>3142</v>
      </c>
      <c r="D2789" s="2141">
        <v>176</v>
      </c>
      <c r="E2789" s="2142">
        <v>48.07</v>
      </c>
      <c r="F2789" s="2142">
        <v>16596.16</v>
      </c>
      <c r="G2789" s="2142">
        <v>797777.41119999997</v>
      </c>
      <c r="H2789" s="2143">
        <v>41906</v>
      </c>
      <c r="I2789" s="2142">
        <v>797777</v>
      </c>
    </row>
    <row r="2790" spans="1:9" s="2139" customFormat="1" hidden="1">
      <c r="A2790" s="2140" t="s">
        <v>4215</v>
      </c>
      <c r="B2790" s="2141" t="s">
        <v>3054</v>
      </c>
      <c r="C2790" s="2141" t="s">
        <v>3142</v>
      </c>
      <c r="D2790" s="2141">
        <v>203</v>
      </c>
      <c r="E2790" s="2142">
        <v>78.05</v>
      </c>
      <c r="F2790" s="2142">
        <v>18036.05</v>
      </c>
      <c r="G2790" s="2142">
        <v>1407713.7024999999</v>
      </c>
      <c r="H2790" s="2143">
        <v>41906</v>
      </c>
      <c r="I2790" s="2142">
        <v>1407714</v>
      </c>
    </row>
    <row r="2791" spans="1:9" s="2139" customFormat="1" hidden="1">
      <c r="A2791" s="2140" t="s">
        <v>4279</v>
      </c>
      <c r="B2791" s="2141" t="s">
        <v>3054</v>
      </c>
      <c r="C2791" s="2141" t="s">
        <v>3142</v>
      </c>
      <c r="D2791" s="2141">
        <v>276</v>
      </c>
      <c r="E2791" s="2142">
        <v>51.75</v>
      </c>
      <c r="F2791" s="2142">
        <v>17703.55</v>
      </c>
      <c r="G2791" s="2142">
        <v>916158.71249999991</v>
      </c>
      <c r="H2791" s="2143">
        <v>41906</v>
      </c>
      <c r="I2791" s="2142">
        <v>916159</v>
      </c>
    </row>
    <row r="2792" spans="1:9" s="2139" customFormat="1" hidden="1">
      <c r="A2792" s="2140" t="s">
        <v>4295</v>
      </c>
      <c r="B2792" s="2141" t="s">
        <v>3054</v>
      </c>
      <c r="C2792" s="2141" t="s">
        <v>3142</v>
      </c>
      <c r="D2792" s="2141">
        <v>297</v>
      </c>
      <c r="E2792" s="2142">
        <v>41.97</v>
      </c>
      <c r="F2792" s="2142">
        <v>15300</v>
      </c>
      <c r="G2792" s="2142">
        <v>642141</v>
      </c>
      <c r="H2792" s="2143">
        <v>41906</v>
      </c>
      <c r="I2792" s="2142">
        <v>642141</v>
      </c>
    </row>
    <row r="2793" spans="1:9" s="2139" customFormat="1" hidden="1">
      <c r="A2793" s="2140" t="s">
        <v>4848</v>
      </c>
      <c r="B2793" s="2141" t="s">
        <v>3055</v>
      </c>
      <c r="C2793" s="2141" t="s">
        <v>3142</v>
      </c>
      <c r="D2793" s="3396">
        <v>68</v>
      </c>
      <c r="E2793" s="2142">
        <v>43.18</v>
      </c>
      <c r="F2793" s="2142">
        <v>16184.74</v>
      </c>
      <c r="G2793" s="2142">
        <v>698857.07319999998</v>
      </c>
      <c r="H2793" s="3557">
        <v>41906</v>
      </c>
      <c r="I2793" s="2142">
        <v>698857</v>
      </c>
    </row>
    <row r="2794" spans="1:9" s="2139" customFormat="1" hidden="1">
      <c r="A2794" s="2140" t="s">
        <v>4894</v>
      </c>
      <c r="B2794" s="2141" t="s">
        <v>3055</v>
      </c>
      <c r="C2794" s="2141" t="s">
        <v>3142</v>
      </c>
      <c r="D2794" s="3396">
        <v>129</v>
      </c>
      <c r="E2794" s="2142">
        <v>45.86</v>
      </c>
      <c r="F2794" s="2142">
        <v>16191.47</v>
      </c>
      <c r="G2794" s="2142">
        <v>742540.81419999991</v>
      </c>
      <c r="H2794" s="3557">
        <v>41906</v>
      </c>
      <c r="I2794" s="2142">
        <v>742541</v>
      </c>
    </row>
    <row r="2795" spans="1:9" s="2139" customFormat="1" hidden="1">
      <c r="A2795" s="2140" t="s">
        <v>4943</v>
      </c>
      <c r="B2795" s="2141" t="s">
        <v>3055</v>
      </c>
      <c r="C2795" s="2141" t="s">
        <v>3142</v>
      </c>
      <c r="D2795" s="3396">
        <v>195</v>
      </c>
      <c r="E2795" s="2142">
        <v>45.23</v>
      </c>
      <c r="F2795" s="2142">
        <v>16889.96</v>
      </c>
      <c r="G2795" s="2142">
        <v>763932.89079999994</v>
      </c>
      <c r="H2795" s="3557">
        <v>41906</v>
      </c>
      <c r="I2795" s="2142">
        <v>763933</v>
      </c>
    </row>
    <row r="2796" spans="1:9" s="2139" customFormat="1" hidden="1">
      <c r="A2796" s="2140" t="s">
        <v>4948</v>
      </c>
      <c r="B2796" s="2141" t="s">
        <v>3055</v>
      </c>
      <c r="C2796" s="2141" t="s">
        <v>3142</v>
      </c>
      <c r="D2796" s="3396">
        <v>200</v>
      </c>
      <c r="E2796" s="2142">
        <v>88.69</v>
      </c>
      <c r="F2796" s="2142">
        <v>18439.36</v>
      </c>
      <c r="G2796" s="2142">
        <v>1635386.8384</v>
      </c>
      <c r="H2796" s="3557">
        <v>41906</v>
      </c>
      <c r="I2796" s="2142">
        <v>1635387</v>
      </c>
    </row>
    <row r="2797" spans="1:9" s="2139" customFormat="1" hidden="1">
      <c r="A2797" s="2140" t="s">
        <v>4972</v>
      </c>
      <c r="B2797" s="2141" t="s">
        <v>3055</v>
      </c>
      <c r="C2797" s="2141" t="s">
        <v>3142</v>
      </c>
      <c r="D2797" s="3396">
        <v>235</v>
      </c>
      <c r="E2797" s="2142">
        <v>85.65</v>
      </c>
      <c r="F2797" s="2142">
        <v>18041.89</v>
      </c>
      <c r="G2797" s="2142">
        <v>1545287.8785000001</v>
      </c>
      <c r="H2797" s="3557">
        <v>41906</v>
      </c>
      <c r="I2797" s="2142">
        <v>1545288</v>
      </c>
    </row>
    <row r="2798" spans="1:9" s="2139" customFormat="1" hidden="1">
      <c r="A2798" s="2140" t="s">
        <v>4088</v>
      </c>
      <c r="B2798" s="2141" t="s">
        <v>3054</v>
      </c>
      <c r="C2798" s="2141" t="s">
        <v>3142</v>
      </c>
      <c r="D2798" s="2141">
        <v>32</v>
      </c>
      <c r="E2798" s="2142">
        <v>45.54</v>
      </c>
      <c r="F2798" s="2142">
        <v>15190.4</v>
      </c>
      <c r="G2798" s="2142">
        <v>691770.81599999999</v>
      </c>
      <c r="H2798" s="2143">
        <v>41905</v>
      </c>
      <c r="I2798" s="2142">
        <v>691771</v>
      </c>
    </row>
    <row r="2799" spans="1:9" s="2139" customFormat="1" hidden="1">
      <c r="A2799" s="2140" t="s">
        <v>4111</v>
      </c>
      <c r="B2799" s="2141" t="s">
        <v>3054</v>
      </c>
      <c r="C2799" s="2141" t="s">
        <v>3142</v>
      </c>
      <c r="D2799" s="2141">
        <v>71</v>
      </c>
      <c r="E2799" s="2142">
        <v>28.61</v>
      </c>
      <c r="F2799" s="2142">
        <v>15925.66</v>
      </c>
      <c r="G2799" s="2142">
        <v>455633.13260000001</v>
      </c>
      <c r="H2799" s="2143">
        <v>41905</v>
      </c>
      <c r="I2799" s="2142">
        <v>455633</v>
      </c>
    </row>
    <row r="2800" spans="1:9" s="2139" customFormat="1" hidden="1">
      <c r="A2800" s="2140" t="s">
        <v>4834</v>
      </c>
      <c r="B2800" s="2141" t="s">
        <v>3055</v>
      </c>
      <c r="C2800" s="2141" t="s">
        <v>3142</v>
      </c>
      <c r="D2800" s="3396">
        <v>51</v>
      </c>
      <c r="E2800" s="2142">
        <v>46.1</v>
      </c>
      <c r="F2800" s="2142">
        <v>16194.6</v>
      </c>
      <c r="G2800" s="2142">
        <v>746571.06</v>
      </c>
      <c r="H2800" s="3557">
        <v>41905</v>
      </c>
      <c r="I2800" s="2142">
        <v>746571</v>
      </c>
    </row>
    <row r="2801" spans="1:9" s="2139" customFormat="1" hidden="1">
      <c r="A2801" s="2140" t="s">
        <v>4901</v>
      </c>
      <c r="B2801" s="2141" t="s">
        <v>3055</v>
      </c>
      <c r="C2801" s="2141" t="s">
        <v>3142</v>
      </c>
      <c r="D2801" s="3396">
        <v>138</v>
      </c>
      <c r="E2801" s="2142">
        <v>75.22</v>
      </c>
      <c r="F2801" s="2142">
        <v>18233.830000000002</v>
      </c>
      <c r="G2801" s="2142">
        <v>1371548.6926000002</v>
      </c>
      <c r="H2801" s="3557">
        <v>41905</v>
      </c>
      <c r="I2801" s="2142">
        <v>1371549</v>
      </c>
    </row>
    <row r="2802" spans="1:9" s="2139" customFormat="1" hidden="1">
      <c r="A2802" s="2140" t="s">
        <v>4985</v>
      </c>
      <c r="B2802" s="2141" t="s">
        <v>3055</v>
      </c>
      <c r="C2802" s="2141" t="s">
        <v>3142</v>
      </c>
      <c r="D2802" s="3396">
        <v>249</v>
      </c>
      <c r="E2802" s="2142">
        <v>41.45</v>
      </c>
      <c r="F2802" s="2142">
        <v>16300</v>
      </c>
      <c r="G2802" s="2142">
        <v>675635</v>
      </c>
      <c r="H2802" s="3557">
        <v>41905</v>
      </c>
      <c r="I2802" s="2142">
        <v>675635</v>
      </c>
    </row>
    <row r="2803" spans="1:9" s="2139" customFormat="1" hidden="1">
      <c r="A2803" s="2140" t="s">
        <v>4996</v>
      </c>
      <c r="B2803" s="2141" t="s">
        <v>3055</v>
      </c>
      <c r="C2803" s="2141" t="s">
        <v>3142</v>
      </c>
      <c r="D2803" s="3396">
        <v>263</v>
      </c>
      <c r="E2803" s="2142">
        <v>75.290000000000006</v>
      </c>
      <c r="F2803" s="2142">
        <v>15733.89</v>
      </c>
      <c r="G2803" s="2142">
        <v>1184604.5781</v>
      </c>
      <c r="H2803" s="3557">
        <v>41905</v>
      </c>
      <c r="I2803" s="2142">
        <v>1184605</v>
      </c>
    </row>
    <row r="2804" spans="1:9" s="2139" customFormat="1" hidden="1">
      <c r="A2804" s="2140" t="s">
        <v>4185</v>
      </c>
      <c r="B2804" s="2141" t="s">
        <v>3054</v>
      </c>
      <c r="C2804" s="2141" t="s">
        <v>3142</v>
      </c>
      <c r="D2804" s="2141">
        <v>170</v>
      </c>
      <c r="E2804" s="2142">
        <v>63.29</v>
      </c>
      <c r="F2804" s="2142">
        <v>15821.14</v>
      </c>
      <c r="G2804" s="2142">
        <v>1001319.9506</v>
      </c>
      <c r="H2804" s="2143">
        <v>41904</v>
      </c>
      <c r="I2804" s="2142">
        <v>1001320</v>
      </c>
    </row>
    <row r="2805" spans="1:9" s="2139" customFormat="1" hidden="1">
      <c r="A2805" s="2140" t="s">
        <v>4193</v>
      </c>
      <c r="B2805" s="2141" t="s">
        <v>3054</v>
      </c>
      <c r="C2805" s="2141" t="s">
        <v>3142</v>
      </c>
      <c r="D2805" s="2141">
        <v>179</v>
      </c>
      <c r="E2805" s="2142">
        <v>35.22</v>
      </c>
      <c r="F2805" s="2142">
        <v>15742.77</v>
      </c>
      <c r="G2805" s="2142">
        <v>554460.35939999996</v>
      </c>
      <c r="H2805" s="2143">
        <v>41904</v>
      </c>
      <c r="I2805" s="2142">
        <v>554460</v>
      </c>
    </row>
    <row r="2806" spans="1:9" s="2139" customFormat="1" hidden="1">
      <c r="A2806" s="2140" t="s">
        <v>4239</v>
      </c>
      <c r="B2806" s="2141" t="s">
        <v>3054</v>
      </c>
      <c r="C2806" s="2141" t="s">
        <v>3142</v>
      </c>
      <c r="D2806" s="2141">
        <v>230</v>
      </c>
      <c r="E2806" s="2142">
        <v>27.82</v>
      </c>
      <c r="F2806" s="2142">
        <v>15721.56</v>
      </c>
      <c r="G2806" s="2142">
        <v>437373.79920000001</v>
      </c>
      <c r="H2806" s="2143">
        <v>41904</v>
      </c>
      <c r="I2806" s="2142">
        <v>437374</v>
      </c>
    </row>
    <row r="2807" spans="1:9" s="2139" customFormat="1" hidden="1">
      <c r="A2807" s="2140" t="s">
        <v>4797</v>
      </c>
      <c r="B2807" s="2141" t="s">
        <v>3055</v>
      </c>
      <c r="C2807" s="2141" t="s">
        <v>3142</v>
      </c>
      <c r="D2807" s="3396">
        <v>9</v>
      </c>
      <c r="E2807" s="2142">
        <v>72.42</v>
      </c>
      <c r="F2807" s="2142">
        <v>16731.27</v>
      </c>
      <c r="G2807" s="2142">
        <v>1211678.5734000001</v>
      </c>
      <c r="H2807" s="3557">
        <v>41904</v>
      </c>
      <c r="I2807" s="2142">
        <v>1211679</v>
      </c>
    </row>
    <row r="2808" spans="1:9" s="2139" customFormat="1" hidden="1">
      <c r="A2808" s="2140" t="s">
        <v>4822</v>
      </c>
      <c r="B2808" s="2141" t="s">
        <v>3055</v>
      </c>
      <c r="C2808" s="2141" t="s">
        <v>3142</v>
      </c>
      <c r="D2808" s="3396">
        <v>37</v>
      </c>
      <c r="E2808" s="2142">
        <v>85.53</v>
      </c>
      <c r="F2808" s="2142">
        <v>18041.59</v>
      </c>
      <c r="G2808" s="2142">
        <v>1543097.1927</v>
      </c>
      <c r="H2808" s="3557">
        <v>41904</v>
      </c>
      <c r="I2808" s="2142">
        <v>1543097</v>
      </c>
    </row>
    <row r="2809" spans="1:9" s="2139" customFormat="1" hidden="1">
      <c r="A2809" s="2140" t="s">
        <v>4867</v>
      </c>
      <c r="B2809" s="2141" t="s">
        <v>3055</v>
      </c>
      <c r="C2809" s="2141" t="s">
        <v>3142</v>
      </c>
      <c r="D2809" s="3396">
        <v>92</v>
      </c>
      <c r="E2809" s="2142">
        <v>69.040000000000006</v>
      </c>
      <c r="F2809" s="2142">
        <v>16527.91</v>
      </c>
      <c r="G2809" s="2142">
        <v>1141086.9064</v>
      </c>
      <c r="H2809" s="3557">
        <v>41904</v>
      </c>
      <c r="I2809" s="2142">
        <v>1141087</v>
      </c>
    </row>
    <row r="2810" spans="1:9" s="2139" customFormat="1" hidden="1">
      <c r="A2810" s="2140" t="s">
        <v>4890</v>
      </c>
      <c r="B2810" s="2141" t="s">
        <v>3055</v>
      </c>
      <c r="C2810" s="2141" t="s">
        <v>3142</v>
      </c>
      <c r="D2810" s="3396">
        <v>125</v>
      </c>
      <c r="E2810" s="2142">
        <v>45.9</v>
      </c>
      <c r="F2810" s="2142">
        <v>16191.56</v>
      </c>
      <c r="G2810" s="2142">
        <v>743192.60399999993</v>
      </c>
      <c r="H2810" s="3557">
        <v>41904</v>
      </c>
      <c r="I2810" s="2142">
        <v>743193</v>
      </c>
    </row>
    <row r="2811" spans="1:9" s="2139" customFormat="1" hidden="1">
      <c r="A2811" s="2140" t="s">
        <v>4998</v>
      </c>
      <c r="B2811" s="2141" t="s">
        <v>3055</v>
      </c>
      <c r="C2811" s="2141" t="s">
        <v>3142</v>
      </c>
      <c r="D2811" s="3396">
        <v>270</v>
      </c>
      <c r="E2811" s="2142">
        <v>71.03</v>
      </c>
      <c r="F2811" s="2142">
        <v>16100</v>
      </c>
      <c r="G2811" s="2142">
        <v>1143583</v>
      </c>
      <c r="H2811" s="3557">
        <v>41904</v>
      </c>
      <c r="I2811" s="2142">
        <v>1143583</v>
      </c>
    </row>
    <row r="2812" spans="1:9" s="2139" customFormat="1" hidden="1">
      <c r="A2812" s="2140" t="s">
        <v>5006</v>
      </c>
      <c r="B2812" s="2141" t="s">
        <v>3055</v>
      </c>
      <c r="C2812" s="2141" t="s">
        <v>3142</v>
      </c>
      <c r="D2812" s="3396">
        <v>280</v>
      </c>
      <c r="E2812" s="2142">
        <v>42.75</v>
      </c>
      <c r="F2812" s="2142">
        <v>15800</v>
      </c>
      <c r="G2812" s="2142">
        <v>675450</v>
      </c>
      <c r="H2812" s="3557">
        <v>41904</v>
      </c>
      <c r="I2812" s="2142">
        <v>675450</v>
      </c>
    </row>
    <row r="2813" spans="1:9" s="2139" customFormat="1" hidden="1">
      <c r="A2813" s="2140" t="s">
        <v>5007</v>
      </c>
      <c r="B2813" s="2141" t="s">
        <v>3055</v>
      </c>
      <c r="C2813" s="2141" t="s">
        <v>3142</v>
      </c>
      <c r="D2813" s="3396">
        <v>281</v>
      </c>
      <c r="E2813" s="2142">
        <v>46.04</v>
      </c>
      <c r="F2813" s="2142">
        <v>18200</v>
      </c>
      <c r="G2813" s="2142">
        <v>837928</v>
      </c>
      <c r="H2813" s="3557">
        <v>41904</v>
      </c>
      <c r="I2813" s="2142">
        <v>837928</v>
      </c>
    </row>
    <row r="2814" spans="1:9" s="2139" customFormat="1" hidden="1">
      <c r="A2814" s="2140" t="s">
        <v>4189</v>
      </c>
      <c r="B2814" s="2141" t="s">
        <v>3054</v>
      </c>
      <c r="C2814" s="2141" t="s">
        <v>3142</v>
      </c>
      <c r="D2814" s="2141">
        <v>175</v>
      </c>
      <c r="E2814" s="2142">
        <v>51.01</v>
      </c>
      <c r="F2814" s="2142">
        <v>16202.15</v>
      </c>
      <c r="G2814" s="2142">
        <v>826471.67149999994</v>
      </c>
      <c r="H2814" s="2143">
        <v>41903</v>
      </c>
      <c r="I2814" s="2142">
        <v>826472</v>
      </c>
    </row>
    <row r="2815" spans="1:9" s="2139" customFormat="1" hidden="1">
      <c r="A2815" s="2140" t="s">
        <v>4298</v>
      </c>
      <c r="B2815" s="2141" t="s">
        <v>3054</v>
      </c>
      <c r="C2815" s="2141" t="s">
        <v>3142</v>
      </c>
      <c r="D2815" s="2141">
        <v>308</v>
      </c>
      <c r="E2815" s="2142">
        <v>62.65</v>
      </c>
      <c r="F2815" s="2142">
        <v>14800</v>
      </c>
      <c r="G2815" s="2142">
        <v>927220</v>
      </c>
      <c r="H2815" s="2143">
        <v>41903</v>
      </c>
      <c r="I2815" s="2142">
        <v>927220</v>
      </c>
    </row>
    <row r="2816" spans="1:9" s="2139" customFormat="1" hidden="1">
      <c r="A2816" s="2140" t="s">
        <v>4302</v>
      </c>
      <c r="B2816" s="2141" t="s">
        <v>3054</v>
      </c>
      <c r="C2816" s="2141" t="s">
        <v>3142</v>
      </c>
      <c r="D2816" s="2141">
        <v>316</v>
      </c>
      <c r="E2816" s="2142">
        <v>43.28</v>
      </c>
      <c r="F2816" s="2142">
        <v>15784.69</v>
      </c>
      <c r="G2816" s="2142">
        <v>683161.38320000004</v>
      </c>
      <c r="H2816" s="2143">
        <v>41903</v>
      </c>
      <c r="I2816" s="2142">
        <v>683161</v>
      </c>
    </row>
    <row r="2817" spans="1:9" s="2139" customFormat="1" hidden="1">
      <c r="A2817" s="2140" t="s">
        <v>4803</v>
      </c>
      <c r="B2817" s="2141" t="s">
        <v>3055</v>
      </c>
      <c r="C2817" s="2141" t="s">
        <v>3142</v>
      </c>
      <c r="D2817" s="3396">
        <v>16</v>
      </c>
      <c r="E2817" s="2142">
        <v>41.46</v>
      </c>
      <c r="F2817" s="2142">
        <v>16179.95</v>
      </c>
      <c r="G2817" s="2142">
        <v>670820.72700000007</v>
      </c>
      <c r="H2817" s="3557">
        <v>41903</v>
      </c>
      <c r="I2817" s="2142">
        <v>670821</v>
      </c>
    </row>
    <row r="2818" spans="1:9" s="2139" customFormat="1" hidden="1">
      <c r="A2818" s="2140" t="s">
        <v>4808</v>
      </c>
      <c r="B2818" s="2141" t="s">
        <v>3055</v>
      </c>
      <c r="C2818" s="2141" t="s">
        <v>3142</v>
      </c>
      <c r="D2818" s="3396">
        <v>21</v>
      </c>
      <c r="E2818" s="2142">
        <v>77.52</v>
      </c>
      <c r="F2818" s="2142">
        <v>18435.79</v>
      </c>
      <c r="G2818" s="2142">
        <v>1429142.4408</v>
      </c>
      <c r="H2818" s="3557">
        <v>41903</v>
      </c>
      <c r="I2818" s="2142">
        <v>1429142</v>
      </c>
    </row>
    <row r="2819" spans="1:9" s="2139" customFormat="1" hidden="1">
      <c r="A2819" s="2140" t="s">
        <v>4845</v>
      </c>
      <c r="B2819" s="2141" t="s">
        <v>3055</v>
      </c>
      <c r="C2819" s="2141" t="s">
        <v>3142</v>
      </c>
      <c r="D2819" s="3396">
        <v>63</v>
      </c>
      <c r="E2819" s="2142">
        <v>37.68</v>
      </c>
      <c r="F2819" s="2142">
        <v>16167.9</v>
      </c>
      <c r="G2819" s="2142">
        <v>609206.47199999995</v>
      </c>
      <c r="H2819" s="3557">
        <v>41903</v>
      </c>
      <c r="I2819" s="2142">
        <v>609206</v>
      </c>
    </row>
    <row r="2820" spans="1:9" s="2139" customFormat="1" hidden="1">
      <c r="A2820" s="2140" t="s">
        <v>4849</v>
      </c>
      <c r="B2820" s="2141" t="s">
        <v>3055</v>
      </c>
      <c r="C2820" s="2141" t="s">
        <v>3142</v>
      </c>
      <c r="D2820" s="3396">
        <v>69</v>
      </c>
      <c r="E2820" s="2142">
        <v>75.47</v>
      </c>
      <c r="F2820" s="2142">
        <v>16234.05</v>
      </c>
      <c r="G2820" s="2142">
        <v>1225183.7534999999</v>
      </c>
      <c r="H2820" s="3557">
        <v>41903</v>
      </c>
      <c r="I2820" s="2142">
        <v>1225184</v>
      </c>
    </row>
    <row r="2821" spans="1:9" s="2139" customFormat="1" hidden="1">
      <c r="A2821" s="2140" t="s">
        <v>4861</v>
      </c>
      <c r="B2821" s="2141" t="s">
        <v>3055</v>
      </c>
      <c r="C2821" s="2141" t="s">
        <v>3142</v>
      </c>
      <c r="D2821" s="3396">
        <v>83</v>
      </c>
      <c r="E2821" s="2142">
        <v>64.13</v>
      </c>
      <c r="F2821" s="2142">
        <v>16522.38</v>
      </c>
      <c r="G2821" s="2142">
        <v>1059580.2294000001</v>
      </c>
      <c r="H2821" s="3557">
        <v>41903</v>
      </c>
      <c r="I2821" s="2142">
        <v>1059580</v>
      </c>
    </row>
    <row r="2822" spans="1:9" s="2139" customFormat="1" hidden="1">
      <c r="A2822" s="2140" t="s">
        <v>4957</v>
      </c>
      <c r="B2822" s="2141" t="s">
        <v>3055</v>
      </c>
      <c r="C2822" s="2141" t="s">
        <v>3142</v>
      </c>
      <c r="D2822" s="3396">
        <v>216</v>
      </c>
      <c r="E2822" s="2142">
        <v>43.73</v>
      </c>
      <c r="F2822" s="2142">
        <v>16191.77</v>
      </c>
      <c r="G2822" s="2142">
        <v>708066.10210000002</v>
      </c>
      <c r="H2822" s="3557">
        <v>41903</v>
      </c>
      <c r="I2822" s="2142">
        <v>708066</v>
      </c>
    </row>
    <row r="2823" spans="1:9" s="2139" customFormat="1" hidden="1">
      <c r="A2823" s="2140" t="s">
        <v>4973</v>
      </c>
      <c r="B2823" s="2141" t="s">
        <v>3055</v>
      </c>
      <c r="C2823" s="2141" t="s">
        <v>3142</v>
      </c>
      <c r="D2823" s="3396">
        <v>236</v>
      </c>
      <c r="E2823" s="2142">
        <v>72.010000000000005</v>
      </c>
      <c r="F2823" s="2142">
        <v>18030.88</v>
      </c>
      <c r="G2823" s="2142">
        <v>1298403.6688000001</v>
      </c>
      <c r="H2823" s="3557">
        <v>41903</v>
      </c>
      <c r="I2823" s="2142">
        <v>1298404</v>
      </c>
    </row>
    <row r="2824" spans="1:9" s="2139" customFormat="1" hidden="1">
      <c r="A2824" s="2140" t="s">
        <v>4986</v>
      </c>
      <c r="B2824" s="2141" t="s">
        <v>3055</v>
      </c>
      <c r="C2824" s="2141" t="s">
        <v>3142</v>
      </c>
      <c r="D2824" s="3396">
        <v>250</v>
      </c>
      <c r="E2824" s="2142">
        <v>41.43</v>
      </c>
      <c r="F2824" s="2142">
        <v>16300</v>
      </c>
      <c r="G2824" s="2142">
        <v>675309</v>
      </c>
      <c r="H2824" s="3557">
        <v>41903</v>
      </c>
      <c r="I2824" s="2142">
        <v>675309</v>
      </c>
    </row>
    <row r="2825" spans="1:9" s="2139" customFormat="1" hidden="1">
      <c r="A2825" s="2140" t="s">
        <v>4306</v>
      </c>
      <c r="B2825" s="2141" t="s">
        <v>3054</v>
      </c>
      <c r="C2825" s="2141" t="s">
        <v>3142</v>
      </c>
      <c r="D2825" s="2141">
        <v>320</v>
      </c>
      <c r="E2825" s="2142">
        <v>43.29</v>
      </c>
      <c r="F2825" s="2142">
        <v>15900</v>
      </c>
      <c r="G2825" s="2142">
        <v>688311</v>
      </c>
      <c r="H2825" s="2143">
        <v>41902</v>
      </c>
      <c r="I2825" s="2142">
        <v>688311</v>
      </c>
    </row>
    <row r="2826" spans="1:9" s="2139" customFormat="1" hidden="1">
      <c r="A2826" s="2140" t="s">
        <v>4912</v>
      </c>
      <c r="B2826" s="2141" t="s">
        <v>3055</v>
      </c>
      <c r="C2826" s="2141" t="s">
        <v>3142</v>
      </c>
      <c r="D2826" s="3396">
        <v>150</v>
      </c>
      <c r="E2826" s="2142">
        <v>72.010000000000005</v>
      </c>
      <c r="F2826" s="2142">
        <v>18300</v>
      </c>
      <c r="G2826" s="2142">
        <v>1317783</v>
      </c>
      <c r="H2826" s="3557">
        <v>41902</v>
      </c>
      <c r="I2826" s="2142">
        <v>1317783</v>
      </c>
    </row>
    <row r="2827" spans="1:9" s="2139" customFormat="1" hidden="1">
      <c r="A2827" s="2140" t="s">
        <v>4979</v>
      </c>
      <c r="B2827" s="2141" t="s">
        <v>3055</v>
      </c>
      <c r="C2827" s="2141" t="s">
        <v>3142</v>
      </c>
      <c r="D2827" s="3396">
        <v>242</v>
      </c>
      <c r="E2827" s="2142">
        <v>70.28</v>
      </c>
      <c r="F2827" s="2142">
        <v>18029.18</v>
      </c>
      <c r="G2827" s="2142">
        <v>1267090.7704</v>
      </c>
      <c r="H2827" s="3557">
        <v>41901</v>
      </c>
      <c r="I2827" s="2142">
        <v>1267091</v>
      </c>
    </row>
    <row r="2828" spans="1:9" s="2139" customFormat="1" hidden="1">
      <c r="A2828" s="2140" t="s">
        <v>4261</v>
      </c>
      <c r="B2828" s="2141" t="s">
        <v>3054</v>
      </c>
      <c r="C2828" s="2141" t="s">
        <v>3142</v>
      </c>
      <c r="D2828" s="2141">
        <v>255</v>
      </c>
      <c r="E2828" s="2142">
        <v>58.25</v>
      </c>
      <c r="F2828" s="2142">
        <v>16300</v>
      </c>
      <c r="G2828" s="2142">
        <v>949475</v>
      </c>
      <c r="H2828" s="2143"/>
      <c r="I2828" s="2142">
        <v>104108</v>
      </c>
    </row>
    <row r="2829" spans="1:9" s="2139" customFormat="1" hidden="1">
      <c r="A2829" s="2140" t="s">
        <v>4282</v>
      </c>
      <c r="B2829" s="2141" t="s">
        <v>3054</v>
      </c>
      <c r="C2829" s="2141" t="s">
        <v>3142</v>
      </c>
      <c r="D2829" s="2141">
        <v>280</v>
      </c>
      <c r="E2829" s="2142">
        <v>76.099999999999994</v>
      </c>
      <c r="F2829" s="2142">
        <v>18500</v>
      </c>
      <c r="G2829" s="2142">
        <v>1407850</v>
      </c>
      <c r="H2829" s="2143"/>
      <c r="I2829" s="2142">
        <v>148458</v>
      </c>
    </row>
    <row r="2830" spans="1:9" s="2139" customFormat="1" hidden="1">
      <c r="A2830" s="2140" t="s">
        <v>5339</v>
      </c>
      <c r="B2830" s="2141" t="s">
        <v>3056</v>
      </c>
      <c r="C2830" s="2141" t="s">
        <v>3142</v>
      </c>
      <c r="D2830" s="2141">
        <v>1</v>
      </c>
      <c r="E2830" s="2142">
        <v>52.88</v>
      </c>
      <c r="F2830" s="2142">
        <v>19500</v>
      </c>
      <c r="G2830" s="2142">
        <v>1031160</v>
      </c>
      <c r="H2830" s="2143"/>
      <c r="I2830" s="2142">
        <v>1234720</v>
      </c>
    </row>
    <row r="2831" spans="1:9" s="2139" customFormat="1" hidden="1">
      <c r="A2831" s="2140" t="s">
        <v>5340</v>
      </c>
      <c r="B2831" s="2141" t="s">
        <v>3056</v>
      </c>
      <c r="C2831" s="2141" t="s">
        <v>3142</v>
      </c>
      <c r="D2831" s="2141">
        <v>2</v>
      </c>
      <c r="E2831" s="2142">
        <v>69.61</v>
      </c>
      <c r="F2831" s="2142">
        <v>19300</v>
      </c>
      <c r="G2831" s="2142">
        <v>1343473</v>
      </c>
      <c r="H2831" s="2143"/>
      <c r="I2831" s="2142">
        <v>1391820</v>
      </c>
    </row>
    <row r="2832" spans="1:9" s="2139" customFormat="1" hidden="1">
      <c r="A2832" s="2140" t="s">
        <v>5341</v>
      </c>
      <c r="B2832" s="2141" t="s">
        <v>3056</v>
      </c>
      <c r="C2832" s="2141" t="s">
        <v>3142</v>
      </c>
      <c r="D2832" s="2141">
        <v>3</v>
      </c>
      <c r="E2832" s="2142">
        <v>76.569999999999993</v>
      </c>
      <c r="F2832" s="2142">
        <v>19590</v>
      </c>
      <c r="G2832" s="2142">
        <v>1500006.2999999998</v>
      </c>
      <c r="H2832" s="2143"/>
      <c r="I2832" s="2142">
        <v>1587375</v>
      </c>
    </row>
    <row r="2833" spans="1:9" s="2139" customFormat="1" hidden="1">
      <c r="A2833" s="2140" t="s">
        <v>5342</v>
      </c>
      <c r="B2833" s="2141" t="s">
        <v>3056</v>
      </c>
      <c r="C2833" s="2141" t="s">
        <v>3142</v>
      </c>
      <c r="D2833" s="2141">
        <v>5</v>
      </c>
      <c r="E2833" s="2142">
        <v>74.3</v>
      </c>
      <c r="F2833" s="2142">
        <v>19590</v>
      </c>
      <c r="G2833" s="2142">
        <v>1455537</v>
      </c>
      <c r="H2833" s="2143"/>
      <c r="I2833" s="2142">
        <v>720000</v>
      </c>
    </row>
    <row r="2834" spans="1:9" s="2139" customFormat="1" hidden="1">
      <c r="A2834" s="2140" t="s">
        <v>5343</v>
      </c>
      <c r="B2834" s="2141" t="s">
        <v>3056</v>
      </c>
      <c r="C2834" s="2141" t="s">
        <v>3142</v>
      </c>
      <c r="D2834" s="2141">
        <v>7</v>
      </c>
      <c r="E2834" s="2142">
        <v>73.09</v>
      </c>
      <c r="F2834" s="2142">
        <v>19300</v>
      </c>
      <c r="G2834" s="2142">
        <v>1410637</v>
      </c>
      <c r="H2834" s="2143"/>
      <c r="I2834" s="2142">
        <v>700000</v>
      </c>
    </row>
    <row r="2835" spans="1:9" s="2139" customFormat="1" hidden="1">
      <c r="A2835" s="2140" t="s">
        <v>5344</v>
      </c>
      <c r="B2835" s="2141" t="s">
        <v>3056</v>
      </c>
      <c r="C2835" s="2141" t="s">
        <v>3142</v>
      </c>
      <c r="D2835" s="2141">
        <v>8</v>
      </c>
      <c r="E2835" s="2142">
        <v>73.09</v>
      </c>
      <c r="F2835" s="2142">
        <v>19300</v>
      </c>
      <c r="G2835" s="2142">
        <v>1410637</v>
      </c>
      <c r="H2835" s="2143"/>
      <c r="I2835" s="2142">
        <v>700000</v>
      </c>
    </row>
    <row r="2836" spans="1:9" s="2139" customFormat="1" hidden="1">
      <c r="A2836" s="2140" t="s">
        <v>5345</v>
      </c>
      <c r="B2836" s="2141" t="s">
        <v>3056</v>
      </c>
      <c r="C2836" s="2141" t="s">
        <v>3142</v>
      </c>
      <c r="D2836" s="2141">
        <v>9</v>
      </c>
      <c r="E2836" s="2142">
        <v>73.09</v>
      </c>
      <c r="F2836" s="2142">
        <v>19300</v>
      </c>
      <c r="G2836" s="2142">
        <v>1410637</v>
      </c>
      <c r="H2836" s="2143"/>
      <c r="I2836" s="2142">
        <v>700000</v>
      </c>
    </row>
    <row r="2837" spans="1:9" s="2139" customFormat="1" hidden="1">
      <c r="A2837" s="2140" t="s">
        <v>5346</v>
      </c>
      <c r="B2837" s="2141" t="s">
        <v>3056</v>
      </c>
      <c r="C2837" s="2141" t="s">
        <v>3142</v>
      </c>
      <c r="D2837" s="2141">
        <v>10</v>
      </c>
      <c r="E2837" s="2142">
        <v>73.09</v>
      </c>
      <c r="F2837" s="2142">
        <v>19300</v>
      </c>
      <c r="G2837" s="2142">
        <v>1410637</v>
      </c>
      <c r="H2837" s="2143"/>
      <c r="I2837" s="2142">
        <v>700000</v>
      </c>
    </row>
    <row r="2838" spans="1:9" s="2139" customFormat="1" hidden="1">
      <c r="A2838" s="2140" t="s">
        <v>5347</v>
      </c>
      <c r="B2838" s="2141" t="s">
        <v>3056</v>
      </c>
      <c r="C2838" s="2141" t="s">
        <v>3142</v>
      </c>
      <c r="D2838" s="2141">
        <v>11</v>
      </c>
      <c r="E2838" s="2142">
        <v>73.09</v>
      </c>
      <c r="F2838" s="2142">
        <v>19300</v>
      </c>
      <c r="G2838" s="2142">
        <v>1410637</v>
      </c>
      <c r="H2838" s="2143"/>
      <c r="I2838" s="2142">
        <v>700000</v>
      </c>
    </row>
    <row r="2839" spans="1:9" s="2139" customFormat="1" hidden="1">
      <c r="A2839" s="2140" t="s">
        <v>5348</v>
      </c>
      <c r="B2839" s="2141" t="s">
        <v>3056</v>
      </c>
      <c r="C2839" s="2141" t="s">
        <v>3142</v>
      </c>
      <c r="D2839" s="2141">
        <v>12</v>
      </c>
      <c r="E2839" s="2142">
        <v>64.73</v>
      </c>
      <c r="F2839" s="2142">
        <v>19300</v>
      </c>
      <c r="G2839" s="2142">
        <v>1249289</v>
      </c>
      <c r="H2839" s="2143"/>
      <c r="I2839" s="2142">
        <v>620000</v>
      </c>
    </row>
    <row r="2840" spans="1:9" s="2139" customFormat="1" hidden="1">
      <c r="A2840" s="2140" t="s">
        <v>5349</v>
      </c>
      <c r="B2840" s="2141" t="s">
        <v>3056</v>
      </c>
      <c r="C2840" s="2141" t="s">
        <v>3142</v>
      </c>
      <c r="D2840" s="2141">
        <v>13</v>
      </c>
      <c r="E2840" s="2142">
        <v>125.3</v>
      </c>
      <c r="F2840" s="2142">
        <v>19790</v>
      </c>
      <c r="G2840" s="2142">
        <v>2479687</v>
      </c>
      <c r="H2840" s="2143"/>
      <c r="I2840" s="2142">
        <v>1230000</v>
      </c>
    </row>
    <row r="2841" spans="1:9" s="2139" customFormat="1" hidden="1">
      <c r="A2841" s="2140" t="s">
        <v>5350</v>
      </c>
      <c r="B2841" s="2141" t="s">
        <v>3056</v>
      </c>
      <c r="C2841" s="2141" t="s">
        <v>3142</v>
      </c>
      <c r="D2841" s="2141">
        <v>15</v>
      </c>
      <c r="E2841" s="2142">
        <v>77.569999999999993</v>
      </c>
      <c r="F2841" s="2142">
        <v>19590</v>
      </c>
      <c r="G2841" s="2142">
        <v>1519596.2999999998</v>
      </c>
      <c r="H2841" s="2143"/>
      <c r="I2841" s="2142">
        <v>750000</v>
      </c>
    </row>
    <row r="2842" spans="1:9" s="2139" customFormat="1" hidden="1">
      <c r="A2842" s="2140" t="s">
        <v>5351</v>
      </c>
      <c r="B2842" s="2141" t="s">
        <v>3056</v>
      </c>
      <c r="C2842" s="2141" t="s">
        <v>3142</v>
      </c>
      <c r="D2842" s="2141">
        <v>22</v>
      </c>
      <c r="E2842" s="2142">
        <v>81.510000000000005</v>
      </c>
      <c r="F2842" s="2142">
        <v>16100</v>
      </c>
      <c r="G2842" s="2142">
        <v>1312311</v>
      </c>
      <c r="H2842" s="2143"/>
      <c r="I2842" s="2142">
        <v>650000</v>
      </c>
    </row>
    <row r="2843" spans="1:9" s="2139" customFormat="1" hidden="1">
      <c r="A2843" s="2140" t="s">
        <v>5352</v>
      </c>
      <c r="B2843" s="2141" t="s">
        <v>3056</v>
      </c>
      <c r="C2843" s="2141" t="s">
        <v>3142</v>
      </c>
      <c r="D2843" s="2141">
        <v>23</v>
      </c>
      <c r="E2843" s="2142">
        <v>48.62</v>
      </c>
      <c r="F2843" s="2142">
        <v>16100</v>
      </c>
      <c r="G2843" s="2142">
        <v>782782</v>
      </c>
      <c r="H2843" s="2143"/>
      <c r="I2843" s="2142">
        <v>978940</v>
      </c>
    </row>
    <row r="2844" spans="1:9" s="2139" customFormat="1" hidden="1">
      <c r="A2844" s="2140" t="s">
        <v>5353</v>
      </c>
      <c r="B2844" s="2141" t="s">
        <v>3056</v>
      </c>
      <c r="C2844" s="2141" t="s">
        <v>3142</v>
      </c>
      <c r="D2844" s="2141">
        <v>25</v>
      </c>
      <c r="E2844" s="2142">
        <v>127.48</v>
      </c>
      <c r="F2844" s="2142">
        <v>19300</v>
      </c>
      <c r="G2844" s="2142">
        <v>2460364</v>
      </c>
      <c r="H2844" s="2143"/>
      <c r="I2844" s="2142">
        <v>2423125</v>
      </c>
    </row>
    <row r="2845" spans="1:9" s="2139" customFormat="1" hidden="1">
      <c r="A2845" s="2140" t="s">
        <v>5354</v>
      </c>
      <c r="B2845" s="2141" t="s">
        <v>3056</v>
      </c>
      <c r="C2845" s="2141" t="s">
        <v>3142</v>
      </c>
      <c r="D2845" s="2141">
        <v>26</v>
      </c>
      <c r="E2845" s="2142">
        <v>79.78</v>
      </c>
      <c r="F2845" s="2142">
        <v>19500</v>
      </c>
      <c r="G2845" s="2142">
        <v>1555710</v>
      </c>
      <c r="H2845" s="2143"/>
      <c r="I2845" s="2142">
        <v>1593975</v>
      </c>
    </row>
    <row r="2846" spans="1:9" s="2139" customFormat="1" hidden="1">
      <c r="A2846" s="2140" t="s">
        <v>5355</v>
      </c>
      <c r="B2846" s="2141" t="s">
        <v>3056</v>
      </c>
      <c r="C2846" s="2141" t="s">
        <v>3142</v>
      </c>
      <c r="D2846" s="2141">
        <v>27</v>
      </c>
      <c r="E2846" s="2142">
        <v>78.709999999999994</v>
      </c>
      <c r="F2846" s="2142">
        <v>19500</v>
      </c>
      <c r="G2846" s="2142">
        <v>1534844.9999999998</v>
      </c>
      <c r="H2846" s="2143"/>
      <c r="I2846" s="2142">
        <v>1581340</v>
      </c>
    </row>
    <row r="2847" spans="1:9" s="2139" customFormat="1" hidden="1">
      <c r="A2847" s="2140" t="s">
        <v>5356</v>
      </c>
      <c r="B2847" s="2141" t="s">
        <v>3056</v>
      </c>
      <c r="C2847" s="2141" t="s">
        <v>3142</v>
      </c>
      <c r="D2847" s="2141">
        <v>28</v>
      </c>
      <c r="E2847" s="2142">
        <v>82.19</v>
      </c>
      <c r="F2847" s="2142">
        <v>19500</v>
      </c>
      <c r="G2847" s="2142">
        <v>1602705</v>
      </c>
      <c r="H2847" s="2143"/>
      <c r="I2847" s="2142">
        <v>1621340</v>
      </c>
    </row>
    <row r="2848" spans="1:9" s="2139" customFormat="1" hidden="1">
      <c r="A2848" s="2140" t="s">
        <v>5357</v>
      </c>
      <c r="B2848" s="2141" t="s">
        <v>3056</v>
      </c>
      <c r="C2848" s="2141" t="s">
        <v>3142</v>
      </c>
      <c r="D2848" s="2141">
        <v>29</v>
      </c>
      <c r="E2848" s="2142">
        <v>71.84</v>
      </c>
      <c r="F2848" s="2142">
        <v>19500</v>
      </c>
      <c r="G2848" s="2142">
        <v>1400880</v>
      </c>
      <c r="H2848" s="2143"/>
      <c r="I2848" s="2142">
        <v>1521340</v>
      </c>
    </row>
    <row r="2849" spans="1:9" s="2139" customFormat="1" hidden="1">
      <c r="A2849" s="2140" t="s">
        <v>5358</v>
      </c>
      <c r="B2849" s="2141" t="s">
        <v>3056</v>
      </c>
      <c r="C2849" s="2141" t="s">
        <v>3142</v>
      </c>
      <c r="D2849" s="2141">
        <v>30</v>
      </c>
      <c r="E2849" s="2142">
        <v>75.680000000000007</v>
      </c>
      <c r="F2849" s="2142">
        <v>19790</v>
      </c>
      <c r="G2849" s="2142">
        <v>1497707.2000000002</v>
      </c>
      <c r="H2849" s="2143"/>
      <c r="I2849" s="2142">
        <v>1541600</v>
      </c>
    </row>
    <row r="2850" spans="1:9" s="2139" customFormat="1" hidden="1">
      <c r="A2850" s="2140" t="s">
        <v>5359</v>
      </c>
      <c r="B2850" s="2141" t="s">
        <v>3056</v>
      </c>
      <c r="C2850" s="2141" t="s">
        <v>3142</v>
      </c>
      <c r="D2850" s="2141">
        <v>31</v>
      </c>
      <c r="E2850" s="2142">
        <v>69.28</v>
      </c>
      <c r="F2850" s="2142">
        <v>18290</v>
      </c>
      <c r="G2850" s="2142">
        <v>1267131.2</v>
      </c>
      <c r="H2850" s="2143"/>
      <c r="I2850" s="2142">
        <v>1377240</v>
      </c>
    </row>
    <row r="2851" spans="1:9" s="2139" customFormat="1" hidden="1">
      <c r="A2851" s="2140" t="s">
        <v>5360</v>
      </c>
      <c r="B2851" s="2141" t="s">
        <v>3056</v>
      </c>
      <c r="C2851" s="2141" t="s">
        <v>3142</v>
      </c>
      <c r="D2851" s="2141">
        <v>36</v>
      </c>
      <c r="E2851" s="2142">
        <v>33.119999999999997</v>
      </c>
      <c r="F2851" s="2142">
        <v>15800</v>
      </c>
      <c r="G2851" s="2142">
        <v>523295.99999999994</v>
      </c>
      <c r="H2851" s="2143"/>
      <c r="I2851" s="2142">
        <v>523296</v>
      </c>
    </row>
    <row r="2852" spans="1:9" s="2139" customFormat="1" hidden="1">
      <c r="A2852" s="2140" t="s">
        <v>5361</v>
      </c>
      <c r="B2852" s="2141" t="s">
        <v>3056</v>
      </c>
      <c r="C2852" s="2141" t="s">
        <v>3142</v>
      </c>
      <c r="D2852" s="2141">
        <v>38</v>
      </c>
      <c r="E2852" s="2142">
        <v>33.06</v>
      </c>
      <c r="F2852" s="2142">
        <v>15100</v>
      </c>
      <c r="G2852" s="2142">
        <v>499206.00000000006</v>
      </c>
      <c r="H2852" s="2143"/>
      <c r="I2852" s="2142">
        <v>499206</v>
      </c>
    </row>
    <row r="2853" spans="1:9" s="2139" customFormat="1" hidden="1">
      <c r="A2853" s="2140" t="s">
        <v>5362</v>
      </c>
      <c r="B2853" s="2141" t="s">
        <v>3056</v>
      </c>
      <c r="C2853" s="2141" t="s">
        <v>3142</v>
      </c>
      <c r="D2853" s="2141">
        <v>39</v>
      </c>
      <c r="E2853" s="2142">
        <v>37.14</v>
      </c>
      <c r="F2853" s="2142">
        <v>16100</v>
      </c>
      <c r="G2853" s="2142">
        <v>597954</v>
      </c>
      <c r="H2853" s="2143"/>
      <c r="I2853" s="2142">
        <v>597954</v>
      </c>
    </row>
    <row r="2854" spans="1:9" s="2139" customFormat="1" hidden="1">
      <c r="A2854" s="2140" t="s">
        <v>5363</v>
      </c>
      <c r="B2854" s="2141" t="s">
        <v>3056</v>
      </c>
      <c r="C2854" s="2141" t="s">
        <v>3142</v>
      </c>
      <c r="D2854" s="2141">
        <v>40</v>
      </c>
      <c r="E2854" s="2142">
        <v>66.36</v>
      </c>
      <c r="F2854" s="2142">
        <v>15800</v>
      </c>
      <c r="G2854" s="2142">
        <v>1048488</v>
      </c>
      <c r="H2854" s="2143"/>
      <c r="I2854" s="2142">
        <v>1048488</v>
      </c>
    </row>
    <row r="2855" spans="1:9" s="2139" customFormat="1" hidden="1">
      <c r="A2855" s="2140" t="s">
        <v>5364</v>
      </c>
      <c r="B2855" s="2141" t="s">
        <v>3056</v>
      </c>
      <c r="C2855" s="2141" t="s">
        <v>3142</v>
      </c>
      <c r="D2855" s="2141">
        <v>41</v>
      </c>
      <c r="E2855" s="2142">
        <v>32.03</v>
      </c>
      <c r="F2855" s="2142">
        <v>16100</v>
      </c>
      <c r="G2855" s="2142">
        <v>515683</v>
      </c>
      <c r="H2855" s="2143"/>
      <c r="I2855" s="2142">
        <v>515683</v>
      </c>
    </row>
    <row r="2856" spans="1:9" s="2139" customFormat="1" hidden="1">
      <c r="A2856" s="2140" t="s">
        <v>5365</v>
      </c>
      <c r="B2856" s="2141" t="s">
        <v>3056</v>
      </c>
      <c r="C2856" s="2141" t="s">
        <v>3142</v>
      </c>
      <c r="D2856" s="2141">
        <v>47</v>
      </c>
      <c r="E2856" s="2142">
        <v>32.049999999999997</v>
      </c>
      <c r="F2856" s="2142">
        <v>14590</v>
      </c>
      <c r="G2856" s="2142">
        <v>467610</v>
      </c>
      <c r="H2856" s="2143"/>
      <c r="I2856" s="2142">
        <v>468193</v>
      </c>
    </row>
    <row r="2857" spans="1:9" s="2139" customFormat="1" hidden="1">
      <c r="A2857" s="2140" t="s">
        <v>5366</v>
      </c>
      <c r="B2857" s="2141" t="s">
        <v>3056</v>
      </c>
      <c r="C2857" s="2141" t="s">
        <v>3142</v>
      </c>
      <c r="D2857" s="2141">
        <v>49</v>
      </c>
      <c r="E2857" s="2142">
        <v>20.68</v>
      </c>
      <c r="F2857" s="2142">
        <v>14590</v>
      </c>
      <c r="G2857" s="2142">
        <v>301721.2</v>
      </c>
      <c r="H2857" s="2143"/>
      <c r="I2857" s="2142">
        <v>301721</v>
      </c>
    </row>
    <row r="2858" spans="1:9" s="2139" customFormat="1" hidden="1">
      <c r="A2858" s="2140" t="s">
        <v>5367</v>
      </c>
      <c r="B2858" s="2141" t="s">
        <v>3056</v>
      </c>
      <c r="C2858" s="2141" t="s">
        <v>3142</v>
      </c>
      <c r="D2858" s="2141">
        <v>50</v>
      </c>
      <c r="E2858" s="2142">
        <v>24.4</v>
      </c>
      <c r="F2858" s="2142">
        <v>14590</v>
      </c>
      <c r="G2858" s="2142">
        <v>355996</v>
      </c>
      <c r="H2858" s="2143"/>
      <c r="I2858" s="2142">
        <v>355996</v>
      </c>
    </row>
    <row r="2859" spans="1:9" s="2139" customFormat="1" hidden="1">
      <c r="A2859" s="2140" t="s">
        <v>5368</v>
      </c>
      <c r="B2859" s="2141" t="s">
        <v>3056</v>
      </c>
      <c r="C2859" s="2141" t="s">
        <v>3142</v>
      </c>
      <c r="D2859" s="2141">
        <v>51</v>
      </c>
      <c r="E2859" s="2142">
        <v>29.73</v>
      </c>
      <c r="F2859" s="2142">
        <v>15100</v>
      </c>
      <c r="G2859" s="2142">
        <v>448923</v>
      </c>
      <c r="H2859" s="2143"/>
      <c r="I2859" s="2142">
        <v>448923</v>
      </c>
    </row>
    <row r="2860" spans="1:9" s="2139" customFormat="1" hidden="1">
      <c r="A2860" s="2140" t="s">
        <v>5369</v>
      </c>
      <c r="B2860" s="2141" t="s">
        <v>3056</v>
      </c>
      <c r="C2860" s="2141" t="s">
        <v>3142</v>
      </c>
      <c r="D2860" s="2141">
        <v>52</v>
      </c>
      <c r="E2860" s="2142">
        <v>30.63</v>
      </c>
      <c r="F2860" s="2142">
        <v>15100</v>
      </c>
      <c r="G2860" s="2142">
        <v>462513</v>
      </c>
      <c r="H2860" s="2143"/>
      <c r="I2860" s="2142">
        <v>462513</v>
      </c>
    </row>
    <row r="2861" spans="1:9" s="2139" customFormat="1" hidden="1">
      <c r="A2861" s="2140" t="s">
        <v>5370</v>
      </c>
      <c r="B2861" s="2141" t="s">
        <v>3056</v>
      </c>
      <c r="C2861" s="2141" t="s">
        <v>3142</v>
      </c>
      <c r="D2861" s="2141">
        <v>53</v>
      </c>
      <c r="E2861" s="2142">
        <v>29.84</v>
      </c>
      <c r="F2861" s="2142">
        <v>15100</v>
      </c>
      <c r="G2861" s="2142">
        <v>450584</v>
      </c>
      <c r="H2861" s="2143"/>
      <c r="I2861" s="2142">
        <v>450584</v>
      </c>
    </row>
    <row r="2862" spans="1:9" s="2139" customFormat="1" hidden="1">
      <c r="A2862" s="2140" t="s">
        <v>5371</v>
      </c>
      <c r="B2862" s="2141" t="s">
        <v>3056</v>
      </c>
      <c r="C2862" s="2141" t="s">
        <v>3142</v>
      </c>
      <c r="D2862" s="2141">
        <v>55</v>
      </c>
      <c r="E2862" s="2142">
        <v>29</v>
      </c>
      <c r="F2862" s="2142">
        <v>14590</v>
      </c>
      <c r="G2862" s="2142">
        <v>423110</v>
      </c>
      <c r="H2862" s="2143"/>
      <c r="I2862" s="2142">
        <v>423110</v>
      </c>
    </row>
    <row r="2863" spans="1:9" s="2139" customFormat="1" hidden="1">
      <c r="A2863" s="2140" t="s">
        <v>5372</v>
      </c>
      <c r="B2863" s="2141" t="s">
        <v>3056</v>
      </c>
      <c r="C2863" s="2141" t="s">
        <v>3142</v>
      </c>
      <c r="D2863" s="2141">
        <v>56</v>
      </c>
      <c r="E2863" s="2142">
        <v>44.75</v>
      </c>
      <c r="F2863" s="2142">
        <v>14590.011200000001</v>
      </c>
      <c r="G2863" s="2142">
        <v>652903.00120000006</v>
      </c>
      <c r="H2863" s="2143"/>
      <c r="I2863" s="2142">
        <v>652903</v>
      </c>
    </row>
    <row r="2864" spans="1:9" s="2139" customFormat="1" hidden="1">
      <c r="A2864" s="2140" t="s">
        <v>5373</v>
      </c>
      <c r="B2864" s="2141" t="s">
        <v>3056</v>
      </c>
      <c r="C2864" s="2141" t="s">
        <v>3142</v>
      </c>
      <c r="D2864" s="2141">
        <v>57</v>
      </c>
      <c r="E2864" s="2142">
        <v>36.200000000000003</v>
      </c>
      <c r="F2864" s="2142">
        <v>14590</v>
      </c>
      <c r="G2864" s="2142">
        <v>528158</v>
      </c>
      <c r="H2864" s="2143"/>
      <c r="I2864" s="2142">
        <v>528158</v>
      </c>
    </row>
    <row r="2865" spans="1:9" s="2139" customFormat="1" hidden="1">
      <c r="A2865" s="2140" t="s">
        <v>5374</v>
      </c>
      <c r="B2865" s="2141" t="s">
        <v>3056</v>
      </c>
      <c r="C2865" s="2141" t="s">
        <v>3142</v>
      </c>
      <c r="D2865" s="2141">
        <v>58</v>
      </c>
      <c r="E2865" s="2142">
        <v>42.85</v>
      </c>
      <c r="F2865" s="2142">
        <v>14590</v>
      </c>
      <c r="G2865" s="2142">
        <v>625182</v>
      </c>
      <c r="H2865" s="2143"/>
      <c r="I2865" s="2142">
        <v>634957</v>
      </c>
    </row>
    <row r="2866" spans="1:9" s="2139" customFormat="1" hidden="1">
      <c r="A2866" s="2140" t="s">
        <v>5375</v>
      </c>
      <c r="B2866" s="2141" t="s">
        <v>3056</v>
      </c>
      <c r="C2866" s="2141" t="s">
        <v>3142</v>
      </c>
      <c r="D2866" s="2141">
        <v>60</v>
      </c>
      <c r="E2866" s="2142">
        <v>73.97</v>
      </c>
      <c r="F2866" s="2142">
        <v>18290</v>
      </c>
      <c r="G2866" s="2142">
        <v>1352911.3</v>
      </c>
      <c r="H2866" s="2143"/>
      <c r="I2866" s="2142">
        <v>1352911</v>
      </c>
    </row>
    <row r="2867" spans="1:9" s="2139" customFormat="1" hidden="1">
      <c r="A2867" s="2140" t="s">
        <v>5376</v>
      </c>
      <c r="B2867" s="2141" t="s">
        <v>3056</v>
      </c>
      <c r="C2867" s="2141" t="s">
        <v>3142</v>
      </c>
      <c r="D2867" s="2141">
        <v>61</v>
      </c>
      <c r="E2867" s="2142">
        <v>19.75</v>
      </c>
      <c r="F2867" s="2142">
        <v>17990</v>
      </c>
      <c r="G2867" s="2142">
        <v>355303</v>
      </c>
      <c r="H2867" s="2143"/>
      <c r="I2867" s="2142">
        <v>355662</v>
      </c>
    </row>
    <row r="2868" spans="1:9" s="2139" customFormat="1" hidden="1">
      <c r="A2868" s="2140" t="s">
        <v>5377</v>
      </c>
      <c r="B2868" s="2141" t="s">
        <v>3056</v>
      </c>
      <c r="C2868" s="2141" t="s">
        <v>3142</v>
      </c>
      <c r="D2868" s="2141">
        <v>62</v>
      </c>
      <c r="E2868" s="2142">
        <v>19.89</v>
      </c>
      <c r="F2868" s="2142">
        <v>17990</v>
      </c>
      <c r="G2868" s="2142">
        <v>357821.10000000003</v>
      </c>
      <c r="H2868" s="2143"/>
      <c r="I2868" s="2142">
        <v>357821</v>
      </c>
    </row>
    <row r="2869" spans="1:9" s="2139" customFormat="1" hidden="1">
      <c r="A2869" s="2140" t="s">
        <v>5378</v>
      </c>
      <c r="B2869" s="2141" t="s">
        <v>3056</v>
      </c>
      <c r="C2869" s="2141" t="s">
        <v>3142</v>
      </c>
      <c r="D2869" s="2141">
        <v>63</v>
      </c>
      <c r="E2869" s="2142">
        <v>38.159999999999997</v>
      </c>
      <c r="F2869" s="2142">
        <v>17990</v>
      </c>
      <c r="G2869" s="2142">
        <v>686498.39999999991</v>
      </c>
      <c r="H2869" s="2143"/>
      <c r="I2869" s="2142">
        <v>686498</v>
      </c>
    </row>
    <row r="2870" spans="1:9" s="2139" customFormat="1" hidden="1">
      <c r="A2870" s="2140" t="s">
        <v>5380</v>
      </c>
      <c r="B2870" s="2141" t="s">
        <v>3056</v>
      </c>
      <c r="C2870" s="2141" t="s">
        <v>3142</v>
      </c>
      <c r="D2870" s="2141">
        <v>66</v>
      </c>
      <c r="E2870" s="2142">
        <v>50.76</v>
      </c>
      <c r="F2870" s="2142">
        <v>17990</v>
      </c>
      <c r="G2870" s="2142">
        <v>913172.39999999991</v>
      </c>
      <c r="H2870" s="2143"/>
      <c r="I2870" s="2142">
        <v>913172</v>
      </c>
    </row>
    <row r="2871" spans="1:9" s="2139" customFormat="1" hidden="1">
      <c r="A2871" s="2140" t="s">
        <v>5381</v>
      </c>
      <c r="B2871" s="2141" t="s">
        <v>3056</v>
      </c>
      <c r="C2871" s="2141" t="s">
        <v>3142</v>
      </c>
      <c r="D2871" s="2141">
        <v>67</v>
      </c>
      <c r="E2871" s="2142">
        <v>29.95</v>
      </c>
      <c r="F2871" s="2142">
        <v>18290.0167</v>
      </c>
      <c r="G2871" s="2142">
        <v>547786.00016499998</v>
      </c>
      <c r="H2871" s="2143"/>
      <c r="I2871" s="2142">
        <v>547786</v>
      </c>
    </row>
    <row r="2872" spans="1:9" s="2139" customFormat="1" hidden="1">
      <c r="A2872" s="2140" t="s">
        <v>5382</v>
      </c>
      <c r="B2872" s="2141" t="s">
        <v>3056</v>
      </c>
      <c r="C2872" s="2141" t="s">
        <v>3142</v>
      </c>
      <c r="D2872" s="2141">
        <v>68</v>
      </c>
      <c r="E2872" s="2142">
        <v>22.08</v>
      </c>
      <c r="F2872" s="2142">
        <v>18290</v>
      </c>
      <c r="G2872" s="2142">
        <v>403843.19999999995</v>
      </c>
      <c r="H2872" s="2143"/>
      <c r="I2872" s="2142">
        <v>403843</v>
      </c>
    </row>
    <row r="2873" spans="1:9" s="2139" customFormat="1" hidden="1">
      <c r="A2873" s="2140" t="s">
        <v>5383</v>
      </c>
      <c r="B2873" s="2141" t="s">
        <v>3056</v>
      </c>
      <c r="C2873" s="2141" t="s">
        <v>3142</v>
      </c>
      <c r="D2873" s="2141">
        <v>69</v>
      </c>
      <c r="E2873" s="2142">
        <v>27.42</v>
      </c>
      <c r="F2873" s="2142">
        <v>18290</v>
      </c>
      <c r="G2873" s="2142">
        <v>501511.80000000005</v>
      </c>
      <c r="H2873" s="2143"/>
      <c r="I2873" s="2142">
        <v>501512</v>
      </c>
    </row>
    <row r="2874" spans="1:9" s="2139" customFormat="1" hidden="1">
      <c r="A2874" s="2140" t="s">
        <v>5384</v>
      </c>
      <c r="B2874" s="2141" t="s">
        <v>3056</v>
      </c>
      <c r="C2874" s="2141" t="s">
        <v>3142</v>
      </c>
      <c r="D2874" s="2141">
        <v>70</v>
      </c>
      <c r="E2874" s="2142">
        <v>34.46</v>
      </c>
      <c r="F2874" s="2142">
        <v>14590</v>
      </c>
      <c r="G2874" s="2142">
        <v>502771.4</v>
      </c>
      <c r="H2874" s="2143"/>
      <c r="I2874" s="2142">
        <v>502771</v>
      </c>
    </row>
    <row r="2875" spans="1:9" s="2139" customFormat="1" hidden="1">
      <c r="A2875" s="2140" t="s">
        <v>5385</v>
      </c>
      <c r="B2875" s="2141" t="s">
        <v>3056</v>
      </c>
      <c r="C2875" s="2141" t="s">
        <v>3142</v>
      </c>
      <c r="D2875" s="2141">
        <v>71</v>
      </c>
      <c r="E2875" s="2142">
        <v>32.72</v>
      </c>
      <c r="F2875" s="2142">
        <v>14590</v>
      </c>
      <c r="G2875" s="2142">
        <v>477384.8</v>
      </c>
      <c r="H2875" s="2143"/>
      <c r="I2875" s="2142">
        <v>477385</v>
      </c>
    </row>
    <row r="2876" spans="1:9" s="2139" customFormat="1" hidden="1">
      <c r="A2876" s="2140" t="s">
        <v>5386</v>
      </c>
      <c r="B2876" s="2141" t="s">
        <v>3056</v>
      </c>
      <c r="C2876" s="2141" t="s">
        <v>3142</v>
      </c>
      <c r="D2876" s="2141">
        <v>72</v>
      </c>
      <c r="E2876" s="2142">
        <v>32.72</v>
      </c>
      <c r="F2876" s="2142">
        <v>14590</v>
      </c>
      <c r="G2876" s="2142">
        <v>477384.8</v>
      </c>
      <c r="H2876" s="2143"/>
      <c r="I2876" s="2142">
        <v>477385</v>
      </c>
    </row>
    <row r="2877" spans="1:9" s="2139" customFormat="1" hidden="1">
      <c r="A2877" s="2140" t="s">
        <v>5387</v>
      </c>
      <c r="B2877" s="2141" t="s">
        <v>3056</v>
      </c>
      <c r="C2877" s="2141" t="s">
        <v>3142</v>
      </c>
      <c r="D2877" s="2141">
        <v>73</v>
      </c>
      <c r="E2877" s="2142">
        <v>32.72</v>
      </c>
      <c r="F2877" s="2142">
        <v>14590</v>
      </c>
      <c r="G2877" s="2142">
        <v>477384.8</v>
      </c>
      <c r="H2877" s="2143"/>
      <c r="I2877" s="2142">
        <v>477385</v>
      </c>
    </row>
    <row r="2878" spans="1:9" s="2139" customFormat="1" hidden="1">
      <c r="A2878" s="2140" t="s">
        <v>5388</v>
      </c>
      <c r="B2878" s="2141" t="s">
        <v>3056</v>
      </c>
      <c r="C2878" s="2141" t="s">
        <v>3142</v>
      </c>
      <c r="D2878" s="2141">
        <v>75</v>
      </c>
      <c r="E2878" s="2142">
        <v>36.4</v>
      </c>
      <c r="F2878" s="2142">
        <v>15100</v>
      </c>
      <c r="G2878" s="2142">
        <v>549640</v>
      </c>
      <c r="H2878" s="2143"/>
      <c r="I2878" s="2142">
        <v>549640</v>
      </c>
    </row>
    <row r="2879" spans="1:9" s="2139" customFormat="1" hidden="1">
      <c r="A2879" s="2140" t="s">
        <v>5389</v>
      </c>
      <c r="B2879" s="2141" t="s">
        <v>3056</v>
      </c>
      <c r="C2879" s="2141" t="s">
        <v>3142</v>
      </c>
      <c r="D2879" s="2141">
        <v>76</v>
      </c>
      <c r="E2879" s="2142">
        <v>66.38</v>
      </c>
      <c r="F2879" s="2142">
        <v>19590</v>
      </c>
      <c r="G2879" s="2142">
        <v>1300384.2</v>
      </c>
      <c r="H2879" s="2143"/>
      <c r="I2879" s="2142">
        <v>1387075</v>
      </c>
    </row>
    <row r="2880" spans="1:9" s="2139" customFormat="1" hidden="1">
      <c r="A2880" s="2140" t="s">
        <v>5390</v>
      </c>
      <c r="B2880" s="2141" t="s">
        <v>3056</v>
      </c>
      <c r="C2880" s="2141" t="s">
        <v>3142</v>
      </c>
      <c r="D2880" s="2141">
        <v>77</v>
      </c>
      <c r="E2880" s="2142">
        <v>65.06</v>
      </c>
      <c r="F2880" s="2142">
        <v>19300</v>
      </c>
      <c r="G2880" s="2142">
        <v>1255658</v>
      </c>
      <c r="H2880" s="2143"/>
      <c r="I2880" s="2142">
        <v>1290290</v>
      </c>
    </row>
    <row r="2881" spans="1:9" s="2139" customFormat="1" hidden="1">
      <c r="A2881" s="2140" t="s">
        <v>5391</v>
      </c>
      <c r="B2881" s="2141" t="s">
        <v>3056</v>
      </c>
      <c r="C2881" s="2141" t="s">
        <v>3142</v>
      </c>
      <c r="D2881" s="2141">
        <v>78</v>
      </c>
      <c r="E2881" s="2142">
        <v>41.77</v>
      </c>
      <c r="F2881" s="2142">
        <v>17800</v>
      </c>
      <c r="G2881" s="2142">
        <v>743506</v>
      </c>
      <c r="H2881" s="2143"/>
      <c r="I2881" s="2142">
        <v>1040290</v>
      </c>
    </row>
    <row r="2882" spans="1:9" s="2139" customFormat="1" hidden="1">
      <c r="A2882" s="2140" t="s">
        <v>5392</v>
      </c>
      <c r="B2882" s="2141" t="s">
        <v>3056</v>
      </c>
      <c r="C2882" s="2141" t="s">
        <v>3142</v>
      </c>
      <c r="D2882" s="2141">
        <v>79</v>
      </c>
      <c r="E2882" s="2142">
        <v>78.19</v>
      </c>
      <c r="F2882" s="2142">
        <v>19300</v>
      </c>
      <c r="G2882" s="2142">
        <v>1509067</v>
      </c>
      <c r="H2882" s="2143"/>
      <c r="I2882" s="2142">
        <v>1420285</v>
      </c>
    </row>
    <row r="2883" spans="1:9" s="2139" customFormat="1" hidden="1">
      <c r="A2883" s="2140" t="s">
        <v>5393</v>
      </c>
      <c r="B2883" s="2141" t="s">
        <v>3056</v>
      </c>
      <c r="C2883" s="2141" t="s">
        <v>3142</v>
      </c>
      <c r="D2883" s="2141">
        <v>80</v>
      </c>
      <c r="E2883" s="2142">
        <v>62.65</v>
      </c>
      <c r="F2883" s="2142">
        <v>19300</v>
      </c>
      <c r="G2883" s="2142">
        <v>1209145</v>
      </c>
      <c r="H2883" s="2143"/>
      <c r="I2883" s="2142">
        <v>1270285</v>
      </c>
    </row>
    <row r="2884" spans="1:9" s="2139" customFormat="1" hidden="1">
      <c r="A2884" s="2140" t="s">
        <v>5394</v>
      </c>
      <c r="B2884" s="2141" t="s">
        <v>3056</v>
      </c>
      <c r="C2884" s="2141" t="s">
        <v>3142</v>
      </c>
      <c r="D2884" s="2141">
        <v>81</v>
      </c>
      <c r="E2884" s="2142">
        <v>66.92</v>
      </c>
      <c r="F2884" s="2142">
        <v>19790</v>
      </c>
      <c r="G2884" s="2142">
        <v>1324346.8</v>
      </c>
      <c r="H2884" s="2143"/>
      <c r="I2884" s="2142">
        <v>1404590</v>
      </c>
    </row>
    <row r="2885" spans="1:9" s="2139" customFormat="1" hidden="1">
      <c r="A2885" s="2140" t="s">
        <v>5395</v>
      </c>
      <c r="B2885" s="2141" t="s">
        <v>3056</v>
      </c>
      <c r="C2885" s="2141" t="s">
        <v>3142</v>
      </c>
      <c r="D2885" s="2141">
        <v>82</v>
      </c>
      <c r="E2885" s="2142">
        <v>95.46</v>
      </c>
      <c r="F2885" s="2142">
        <v>19790</v>
      </c>
      <c r="G2885" s="2142">
        <v>1889153.4</v>
      </c>
      <c r="H2885" s="2143"/>
      <c r="I2885" s="2142">
        <v>1889153</v>
      </c>
    </row>
    <row r="2886" spans="1:9" s="2139" customFormat="1" hidden="1">
      <c r="A2886" s="2140" t="s">
        <v>5396</v>
      </c>
      <c r="B2886" s="2141" t="s">
        <v>3056</v>
      </c>
      <c r="C2886" s="2141" t="s">
        <v>3142</v>
      </c>
      <c r="D2886" s="2141">
        <v>83</v>
      </c>
      <c r="E2886" s="2142">
        <v>62.65</v>
      </c>
      <c r="F2886" s="2142">
        <v>19300</v>
      </c>
      <c r="G2886" s="2142">
        <v>1209145</v>
      </c>
      <c r="H2886" s="2143"/>
      <c r="I2886" s="2142">
        <v>1209145</v>
      </c>
    </row>
    <row r="2887" spans="1:9" s="2139" customFormat="1" hidden="1">
      <c r="A2887" s="2140" t="s">
        <v>5397</v>
      </c>
      <c r="B2887" s="2141" t="s">
        <v>3056</v>
      </c>
      <c r="C2887" s="2141" t="s">
        <v>3142</v>
      </c>
      <c r="D2887" s="2141">
        <v>85</v>
      </c>
      <c r="E2887" s="2142">
        <v>62.65</v>
      </c>
      <c r="F2887" s="2142">
        <v>19300</v>
      </c>
      <c r="G2887" s="2142">
        <v>1209145</v>
      </c>
      <c r="H2887" s="2143"/>
      <c r="I2887" s="2142">
        <v>1209145</v>
      </c>
    </row>
    <row r="2888" spans="1:9" s="2139" customFormat="1" hidden="1">
      <c r="A2888" s="2140" t="s">
        <v>5398</v>
      </c>
      <c r="B2888" s="2141" t="s">
        <v>3056</v>
      </c>
      <c r="C2888" s="2141" t="s">
        <v>3142</v>
      </c>
      <c r="D2888" s="2141">
        <v>86</v>
      </c>
      <c r="E2888" s="2142">
        <v>62.65</v>
      </c>
      <c r="F2888" s="2142">
        <v>19300</v>
      </c>
      <c r="G2888" s="2142">
        <v>1209145</v>
      </c>
      <c r="H2888" s="2143"/>
      <c r="I2888" s="2142">
        <v>1209145</v>
      </c>
    </row>
    <row r="2889" spans="1:9" s="2139" customFormat="1" hidden="1">
      <c r="A2889" s="2140" t="s">
        <v>5399</v>
      </c>
      <c r="B2889" s="2141" t="s">
        <v>3056</v>
      </c>
      <c r="C2889" s="2141" t="s">
        <v>3142</v>
      </c>
      <c r="D2889" s="2141">
        <v>87</v>
      </c>
      <c r="E2889" s="2142">
        <v>66.38</v>
      </c>
      <c r="F2889" s="2142">
        <v>19300</v>
      </c>
      <c r="G2889" s="2142">
        <v>1281134</v>
      </c>
      <c r="H2889" s="2143"/>
      <c r="I2889" s="2142">
        <v>1281134</v>
      </c>
    </row>
    <row r="2890" spans="1:9" s="2139" customFormat="1" hidden="1">
      <c r="A2890" s="2140" t="s">
        <v>5400</v>
      </c>
      <c r="B2890" s="2141" t="s">
        <v>3056</v>
      </c>
      <c r="C2890" s="2141" t="s">
        <v>3142</v>
      </c>
      <c r="D2890" s="2141">
        <v>88</v>
      </c>
      <c r="E2890" s="2142">
        <v>61.86</v>
      </c>
      <c r="F2890" s="2142">
        <v>19300</v>
      </c>
      <c r="G2890" s="2142">
        <v>1193898</v>
      </c>
      <c r="H2890" s="2143"/>
      <c r="I2890" s="2142">
        <v>1193898</v>
      </c>
    </row>
    <row r="2891" spans="1:9" s="2139" customFormat="1" hidden="1">
      <c r="A2891" s="2140" t="s">
        <v>5402</v>
      </c>
      <c r="B2891" s="2141" t="s">
        <v>3056</v>
      </c>
      <c r="C2891" s="2141" t="s">
        <v>3142</v>
      </c>
      <c r="D2891" s="2141">
        <v>90</v>
      </c>
      <c r="E2891" s="2142">
        <v>84.74</v>
      </c>
      <c r="F2891" s="2142">
        <v>19300</v>
      </c>
      <c r="G2891" s="2142">
        <v>1635482</v>
      </c>
      <c r="H2891" s="2143"/>
      <c r="I2891" s="2142">
        <v>1635482</v>
      </c>
    </row>
    <row r="2892" spans="1:9" s="2139" customFormat="1" hidden="1">
      <c r="A2892" s="2140" t="s">
        <v>5403</v>
      </c>
      <c r="B2892" s="2141" t="s">
        <v>3056</v>
      </c>
      <c r="C2892" s="2141" t="s">
        <v>3142</v>
      </c>
      <c r="D2892" s="2141">
        <v>91</v>
      </c>
      <c r="E2892" s="2142">
        <v>84.27</v>
      </c>
      <c r="F2892" s="2142">
        <v>19790</v>
      </c>
      <c r="G2892" s="2142">
        <v>1667703.2999999998</v>
      </c>
      <c r="H2892" s="2143"/>
      <c r="I2892" s="2142">
        <v>1667703</v>
      </c>
    </row>
    <row r="2893" spans="1:9" s="2139" customFormat="1" hidden="1">
      <c r="A2893" s="2140" t="s">
        <v>5404</v>
      </c>
      <c r="B2893" s="2141" t="s">
        <v>3056</v>
      </c>
      <c r="C2893" s="2141" t="s">
        <v>3142</v>
      </c>
      <c r="D2893" s="2141">
        <v>92</v>
      </c>
      <c r="E2893" s="2142">
        <v>46.76</v>
      </c>
      <c r="F2893" s="2142">
        <v>16300</v>
      </c>
      <c r="G2893" s="2142">
        <v>762188</v>
      </c>
      <c r="H2893" s="2143"/>
      <c r="I2893" s="2142">
        <v>762188</v>
      </c>
    </row>
    <row r="2894" spans="1:9" s="2139" customFormat="1" hidden="1">
      <c r="A2894" s="2140" t="s">
        <v>5405</v>
      </c>
      <c r="B2894" s="2141" t="s">
        <v>3056</v>
      </c>
      <c r="C2894" s="2141" t="s">
        <v>3142</v>
      </c>
      <c r="D2894" s="2141">
        <v>93</v>
      </c>
      <c r="E2894" s="2142">
        <v>55.41</v>
      </c>
      <c r="F2894" s="2142">
        <v>14590</v>
      </c>
      <c r="G2894" s="2142">
        <v>808431.89999999991</v>
      </c>
      <c r="H2894" s="2143"/>
      <c r="I2894" s="2142">
        <v>808432</v>
      </c>
    </row>
    <row r="2895" spans="1:9" s="2139" customFormat="1" hidden="1">
      <c r="A2895" s="2140" t="s">
        <v>5406</v>
      </c>
      <c r="B2895" s="2141" t="s">
        <v>3056</v>
      </c>
      <c r="C2895" s="2141" t="s">
        <v>3142</v>
      </c>
      <c r="D2895" s="2141">
        <v>95</v>
      </c>
      <c r="E2895" s="2142">
        <v>42.82</v>
      </c>
      <c r="F2895" s="2142">
        <v>14590</v>
      </c>
      <c r="G2895" s="2142">
        <v>624743.80000000005</v>
      </c>
      <c r="H2895" s="2143"/>
      <c r="I2895" s="2142">
        <v>624744</v>
      </c>
    </row>
    <row r="2896" spans="1:9" s="2139" customFormat="1" hidden="1">
      <c r="A2896" s="2140" t="s">
        <v>5407</v>
      </c>
      <c r="B2896" s="2141" t="s">
        <v>3056</v>
      </c>
      <c r="C2896" s="2141" t="s">
        <v>3142</v>
      </c>
      <c r="D2896" s="2141">
        <v>96</v>
      </c>
      <c r="E2896" s="2142">
        <v>32.770000000000003</v>
      </c>
      <c r="F2896" s="2142">
        <v>14590</v>
      </c>
      <c r="G2896" s="2142">
        <v>478114.30000000005</v>
      </c>
      <c r="H2896" s="2143"/>
      <c r="I2896" s="2142">
        <v>478114</v>
      </c>
    </row>
    <row r="2897" spans="1:9" s="2139" customFormat="1" hidden="1">
      <c r="A2897" s="2140" t="s">
        <v>5408</v>
      </c>
      <c r="B2897" s="2141" t="s">
        <v>3056</v>
      </c>
      <c r="C2897" s="2141" t="s">
        <v>3142</v>
      </c>
      <c r="D2897" s="2141">
        <v>97</v>
      </c>
      <c r="E2897" s="2142">
        <v>36.82</v>
      </c>
      <c r="F2897" s="2142">
        <v>14590</v>
      </c>
      <c r="G2897" s="2142">
        <v>537203.80000000005</v>
      </c>
      <c r="H2897" s="2143"/>
      <c r="I2897" s="2142">
        <v>537204</v>
      </c>
    </row>
    <row r="2898" spans="1:9" s="2139" customFormat="1" hidden="1">
      <c r="A2898" s="2140" t="s">
        <v>5409</v>
      </c>
      <c r="B2898" s="2141" t="s">
        <v>3056</v>
      </c>
      <c r="C2898" s="2141" t="s">
        <v>3142</v>
      </c>
      <c r="D2898" s="2141">
        <v>100</v>
      </c>
      <c r="E2898" s="2142">
        <v>34.46</v>
      </c>
      <c r="F2898" s="2142">
        <v>14590</v>
      </c>
      <c r="G2898" s="2142">
        <v>502771.4</v>
      </c>
      <c r="H2898" s="2143"/>
      <c r="I2898" s="2142">
        <v>502771</v>
      </c>
    </row>
    <row r="2899" spans="1:9" s="2139" customFormat="1" hidden="1">
      <c r="A2899" s="2140" t="s">
        <v>5410</v>
      </c>
      <c r="B2899" s="2141" t="s">
        <v>3056</v>
      </c>
      <c r="C2899" s="2141" t="s">
        <v>3142</v>
      </c>
      <c r="D2899" s="2141">
        <v>102</v>
      </c>
      <c r="E2899" s="2142">
        <v>124.98</v>
      </c>
      <c r="F2899" s="2142">
        <v>18290</v>
      </c>
      <c r="G2899" s="2142">
        <v>2285884.2000000002</v>
      </c>
      <c r="H2899" s="2143"/>
      <c r="I2899" s="2142">
        <v>2285884</v>
      </c>
    </row>
    <row r="2900" spans="1:9" s="2139" customFormat="1" hidden="1">
      <c r="A2900" s="2140" t="s">
        <v>5411</v>
      </c>
      <c r="B2900" s="2141" t="s">
        <v>3056</v>
      </c>
      <c r="C2900" s="2141" t="s">
        <v>3142</v>
      </c>
      <c r="D2900" s="2141">
        <v>103</v>
      </c>
      <c r="E2900" s="2142">
        <v>60.9</v>
      </c>
      <c r="F2900" s="2142">
        <v>17990</v>
      </c>
      <c r="G2900" s="2142">
        <v>1095591</v>
      </c>
      <c r="H2900" s="2143"/>
      <c r="I2900" s="2142">
        <v>1095591</v>
      </c>
    </row>
    <row r="2901" spans="1:9" s="2139" customFormat="1" hidden="1">
      <c r="A2901" s="2140" t="s">
        <v>5414</v>
      </c>
      <c r="B2901" s="2141" t="s">
        <v>3056</v>
      </c>
      <c r="C2901" s="2141" t="s">
        <v>3142</v>
      </c>
      <c r="D2901" s="2141">
        <v>107</v>
      </c>
      <c r="E2901" s="2142">
        <v>42.76</v>
      </c>
      <c r="F2901" s="2142">
        <v>17990</v>
      </c>
      <c r="G2901" s="2142">
        <v>769252.39999999991</v>
      </c>
      <c r="H2901" s="2143"/>
      <c r="I2901" s="2142">
        <v>769252</v>
      </c>
    </row>
    <row r="2902" spans="1:9" s="2139" customFormat="1" hidden="1">
      <c r="A2902" s="2140" t="s">
        <v>6382</v>
      </c>
      <c r="B2902" s="2141">
        <v>9</v>
      </c>
      <c r="C2902" s="2141" t="s">
        <v>3151</v>
      </c>
      <c r="D2902" s="2141">
        <v>29</v>
      </c>
      <c r="E2902" s="2142">
        <v>63.29</v>
      </c>
      <c r="F2902" s="2142">
        <v>13288.04</v>
      </c>
      <c r="G2902" s="2142">
        <v>841000.05160000001</v>
      </c>
      <c r="H2902" s="2143">
        <v>42560</v>
      </c>
      <c r="I2902" s="2142">
        <v>841000</v>
      </c>
    </row>
    <row r="2903" spans="1:9" s="2139" customFormat="1" hidden="1">
      <c r="A2903" s="2140" t="s">
        <v>6689</v>
      </c>
      <c r="B2903" s="2141">
        <v>11</v>
      </c>
      <c r="C2903" s="2141" t="s">
        <v>3151</v>
      </c>
      <c r="D2903" s="2141">
        <v>105</v>
      </c>
      <c r="E2903" s="2142">
        <v>72.77</v>
      </c>
      <c r="F2903" s="2142">
        <v>12978</v>
      </c>
      <c r="G2903" s="2142">
        <v>944409.05999999994</v>
      </c>
      <c r="H2903" s="2143">
        <v>42560</v>
      </c>
      <c r="I2903" s="2142">
        <v>475188</v>
      </c>
    </row>
    <row r="2904" spans="1:9" s="2139" customFormat="1" hidden="1">
      <c r="A2904" s="2140" t="s">
        <v>6690</v>
      </c>
      <c r="B2904" s="2141">
        <v>11</v>
      </c>
      <c r="C2904" s="2141" t="s">
        <v>3151</v>
      </c>
      <c r="D2904" s="2141">
        <v>106</v>
      </c>
      <c r="E2904" s="2142">
        <v>102.86</v>
      </c>
      <c r="F2904" s="2142">
        <v>15553</v>
      </c>
      <c r="G2904" s="2142">
        <v>1599781.58</v>
      </c>
      <c r="H2904" s="2143">
        <v>42560</v>
      </c>
      <c r="I2904" s="2142">
        <v>801026</v>
      </c>
    </row>
    <row r="2905" spans="1:9" s="2139" customFormat="1" hidden="1">
      <c r="A2905" s="2140" t="s">
        <v>6979</v>
      </c>
      <c r="B2905" s="2141">
        <v>12</v>
      </c>
      <c r="C2905" s="2141" t="s">
        <v>3151</v>
      </c>
      <c r="D2905" s="2141">
        <v>158</v>
      </c>
      <c r="E2905" s="2142">
        <v>62.78</v>
      </c>
      <c r="F2905" s="2142">
        <v>12600</v>
      </c>
      <c r="G2905" s="2142">
        <v>791028</v>
      </c>
      <c r="H2905" s="2143">
        <v>42557</v>
      </c>
      <c r="I2905" s="2142">
        <v>789894</v>
      </c>
    </row>
    <row r="2906" spans="1:9" s="2139" customFormat="1" hidden="1">
      <c r="A2906" s="2140" t="s">
        <v>6079</v>
      </c>
      <c r="B2906" s="2141" t="s">
        <v>3057</v>
      </c>
      <c r="C2906" s="2141" t="s">
        <v>3151</v>
      </c>
      <c r="D2906" s="2141">
        <v>228</v>
      </c>
      <c r="E2906" s="2142">
        <v>74.88</v>
      </c>
      <c r="F2906" s="2142">
        <v>16800</v>
      </c>
      <c r="G2906" s="2142">
        <v>1257984</v>
      </c>
      <c r="H2906" s="2143">
        <v>42556</v>
      </c>
      <c r="I2906" s="2142">
        <v>647984</v>
      </c>
    </row>
    <row r="2907" spans="1:9" s="2139" customFormat="1" hidden="1">
      <c r="A2907" s="2140" t="s">
        <v>7005</v>
      </c>
      <c r="B2907" s="2141">
        <v>12</v>
      </c>
      <c r="C2907" s="2141" t="s">
        <v>3151</v>
      </c>
      <c r="D2907" s="2141">
        <v>188</v>
      </c>
      <c r="E2907" s="2142">
        <v>64.66</v>
      </c>
      <c r="F2907" s="2142">
        <v>17672</v>
      </c>
      <c r="G2907" s="2142">
        <v>1142671.52</v>
      </c>
      <c r="H2907" s="2143">
        <v>42556</v>
      </c>
      <c r="I2907" s="2142">
        <v>1141081</v>
      </c>
    </row>
    <row r="2908" spans="1:9" s="2139" customFormat="1" hidden="1">
      <c r="A2908" s="2140" t="s">
        <v>7006</v>
      </c>
      <c r="B2908" s="2141">
        <v>12</v>
      </c>
      <c r="C2908" s="2141" t="s">
        <v>3151</v>
      </c>
      <c r="D2908" s="2141">
        <v>189</v>
      </c>
      <c r="E2908" s="2142">
        <v>22.87</v>
      </c>
      <c r="F2908" s="2142">
        <v>15120</v>
      </c>
      <c r="G2908" s="2142">
        <v>345794.4</v>
      </c>
      <c r="H2908" s="2143">
        <v>42556</v>
      </c>
      <c r="I2908" s="2142">
        <v>345341</v>
      </c>
    </row>
    <row r="2909" spans="1:9" s="2139" customFormat="1" hidden="1">
      <c r="A2909" s="2140" t="s">
        <v>6048</v>
      </c>
      <c r="B2909" s="2141" t="s">
        <v>3057</v>
      </c>
      <c r="C2909" s="2141" t="s">
        <v>3151</v>
      </c>
      <c r="D2909" s="2141">
        <v>50</v>
      </c>
      <c r="E2909" s="2142">
        <v>74.180000000000007</v>
      </c>
      <c r="F2909" s="2142">
        <v>15960</v>
      </c>
      <c r="G2909" s="2142">
        <v>1183912.8</v>
      </c>
      <c r="H2909" s="2143">
        <v>42554</v>
      </c>
      <c r="I2909" s="2142">
        <v>1183913</v>
      </c>
    </row>
    <row r="2910" spans="1:9" s="2139" customFormat="1" hidden="1">
      <c r="A2910" s="2140" t="s">
        <v>6095</v>
      </c>
      <c r="B2910" s="2141" t="s">
        <v>3057</v>
      </c>
      <c r="C2910" s="2141" t="s">
        <v>3151</v>
      </c>
      <c r="D2910" s="2141">
        <v>380</v>
      </c>
      <c r="E2910" s="2142">
        <v>77.63</v>
      </c>
      <c r="F2910" s="2142">
        <v>20300</v>
      </c>
      <c r="G2910" s="2142">
        <v>1575889</v>
      </c>
      <c r="H2910" s="2143">
        <v>42551</v>
      </c>
      <c r="I2910" s="2142">
        <v>1575889</v>
      </c>
    </row>
    <row r="2911" spans="1:9" s="2139" customFormat="1" hidden="1">
      <c r="A2911" s="2140" t="s">
        <v>6989</v>
      </c>
      <c r="B2911" s="2141">
        <v>12</v>
      </c>
      <c r="C2911" s="2141" t="s">
        <v>3151</v>
      </c>
      <c r="D2911" s="2141">
        <v>171</v>
      </c>
      <c r="E2911" s="2142">
        <v>62.94</v>
      </c>
      <c r="F2911" s="2142">
        <v>13036.8</v>
      </c>
      <c r="G2911" s="2142">
        <v>820536.19199999992</v>
      </c>
      <c r="H2911" s="2143">
        <v>42551</v>
      </c>
      <c r="I2911" s="2142">
        <v>819363</v>
      </c>
    </row>
    <row r="2912" spans="1:9" s="2139" customFormat="1" hidden="1">
      <c r="A2912" s="2140" t="s">
        <v>6930</v>
      </c>
      <c r="B2912" s="2141">
        <v>12</v>
      </c>
      <c r="C2912" s="2141" t="s">
        <v>3151</v>
      </c>
      <c r="D2912" s="2141">
        <v>106</v>
      </c>
      <c r="E2912" s="2142">
        <v>91.55</v>
      </c>
      <c r="F2912" s="2142">
        <v>11235</v>
      </c>
      <c r="G2912" s="2142">
        <v>1028564.25</v>
      </c>
      <c r="H2912" s="2143">
        <v>42549</v>
      </c>
      <c r="I2912" s="2142">
        <v>50000</v>
      </c>
    </row>
    <row r="2913" spans="1:9" s="2139" customFormat="1" hidden="1">
      <c r="A2913" s="2140" t="s">
        <v>6987</v>
      </c>
      <c r="B2913" s="2141">
        <v>12</v>
      </c>
      <c r="C2913" s="2141" t="s">
        <v>3151</v>
      </c>
      <c r="D2913" s="2141">
        <v>169</v>
      </c>
      <c r="E2913" s="2142">
        <v>67.61</v>
      </c>
      <c r="F2913" s="2142">
        <v>16065</v>
      </c>
      <c r="G2913" s="2142">
        <v>1086154.6499999999</v>
      </c>
      <c r="H2913" s="2143">
        <v>42549</v>
      </c>
      <c r="I2913" s="2142">
        <v>50000</v>
      </c>
    </row>
    <row r="2914" spans="1:9" s="2139" customFormat="1" hidden="1">
      <c r="A2914" s="2140" t="s">
        <v>6096</v>
      </c>
      <c r="B2914" s="2141" t="s">
        <v>3057</v>
      </c>
      <c r="C2914" s="2141" t="s">
        <v>3151</v>
      </c>
      <c r="D2914" s="2141">
        <v>382</v>
      </c>
      <c r="E2914" s="2142">
        <v>61.02</v>
      </c>
      <c r="F2914" s="2142">
        <v>13100</v>
      </c>
      <c r="G2914" s="2142">
        <v>799362</v>
      </c>
      <c r="H2914" s="2143">
        <v>42548</v>
      </c>
      <c r="I2914" s="2142">
        <v>799362</v>
      </c>
    </row>
    <row r="2915" spans="1:9" s="2139" customFormat="1" hidden="1">
      <c r="A2915" s="2140" t="s">
        <v>6110</v>
      </c>
      <c r="B2915" s="2141" t="s">
        <v>3057</v>
      </c>
      <c r="C2915" s="2141" t="s">
        <v>3151</v>
      </c>
      <c r="D2915" s="2141">
        <v>410</v>
      </c>
      <c r="E2915" s="2142">
        <v>76.31</v>
      </c>
      <c r="F2915" s="2142">
        <v>13100</v>
      </c>
      <c r="G2915" s="2142">
        <v>999661</v>
      </c>
      <c r="H2915" s="2143">
        <v>42548</v>
      </c>
      <c r="I2915" s="2142">
        <v>999661</v>
      </c>
    </row>
    <row r="2916" spans="1:9" s="2139" customFormat="1" hidden="1">
      <c r="A2916" s="2140" t="s">
        <v>5599</v>
      </c>
      <c r="B2916" s="2141" t="s">
        <v>3056</v>
      </c>
      <c r="C2916" s="2141" t="s">
        <v>3151</v>
      </c>
      <c r="D2916" s="2141">
        <v>118</v>
      </c>
      <c r="E2916" s="2142">
        <v>62.42</v>
      </c>
      <c r="F2916" s="2142">
        <v>15180</v>
      </c>
      <c r="G2916" s="2142">
        <v>947535.6</v>
      </c>
      <c r="H2916" s="2143">
        <v>42546</v>
      </c>
      <c r="I2916" s="2142">
        <v>947536</v>
      </c>
    </row>
    <row r="2917" spans="1:9" s="2139" customFormat="1" hidden="1">
      <c r="A2917" s="2140" t="s">
        <v>5600</v>
      </c>
      <c r="B2917" s="2141" t="s">
        <v>3056</v>
      </c>
      <c r="C2917" s="2141" t="s">
        <v>3151</v>
      </c>
      <c r="D2917" s="2141">
        <v>119</v>
      </c>
      <c r="E2917" s="2142">
        <v>59.19</v>
      </c>
      <c r="F2917" s="2142">
        <v>17380</v>
      </c>
      <c r="G2917" s="2142">
        <v>1028722.2</v>
      </c>
      <c r="H2917" s="2143">
        <v>42546</v>
      </c>
      <c r="I2917" s="2142">
        <v>1028722</v>
      </c>
    </row>
    <row r="2918" spans="1:9" s="2139" customFormat="1" hidden="1">
      <c r="A2918" s="2140" t="s">
        <v>6088</v>
      </c>
      <c r="B2918" s="2141" t="s">
        <v>3057</v>
      </c>
      <c r="C2918" s="2141" t="s">
        <v>3151</v>
      </c>
      <c r="D2918" s="2141">
        <v>372</v>
      </c>
      <c r="E2918" s="2142">
        <v>37.229999999999997</v>
      </c>
      <c r="F2918" s="2142">
        <v>14090</v>
      </c>
      <c r="G2918" s="2142">
        <v>524570.69999999995</v>
      </c>
      <c r="H2918" s="2143">
        <v>42545</v>
      </c>
      <c r="I2918" s="2142">
        <v>524571</v>
      </c>
    </row>
    <row r="2919" spans="1:9" s="2139" customFormat="1" hidden="1">
      <c r="A2919" s="2140" t="s">
        <v>6089</v>
      </c>
      <c r="B2919" s="2141" t="s">
        <v>3057</v>
      </c>
      <c r="C2919" s="2141" t="s">
        <v>3151</v>
      </c>
      <c r="D2919" s="2141">
        <v>373</v>
      </c>
      <c r="E2919" s="2142">
        <v>34.92</v>
      </c>
      <c r="F2919" s="2142">
        <v>14090</v>
      </c>
      <c r="G2919" s="2142">
        <v>492022.80000000005</v>
      </c>
      <c r="H2919" s="2143">
        <v>42545</v>
      </c>
      <c r="I2919" s="2142">
        <v>492023</v>
      </c>
    </row>
    <row r="2920" spans="1:9" s="2139" customFormat="1" hidden="1">
      <c r="A2920" s="2140" t="s">
        <v>6090</v>
      </c>
      <c r="B2920" s="2141" t="s">
        <v>3057</v>
      </c>
      <c r="C2920" s="2141" t="s">
        <v>3151</v>
      </c>
      <c r="D2920" s="2141">
        <v>375</v>
      </c>
      <c r="E2920" s="2142">
        <v>57.55</v>
      </c>
      <c r="F2920" s="2142">
        <v>17364</v>
      </c>
      <c r="G2920" s="2142">
        <v>999298.2</v>
      </c>
      <c r="H2920" s="2143">
        <v>42545</v>
      </c>
      <c r="I2920" s="2142">
        <v>999298</v>
      </c>
    </row>
    <row r="2921" spans="1:9" s="2139" customFormat="1" hidden="1">
      <c r="A2921" s="2140" t="s">
        <v>6091</v>
      </c>
      <c r="B2921" s="2141" t="s">
        <v>3057</v>
      </c>
      <c r="C2921" s="2141" t="s">
        <v>3151</v>
      </c>
      <c r="D2921" s="2141">
        <v>376</v>
      </c>
      <c r="E2921" s="2142">
        <v>81.010000000000005</v>
      </c>
      <c r="F2921" s="2142">
        <v>17364</v>
      </c>
      <c r="G2921" s="2142">
        <v>1406657.6400000001</v>
      </c>
      <c r="H2921" s="2143">
        <v>42545</v>
      </c>
      <c r="I2921" s="2142">
        <v>1406658</v>
      </c>
    </row>
    <row r="2922" spans="1:9" s="2139" customFormat="1" hidden="1">
      <c r="A2922" s="2140" t="s">
        <v>6092</v>
      </c>
      <c r="B2922" s="2141" t="s">
        <v>3057</v>
      </c>
      <c r="C2922" s="2141" t="s">
        <v>3151</v>
      </c>
      <c r="D2922" s="2141">
        <v>377</v>
      </c>
      <c r="E2922" s="2142">
        <v>61.08</v>
      </c>
      <c r="F2922" s="2142">
        <v>18454</v>
      </c>
      <c r="G2922" s="2142">
        <v>1127170.32</v>
      </c>
      <c r="H2922" s="2143">
        <v>42545</v>
      </c>
      <c r="I2922" s="2142">
        <v>1127170</v>
      </c>
    </row>
    <row r="2923" spans="1:9" s="2139" customFormat="1" hidden="1">
      <c r="A2923" s="2140" t="s">
        <v>6093</v>
      </c>
      <c r="B2923" s="2141" t="s">
        <v>3057</v>
      </c>
      <c r="C2923" s="2141" t="s">
        <v>3151</v>
      </c>
      <c r="D2923" s="2141">
        <v>378</v>
      </c>
      <c r="E2923" s="2142">
        <v>52.98</v>
      </c>
      <c r="F2923" s="2142">
        <v>18454</v>
      </c>
      <c r="G2923" s="2142">
        <v>977692.91999999993</v>
      </c>
      <c r="H2923" s="2143">
        <v>42545</v>
      </c>
      <c r="I2923" s="2142">
        <v>977693</v>
      </c>
    </row>
    <row r="2924" spans="1:9" s="2139" customFormat="1" hidden="1">
      <c r="A2924" s="2140" t="s">
        <v>6094</v>
      </c>
      <c r="B2924" s="2141" t="s">
        <v>3057</v>
      </c>
      <c r="C2924" s="2141" t="s">
        <v>3151</v>
      </c>
      <c r="D2924" s="2141">
        <v>379</v>
      </c>
      <c r="E2924" s="2142">
        <v>29.94</v>
      </c>
      <c r="F2924" s="2142">
        <v>18454</v>
      </c>
      <c r="G2924" s="2142">
        <v>552512.76</v>
      </c>
      <c r="H2924" s="2143">
        <v>42545</v>
      </c>
      <c r="I2924" s="2142">
        <v>552513</v>
      </c>
    </row>
    <row r="2925" spans="1:9" s="2139" customFormat="1" hidden="1">
      <c r="A2925" s="2140" t="s">
        <v>6415</v>
      </c>
      <c r="B2925" s="2141">
        <v>9</v>
      </c>
      <c r="C2925" s="2141" t="s">
        <v>3151</v>
      </c>
      <c r="D2925" s="2141">
        <v>111</v>
      </c>
      <c r="E2925" s="2142">
        <v>50.53</v>
      </c>
      <c r="F2925" s="2142">
        <v>14420</v>
      </c>
      <c r="G2925" s="2142">
        <v>728642.6</v>
      </c>
      <c r="H2925" s="2143">
        <v>42544</v>
      </c>
      <c r="I2925" s="2142">
        <v>368643</v>
      </c>
    </row>
    <row r="2926" spans="1:9" s="2139" customFormat="1" hidden="1">
      <c r="A2926" s="2140" t="s">
        <v>6049</v>
      </c>
      <c r="B2926" s="2141" t="s">
        <v>3057</v>
      </c>
      <c r="C2926" s="2141" t="s">
        <v>3151</v>
      </c>
      <c r="D2926" s="2141">
        <v>51</v>
      </c>
      <c r="E2926" s="2142">
        <v>70.02</v>
      </c>
      <c r="F2926" s="2142">
        <v>13800</v>
      </c>
      <c r="G2926" s="2142">
        <v>966276</v>
      </c>
      <c r="H2926" s="2143">
        <v>42543</v>
      </c>
      <c r="I2926" s="2142">
        <v>506276</v>
      </c>
    </row>
    <row r="2927" spans="1:9" s="2139" customFormat="1" hidden="1">
      <c r="A2927" s="2140" t="s">
        <v>6097</v>
      </c>
      <c r="B2927" s="2141" t="s">
        <v>3057</v>
      </c>
      <c r="C2927" s="2141" t="s">
        <v>3151</v>
      </c>
      <c r="D2927" s="2141">
        <v>383</v>
      </c>
      <c r="E2927" s="2142">
        <v>34.200000000000003</v>
      </c>
      <c r="F2927" s="2142">
        <v>18454</v>
      </c>
      <c r="G2927" s="2142">
        <v>631126.80000000005</v>
      </c>
      <c r="H2927" s="2143">
        <v>42541</v>
      </c>
      <c r="I2927" s="2142">
        <v>631127</v>
      </c>
    </row>
    <row r="2928" spans="1:9" s="2139" customFormat="1" hidden="1">
      <c r="A2928" s="2140" t="s">
        <v>6098</v>
      </c>
      <c r="B2928" s="2141" t="s">
        <v>3057</v>
      </c>
      <c r="C2928" s="2141" t="s">
        <v>3151</v>
      </c>
      <c r="D2928" s="2141">
        <v>385</v>
      </c>
      <c r="E2928" s="2142">
        <v>33.82</v>
      </c>
      <c r="F2928" s="2142">
        <v>18454</v>
      </c>
      <c r="G2928" s="2142">
        <v>624114.28</v>
      </c>
      <c r="H2928" s="2143">
        <v>42541</v>
      </c>
      <c r="I2928" s="2142">
        <v>624114</v>
      </c>
    </row>
    <row r="2929" spans="1:9" s="2139" customFormat="1" hidden="1">
      <c r="A2929" s="2140" t="s">
        <v>6099</v>
      </c>
      <c r="B2929" s="2141" t="s">
        <v>3057</v>
      </c>
      <c r="C2929" s="2141" t="s">
        <v>3151</v>
      </c>
      <c r="D2929" s="2141">
        <v>386</v>
      </c>
      <c r="E2929" s="2142">
        <v>46.08</v>
      </c>
      <c r="F2929" s="2142">
        <v>18454</v>
      </c>
      <c r="G2929" s="2142">
        <v>850360.31999999995</v>
      </c>
      <c r="H2929" s="2143">
        <v>42541</v>
      </c>
      <c r="I2929" s="2142">
        <v>850360</v>
      </c>
    </row>
    <row r="2930" spans="1:9" s="2139" customFormat="1" hidden="1">
      <c r="A2930" s="2140" t="s">
        <v>6101</v>
      </c>
      <c r="B2930" s="2141" t="s">
        <v>3057</v>
      </c>
      <c r="C2930" s="2141" t="s">
        <v>3151</v>
      </c>
      <c r="D2930" s="2141">
        <v>393</v>
      </c>
      <c r="E2930" s="2142">
        <v>95.9</v>
      </c>
      <c r="F2930" s="2142">
        <v>22800</v>
      </c>
      <c r="G2930" s="2142">
        <v>2186520</v>
      </c>
      <c r="H2930" s="2143">
        <v>42541</v>
      </c>
      <c r="I2930" s="2142">
        <v>2186520</v>
      </c>
    </row>
    <row r="2931" spans="1:9" s="2139" customFormat="1" hidden="1">
      <c r="A2931" s="2140" t="s">
        <v>6985</v>
      </c>
      <c r="B2931" s="2141">
        <v>12</v>
      </c>
      <c r="C2931" s="2141" t="s">
        <v>3151</v>
      </c>
      <c r="D2931" s="2141">
        <v>165</v>
      </c>
      <c r="E2931" s="2142">
        <v>64.06</v>
      </c>
      <c r="F2931" s="2142">
        <v>17100</v>
      </c>
      <c r="G2931" s="2142">
        <v>1095426</v>
      </c>
      <c r="H2931" s="2143">
        <v>42539</v>
      </c>
      <c r="I2931" s="2142">
        <v>553887</v>
      </c>
    </row>
    <row r="2932" spans="1:9" s="2139" customFormat="1" hidden="1">
      <c r="A2932" s="2140" t="s">
        <v>6656</v>
      </c>
      <c r="B2932" s="2141">
        <v>11</v>
      </c>
      <c r="C2932" s="2141" t="s">
        <v>3151</v>
      </c>
      <c r="D2932" s="2141">
        <v>22</v>
      </c>
      <c r="E2932" s="2142">
        <v>60.54</v>
      </c>
      <c r="F2932" s="2142">
        <v>17441</v>
      </c>
      <c r="G2932" s="2142">
        <v>1055878.1399999999</v>
      </c>
      <c r="H2932" s="2143">
        <v>42538</v>
      </c>
      <c r="I2932" s="2142">
        <v>536750</v>
      </c>
    </row>
    <row r="2933" spans="1:9" s="2139" customFormat="1" hidden="1">
      <c r="A2933" s="2140" t="s">
        <v>6657</v>
      </c>
      <c r="B2933" s="2141">
        <v>11</v>
      </c>
      <c r="C2933" s="2141" t="s">
        <v>3151</v>
      </c>
      <c r="D2933" s="2141">
        <v>23</v>
      </c>
      <c r="E2933" s="2142">
        <v>47.58</v>
      </c>
      <c r="F2933" s="2142">
        <v>15362</v>
      </c>
      <c r="G2933" s="2142">
        <v>730923.96</v>
      </c>
      <c r="H2933" s="2143">
        <v>42538</v>
      </c>
      <c r="I2933" s="2142">
        <v>371538</v>
      </c>
    </row>
    <row r="2934" spans="1:9" s="2139" customFormat="1" hidden="1">
      <c r="A2934" s="2140" t="s">
        <v>6668</v>
      </c>
      <c r="B2934" s="2141">
        <v>11</v>
      </c>
      <c r="C2934" s="2141" t="s">
        <v>3151</v>
      </c>
      <c r="D2934" s="2141">
        <v>38</v>
      </c>
      <c r="E2934" s="2142">
        <v>53.17</v>
      </c>
      <c r="F2934" s="2142">
        <v>12128</v>
      </c>
      <c r="G2934" s="2142">
        <v>644845.76</v>
      </c>
      <c r="H2934" s="2143">
        <v>42538</v>
      </c>
      <c r="I2934" s="2142">
        <v>325331</v>
      </c>
    </row>
    <row r="2935" spans="1:9" s="2139" customFormat="1" hidden="1">
      <c r="A2935" s="2140" t="s">
        <v>6396</v>
      </c>
      <c r="B2935" s="2141">
        <v>9</v>
      </c>
      <c r="C2935" s="2141" t="s">
        <v>3151</v>
      </c>
      <c r="D2935" s="2141">
        <v>79</v>
      </c>
      <c r="E2935" s="2142">
        <v>45.51</v>
      </c>
      <c r="F2935" s="2142">
        <v>12669.01</v>
      </c>
      <c r="G2935" s="2142">
        <v>576566</v>
      </c>
      <c r="H2935" s="2143">
        <v>42537</v>
      </c>
      <c r="I2935" s="2142">
        <v>296440</v>
      </c>
    </row>
    <row r="2936" spans="1:9" s="2139" customFormat="1" hidden="1">
      <c r="A2936" s="2140" t="s">
        <v>6931</v>
      </c>
      <c r="B2936" s="2141">
        <v>12</v>
      </c>
      <c r="C2936" s="2141" t="s">
        <v>3151</v>
      </c>
      <c r="D2936" s="2141">
        <v>107</v>
      </c>
      <c r="E2936" s="2142">
        <v>45.69</v>
      </c>
      <c r="F2936" s="2142">
        <v>16758</v>
      </c>
      <c r="G2936" s="2142">
        <v>765673.02</v>
      </c>
      <c r="H2936" s="2143">
        <v>42537</v>
      </c>
      <c r="I2936" s="2142">
        <v>384500</v>
      </c>
    </row>
    <row r="2937" spans="1:9" s="2139" customFormat="1" hidden="1">
      <c r="A2937" s="2140" t="s">
        <v>6932</v>
      </c>
      <c r="B2937" s="2141">
        <v>12</v>
      </c>
      <c r="C2937" s="2141" t="s">
        <v>3151</v>
      </c>
      <c r="D2937" s="2141">
        <v>108</v>
      </c>
      <c r="E2937" s="2142">
        <v>46.78</v>
      </c>
      <c r="F2937" s="2142">
        <v>12846</v>
      </c>
      <c r="G2937" s="2142">
        <v>600935.88</v>
      </c>
      <c r="H2937" s="2143">
        <v>42537</v>
      </c>
      <c r="I2937" s="2142">
        <v>300037</v>
      </c>
    </row>
    <row r="2938" spans="1:9" s="2139" customFormat="1" hidden="1">
      <c r="A2938" s="2140" t="s">
        <v>6968</v>
      </c>
      <c r="B2938" s="2141">
        <v>12</v>
      </c>
      <c r="C2938" s="2141" t="s">
        <v>3151</v>
      </c>
      <c r="D2938" s="2141">
        <v>146</v>
      </c>
      <c r="E2938" s="2142">
        <v>61.04</v>
      </c>
      <c r="F2938" s="2142">
        <v>15583.05</v>
      </c>
      <c r="G2938" s="2142">
        <v>951189.37199999997</v>
      </c>
      <c r="H2938" s="2143">
        <v>42537</v>
      </c>
      <c r="I2938" s="2142">
        <v>949787</v>
      </c>
    </row>
    <row r="2939" spans="1:9" s="2139" customFormat="1" hidden="1">
      <c r="A2939" s="2140" t="s">
        <v>6969</v>
      </c>
      <c r="B2939" s="2141">
        <v>12</v>
      </c>
      <c r="C2939" s="2141" t="s">
        <v>3151</v>
      </c>
      <c r="D2939" s="2141">
        <v>147</v>
      </c>
      <c r="E2939" s="2142">
        <v>63.94</v>
      </c>
      <c r="F2939" s="2142">
        <v>16092.31</v>
      </c>
      <c r="G2939" s="2142">
        <v>1028942.3013999999</v>
      </c>
      <c r="H2939" s="2143">
        <v>42537</v>
      </c>
      <c r="I2939" s="2142">
        <v>1027494</v>
      </c>
    </row>
    <row r="2940" spans="1:9" s="2139" customFormat="1" hidden="1">
      <c r="A2940" s="2140" t="s">
        <v>6372</v>
      </c>
      <c r="B2940" s="2141">
        <v>9</v>
      </c>
      <c r="C2940" s="2141" t="s">
        <v>3151</v>
      </c>
      <c r="D2940" s="2141">
        <v>1</v>
      </c>
      <c r="E2940" s="2142">
        <v>86.42</v>
      </c>
      <c r="F2940" s="2142">
        <v>17100</v>
      </c>
      <c r="G2940" s="2142">
        <v>1477782</v>
      </c>
      <c r="H2940" s="2143">
        <v>42536</v>
      </c>
      <c r="I2940" s="2142">
        <v>1477782</v>
      </c>
    </row>
    <row r="2941" spans="1:9" s="2139" customFormat="1" hidden="1">
      <c r="A2941" s="2140" t="s">
        <v>6373</v>
      </c>
      <c r="B2941" s="2141">
        <v>9</v>
      </c>
      <c r="C2941" s="2141" t="s">
        <v>3151</v>
      </c>
      <c r="D2941" s="2141">
        <v>2</v>
      </c>
      <c r="E2941" s="2142">
        <v>68.569999999999993</v>
      </c>
      <c r="F2941" s="2142">
        <v>16600</v>
      </c>
      <c r="G2941" s="2142">
        <v>1138262</v>
      </c>
      <c r="H2941" s="2143">
        <v>42536</v>
      </c>
      <c r="I2941" s="2142">
        <v>1138262</v>
      </c>
    </row>
    <row r="2942" spans="1:9" s="2139" customFormat="1" hidden="1">
      <c r="A2942" s="2140" t="s">
        <v>6687</v>
      </c>
      <c r="B2942" s="2141">
        <v>11</v>
      </c>
      <c r="C2942" s="2141" t="s">
        <v>3151</v>
      </c>
      <c r="D2942" s="2141">
        <v>101</v>
      </c>
      <c r="E2942" s="2142">
        <v>83.51</v>
      </c>
      <c r="F2942" s="2142">
        <v>12978</v>
      </c>
      <c r="G2942" s="2142">
        <v>1083792.78</v>
      </c>
      <c r="H2942" s="2143">
        <v>42536</v>
      </c>
      <c r="I2942" s="2142">
        <v>544701</v>
      </c>
    </row>
    <row r="2943" spans="1:9" s="2139" customFormat="1" hidden="1">
      <c r="A2943" s="2140" t="s">
        <v>6702</v>
      </c>
      <c r="B2943" s="2141">
        <v>11</v>
      </c>
      <c r="C2943" s="2141" t="s">
        <v>3151</v>
      </c>
      <c r="D2943" s="2141">
        <v>148</v>
      </c>
      <c r="E2943" s="2142">
        <v>83.09</v>
      </c>
      <c r="F2943" s="2142">
        <v>11330.01</v>
      </c>
      <c r="G2943" s="2142">
        <v>941410.53090000001</v>
      </c>
      <c r="H2943" s="2143">
        <v>42536</v>
      </c>
      <c r="I2943" s="2142">
        <v>472090</v>
      </c>
    </row>
    <row r="2944" spans="1:9" s="2139" customFormat="1" hidden="1">
      <c r="A2944" s="2140" t="s">
        <v>6961</v>
      </c>
      <c r="B2944" s="2141">
        <v>12</v>
      </c>
      <c r="C2944" s="2141" t="s">
        <v>3151</v>
      </c>
      <c r="D2944" s="2141">
        <v>141</v>
      </c>
      <c r="E2944" s="2142">
        <v>63.94</v>
      </c>
      <c r="F2944" s="2142" t="s">
        <v>6962</v>
      </c>
      <c r="G2944" s="2142">
        <v>1001428.2799999999</v>
      </c>
      <c r="H2944" s="2143">
        <v>42535</v>
      </c>
      <c r="I2944" s="2142">
        <v>1000019</v>
      </c>
    </row>
    <row r="2945" spans="1:9" s="2139" customFormat="1" hidden="1">
      <c r="A2945" s="2140" t="s">
        <v>6374</v>
      </c>
      <c r="B2945" s="2141">
        <v>9</v>
      </c>
      <c r="C2945" s="2141" t="s">
        <v>3151</v>
      </c>
      <c r="D2945" s="2141">
        <v>3</v>
      </c>
      <c r="E2945" s="2142">
        <v>69.28</v>
      </c>
      <c r="F2945" s="2142">
        <v>16600</v>
      </c>
      <c r="G2945" s="2142">
        <v>1150048</v>
      </c>
      <c r="H2945" s="2143">
        <v>42534</v>
      </c>
      <c r="I2945" s="2142">
        <v>1150048</v>
      </c>
    </row>
    <row r="2946" spans="1:9" s="2139" customFormat="1" hidden="1">
      <c r="A2946" s="2140" t="s">
        <v>6922</v>
      </c>
      <c r="B2946" s="2141">
        <v>12</v>
      </c>
      <c r="C2946" s="2141" t="s">
        <v>3151</v>
      </c>
      <c r="D2946" s="2141">
        <v>88</v>
      </c>
      <c r="E2946" s="2142">
        <v>45.69</v>
      </c>
      <c r="F2946" s="2142">
        <v>16500</v>
      </c>
      <c r="G2946" s="2142">
        <v>753885</v>
      </c>
      <c r="H2946" s="2143">
        <v>42523</v>
      </c>
      <c r="I2946" s="2142">
        <v>752730</v>
      </c>
    </row>
    <row r="2947" spans="1:9" s="2139" customFormat="1" hidden="1">
      <c r="A2947" s="2140" t="s">
        <v>5559</v>
      </c>
      <c r="B2947" s="2141" t="s">
        <v>3056</v>
      </c>
      <c r="C2947" s="2141" t="s">
        <v>3151</v>
      </c>
      <c r="D2947" s="2141">
        <v>48</v>
      </c>
      <c r="E2947" s="2142">
        <v>21.52</v>
      </c>
      <c r="F2947" s="2142">
        <v>12800</v>
      </c>
      <c r="G2947" s="2142">
        <v>275456</v>
      </c>
      <c r="H2947" s="2143">
        <v>42517</v>
      </c>
      <c r="I2947" s="2142">
        <v>275456</v>
      </c>
    </row>
    <row r="2948" spans="1:9" s="2139" customFormat="1" hidden="1">
      <c r="A2948" s="2140" t="s">
        <v>6407</v>
      </c>
      <c r="B2948" s="2141">
        <v>9</v>
      </c>
      <c r="C2948" s="2141" t="s">
        <v>3151</v>
      </c>
      <c r="D2948" s="2141">
        <v>98</v>
      </c>
      <c r="E2948" s="2142">
        <v>74.08</v>
      </c>
      <c r="F2948" s="2142">
        <v>11489.66</v>
      </c>
      <c r="G2948" s="2142">
        <v>851154.01280000003</v>
      </c>
      <c r="H2948" s="2143">
        <v>42513</v>
      </c>
      <c r="I2948" s="2142">
        <v>851154</v>
      </c>
    </row>
    <row r="2949" spans="1:9" s="2139" customFormat="1" hidden="1">
      <c r="A2949" s="2140" t="s">
        <v>6408</v>
      </c>
      <c r="B2949" s="2141">
        <v>9</v>
      </c>
      <c r="C2949" s="2141" t="s">
        <v>3151</v>
      </c>
      <c r="D2949" s="2141">
        <v>99</v>
      </c>
      <c r="E2949" s="2142">
        <v>77.2</v>
      </c>
      <c r="F2949" s="2142">
        <v>11489.65</v>
      </c>
      <c r="G2949" s="2142">
        <v>887000.98</v>
      </c>
      <c r="H2949" s="2143">
        <v>42513</v>
      </c>
      <c r="I2949" s="2142">
        <v>887001</v>
      </c>
    </row>
    <row r="2950" spans="1:9" s="2139" customFormat="1" hidden="1">
      <c r="A2950" s="2140" t="s">
        <v>6403</v>
      </c>
      <c r="B2950" s="2141">
        <v>9</v>
      </c>
      <c r="C2950" s="2141" t="s">
        <v>3151</v>
      </c>
      <c r="D2950" s="2141">
        <v>93</v>
      </c>
      <c r="E2950" s="2142">
        <v>64.5</v>
      </c>
      <c r="F2950" s="2142">
        <v>10506</v>
      </c>
      <c r="G2950" s="2142">
        <v>677637</v>
      </c>
      <c r="H2950" s="2143">
        <v>42508</v>
      </c>
      <c r="I2950" s="2142">
        <v>677637</v>
      </c>
    </row>
    <row r="2951" spans="1:9" s="2139" customFormat="1" hidden="1">
      <c r="A2951" s="2140" t="s">
        <v>7072</v>
      </c>
      <c r="B2951" s="2141">
        <v>12</v>
      </c>
      <c r="C2951" s="2141" t="s">
        <v>3151</v>
      </c>
      <c r="D2951" s="2141">
        <v>268</v>
      </c>
      <c r="E2951" s="2142">
        <v>67.08</v>
      </c>
      <c r="F2951" s="2142">
        <v>15015</v>
      </c>
      <c r="G2951" s="2142">
        <v>1007206.2</v>
      </c>
      <c r="H2951" s="2143">
        <v>42507</v>
      </c>
      <c r="I2951" s="2142">
        <v>1005855</v>
      </c>
    </row>
    <row r="2952" spans="1:9" s="2139" customFormat="1" hidden="1">
      <c r="A2952" s="2140" t="s">
        <v>5596</v>
      </c>
      <c r="B2952" s="2141" t="s">
        <v>3056</v>
      </c>
      <c r="C2952" s="2141" t="s">
        <v>3151</v>
      </c>
      <c r="D2952" s="2141">
        <v>110</v>
      </c>
      <c r="E2952" s="2142">
        <v>32.020000000000003</v>
      </c>
      <c r="F2952" s="2142">
        <v>12800</v>
      </c>
      <c r="G2952" s="2142">
        <v>409856.00000000006</v>
      </c>
      <c r="H2952" s="2143">
        <v>42494</v>
      </c>
      <c r="I2952" s="2142">
        <v>409856</v>
      </c>
    </row>
    <row r="2953" spans="1:9" s="2139" customFormat="1" hidden="1">
      <c r="A2953" s="2140" t="s">
        <v>5595</v>
      </c>
      <c r="B2953" s="2141" t="s">
        <v>3056</v>
      </c>
      <c r="C2953" s="2141" t="s">
        <v>3151</v>
      </c>
      <c r="D2953" s="2141">
        <v>109</v>
      </c>
      <c r="E2953" s="2142">
        <v>31.48</v>
      </c>
      <c r="F2953" s="2142">
        <v>12800</v>
      </c>
      <c r="G2953" s="2142">
        <v>402944</v>
      </c>
      <c r="H2953" s="2143">
        <v>42489</v>
      </c>
      <c r="I2953" s="2142">
        <v>402944</v>
      </c>
    </row>
    <row r="2954" spans="1:9" s="2139" customFormat="1" hidden="1">
      <c r="A2954" s="2140" t="s">
        <v>6967</v>
      </c>
      <c r="B2954" s="2141">
        <v>12</v>
      </c>
      <c r="C2954" s="2141" t="s">
        <v>3151</v>
      </c>
      <c r="D2954" s="2141">
        <v>145</v>
      </c>
      <c r="E2954" s="2142">
        <v>61.04</v>
      </c>
      <c r="F2954" s="2142">
        <v>13643.05</v>
      </c>
      <c r="G2954" s="2142">
        <v>832771.772</v>
      </c>
      <c r="H2954" s="2143">
        <v>42488</v>
      </c>
      <c r="I2954" s="2142">
        <v>831544</v>
      </c>
    </row>
    <row r="2955" spans="1:9" s="2139" customFormat="1" hidden="1">
      <c r="A2955" s="2140" t="s">
        <v>7049</v>
      </c>
      <c r="B2955" s="2141">
        <v>12</v>
      </c>
      <c r="C2955" s="2141" t="s">
        <v>3151</v>
      </c>
      <c r="D2955" s="2141">
        <v>241</v>
      </c>
      <c r="E2955" s="2142">
        <v>43.16</v>
      </c>
      <c r="F2955" s="2142">
        <v>11235.01</v>
      </c>
      <c r="G2955" s="2142">
        <v>484903.03159999999</v>
      </c>
      <c r="H2955" s="2143">
        <v>42488</v>
      </c>
      <c r="I2955" s="2142">
        <v>484229</v>
      </c>
    </row>
    <row r="2956" spans="1:9" s="2139" customFormat="1" hidden="1">
      <c r="A2956" s="2140" t="s">
        <v>7050</v>
      </c>
      <c r="B2956" s="2141">
        <v>12</v>
      </c>
      <c r="C2956" s="2141" t="s">
        <v>3151</v>
      </c>
      <c r="D2956" s="2141">
        <v>242</v>
      </c>
      <c r="E2956" s="2142">
        <v>77.23</v>
      </c>
      <c r="F2956" s="2142" t="s">
        <v>7051</v>
      </c>
      <c r="G2956" s="2142">
        <v>867679.05</v>
      </c>
      <c r="H2956" s="2143">
        <v>42488</v>
      </c>
      <c r="I2956" s="2142">
        <v>866443</v>
      </c>
    </row>
    <row r="2957" spans="1:9" s="2139" customFormat="1" hidden="1">
      <c r="A2957" s="2140" t="s">
        <v>7052</v>
      </c>
      <c r="B2957" s="2141">
        <v>12</v>
      </c>
      <c r="C2957" s="2141" t="s">
        <v>3151</v>
      </c>
      <c r="D2957" s="2141">
        <v>243</v>
      </c>
      <c r="E2957" s="2142">
        <v>68.56</v>
      </c>
      <c r="F2957" s="2142">
        <v>14490</v>
      </c>
      <c r="G2957" s="2142">
        <v>993434.4</v>
      </c>
      <c r="H2957" s="2143">
        <v>42488</v>
      </c>
      <c r="I2957" s="2142">
        <v>991985</v>
      </c>
    </row>
    <row r="2958" spans="1:9" s="2139" customFormat="1" hidden="1">
      <c r="A2958" s="2140" t="s">
        <v>7053</v>
      </c>
      <c r="B2958" s="2141">
        <v>12</v>
      </c>
      <c r="C2958" s="2141" t="s">
        <v>3151</v>
      </c>
      <c r="D2958" s="2141">
        <v>245</v>
      </c>
      <c r="E2958" s="2142">
        <v>64.27</v>
      </c>
      <c r="F2958" s="2142">
        <v>13965</v>
      </c>
      <c r="G2958" s="2142">
        <v>897530.54999999993</v>
      </c>
      <c r="H2958" s="2143">
        <v>42488</v>
      </c>
      <c r="I2958" s="2142">
        <v>896274</v>
      </c>
    </row>
    <row r="2959" spans="1:9" s="2139" customFormat="1" hidden="1">
      <c r="A2959" s="2140" t="s">
        <v>6397</v>
      </c>
      <c r="B2959" s="2141">
        <v>9</v>
      </c>
      <c r="C2959" s="2141" t="s">
        <v>3151</v>
      </c>
      <c r="D2959" s="2141">
        <v>80</v>
      </c>
      <c r="E2959" s="2142">
        <v>80.78</v>
      </c>
      <c r="F2959" s="2142">
        <v>12300</v>
      </c>
      <c r="G2959" s="2142">
        <v>993594</v>
      </c>
      <c r="H2959" s="2143">
        <v>42482</v>
      </c>
      <c r="I2959" s="2142">
        <v>993594</v>
      </c>
    </row>
    <row r="2960" spans="1:9" s="2139" customFormat="1" hidden="1">
      <c r="A2960" s="2140" t="s">
        <v>6919</v>
      </c>
      <c r="B2960" s="2141">
        <v>12</v>
      </c>
      <c r="C2960" s="2141" t="s">
        <v>3151</v>
      </c>
      <c r="D2960" s="2141">
        <v>85</v>
      </c>
      <c r="E2960" s="2142">
        <v>58.13</v>
      </c>
      <c r="F2960" s="2142">
        <v>16000</v>
      </c>
      <c r="G2960" s="2142">
        <v>930080</v>
      </c>
      <c r="H2960" s="2143">
        <v>42482</v>
      </c>
      <c r="I2960" s="2142">
        <v>928800</v>
      </c>
    </row>
    <row r="2961" spans="1:9" s="2139" customFormat="1" hidden="1">
      <c r="A2961" s="2140" t="s">
        <v>5568</v>
      </c>
      <c r="B2961" s="2141" t="s">
        <v>3056</v>
      </c>
      <c r="C2961" s="2141" t="s">
        <v>3151</v>
      </c>
      <c r="D2961" s="2141">
        <v>58</v>
      </c>
      <c r="E2961" s="2142">
        <v>42.35</v>
      </c>
      <c r="F2961" s="2142">
        <v>13800</v>
      </c>
      <c r="G2961" s="2142">
        <v>584430</v>
      </c>
      <c r="H2961" s="2143">
        <v>42481</v>
      </c>
      <c r="I2961" s="2142">
        <v>584430</v>
      </c>
    </row>
    <row r="2962" spans="1:9" s="2139" customFormat="1" hidden="1">
      <c r="A2962" s="2140" t="s">
        <v>6953</v>
      </c>
      <c r="B2962" s="2141">
        <v>12</v>
      </c>
      <c r="C2962" s="2141" t="s">
        <v>3151</v>
      </c>
      <c r="D2962" s="2141">
        <v>133</v>
      </c>
      <c r="E2962" s="2142">
        <v>63.94</v>
      </c>
      <c r="F2962" s="2142" t="s">
        <v>6954</v>
      </c>
      <c r="G2962" s="2142">
        <v>1028941.6619999999</v>
      </c>
      <c r="H2962" s="2143">
        <v>42481</v>
      </c>
      <c r="I2962" s="2142">
        <v>1034896</v>
      </c>
    </row>
    <row r="2963" spans="1:9" s="2139" customFormat="1" hidden="1">
      <c r="A2963" s="2140" t="s">
        <v>5551</v>
      </c>
      <c r="B2963" s="2141" t="s">
        <v>3056</v>
      </c>
      <c r="C2963" s="2141" t="s">
        <v>3151</v>
      </c>
      <c r="D2963" s="2141">
        <v>31</v>
      </c>
      <c r="E2963" s="2142">
        <v>40.06</v>
      </c>
      <c r="F2963" s="2142">
        <v>18260</v>
      </c>
      <c r="G2963" s="2142">
        <v>731495.60000000009</v>
      </c>
      <c r="H2963" s="2143">
        <v>42480</v>
      </c>
      <c r="I2963" s="2142">
        <v>731496</v>
      </c>
    </row>
    <row r="2964" spans="1:9" s="2139" customFormat="1" hidden="1">
      <c r="A2964" s="2140" t="s">
        <v>5552</v>
      </c>
      <c r="B2964" s="2141" t="s">
        <v>3056</v>
      </c>
      <c r="C2964" s="2141" t="s">
        <v>3151</v>
      </c>
      <c r="D2964" s="2141">
        <v>32</v>
      </c>
      <c r="E2964" s="2142">
        <v>35.61</v>
      </c>
      <c r="F2964" s="2142">
        <v>14080</v>
      </c>
      <c r="G2964" s="2142">
        <v>501388.79999999999</v>
      </c>
      <c r="H2964" s="2143">
        <v>42480</v>
      </c>
      <c r="I2964" s="2142">
        <v>501389</v>
      </c>
    </row>
    <row r="2965" spans="1:9" s="2139" customFormat="1" hidden="1">
      <c r="A2965" s="2140" t="s">
        <v>6380</v>
      </c>
      <c r="B2965" s="2141">
        <v>9</v>
      </c>
      <c r="C2965" s="2141" t="s">
        <v>3151</v>
      </c>
      <c r="D2965" s="2141">
        <v>27</v>
      </c>
      <c r="E2965" s="2142">
        <v>94.65</v>
      </c>
      <c r="F2965" s="2142">
        <v>15086.4</v>
      </c>
      <c r="G2965" s="2142">
        <v>1427927.76</v>
      </c>
      <c r="H2965" s="2143">
        <v>42479</v>
      </c>
      <c r="I2965" s="2142">
        <v>1427928</v>
      </c>
    </row>
    <row r="2966" spans="1:9" s="2139" customFormat="1" hidden="1">
      <c r="A2966" s="2140" t="s">
        <v>6381</v>
      </c>
      <c r="B2966" s="2141">
        <v>9</v>
      </c>
      <c r="C2966" s="2141" t="s">
        <v>3151</v>
      </c>
      <c r="D2966" s="2141">
        <v>28</v>
      </c>
      <c r="E2966" s="2142">
        <v>74.459999999999994</v>
      </c>
      <c r="F2966" s="2142">
        <v>13288.03</v>
      </c>
      <c r="G2966" s="2142">
        <v>989426.71379999991</v>
      </c>
      <c r="H2966" s="2143">
        <v>42479</v>
      </c>
      <c r="I2966" s="2142">
        <v>989427</v>
      </c>
    </row>
    <row r="2967" spans="1:9" s="2139" customFormat="1" hidden="1">
      <c r="A2967" s="2140" t="s">
        <v>6700</v>
      </c>
      <c r="B2967" s="2141">
        <v>11</v>
      </c>
      <c r="C2967" s="2141" t="s">
        <v>3151</v>
      </c>
      <c r="D2967" s="2141">
        <v>145</v>
      </c>
      <c r="E2967" s="2142">
        <v>12.32</v>
      </c>
      <c r="F2967" s="2142">
        <v>17558</v>
      </c>
      <c r="G2967" s="2142">
        <v>216314.56</v>
      </c>
      <c r="H2967" s="2143">
        <v>42478</v>
      </c>
      <c r="I2967" s="2142">
        <v>216490</v>
      </c>
    </row>
    <row r="2968" spans="1:9" s="2139" customFormat="1" hidden="1">
      <c r="A2968" s="2140" t="s">
        <v>6708</v>
      </c>
      <c r="B2968" s="2141">
        <v>11</v>
      </c>
      <c r="C2968" s="2141" t="s">
        <v>3151</v>
      </c>
      <c r="D2968" s="2141">
        <v>159</v>
      </c>
      <c r="E2968" s="2142">
        <v>48.86</v>
      </c>
      <c r="F2968" s="2142">
        <v>15777</v>
      </c>
      <c r="G2968" s="2142">
        <v>770864.22</v>
      </c>
      <c r="H2968" s="2143">
        <v>42478</v>
      </c>
      <c r="I2968" s="2142">
        <v>771495</v>
      </c>
    </row>
    <row r="2969" spans="1:9" s="2139" customFormat="1" hidden="1">
      <c r="A2969" s="2140" t="s">
        <v>6074</v>
      </c>
      <c r="B2969" s="2141" t="s">
        <v>3057</v>
      </c>
      <c r="C2969" s="2141" t="s">
        <v>3151</v>
      </c>
      <c r="D2969" s="2141">
        <v>218</v>
      </c>
      <c r="E2969" s="2142">
        <v>53.37</v>
      </c>
      <c r="F2969" s="2142">
        <v>15326</v>
      </c>
      <c r="G2969" s="2142">
        <v>817948.62</v>
      </c>
      <c r="H2969" s="2143">
        <v>42477</v>
      </c>
      <c r="I2969" s="2142">
        <v>817949</v>
      </c>
    </row>
    <row r="2970" spans="1:9" s="2139" customFormat="1" hidden="1">
      <c r="A2970" s="2140" t="s">
        <v>6982</v>
      </c>
      <c r="B2970" s="2141">
        <v>12</v>
      </c>
      <c r="C2970" s="2141" t="s">
        <v>3151</v>
      </c>
      <c r="D2970" s="2141">
        <v>161</v>
      </c>
      <c r="E2970" s="2142">
        <v>62.78</v>
      </c>
      <c r="F2970" s="2142">
        <v>12222</v>
      </c>
      <c r="G2970" s="2142">
        <v>767297.16</v>
      </c>
      <c r="H2970" s="2143">
        <v>42472</v>
      </c>
      <c r="I2970" s="2142">
        <v>766197</v>
      </c>
    </row>
    <row r="2971" spans="1:9" s="2139" customFormat="1" hidden="1">
      <c r="A2971" s="2140" t="s">
        <v>6139</v>
      </c>
      <c r="B2971" s="2141" t="s">
        <v>3057</v>
      </c>
      <c r="C2971" s="2141" t="s">
        <v>3151</v>
      </c>
      <c r="D2971" s="2141">
        <v>487</v>
      </c>
      <c r="E2971" s="2142">
        <v>84.68</v>
      </c>
      <c r="F2971" s="2142">
        <v>17380</v>
      </c>
      <c r="G2971" s="2142">
        <v>1471738.4000000001</v>
      </c>
      <c r="H2971" s="2143">
        <v>42429</v>
      </c>
      <c r="I2971" s="2142">
        <v>1471738</v>
      </c>
    </row>
    <row r="2972" spans="1:9" hidden="1">
      <c r="A2972" s="3395" t="s">
        <v>5019</v>
      </c>
      <c r="B2972" s="3396" t="s">
        <v>3055</v>
      </c>
      <c r="C2972" s="3396" t="s">
        <v>3151</v>
      </c>
      <c r="D2972" s="3396">
        <v>77</v>
      </c>
      <c r="E2972" s="3397">
        <v>16.39</v>
      </c>
      <c r="F2972" s="3397">
        <v>13256</v>
      </c>
      <c r="G2972" s="3397">
        <v>217265.84</v>
      </c>
      <c r="H2972" s="3557">
        <v>42425</v>
      </c>
      <c r="I2972" s="3397">
        <v>117266</v>
      </c>
    </row>
    <row r="2973" spans="1:9" s="2139" customFormat="1" hidden="1">
      <c r="A2973" s="2140" t="s">
        <v>7046</v>
      </c>
      <c r="B2973" s="2141">
        <v>12</v>
      </c>
      <c r="C2973" s="2141" t="s">
        <v>3151</v>
      </c>
      <c r="D2973" s="2141">
        <v>236</v>
      </c>
      <c r="E2973" s="2142">
        <v>23.02</v>
      </c>
      <c r="F2973" s="2142">
        <v>16490</v>
      </c>
      <c r="G2973" s="2142">
        <v>379599.8</v>
      </c>
      <c r="H2973" s="2143">
        <v>42424</v>
      </c>
      <c r="I2973" s="2142">
        <v>379105</v>
      </c>
    </row>
    <row r="2974" spans="1:9" s="2139" customFormat="1" hidden="1">
      <c r="A2974" s="2140" t="s">
        <v>6650</v>
      </c>
      <c r="B2974" s="2141">
        <v>11</v>
      </c>
      <c r="C2974" s="2141" t="s">
        <v>3151</v>
      </c>
      <c r="D2974" s="2141">
        <v>15</v>
      </c>
      <c r="E2974" s="2142">
        <v>45.77</v>
      </c>
      <c r="F2974" s="2142">
        <v>15553</v>
      </c>
      <c r="G2974" s="2142">
        <v>711860.81</v>
      </c>
      <c r="H2974" s="2143">
        <v>42403</v>
      </c>
      <c r="I2974" s="2142">
        <v>712483</v>
      </c>
    </row>
    <row r="2975" spans="1:9" s="2139" customFormat="1" hidden="1">
      <c r="A2975" s="2140" t="s">
        <v>6651</v>
      </c>
      <c r="B2975" s="2141">
        <v>11</v>
      </c>
      <c r="C2975" s="2141" t="s">
        <v>3151</v>
      </c>
      <c r="D2975" s="2141">
        <v>16</v>
      </c>
      <c r="E2975" s="2142">
        <v>49.85</v>
      </c>
      <c r="F2975" s="2142">
        <v>15553</v>
      </c>
      <c r="G2975" s="2142">
        <v>775317.05</v>
      </c>
      <c r="H2975" s="2143">
        <v>42403</v>
      </c>
      <c r="I2975" s="2142">
        <v>775939</v>
      </c>
    </row>
    <row r="2976" spans="1:9" s="2139" customFormat="1" hidden="1">
      <c r="A2976" s="2140" t="s">
        <v>6674</v>
      </c>
      <c r="B2976" s="2141">
        <v>11</v>
      </c>
      <c r="C2976" s="2141" t="s">
        <v>3151</v>
      </c>
      <c r="D2976" s="2141">
        <v>45</v>
      </c>
      <c r="E2976" s="2142">
        <v>48.86</v>
      </c>
      <c r="F2976" s="2142">
        <v>12978</v>
      </c>
      <c r="G2976" s="2142">
        <v>634105.07999999996</v>
      </c>
      <c r="H2976" s="2143">
        <v>42403</v>
      </c>
      <c r="I2976" s="2142">
        <v>634624</v>
      </c>
    </row>
    <row r="2977" spans="1:9" s="2139" customFormat="1" hidden="1">
      <c r="A2977" s="2140" t="s">
        <v>6675</v>
      </c>
      <c r="B2977" s="2141">
        <v>11</v>
      </c>
      <c r="C2977" s="2141" t="s">
        <v>3151</v>
      </c>
      <c r="D2977" s="2141">
        <v>57</v>
      </c>
      <c r="E2977" s="2142">
        <v>100.7</v>
      </c>
      <c r="F2977" s="2142">
        <v>16274</v>
      </c>
      <c r="G2977" s="2142">
        <v>1638791.8</v>
      </c>
      <c r="H2977" s="2143">
        <v>42403</v>
      </c>
      <c r="I2977" s="2142">
        <v>1650509</v>
      </c>
    </row>
    <row r="2978" spans="1:9" s="2139" customFormat="1" hidden="1">
      <c r="A2978" s="2140" t="s">
        <v>6676</v>
      </c>
      <c r="B2978" s="2141">
        <v>11</v>
      </c>
      <c r="C2978" s="2141" t="s">
        <v>3151</v>
      </c>
      <c r="D2978" s="2141">
        <v>58</v>
      </c>
      <c r="E2978" s="2142">
        <v>72.959999999999994</v>
      </c>
      <c r="F2978" s="2142">
        <v>11330</v>
      </c>
      <c r="G2978" s="2142">
        <v>826636.79999999993</v>
      </c>
      <c r="H2978" s="2143">
        <v>42403</v>
      </c>
      <c r="I2978" s="2142">
        <v>827317</v>
      </c>
    </row>
    <row r="2979" spans="1:9" s="2139" customFormat="1" hidden="1">
      <c r="A2979" s="2140" t="s">
        <v>6684</v>
      </c>
      <c r="B2979" s="2141">
        <v>11</v>
      </c>
      <c r="C2979" s="2141" t="s">
        <v>3151</v>
      </c>
      <c r="D2979" s="2141">
        <v>98</v>
      </c>
      <c r="E2979" s="2142">
        <v>75.069999999999993</v>
      </c>
      <c r="F2979" s="2142">
        <v>12978</v>
      </c>
      <c r="G2979" s="2142">
        <v>974258.46</v>
      </c>
      <c r="H2979" s="2143">
        <v>42403</v>
      </c>
      <c r="I2979" s="2142">
        <v>975037</v>
      </c>
    </row>
    <row r="2980" spans="1:9" s="2139" customFormat="1" hidden="1">
      <c r="A2980" s="2140" t="s">
        <v>6685</v>
      </c>
      <c r="B2980" s="2141">
        <v>11</v>
      </c>
      <c r="C2980" s="2141" t="s">
        <v>3151</v>
      </c>
      <c r="D2980" s="2141">
        <v>99</v>
      </c>
      <c r="E2980" s="2142">
        <v>125.8</v>
      </c>
      <c r="F2980" s="2142">
        <v>16789</v>
      </c>
      <c r="G2980" s="2142">
        <v>2112056.1999999997</v>
      </c>
      <c r="H2980" s="2143">
        <v>42403</v>
      </c>
      <c r="I2980" s="2142">
        <v>2102822</v>
      </c>
    </row>
    <row r="2981" spans="1:9" s="2139" customFormat="1" hidden="1">
      <c r="A2981" s="2140" t="s">
        <v>6703</v>
      </c>
      <c r="B2981" s="2141">
        <v>11</v>
      </c>
      <c r="C2981" s="2141" t="s">
        <v>3151</v>
      </c>
      <c r="D2981" s="2141">
        <v>151</v>
      </c>
      <c r="E2981" s="2142">
        <v>82.83</v>
      </c>
      <c r="F2981" s="2142">
        <v>16274</v>
      </c>
      <c r="G2981" s="2142">
        <v>1347975.42</v>
      </c>
      <c r="H2981" s="2143">
        <v>42403</v>
      </c>
      <c r="I2981" s="2142">
        <v>1349115</v>
      </c>
    </row>
    <row r="2982" spans="1:9" s="2139" customFormat="1" hidden="1">
      <c r="A2982" s="2140" t="s">
        <v>6704</v>
      </c>
      <c r="B2982" s="2141">
        <v>11</v>
      </c>
      <c r="C2982" s="2141" t="s">
        <v>3151</v>
      </c>
      <c r="D2982" s="2141">
        <v>152</v>
      </c>
      <c r="E2982" s="2142">
        <v>42.64</v>
      </c>
      <c r="F2982" s="2142">
        <v>11330</v>
      </c>
      <c r="G2982" s="2142">
        <v>483111.2</v>
      </c>
      <c r="H2982" s="2143">
        <v>42403</v>
      </c>
      <c r="I2982" s="2142">
        <v>483564</v>
      </c>
    </row>
    <row r="2983" spans="1:9" s="2139" customFormat="1" hidden="1">
      <c r="A2983" s="2140" t="s">
        <v>6705</v>
      </c>
      <c r="B2983" s="2141">
        <v>11</v>
      </c>
      <c r="C2983" s="2141" t="s">
        <v>3151</v>
      </c>
      <c r="D2983" s="2141">
        <v>153</v>
      </c>
      <c r="E2983" s="2142">
        <v>41.75</v>
      </c>
      <c r="F2983" s="2142">
        <v>11330</v>
      </c>
      <c r="G2983" s="2142">
        <v>473028</v>
      </c>
      <c r="H2983" s="2143">
        <v>42403</v>
      </c>
      <c r="I2983" s="2142">
        <v>473481</v>
      </c>
    </row>
    <row r="2984" spans="1:9" s="2139" customFormat="1" hidden="1">
      <c r="A2984" s="2140" t="s">
        <v>6706</v>
      </c>
      <c r="B2984" s="2141">
        <v>11</v>
      </c>
      <c r="C2984" s="2141" t="s">
        <v>3151</v>
      </c>
      <c r="D2984" s="2141">
        <v>155</v>
      </c>
      <c r="E2984" s="2142">
        <v>41.75</v>
      </c>
      <c r="F2984" s="2142">
        <v>11330</v>
      </c>
      <c r="G2984" s="2142">
        <v>473028</v>
      </c>
      <c r="H2984" s="2143">
        <v>42403</v>
      </c>
      <c r="I2984" s="2142">
        <v>473481</v>
      </c>
    </row>
    <row r="2985" spans="1:9" s="2139" customFormat="1" hidden="1">
      <c r="A2985" s="2140" t="s">
        <v>6720</v>
      </c>
      <c r="B2985" s="2141">
        <v>11</v>
      </c>
      <c r="C2985" s="2141" t="s">
        <v>3151</v>
      </c>
      <c r="D2985" s="2141">
        <v>208</v>
      </c>
      <c r="E2985" s="2142">
        <v>72.959999999999994</v>
      </c>
      <c r="F2985" s="2142">
        <v>14729</v>
      </c>
      <c r="G2985" s="2142">
        <v>1074627.8399999999</v>
      </c>
      <c r="H2985" s="2143">
        <v>42403</v>
      </c>
      <c r="I2985" s="2142">
        <v>1075512</v>
      </c>
    </row>
    <row r="2986" spans="1:9" s="2139" customFormat="1" hidden="1">
      <c r="A2986" s="2140" t="s">
        <v>6721</v>
      </c>
      <c r="B2986" s="2141">
        <v>11</v>
      </c>
      <c r="C2986" s="2141" t="s">
        <v>3151</v>
      </c>
      <c r="D2986" s="2141">
        <v>209</v>
      </c>
      <c r="E2986" s="2142">
        <v>72.959999999999994</v>
      </c>
      <c r="F2986" s="2142">
        <v>14729</v>
      </c>
      <c r="G2986" s="2142">
        <v>1074627.8399999999</v>
      </c>
      <c r="H2986" s="2143">
        <v>42403</v>
      </c>
      <c r="I2986" s="2142">
        <v>1075512</v>
      </c>
    </row>
    <row r="2987" spans="1:9" s="2139" customFormat="1" hidden="1">
      <c r="A2987" s="2140" t="s">
        <v>6722</v>
      </c>
      <c r="B2987" s="2141">
        <v>11</v>
      </c>
      <c r="C2987" s="2141" t="s">
        <v>3151</v>
      </c>
      <c r="D2987" s="2141">
        <v>210</v>
      </c>
      <c r="E2987" s="2142">
        <v>74.52</v>
      </c>
      <c r="F2987" s="2142">
        <v>14729</v>
      </c>
      <c r="G2987" s="2142">
        <v>1097605.0799999998</v>
      </c>
      <c r="H2987" s="2143">
        <v>42403</v>
      </c>
      <c r="I2987" s="2142">
        <v>1098489</v>
      </c>
    </row>
    <row r="2988" spans="1:9" s="2139" customFormat="1" hidden="1">
      <c r="A2988" s="2140" t="s">
        <v>6723</v>
      </c>
      <c r="B2988" s="2141">
        <v>11</v>
      </c>
      <c r="C2988" s="2141" t="s">
        <v>3151</v>
      </c>
      <c r="D2988" s="2141">
        <v>211</v>
      </c>
      <c r="E2988" s="2142">
        <v>165.41</v>
      </c>
      <c r="F2988" s="2142">
        <v>17613</v>
      </c>
      <c r="G2988" s="2142">
        <v>2913366.33</v>
      </c>
      <c r="H2988" s="2143">
        <v>42403</v>
      </c>
      <c r="I2988" s="2142">
        <v>2915656</v>
      </c>
    </row>
    <row r="2989" spans="1:9" s="2139" customFormat="1" hidden="1">
      <c r="A2989" s="2140" t="s">
        <v>6983</v>
      </c>
      <c r="B2989" s="2141">
        <v>12</v>
      </c>
      <c r="C2989" s="2141" t="s">
        <v>3151</v>
      </c>
      <c r="D2989" s="2141">
        <v>162</v>
      </c>
      <c r="E2989" s="2142">
        <v>63.32</v>
      </c>
      <c r="F2989" s="2142">
        <v>12600</v>
      </c>
      <c r="G2989" s="2142">
        <v>797832</v>
      </c>
      <c r="H2989" s="2143">
        <v>42390</v>
      </c>
      <c r="I2989" s="2142">
        <v>796572</v>
      </c>
    </row>
    <row r="2990" spans="1:9" hidden="1">
      <c r="A2990" s="3395" t="s">
        <v>5015</v>
      </c>
      <c r="B2990" s="3396" t="s">
        <v>3055</v>
      </c>
      <c r="C2990" s="3396" t="s">
        <v>3151</v>
      </c>
      <c r="D2990" s="3396">
        <v>56</v>
      </c>
      <c r="E2990" s="3397">
        <v>45.58</v>
      </c>
      <c r="F2990" s="3397">
        <v>11593.89</v>
      </c>
      <c r="G2990" s="3397">
        <v>528449.50619999995</v>
      </c>
      <c r="H2990" s="3557">
        <v>42369</v>
      </c>
      <c r="I2990" s="3397">
        <v>118449</v>
      </c>
    </row>
    <row r="2991" spans="1:9" hidden="1">
      <c r="A2991" s="3395" t="s">
        <v>5016</v>
      </c>
      <c r="B2991" s="3396" t="s">
        <v>3055</v>
      </c>
      <c r="C2991" s="3396" t="s">
        <v>3151</v>
      </c>
      <c r="D2991" s="3396">
        <v>57</v>
      </c>
      <c r="E2991" s="3397">
        <v>45.8</v>
      </c>
      <c r="F2991" s="3397">
        <v>11593.88</v>
      </c>
      <c r="G2991" s="3397">
        <v>530999.70399999991</v>
      </c>
      <c r="H2991" s="3557">
        <v>42369</v>
      </c>
      <c r="I2991" s="3397">
        <v>121000</v>
      </c>
    </row>
    <row r="2992" spans="1:9" hidden="1">
      <c r="A2992" s="3395" t="s">
        <v>5017</v>
      </c>
      <c r="B2992" s="3396" t="s">
        <v>3055</v>
      </c>
      <c r="C2992" s="3396" t="s">
        <v>3151</v>
      </c>
      <c r="D2992" s="3396">
        <v>73</v>
      </c>
      <c r="E2992" s="3397">
        <v>77.03</v>
      </c>
      <c r="F2992" s="3397">
        <v>17508.150000000001</v>
      </c>
      <c r="G2992" s="3397">
        <v>1348652.7945000001</v>
      </c>
      <c r="H2992" s="3557">
        <v>42369</v>
      </c>
      <c r="I2992" s="3397">
        <v>278653</v>
      </c>
    </row>
    <row r="2993" spans="1:9" hidden="1">
      <c r="A2993" s="3395" t="s">
        <v>5018</v>
      </c>
      <c r="B2993" s="3396" t="s">
        <v>3055</v>
      </c>
      <c r="C2993" s="3396" t="s">
        <v>3151</v>
      </c>
      <c r="D2993" s="3396">
        <v>75</v>
      </c>
      <c r="E2993" s="3397">
        <v>76.900000000000006</v>
      </c>
      <c r="F2993" s="3397">
        <v>17508.150000000001</v>
      </c>
      <c r="G2993" s="3397">
        <v>1346376.7350000001</v>
      </c>
      <c r="H2993" s="3557">
        <v>42369</v>
      </c>
      <c r="I2993" s="3397">
        <v>316377</v>
      </c>
    </row>
    <row r="2994" spans="1:9" s="2139" customFormat="1" hidden="1">
      <c r="A2994" s="2140" t="s">
        <v>6902</v>
      </c>
      <c r="B2994" s="2141">
        <v>12</v>
      </c>
      <c r="C2994" s="2141" t="s">
        <v>3151</v>
      </c>
      <c r="D2994" s="2141">
        <v>31</v>
      </c>
      <c r="E2994" s="2142">
        <v>90.22</v>
      </c>
      <c r="F2994" s="2142">
        <v>13078.41</v>
      </c>
      <c r="G2994" s="2142">
        <v>1179934.1502</v>
      </c>
      <c r="H2994" s="2143">
        <v>42369</v>
      </c>
      <c r="I2994" s="2142">
        <v>598365</v>
      </c>
    </row>
    <row r="2995" spans="1:9" s="2139" customFormat="1" hidden="1">
      <c r="A2995" s="2140" t="s">
        <v>6141</v>
      </c>
      <c r="B2995" s="2141">
        <v>8</v>
      </c>
      <c r="C2995" s="2141" t="s">
        <v>3261</v>
      </c>
      <c r="D2995" s="2141">
        <v>5</v>
      </c>
      <c r="E2995" s="2142">
        <v>64.86</v>
      </c>
      <c r="F2995" s="2142">
        <v>32800</v>
      </c>
      <c r="G2995" s="2142">
        <v>2127408</v>
      </c>
      <c r="H2995" s="2143"/>
      <c r="I2995" s="2142">
        <v>548383</v>
      </c>
    </row>
    <row r="2996" spans="1:9" s="2139" customFormat="1" hidden="1">
      <c r="A2996" s="2140" t="s">
        <v>6142</v>
      </c>
      <c r="B2996" s="2141">
        <v>8</v>
      </c>
      <c r="C2996" s="2141" t="s">
        <v>3261</v>
      </c>
      <c r="D2996" s="2141">
        <v>7</v>
      </c>
      <c r="E2996" s="2142">
        <v>64.86</v>
      </c>
      <c r="F2996" s="2142">
        <v>32300</v>
      </c>
      <c r="G2996" s="2142">
        <v>2094978</v>
      </c>
      <c r="H2996" s="2143">
        <v>42639</v>
      </c>
      <c r="I2996" s="2142">
        <v>50000</v>
      </c>
    </row>
    <row r="2997" spans="1:9" s="2139" customFormat="1" hidden="1">
      <c r="A2997" s="2140" t="s">
        <v>6143</v>
      </c>
      <c r="B2997" s="2141">
        <v>8</v>
      </c>
      <c r="C2997" s="2141" t="s">
        <v>3261</v>
      </c>
      <c r="D2997" s="2141">
        <v>12</v>
      </c>
      <c r="E2997" s="2142">
        <v>154.16999999999999</v>
      </c>
      <c r="F2997" s="2142">
        <v>35818</v>
      </c>
      <c r="G2997" s="2142">
        <v>5522061.0599999996</v>
      </c>
      <c r="H2997" s="2143">
        <v>42698</v>
      </c>
      <c r="I2997" s="2142">
        <v>2762390</v>
      </c>
    </row>
    <row r="2998" spans="1:9" s="2139" customFormat="1" hidden="1">
      <c r="A2998" s="2140" t="s">
        <v>6144</v>
      </c>
      <c r="B2998" s="2141">
        <v>8</v>
      </c>
      <c r="C2998" s="2141" t="s">
        <v>3261</v>
      </c>
      <c r="D2998" s="2141">
        <v>28</v>
      </c>
      <c r="E2998" s="2142">
        <v>74.08</v>
      </c>
      <c r="F2998" s="2142">
        <v>27300</v>
      </c>
      <c r="G2998" s="2142">
        <v>2022384</v>
      </c>
      <c r="H2998" s="2143"/>
      <c r="I2998" s="2142">
        <v>324652</v>
      </c>
    </row>
    <row r="2999" spans="1:9" s="2139" customFormat="1" hidden="1">
      <c r="A2999" s="2140" t="s">
        <v>6145</v>
      </c>
      <c r="B2999" s="2141">
        <v>8</v>
      </c>
      <c r="C2999" s="2141" t="s">
        <v>3261</v>
      </c>
      <c r="D2999" s="2141">
        <v>29</v>
      </c>
      <c r="E2999" s="2142">
        <v>70.069999999999993</v>
      </c>
      <c r="F2999" s="2142">
        <v>26800</v>
      </c>
      <c r="G2999" s="2142">
        <v>1877875.9999999998</v>
      </c>
      <c r="H2999" s="2143"/>
      <c r="I2999" s="2142">
        <v>235706</v>
      </c>
    </row>
    <row r="3000" spans="1:9" s="2139" customFormat="1" hidden="1">
      <c r="A3000" s="2140" t="s">
        <v>6146</v>
      </c>
      <c r="B3000" s="2141">
        <v>8</v>
      </c>
      <c r="C3000" s="2141" t="s">
        <v>3261</v>
      </c>
      <c r="D3000" s="2141">
        <v>30</v>
      </c>
      <c r="E3000" s="2142">
        <v>59.59</v>
      </c>
      <c r="F3000" s="2142">
        <v>26800</v>
      </c>
      <c r="G3000" s="2142">
        <v>1597012</v>
      </c>
      <c r="H3000" s="2143"/>
      <c r="I3000" s="2142">
        <v>186099</v>
      </c>
    </row>
    <row r="3001" spans="1:9" s="2139" customFormat="1" hidden="1">
      <c r="A3001" s="2140" t="s">
        <v>6147</v>
      </c>
      <c r="B3001" s="2141">
        <v>8</v>
      </c>
      <c r="C3001" s="2141" t="s">
        <v>3261</v>
      </c>
      <c r="D3001" s="2141">
        <v>31</v>
      </c>
      <c r="E3001" s="2142">
        <v>66.150000000000006</v>
      </c>
      <c r="F3001" s="2142">
        <v>26800</v>
      </c>
      <c r="G3001" s="2142">
        <v>1772820.0000000002</v>
      </c>
      <c r="H3001" s="2143">
        <v>42046</v>
      </c>
      <c r="I3001" s="2142">
        <v>1772820</v>
      </c>
    </row>
    <row r="3002" spans="1:9" s="2139" customFormat="1" hidden="1">
      <c r="A3002" s="2140" t="s">
        <v>6148</v>
      </c>
      <c r="B3002" s="2141">
        <v>8</v>
      </c>
      <c r="C3002" s="2141" t="s">
        <v>3261</v>
      </c>
      <c r="D3002" s="2141">
        <v>32</v>
      </c>
      <c r="E3002" s="2142">
        <v>134.72999999999999</v>
      </c>
      <c r="F3002" s="2142">
        <v>27300</v>
      </c>
      <c r="G3002" s="2142">
        <v>3678128.9999999995</v>
      </c>
      <c r="H3002" s="2143"/>
      <c r="I3002" s="2142">
        <v>256566</v>
      </c>
    </row>
    <row r="3003" spans="1:9" s="2139" customFormat="1" hidden="1">
      <c r="A3003" s="2140" t="s">
        <v>6149</v>
      </c>
      <c r="B3003" s="2141">
        <v>8</v>
      </c>
      <c r="C3003" s="2141" t="s">
        <v>3261</v>
      </c>
      <c r="D3003" s="2141">
        <v>33</v>
      </c>
      <c r="E3003" s="2142">
        <v>69.52</v>
      </c>
      <c r="F3003" s="2142">
        <v>27300</v>
      </c>
      <c r="G3003" s="2142">
        <v>1897896</v>
      </c>
      <c r="H3003" s="2143"/>
      <c r="I3003" s="2142">
        <v>224297</v>
      </c>
    </row>
    <row r="3004" spans="1:9" s="2139" customFormat="1" hidden="1">
      <c r="A3004" s="2140" t="s">
        <v>6150</v>
      </c>
      <c r="B3004" s="2141">
        <v>8</v>
      </c>
      <c r="C3004" s="2141" t="s">
        <v>3261</v>
      </c>
      <c r="D3004" s="2141">
        <v>38</v>
      </c>
      <c r="E3004" s="2142">
        <v>74.42</v>
      </c>
      <c r="F3004" s="2142">
        <v>26800</v>
      </c>
      <c r="G3004" s="2142">
        <v>1994456</v>
      </c>
      <c r="H3004" s="2143"/>
      <c r="I3004" s="2142">
        <v>235545</v>
      </c>
    </row>
    <row r="3005" spans="1:9" s="2139" customFormat="1" hidden="1">
      <c r="A3005" s="2140" t="s">
        <v>6151</v>
      </c>
      <c r="B3005" s="2141">
        <v>8</v>
      </c>
      <c r="C3005" s="2141" t="s">
        <v>3261</v>
      </c>
      <c r="D3005" s="2141">
        <v>39</v>
      </c>
      <c r="E3005" s="2142">
        <v>74.42</v>
      </c>
      <c r="F3005" s="2142">
        <v>26800</v>
      </c>
      <c r="G3005" s="2142">
        <v>1994456</v>
      </c>
      <c r="H3005" s="2143"/>
      <c r="I3005" s="2142">
        <v>235545</v>
      </c>
    </row>
    <row r="3006" spans="1:9" s="2139" customFormat="1" hidden="1">
      <c r="A3006" s="2140" t="s">
        <v>6152</v>
      </c>
      <c r="B3006" s="2141">
        <v>8</v>
      </c>
      <c r="C3006" s="2141" t="s">
        <v>3261</v>
      </c>
      <c r="D3006" s="2141">
        <v>40</v>
      </c>
      <c r="E3006" s="2142">
        <v>78.650000000000006</v>
      </c>
      <c r="F3006" s="2142">
        <v>27300</v>
      </c>
      <c r="G3006" s="2142">
        <v>2147145</v>
      </c>
      <c r="H3006" s="2143"/>
      <c r="I3006" s="2142">
        <v>255938</v>
      </c>
    </row>
    <row r="3007" spans="1:9" s="2139" customFormat="1" hidden="1">
      <c r="A3007" s="2140" t="s">
        <v>6153</v>
      </c>
      <c r="B3007" s="2141">
        <v>8</v>
      </c>
      <c r="C3007" s="2141" t="s">
        <v>3261</v>
      </c>
      <c r="D3007" s="2141">
        <v>47</v>
      </c>
      <c r="E3007" s="2142">
        <v>106.12</v>
      </c>
      <c r="F3007" s="2142">
        <v>33800</v>
      </c>
      <c r="G3007" s="2142">
        <v>3586856</v>
      </c>
      <c r="H3007" s="2143"/>
      <c r="I3007" s="2142">
        <v>429006.5</v>
      </c>
    </row>
    <row r="3008" spans="1:9" s="2139" customFormat="1" hidden="1">
      <c r="A3008" s="2140" t="s">
        <v>6154</v>
      </c>
      <c r="B3008" s="2141">
        <v>8</v>
      </c>
      <c r="C3008" s="2141" t="s">
        <v>3261</v>
      </c>
      <c r="D3008" s="2141">
        <v>48</v>
      </c>
      <c r="E3008" s="2142">
        <v>100.37</v>
      </c>
      <c r="F3008" s="2142">
        <v>33800</v>
      </c>
      <c r="G3008" s="2142">
        <v>3392506</v>
      </c>
      <c r="H3008" s="2143"/>
      <c r="I3008" s="2142">
        <v>429006.5</v>
      </c>
    </row>
    <row r="3009" spans="1:9" s="2139" customFormat="1" hidden="1">
      <c r="A3009" s="2140" t="s">
        <v>6155</v>
      </c>
      <c r="B3009" s="2141">
        <v>8</v>
      </c>
      <c r="C3009" s="2141" t="s">
        <v>3261</v>
      </c>
      <c r="D3009" s="2141">
        <v>49</v>
      </c>
      <c r="E3009" s="2142">
        <v>100.37</v>
      </c>
      <c r="F3009" s="2142">
        <v>33800</v>
      </c>
      <c r="G3009" s="2142">
        <v>3392506</v>
      </c>
      <c r="H3009" s="2143"/>
      <c r="I3009" s="2142">
        <v>415233</v>
      </c>
    </row>
    <row r="3010" spans="1:9" s="2139" customFormat="1" hidden="1">
      <c r="A3010" s="2140" t="s">
        <v>6156</v>
      </c>
      <c r="B3010" s="2141">
        <v>8</v>
      </c>
      <c r="C3010" s="2141" t="s">
        <v>3261</v>
      </c>
      <c r="D3010" s="2141">
        <v>50</v>
      </c>
      <c r="E3010" s="2142">
        <v>101.46</v>
      </c>
      <c r="F3010" s="2142">
        <v>33800</v>
      </c>
      <c r="G3010" s="2142">
        <v>3429348</v>
      </c>
      <c r="H3010" s="2143"/>
      <c r="I3010" s="2142">
        <v>415233</v>
      </c>
    </row>
    <row r="3011" spans="1:9" s="2139" customFormat="1" hidden="1">
      <c r="A3011" s="2140" t="s">
        <v>6157</v>
      </c>
      <c r="B3011" s="2141">
        <v>8</v>
      </c>
      <c r="C3011" s="2141" t="s">
        <v>3261</v>
      </c>
      <c r="D3011" s="2141">
        <v>55</v>
      </c>
      <c r="E3011" s="2142">
        <v>107.64</v>
      </c>
      <c r="F3011" s="2142">
        <v>31800</v>
      </c>
      <c r="G3011" s="2142">
        <v>3422952</v>
      </c>
      <c r="H3011" s="2143"/>
      <c r="I3011" s="2142">
        <v>415722</v>
      </c>
    </row>
    <row r="3012" spans="1:9" s="2139" customFormat="1" hidden="1">
      <c r="A3012" s="2140" t="s">
        <v>6158</v>
      </c>
      <c r="B3012" s="2141">
        <v>8</v>
      </c>
      <c r="C3012" s="2141" t="s">
        <v>3261</v>
      </c>
      <c r="D3012" s="2141">
        <v>56</v>
      </c>
      <c r="E3012" s="2142">
        <v>101.97</v>
      </c>
      <c r="F3012" s="2142">
        <v>31800</v>
      </c>
      <c r="G3012" s="2142">
        <v>3242646</v>
      </c>
      <c r="H3012" s="2143"/>
      <c r="I3012" s="2142">
        <v>389773</v>
      </c>
    </row>
    <row r="3013" spans="1:9" s="2139" customFormat="1" hidden="1">
      <c r="A3013" s="2140" t="s">
        <v>6159</v>
      </c>
      <c r="B3013" s="2141">
        <v>8</v>
      </c>
      <c r="C3013" s="2141" t="s">
        <v>3261</v>
      </c>
      <c r="D3013" s="2141">
        <v>59</v>
      </c>
      <c r="E3013" s="2142">
        <v>104.74</v>
      </c>
      <c r="F3013" s="2142">
        <v>32800</v>
      </c>
      <c r="G3013" s="2142">
        <v>3435472</v>
      </c>
      <c r="H3013" s="2143"/>
      <c r="I3013" s="2142">
        <v>804748</v>
      </c>
    </row>
    <row r="3014" spans="1:9" s="2139" customFormat="1" hidden="1">
      <c r="A3014" s="2140" t="s">
        <v>6160</v>
      </c>
      <c r="B3014" s="2141">
        <v>8</v>
      </c>
      <c r="C3014" s="2141" t="s">
        <v>3261</v>
      </c>
      <c r="D3014" s="2141">
        <v>65</v>
      </c>
      <c r="E3014" s="2142">
        <v>144.33000000000001</v>
      </c>
      <c r="F3014" s="2142">
        <v>33800</v>
      </c>
      <c r="G3014" s="2142">
        <v>4878354</v>
      </c>
      <c r="H3014" s="2143"/>
      <c r="I3014" s="2142">
        <v>420692</v>
      </c>
    </row>
    <row r="3015" spans="1:9" s="2139" customFormat="1" hidden="1">
      <c r="A3015" s="2140" t="s">
        <v>6161</v>
      </c>
      <c r="B3015" s="2141">
        <v>8</v>
      </c>
      <c r="C3015" s="2141" t="s">
        <v>3261</v>
      </c>
      <c r="D3015" s="2141">
        <v>66</v>
      </c>
      <c r="E3015" s="2142">
        <v>49.8</v>
      </c>
      <c r="F3015" s="2142">
        <v>33800</v>
      </c>
      <c r="G3015" s="2142">
        <v>1683240</v>
      </c>
      <c r="H3015" s="2143"/>
      <c r="I3015" s="2142">
        <v>420692</v>
      </c>
    </row>
    <row r="3016" spans="1:9" s="2139" customFormat="1" hidden="1">
      <c r="A3016" s="2140" t="s">
        <v>6162</v>
      </c>
      <c r="B3016" s="2141">
        <v>8</v>
      </c>
      <c r="C3016" s="2141" t="s">
        <v>3261</v>
      </c>
      <c r="D3016" s="2141">
        <v>67</v>
      </c>
      <c r="E3016" s="2142">
        <v>77.400000000000006</v>
      </c>
      <c r="F3016" s="2142">
        <v>31800</v>
      </c>
      <c r="G3016" s="2142">
        <v>2461320</v>
      </c>
      <c r="H3016" s="2143"/>
      <c r="I3016" s="2142">
        <v>265307</v>
      </c>
    </row>
    <row r="3017" spans="1:9" s="2139" customFormat="1" hidden="1">
      <c r="A3017" s="2140" t="s">
        <v>6163</v>
      </c>
      <c r="B3017" s="2141">
        <v>8</v>
      </c>
      <c r="C3017" s="2141" t="s">
        <v>3261</v>
      </c>
      <c r="D3017" s="2141">
        <v>68</v>
      </c>
      <c r="E3017" s="2142">
        <v>70.739999999999995</v>
      </c>
      <c r="F3017" s="2142">
        <v>31800</v>
      </c>
      <c r="G3017" s="2142">
        <v>2249532</v>
      </c>
      <c r="H3017" s="2143"/>
      <c r="I3017" s="2142">
        <v>250393</v>
      </c>
    </row>
    <row r="3018" spans="1:9" s="2139" customFormat="1" hidden="1">
      <c r="A3018" s="2140" t="s">
        <v>6164</v>
      </c>
      <c r="B3018" s="2141">
        <v>8</v>
      </c>
      <c r="C3018" s="2141" t="s">
        <v>3261</v>
      </c>
      <c r="D3018" s="2141">
        <v>69</v>
      </c>
      <c r="E3018" s="2142">
        <v>132.51</v>
      </c>
      <c r="F3018" s="2142">
        <v>32800</v>
      </c>
      <c r="G3018" s="2142">
        <v>4346328</v>
      </c>
      <c r="H3018" s="2143"/>
      <c r="I3018" s="2142">
        <v>48096</v>
      </c>
    </row>
    <row r="3019" spans="1:9" s="2139" customFormat="1" hidden="1">
      <c r="A3019" s="2140" t="s">
        <v>6165</v>
      </c>
      <c r="B3019" s="2141">
        <v>8</v>
      </c>
      <c r="C3019" s="2141" t="s">
        <v>3261</v>
      </c>
      <c r="D3019" s="2141">
        <v>70</v>
      </c>
      <c r="E3019" s="2142">
        <v>46.16</v>
      </c>
      <c r="F3019" s="2142">
        <v>32800</v>
      </c>
      <c r="G3019" s="2142">
        <v>1514048</v>
      </c>
      <c r="H3019" s="2143"/>
      <c r="I3019" s="2142">
        <v>48096</v>
      </c>
    </row>
    <row r="3020" spans="1:9" s="2139" customFormat="1" hidden="1">
      <c r="A3020" s="2140" t="s">
        <v>6166</v>
      </c>
      <c r="B3020" s="2141">
        <v>8</v>
      </c>
      <c r="C3020" s="2141" t="s">
        <v>3261</v>
      </c>
      <c r="D3020" s="2141">
        <v>77</v>
      </c>
      <c r="E3020" s="2142">
        <v>58.68</v>
      </c>
      <c r="F3020" s="2142">
        <v>31800</v>
      </c>
      <c r="G3020" s="2142">
        <v>1866024</v>
      </c>
      <c r="H3020" s="2143"/>
      <c r="I3020" s="2142">
        <v>265212</v>
      </c>
    </row>
    <row r="3021" spans="1:9" s="2139" customFormat="1" hidden="1">
      <c r="A3021" s="2140" t="s">
        <v>6167</v>
      </c>
      <c r="B3021" s="2141">
        <v>8</v>
      </c>
      <c r="C3021" s="2141" t="s">
        <v>3261</v>
      </c>
      <c r="D3021" s="2141">
        <v>78</v>
      </c>
      <c r="E3021" s="2142">
        <v>83.43</v>
      </c>
      <c r="F3021" s="2142">
        <v>33800</v>
      </c>
      <c r="G3021" s="2142">
        <v>2819934</v>
      </c>
      <c r="H3021" s="2143"/>
      <c r="I3021" s="2142">
        <v>375349</v>
      </c>
    </row>
    <row r="3022" spans="1:9" s="2139" customFormat="1" hidden="1">
      <c r="A3022" s="2140" t="s">
        <v>6168</v>
      </c>
      <c r="B3022" s="2141">
        <v>8</v>
      </c>
      <c r="C3022" s="2141" t="s">
        <v>3261</v>
      </c>
      <c r="D3022" s="2141">
        <v>85</v>
      </c>
      <c r="E3022" s="2142">
        <v>60.39</v>
      </c>
      <c r="F3022" s="2142">
        <v>31800</v>
      </c>
      <c r="G3022" s="2142">
        <v>1920402</v>
      </c>
      <c r="H3022" s="2143"/>
      <c r="I3022" s="2142">
        <v>207082</v>
      </c>
    </row>
    <row r="3023" spans="1:9" s="2139" customFormat="1" hidden="1">
      <c r="A3023" s="2140" t="s">
        <v>6169</v>
      </c>
      <c r="B3023" s="2141">
        <v>8</v>
      </c>
      <c r="C3023" s="2141" t="s">
        <v>3261</v>
      </c>
      <c r="D3023" s="2141">
        <v>87</v>
      </c>
      <c r="E3023" s="2142">
        <v>128.65</v>
      </c>
      <c r="F3023" s="2142">
        <v>36300</v>
      </c>
      <c r="G3023" s="2142">
        <v>4669995</v>
      </c>
      <c r="H3023" s="2143"/>
      <c r="I3023" s="2142">
        <v>606337</v>
      </c>
    </row>
    <row r="3024" spans="1:9" s="2139" customFormat="1" hidden="1">
      <c r="A3024" s="2140" t="s">
        <v>6170</v>
      </c>
      <c r="B3024" s="2141">
        <v>8</v>
      </c>
      <c r="C3024" s="2141" t="s">
        <v>3261</v>
      </c>
      <c r="D3024" s="2141">
        <v>89</v>
      </c>
      <c r="E3024" s="2142">
        <v>45.01</v>
      </c>
      <c r="F3024" s="2142">
        <v>25800</v>
      </c>
      <c r="G3024" s="2142">
        <v>1161258</v>
      </c>
      <c r="H3024" s="2143"/>
      <c r="I3024" s="2142">
        <v>92983</v>
      </c>
    </row>
    <row r="3025" spans="1:9" s="2139" customFormat="1" hidden="1">
      <c r="A3025" s="2140" t="s">
        <v>6171</v>
      </c>
      <c r="B3025" s="2141">
        <v>8</v>
      </c>
      <c r="C3025" s="2141" t="s">
        <v>3261</v>
      </c>
      <c r="D3025" s="2141">
        <v>91</v>
      </c>
      <c r="E3025" s="2142">
        <v>56.02</v>
      </c>
      <c r="F3025" s="2142">
        <v>35800</v>
      </c>
      <c r="G3025" s="2142">
        <v>2005516</v>
      </c>
      <c r="H3025" s="2143"/>
      <c r="I3025" s="2142">
        <v>533706</v>
      </c>
    </row>
    <row r="3026" spans="1:9" s="2139" customFormat="1" hidden="1">
      <c r="A3026" s="2140" t="s">
        <v>6172</v>
      </c>
      <c r="B3026" s="2141">
        <v>8</v>
      </c>
      <c r="C3026" s="2141" t="s">
        <v>3261</v>
      </c>
      <c r="D3026" s="2141">
        <v>92</v>
      </c>
      <c r="E3026" s="2142">
        <v>103.78</v>
      </c>
      <c r="F3026" s="2142">
        <v>35800</v>
      </c>
      <c r="G3026" s="2142">
        <v>3715324</v>
      </c>
      <c r="H3026" s="2143"/>
      <c r="I3026" s="2142">
        <v>428096.5</v>
      </c>
    </row>
    <row r="3027" spans="1:9" s="2139" customFormat="1" hidden="1">
      <c r="A3027" s="2140" t="s">
        <v>6173</v>
      </c>
      <c r="B3027" s="2141">
        <v>8</v>
      </c>
      <c r="C3027" s="2141" t="s">
        <v>3261</v>
      </c>
      <c r="D3027" s="2141">
        <v>93</v>
      </c>
      <c r="E3027" s="2142">
        <v>130.54</v>
      </c>
      <c r="F3027" s="2142">
        <v>35800</v>
      </c>
      <c r="G3027" s="2142">
        <v>4673332</v>
      </c>
      <c r="H3027" s="2143"/>
      <c r="I3027" s="2142">
        <v>428096.5</v>
      </c>
    </row>
    <row r="3028" spans="1:9" s="2139" customFormat="1" hidden="1">
      <c r="A3028" s="2140" t="s">
        <v>6174</v>
      </c>
      <c r="B3028" s="2141">
        <v>8</v>
      </c>
      <c r="C3028" s="2141" t="s">
        <v>3261</v>
      </c>
      <c r="D3028" s="2141">
        <v>96</v>
      </c>
      <c r="E3028" s="2142">
        <v>139.46</v>
      </c>
      <c r="F3028" s="2142">
        <v>36300</v>
      </c>
      <c r="G3028" s="2142">
        <v>5062398</v>
      </c>
      <c r="H3028" s="2143"/>
      <c r="I3028" s="2142">
        <v>606337</v>
      </c>
    </row>
    <row r="3029" spans="1:9" s="2139" customFormat="1" hidden="1">
      <c r="A3029" s="2140" t="s">
        <v>6175</v>
      </c>
      <c r="B3029" s="2141">
        <v>8</v>
      </c>
      <c r="C3029" s="2141" t="s">
        <v>3261</v>
      </c>
      <c r="D3029" s="2141">
        <v>97</v>
      </c>
      <c r="E3029" s="2142">
        <v>64.84</v>
      </c>
      <c r="F3029" s="2142">
        <v>36300</v>
      </c>
      <c r="G3029" s="2142">
        <v>2353692</v>
      </c>
      <c r="H3029" s="2143"/>
      <c r="I3029" s="2142">
        <v>434402.5</v>
      </c>
    </row>
    <row r="3030" spans="1:9" s="2139" customFormat="1" hidden="1">
      <c r="A3030" s="2140" t="s">
        <v>6176</v>
      </c>
      <c r="B3030" s="2141">
        <v>8</v>
      </c>
      <c r="C3030" s="2141" t="s">
        <v>3261</v>
      </c>
      <c r="D3030" s="2141">
        <v>98</v>
      </c>
      <c r="E3030" s="2142">
        <v>68.760000000000005</v>
      </c>
      <c r="F3030" s="2142">
        <v>36300</v>
      </c>
      <c r="G3030" s="2142">
        <v>2495988</v>
      </c>
      <c r="H3030" s="2143"/>
      <c r="I3030" s="2142">
        <v>434402.5</v>
      </c>
    </row>
    <row r="3031" spans="1:9" s="2139" customFormat="1" hidden="1">
      <c r="A3031" s="2140" t="s">
        <v>6177</v>
      </c>
      <c r="B3031" s="2141">
        <v>8</v>
      </c>
      <c r="C3031" s="2141" t="s">
        <v>3142</v>
      </c>
      <c r="D3031" s="2141">
        <v>12</v>
      </c>
      <c r="E3031" s="2142">
        <v>75.67</v>
      </c>
      <c r="F3031" s="2142">
        <v>17293.150000000001</v>
      </c>
      <c r="G3031" s="2142">
        <v>1308572.6605000002</v>
      </c>
      <c r="H3031" s="2143">
        <v>42616</v>
      </c>
      <c r="I3031" s="2142">
        <v>1308400</v>
      </c>
    </row>
    <row r="3032" spans="1:9" s="2139" customFormat="1" hidden="1">
      <c r="A3032" s="2140" t="s">
        <v>6178</v>
      </c>
      <c r="B3032" s="2141">
        <v>8</v>
      </c>
      <c r="C3032" s="2141" t="s">
        <v>3142</v>
      </c>
      <c r="D3032" s="2141">
        <v>13</v>
      </c>
      <c r="E3032" s="2142">
        <v>75.67</v>
      </c>
      <c r="F3032" s="2142">
        <v>17293.150000000001</v>
      </c>
      <c r="G3032" s="2142">
        <v>1308572.6605000002</v>
      </c>
      <c r="H3032" s="2143">
        <v>42485</v>
      </c>
      <c r="I3032" s="2142">
        <v>1308400</v>
      </c>
    </row>
    <row r="3033" spans="1:9" s="2139" customFormat="1" hidden="1">
      <c r="A3033" s="2140" t="s">
        <v>6179</v>
      </c>
      <c r="B3033" s="2141">
        <v>8</v>
      </c>
      <c r="C3033" s="2141" t="s">
        <v>3142</v>
      </c>
      <c r="D3033" s="2141">
        <v>15</v>
      </c>
      <c r="E3033" s="2142">
        <v>75.67</v>
      </c>
      <c r="F3033" s="2142">
        <v>17828</v>
      </c>
      <c r="G3033" s="2142">
        <v>1349044.76</v>
      </c>
      <c r="H3033" s="2143">
        <v>41998</v>
      </c>
      <c r="I3033" s="2142">
        <v>1348866</v>
      </c>
    </row>
    <row r="3034" spans="1:9" s="2139" customFormat="1" hidden="1">
      <c r="A3034" s="2140" t="s">
        <v>6180</v>
      </c>
      <c r="B3034" s="2141">
        <v>8</v>
      </c>
      <c r="C3034" s="2141" t="s">
        <v>3142</v>
      </c>
      <c r="D3034" s="2141">
        <v>16</v>
      </c>
      <c r="E3034" s="2142">
        <v>78.56</v>
      </c>
      <c r="F3034" s="2142">
        <v>18328</v>
      </c>
      <c r="G3034" s="2142">
        <v>1439847.68</v>
      </c>
      <c r="H3034" s="2143">
        <v>41998</v>
      </c>
      <c r="I3034" s="2142">
        <v>1439481</v>
      </c>
    </row>
    <row r="3035" spans="1:9" s="2139" customFormat="1" hidden="1">
      <c r="A3035" s="2140" t="s">
        <v>6181</v>
      </c>
      <c r="B3035" s="2141">
        <v>8</v>
      </c>
      <c r="C3035" s="2141" t="s">
        <v>3142</v>
      </c>
      <c r="D3035" s="2141">
        <v>19</v>
      </c>
      <c r="E3035" s="2142">
        <v>75.67</v>
      </c>
      <c r="F3035" s="2142">
        <v>17293.150000000001</v>
      </c>
      <c r="G3035" s="2142">
        <v>1308572.6605000002</v>
      </c>
      <c r="H3035" s="2143">
        <v>42536</v>
      </c>
      <c r="I3035" s="2142">
        <v>1308400</v>
      </c>
    </row>
    <row r="3036" spans="1:9" s="2139" customFormat="1" hidden="1">
      <c r="A3036" s="2140" t="s">
        <v>6182</v>
      </c>
      <c r="B3036" s="2141">
        <v>8</v>
      </c>
      <c r="C3036" s="2141" t="s">
        <v>3142</v>
      </c>
      <c r="D3036" s="2141">
        <v>20</v>
      </c>
      <c r="E3036" s="2142">
        <v>75.67</v>
      </c>
      <c r="F3036" s="2142">
        <v>17828</v>
      </c>
      <c r="G3036" s="2142">
        <v>1349044.76</v>
      </c>
      <c r="H3036" s="2143">
        <v>42536</v>
      </c>
      <c r="I3036" s="2142">
        <v>1348866</v>
      </c>
    </row>
    <row r="3037" spans="1:9" s="2139" customFormat="1" hidden="1">
      <c r="A3037" s="2140" t="s">
        <v>6183</v>
      </c>
      <c r="B3037" s="2141">
        <v>8</v>
      </c>
      <c r="C3037" s="2141" t="s">
        <v>3142</v>
      </c>
      <c r="D3037" s="2141">
        <v>22</v>
      </c>
      <c r="E3037" s="2142">
        <v>75.67</v>
      </c>
      <c r="F3037" s="2142">
        <v>17828</v>
      </c>
      <c r="G3037" s="2142">
        <v>1349044.76</v>
      </c>
      <c r="H3037" s="2143">
        <v>42611</v>
      </c>
      <c r="I3037" s="2142">
        <v>678866</v>
      </c>
    </row>
    <row r="3038" spans="1:9" s="2139" customFormat="1" hidden="1">
      <c r="A3038" s="2140" t="s">
        <v>6184</v>
      </c>
      <c r="B3038" s="2141">
        <v>8</v>
      </c>
      <c r="C3038" s="2141" t="s">
        <v>3142</v>
      </c>
      <c r="D3038" s="2141">
        <v>23</v>
      </c>
      <c r="E3038" s="2142">
        <v>78.55</v>
      </c>
      <c r="F3038" s="2142">
        <v>18028</v>
      </c>
      <c r="G3038" s="2142">
        <v>1416099.4</v>
      </c>
      <c r="H3038" s="2143">
        <v>42611</v>
      </c>
      <c r="I3038" s="2142">
        <v>715919</v>
      </c>
    </row>
    <row r="3039" spans="1:9" s="2139" customFormat="1" hidden="1">
      <c r="A3039" s="2140" t="s">
        <v>6185</v>
      </c>
      <c r="B3039" s="2141">
        <v>8</v>
      </c>
      <c r="C3039" s="2141" t="s">
        <v>3142</v>
      </c>
      <c r="D3039" s="2141">
        <v>25</v>
      </c>
      <c r="E3039" s="2142">
        <v>69.81</v>
      </c>
      <c r="F3039" s="2142">
        <v>18028</v>
      </c>
      <c r="G3039" s="2142">
        <v>1258534.68</v>
      </c>
      <c r="H3039" s="2143">
        <v>42016</v>
      </c>
      <c r="I3039" s="2142">
        <v>268354</v>
      </c>
    </row>
    <row r="3040" spans="1:9" s="2139" customFormat="1" hidden="1">
      <c r="A3040" s="2140" t="s">
        <v>6186</v>
      </c>
      <c r="B3040" s="2141">
        <v>8</v>
      </c>
      <c r="C3040" s="2141" t="s">
        <v>3142</v>
      </c>
      <c r="D3040" s="2141">
        <v>26</v>
      </c>
      <c r="E3040" s="2142">
        <v>66.739999999999995</v>
      </c>
      <c r="F3040" s="2142">
        <v>17828</v>
      </c>
      <c r="G3040" s="2142">
        <v>1189840.72</v>
      </c>
      <c r="H3040" s="2143">
        <v>42016</v>
      </c>
      <c r="I3040" s="2142">
        <v>249662</v>
      </c>
    </row>
    <row r="3041" spans="1:9" s="2139" customFormat="1" hidden="1">
      <c r="A3041" s="2140" t="s">
        <v>6187</v>
      </c>
      <c r="B3041" s="2141">
        <v>8</v>
      </c>
      <c r="C3041" s="2141" t="s">
        <v>3142</v>
      </c>
      <c r="D3041" s="2141">
        <v>27</v>
      </c>
      <c r="E3041" s="2142">
        <v>75.66</v>
      </c>
      <c r="F3041" s="2142">
        <v>17828</v>
      </c>
      <c r="G3041" s="2142">
        <v>1348866.48</v>
      </c>
      <c r="H3041" s="2143">
        <v>42132</v>
      </c>
      <c r="I3041" s="2142">
        <v>278688</v>
      </c>
    </row>
    <row r="3042" spans="1:9" s="2139" customFormat="1" hidden="1">
      <c r="A3042" s="2140" t="s">
        <v>6188</v>
      </c>
      <c r="B3042" s="2141">
        <v>8</v>
      </c>
      <c r="C3042" s="2141" t="s">
        <v>3142</v>
      </c>
      <c r="D3042" s="2141">
        <v>28</v>
      </c>
      <c r="E3042" s="2142">
        <v>101.46</v>
      </c>
      <c r="F3042" s="2142">
        <v>18328</v>
      </c>
      <c r="G3042" s="2142">
        <v>1859558.88</v>
      </c>
      <c r="H3042" s="2143">
        <v>42132</v>
      </c>
      <c r="I3042" s="2142">
        <v>389192</v>
      </c>
    </row>
    <row r="3043" spans="1:9" s="2139" customFormat="1" hidden="1">
      <c r="A3043" s="2140" t="s">
        <v>6189</v>
      </c>
      <c r="B3043" s="2141">
        <v>8</v>
      </c>
      <c r="C3043" s="2141" t="s">
        <v>3142</v>
      </c>
      <c r="D3043" s="2141">
        <v>29</v>
      </c>
      <c r="E3043" s="2142">
        <v>55.7</v>
      </c>
      <c r="F3043" s="2142">
        <v>18028</v>
      </c>
      <c r="G3043" s="2142">
        <v>1004159.6000000001</v>
      </c>
      <c r="H3043" s="2143">
        <v>42132</v>
      </c>
      <c r="I3043" s="2142">
        <v>203979</v>
      </c>
    </row>
    <row r="3044" spans="1:9" s="2139" customFormat="1" hidden="1">
      <c r="A3044" s="2140" t="s">
        <v>6190</v>
      </c>
      <c r="B3044" s="2141">
        <v>8</v>
      </c>
      <c r="C3044" s="2141" t="s">
        <v>3142</v>
      </c>
      <c r="D3044" s="2141">
        <v>30</v>
      </c>
      <c r="E3044" s="2142">
        <v>59.52</v>
      </c>
      <c r="F3044" s="2142">
        <v>18028</v>
      </c>
      <c r="G3044" s="2142">
        <v>1073026.5600000001</v>
      </c>
      <c r="H3044" s="2143">
        <v>42132</v>
      </c>
      <c r="I3044" s="2142">
        <v>222846</v>
      </c>
    </row>
    <row r="3045" spans="1:9" s="2139" customFormat="1" hidden="1">
      <c r="A3045" s="2140" t="s">
        <v>6191</v>
      </c>
      <c r="B3045" s="2141">
        <v>8</v>
      </c>
      <c r="C3045" s="2141" t="s">
        <v>3142</v>
      </c>
      <c r="D3045" s="2141">
        <v>31</v>
      </c>
      <c r="E3045" s="2142">
        <v>51.6</v>
      </c>
      <c r="F3045" s="2142">
        <v>13328</v>
      </c>
      <c r="G3045" s="2142">
        <v>687724.8</v>
      </c>
      <c r="H3045" s="2143">
        <v>42132</v>
      </c>
      <c r="I3045" s="2142">
        <v>147592</v>
      </c>
    </row>
    <row r="3046" spans="1:9" s="2139" customFormat="1" hidden="1">
      <c r="A3046" s="2140" t="s">
        <v>6192</v>
      </c>
      <c r="B3046" s="2141">
        <v>8</v>
      </c>
      <c r="C3046" s="2141" t="s">
        <v>3142</v>
      </c>
      <c r="D3046" s="2141">
        <v>32</v>
      </c>
      <c r="E3046" s="2142">
        <v>28.79</v>
      </c>
      <c r="F3046" s="2142">
        <v>13628</v>
      </c>
      <c r="G3046" s="2142">
        <v>392350.12</v>
      </c>
      <c r="H3046" s="2143">
        <v>42132</v>
      </c>
      <c r="I3046" s="2142">
        <v>92214</v>
      </c>
    </row>
    <row r="3047" spans="1:9" s="2139" customFormat="1" hidden="1">
      <c r="A3047" s="2140" t="s">
        <v>6193</v>
      </c>
      <c r="B3047" s="2141">
        <v>8</v>
      </c>
      <c r="C3047" s="2141" t="s">
        <v>3142</v>
      </c>
      <c r="D3047" s="2141">
        <v>37</v>
      </c>
      <c r="E3047" s="2142">
        <v>60.34</v>
      </c>
      <c r="F3047" s="2142">
        <v>14328</v>
      </c>
      <c r="G3047" s="2142">
        <v>864551.52</v>
      </c>
      <c r="H3047" s="2143">
        <v>42008</v>
      </c>
      <c r="I3047" s="2142">
        <v>864408</v>
      </c>
    </row>
    <row r="3048" spans="1:9" s="2139" customFormat="1" hidden="1">
      <c r="A3048" s="2140" t="s">
        <v>6194</v>
      </c>
      <c r="B3048" s="2141">
        <v>8</v>
      </c>
      <c r="C3048" s="2141" t="s">
        <v>3142</v>
      </c>
      <c r="D3048" s="2141">
        <v>38</v>
      </c>
      <c r="E3048" s="2142">
        <v>156.57</v>
      </c>
      <c r="F3048" s="2142">
        <v>14328</v>
      </c>
      <c r="G3048" s="2142">
        <v>2243334.96</v>
      </c>
      <c r="H3048" s="2143">
        <v>41998</v>
      </c>
      <c r="I3048" s="2142">
        <v>2243048</v>
      </c>
    </row>
    <row r="3049" spans="1:9" s="2139" customFormat="1" hidden="1">
      <c r="A3049" s="2140" t="s">
        <v>6195</v>
      </c>
      <c r="B3049" s="2141">
        <v>8</v>
      </c>
      <c r="C3049" s="2141" t="s">
        <v>3142</v>
      </c>
      <c r="D3049" s="2141">
        <v>71</v>
      </c>
      <c r="E3049" s="2142">
        <v>123.36</v>
      </c>
      <c r="F3049" s="2142">
        <v>14328</v>
      </c>
      <c r="G3049" s="2142">
        <v>1767502.08</v>
      </c>
      <c r="H3049" s="2143"/>
      <c r="I3049" s="2142">
        <v>146819</v>
      </c>
    </row>
    <row r="3050" spans="1:9" s="2139" customFormat="1" hidden="1">
      <c r="A3050" s="2140" t="s">
        <v>6196</v>
      </c>
      <c r="B3050" s="2141">
        <v>8</v>
      </c>
      <c r="C3050" s="2141" t="s">
        <v>3142</v>
      </c>
      <c r="D3050" s="2141">
        <v>72</v>
      </c>
      <c r="E3050" s="2142">
        <v>53.9</v>
      </c>
      <c r="F3050" s="2142">
        <v>13328</v>
      </c>
      <c r="G3050" s="2142">
        <v>718379.2</v>
      </c>
      <c r="H3050" s="2143"/>
      <c r="I3050" s="2142">
        <v>68932</v>
      </c>
    </row>
    <row r="3051" spans="1:9" s="2139" customFormat="1" hidden="1">
      <c r="A3051" s="2140" t="s">
        <v>6197</v>
      </c>
      <c r="B3051" s="2141">
        <v>8</v>
      </c>
      <c r="C3051" s="2141" t="s">
        <v>3142</v>
      </c>
      <c r="D3051" s="2141">
        <v>77</v>
      </c>
      <c r="E3051" s="2142">
        <v>99.22</v>
      </c>
      <c r="F3051" s="2142">
        <v>13628</v>
      </c>
      <c r="G3051" s="2142">
        <v>1352170.16</v>
      </c>
      <c r="H3051" s="2143">
        <v>42611</v>
      </c>
      <c r="I3051" s="2142">
        <v>682034</v>
      </c>
    </row>
    <row r="3052" spans="1:9" s="2139" customFormat="1" hidden="1">
      <c r="A3052" s="2140" t="s">
        <v>6198</v>
      </c>
      <c r="B3052" s="3560">
        <v>8</v>
      </c>
      <c r="C3052" s="2141" t="s">
        <v>3142</v>
      </c>
      <c r="D3052" s="3396">
        <v>78</v>
      </c>
      <c r="E3052" s="2142">
        <v>49.68</v>
      </c>
      <c r="F3052" s="2142">
        <v>13328</v>
      </c>
      <c r="G3052" s="2142">
        <v>662135.04000000004</v>
      </c>
      <c r="H3052" s="3557">
        <v>42755</v>
      </c>
      <c r="I3052" s="2142">
        <v>332135</v>
      </c>
    </row>
    <row r="3053" spans="1:9" s="2139" customFormat="1" hidden="1">
      <c r="A3053" s="2140" t="s">
        <v>6199</v>
      </c>
      <c r="B3053" s="3560">
        <v>8</v>
      </c>
      <c r="C3053" s="2141" t="s">
        <v>3142</v>
      </c>
      <c r="D3053" s="3396">
        <v>81</v>
      </c>
      <c r="E3053" s="2142">
        <v>74.56</v>
      </c>
      <c r="F3053" s="2142">
        <v>17487.149560000002</v>
      </c>
      <c r="G3053" s="2142">
        <v>1303841.8711936001</v>
      </c>
      <c r="H3053" s="3557">
        <v>42815</v>
      </c>
      <c r="I3053" s="2142">
        <v>1303667</v>
      </c>
    </row>
    <row r="3054" spans="1:9" s="2139" customFormat="1" hidden="1">
      <c r="A3054" s="2140" t="s">
        <v>6200</v>
      </c>
      <c r="B3054" s="3560">
        <v>8</v>
      </c>
      <c r="C3054" s="2141" t="s">
        <v>3142</v>
      </c>
      <c r="D3054" s="3396">
        <v>82</v>
      </c>
      <c r="E3054" s="2142">
        <v>147.01</v>
      </c>
      <c r="F3054" s="2142">
        <v>17293.162799999998</v>
      </c>
      <c r="G3054" s="2142">
        <v>2542267.8632279998</v>
      </c>
      <c r="H3054" s="3557">
        <v>42815</v>
      </c>
      <c r="I3054" s="2142">
        <v>2541922</v>
      </c>
    </row>
    <row r="3055" spans="1:9" s="2139" customFormat="1" hidden="1">
      <c r="A3055" s="2140" t="s">
        <v>6201</v>
      </c>
      <c r="B3055" s="2141">
        <v>8</v>
      </c>
      <c r="C3055" s="2141" t="s">
        <v>3142</v>
      </c>
      <c r="D3055" s="2141">
        <v>83</v>
      </c>
      <c r="E3055" s="2142">
        <v>73.7</v>
      </c>
      <c r="F3055" s="2142">
        <v>18328</v>
      </c>
      <c r="G3055" s="2142">
        <v>1350773.6</v>
      </c>
      <c r="H3055" s="2143">
        <v>42686</v>
      </c>
      <c r="I3055" s="2142">
        <v>1350590</v>
      </c>
    </row>
    <row r="3056" spans="1:9" s="2139" customFormat="1" hidden="1">
      <c r="A3056" s="2140" t="s">
        <v>6202</v>
      </c>
      <c r="B3056" s="2141">
        <v>8</v>
      </c>
      <c r="C3056" s="2141" t="s">
        <v>3142</v>
      </c>
      <c r="D3056" s="2141">
        <v>85</v>
      </c>
      <c r="E3056" s="2142">
        <v>53.48</v>
      </c>
      <c r="F3056" s="2142">
        <v>18328</v>
      </c>
      <c r="G3056" s="2142">
        <v>980181.44</v>
      </c>
      <c r="H3056" s="2143">
        <v>42686</v>
      </c>
      <c r="I3056" s="2142">
        <v>980181</v>
      </c>
    </row>
    <row r="3057" spans="1:9" s="2139" customFormat="1" hidden="1">
      <c r="A3057" s="2140" t="s">
        <v>6203</v>
      </c>
      <c r="B3057" s="2141">
        <v>8</v>
      </c>
      <c r="C3057" s="2141" t="s">
        <v>3142</v>
      </c>
      <c r="D3057" s="2141">
        <v>86</v>
      </c>
      <c r="E3057" s="2142">
        <v>79.48</v>
      </c>
      <c r="F3057" s="2142">
        <v>16828</v>
      </c>
      <c r="G3057" s="2142">
        <v>1337489.4400000002</v>
      </c>
      <c r="H3057" s="2143">
        <v>42686</v>
      </c>
      <c r="I3057" s="2142">
        <v>1337321</v>
      </c>
    </row>
    <row r="3058" spans="1:9" s="2139" customFormat="1" hidden="1">
      <c r="A3058" s="2140" t="s">
        <v>6204</v>
      </c>
      <c r="B3058" s="2141">
        <v>8</v>
      </c>
      <c r="C3058" s="2141" t="s">
        <v>3142</v>
      </c>
      <c r="D3058" s="2141">
        <v>88</v>
      </c>
      <c r="E3058" s="2142">
        <v>138.65</v>
      </c>
      <c r="F3058" s="2142">
        <v>18028</v>
      </c>
      <c r="G3058" s="2142">
        <v>2499582.2000000002</v>
      </c>
      <c r="H3058" s="2143">
        <v>42611</v>
      </c>
      <c r="I3058" s="2142">
        <v>2499222</v>
      </c>
    </row>
    <row r="3059" spans="1:9" s="2139" customFormat="1" hidden="1">
      <c r="A3059" s="2140" t="s">
        <v>6205</v>
      </c>
      <c r="B3059" s="2141">
        <v>8</v>
      </c>
      <c r="C3059" s="2141" t="s">
        <v>3142</v>
      </c>
      <c r="D3059" s="2141">
        <v>89</v>
      </c>
      <c r="E3059" s="2142">
        <v>108.68</v>
      </c>
      <c r="F3059" s="2142">
        <v>18028</v>
      </c>
      <c r="G3059" s="2142">
        <v>1959283.04</v>
      </c>
      <c r="H3059" s="2143">
        <v>42611</v>
      </c>
      <c r="I3059" s="2142">
        <v>988922</v>
      </c>
    </row>
    <row r="3060" spans="1:9" s="2139" customFormat="1" hidden="1">
      <c r="A3060" s="2140" t="s">
        <v>6206</v>
      </c>
      <c r="B3060" s="2141">
        <v>8</v>
      </c>
      <c r="C3060" s="2141" t="s">
        <v>3142</v>
      </c>
      <c r="D3060" s="2141">
        <v>90</v>
      </c>
      <c r="E3060" s="2142">
        <v>77.58</v>
      </c>
      <c r="F3060" s="2142">
        <v>17828</v>
      </c>
      <c r="G3060" s="2142">
        <v>1383096.24</v>
      </c>
      <c r="H3060" s="2143">
        <v>42611</v>
      </c>
      <c r="I3060" s="2142">
        <v>692740</v>
      </c>
    </row>
    <row r="3061" spans="1:9" s="2139" customFormat="1" hidden="1">
      <c r="A3061" s="2140" t="s">
        <v>6207</v>
      </c>
      <c r="B3061" s="2141">
        <v>8</v>
      </c>
      <c r="C3061" s="2141" t="s">
        <v>3142</v>
      </c>
      <c r="D3061" s="2141">
        <v>91</v>
      </c>
      <c r="E3061" s="2142">
        <v>90.54</v>
      </c>
      <c r="F3061" s="2142">
        <v>17828</v>
      </c>
      <c r="G3061" s="2142">
        <v>1614147.12</v>
      </c>
      <c r="H3061" s="2143">
        <v>42611</v>
      </c>
      <c r="I3061" s="2142">
        <v>813969</v>
      </c>
    </row>
    <row r="3062" spans="1:9" s="2139" customFormat="1" hidden="1">
      <c r="A3062" s="2140" t="s">
        <v>6208</v>
      </c>
      <c r="B3062" s="2141">
        <v>8</v>
      </c>
      <c r="C3062" s="2141" t="s">
        <v>3142</v>
      </c>
      <c r="D3062" s="2141">
        <v>93</v>
      </c>
      <c r="E3062" s="2142">
        <v>74.14</v>
      </c>
      <c r="F3062" s="2142">
        <v>17828</v>
      </c>
      <c r="G3062" s="2142">
        <v>1321767.92</v>
      </c>
      <c r="H3062" s="2143">
        <v>42537</v>
      </c>
      <c r="I3062" s="2142">
        <v>1321590</v>
      </c>
    </row>
    <row r="3063" spans="1:9" s="2139" customFormat="1" hidden="1">
      <c r="A3063" s="2140" t="s">
        <v>6209</v>
      </c>
      <c r="B3063" s="2141">
        <v>8</v>
      </c>
      <c r="C3063" s="2141" t="s">
        <v>3142</v>
      </c>
      <c r="D3063" s="2141">
        <v>95</v>
      </c>
      <c r="E3063" s="2142">
        <v>115.01</v>
      </c>
      <c r="F3063" s="2142">
        <v>17828</v>
      </c>
      <c r="G3063" s="2142">
        <v>2050398.28</v>
      </c>
      <c r="H3063" s="2143">
        <v>42016</v>
      </c>
      <c r="I3063" s="2142">
        <v>420220</v>
      </c>
    </row>
    <row r="3064" spans="1:9" s="2139" customFormat="1" hidden="1">
      <c r="A3064" s="2140" t="s">
        <v>6210</v>
      </c>
      <c r="B3064" s="3560">
        <v>8</v>
      </c>
      <c r="C3064" s="2141" t="s">
        <v>3142</v>
      </c>
      <c r="D3064" s="3396">
        <v>96</v>
      </c>
      <c r="E3064" s="2142">
        <v>106.02</v>
      </c>
      <c r="F3064" s="2142">
        <v>18128</v>
      </c>
      <c r="G3064" s="2142">
        <v>1921930.5599999998</v>
      </c>
      <c r="H3064" s="3557">
        <v>42898</v>
      </c>
      <c r="I3064" s="2142">
        <v>391749</v>
      </c>
    </row>
    <row r="3065" spans="1:9" s="2139" customFormat="1" hidden="1">
      <c r="A3065" s="2140" t="s">
        <v>6211</v>
      </c>
      <c r="B3065" s="2141">
        <v>8</v>
      </c>
      <c r="C3065" s="2141" t="s">
        <v>3142</v>
      </c>
      <c r="D3065" s="2141">
        <v>112</v>
      </c>
      <c r="E3065" s="2142">
        <v>80.19</v>
      </c>
      <c r="F3065" s="2142">
        <v>18128</v>
      </c>
      <c r="G3065" s="2142">
        <v>1453684.32</v>
      </c>
      <c r="H3065" s="2143">
        <v>42593</v>
      </c>
      <c r="I3065" s="2142">
        <v>1453503</v>
      </c>
    </row>
    <row r="3066" spans="1:9" s="2139" customFormat="1" hidden="1">
      <c r="A3066" s="2140" t="s">
        <v>6212</v>
      </c>
      <c r="B3066" s="2141">
        <v>8</v>
      </c>
      <c r="C3066" s="2141" t="s">
        <v>3142</v>
      </c>
      <c r="D3066" s="2141">
        <v>113</v>
      </c>
      <c r="E3066" s="2142">
        <v>74.36</v>
      </c>
      <c r="F3066" s="2142">
        <v>17128</v>
      </c>
      <c r="G3066" s="2142">
        <v>1273638.08</v>
      </c>
      <c r="H3066" s="2143">
        <v>42686</v>
      </c>
      <c r="I3066" s="2142">
        <v>1273467</v>
      </c>
    </row>
    <row r="3067" spans="1:9" s="2139" customFormat="1" hidden="1">
      <c r="A3067" s="2140" t="s">
        <v>6213</v>
      </c>
      <c r="B3067" s="2141">
        <v>8</v>
      </c>
      <c r="C3067" s="2141" t="s">
        <v>3142</v>
      </c>
      <c r="D3067" s="2141">
        <v>117</v>
      </c>
      <c r="E3067" s="2142">
        <v>95.68</v>
      </c>
      <c r="F3067" s="2142">
        <v>18328</v>
      </c>
      <c r="G3067" s="2142">
        <v>1753623.04</v>
      </c>
      <c r="H3067" s="2143">
        <v>42003</v>
      </c>
      <c r="I3067" s="2142">
        <v>363440</v>
      </c>
    </row>
    <row r="3068" spans="1:9" s="2139" customFormat="1" hidden="1">
      <c r="A3068" s="2140" t="s">
        <v>6214</v>
      </c>
      <c r="B3068" s="2141">
        <v>8</v>
      </c>
      <c r="C3068" s="2141" t="s">
        <v>3142</v>
      </c>
      <c r="D3068" s="2141">
        <v>118</v>
      </c>
      <c r="E3068" s="2142">
        <v>76.11</v>
      </c>
      <c r="F3068" s="2142">
        <v>16323.17</v>
      </c>
      <c r="G3068" s="2142">
        <v>1242356.4687000001</v>
      </c>
      <c r="H3068" s="2143">
        <v>42483</v>
      </c>
      <c r="I3068" s="2142">
        <v>1242193</v>
      </c>
    </row>
    <row r="3069" spans="1:9" s="2139" customFormat="1" hidden="1">
      <c r="A3069" s="2140" t="s">
        <v>6215</v>
      </c>
      <c r="B3069" s="2141">
        <v>8</v>
      </c>
      <c r="C3069" s="2141" t="s">
        <v>3142</v>
      </c>
      <c r="D3069" s="2141">
        <v>119</v>
      </c>
      <c r="E3069" s="2142">
        <v>76.11</v>
      </c>
      <c r="F3069" s="2142">
        <v>16323.17</v>
      </c>
      <c r="G3069" s="2142">
        <v>1242356.4687000001</v>
      </c>
      <c r="H3069" s="2143">
        <v>42483</v>
      </c>
      <c r="I3069" s="2142">
        <v>1242193</v>
      </c>
    </row>
    <row r="3070" spans="1:9" s="2139" customFormat="1" hidden="1">
      <c r="A3070" s="2140" t="s">
        <v>6216</v>
      </c>
      <c r="B3070" s="2141">
        <v>8</v>
      </c>
      <c r="C3070" s="2141" t="s">
        <v>3142</v>
      </c>
      <c r="D3070" s="2141">
        <v>120</v>
      </c>
      <c r="E3070" s="2142">
        <v>72.489999999999995</v>
      </c>
      <c r="F3070" s="2142">
        <v>16828</v>
      </c>
      <c r="G3070" s="2142">
        <v>1219861.72</v>
      </c>
      <c r="H3070" s="2143">
        <v>42027</v>
      </c>
      <c r="I3070" s="2142">
        <v>259693</v>
      </c>
    </row>
    <row r="3071" spans="1:9" s="2139" customFormat="1" hidden="1">
      <c r="A3071" s="2140" t="s">
        <v>6217</v>
      </c>
      <c r="B3071" s="3560">
        <v>8</v>
      </c>
      <c r="C3071" s="2141" t="s">
        <v>3142</v>
      </c>
      <c r="D3071" s="3396">
        <v>122</v>
      </c>
      <c r="E3071" s="2142">
        <v>49.49</v>
      </c>
      <c r="F3071" s="2142">
        <v>18327.991109999999</v>
      </c>
      <c r="G3071" s="2142">
        <v>907052.28003389994</v>
      </c>
      <c r="H3071" s="3557">
        <v>42886</v>
      </c>
      <c r="I3071" s="2142">
        <v>456869</v>
      </c>
    </row>
    <row r="3072" spans="1:9" s="2139" customFormat="1" hidden="1">
      <c r="A3072" s="2140" t="s">
        <v>6218</v>
      </c>
      <c r="B3072" s="3560">
        <v>8</v>
      </c>
      <c r="C3072" s="2141" t="s">
        <v>3142</v>
      </c>
      <c r="D3072" s="3396">
        <v>123</v>
      </c>
      <c r="E3072" s="2142">
        <v>53.13</v>
      </c>
      <c r="F3072" s="2142">
        <v>18327.99322</v>
      </c>
      <c r="G3072" s="2142">
        <v>973766.27977860009</v>
      </c>
      <c r="H3072" s="3557">
        <v>42886</v>
      </c>
      <c r="I3072" s="2142">
        <v>493583</v>
      </c>
    </row>
    <row r="3073" spans="1:9" s="2139" customFormat="1" hidden="1">
      <c r="A3073" s="2140" t="s">
        <v>6219</v>
      </c>
      <c r="B3073" s="2141">
        <v>8</v>
      </c>
      <c r="C3073" s="2141" t="s">
        <v>3142</v>
      </c>
      <c r="D3073" s="2141">
        <v>125</v>
      </c>
      <c r="E3073" s="2142">
        <v>59.13</v>
      </c>
      <c r="F3073" s="2142">
        <v>18028</v>
      </c>
      <c r="G3073" s="2142">
        <v>1065995.6400000001</v>
      </c>
      <c r="H3073" s="2143">
        <v>42654</v>
      </c>
      <c r="I3073" s="2142">
        <v>685815</v>
      </c>
    </row>
    <row r="3074" spans="1:9" s="2139" customFormat="1" hidden="1">
      <c r="A3074" s="2140" t="s">
        <v>6220</v>
      </c>
      <c r="B3074" s="2141">
        <v>8</v>
      </c>
      <c r="C3074" s="2141" t="s">
        <v>3142</v>
      </c>
      <c r="D3074" s="2141">
        <v>126</v>
      </c>
      <c r="E3074" s="2142">
        <v>57.73</v>
      </c>
      <c r="F3074" s="2142">
        <v>13328</v>
      </c>
      <c r="G3074" s="2142">
        <v>769425.44</v>
      </c>
      <c r="H3074" s="2143">
        <v>42027</v>
      </c>
      <c r="I3074" s="2142">
        <v>159292</v>
      </c>
    </row>
    <row r="3075" spans="1:9" s="2139" customFormat="1" hidden="1">
      <c r="A3075" s="2140" t="s">
        <v>6221</v>
      </c>
      <c r="B3075" s="2141">
        <v>8</v>
      </c>
      <c r="C3075" s="2141" t="s">
        <v>3142</v>
      </c>
      <c r="D3075" s="2141">
        <v>127</v>
      </c>
      <c r="E3075" s="2142">
        <v>41.66</v>
      </c>
      <c r="F3075" s="2142">
        <v>13328</v>
      </c>
      <c r="G3075" s="2142">
        <v>555244.48</v>
      </c>
      <c r="H3075" s="2143">
        <v>42027</v>
      </c>
      <c r="I3075" s="2142">
        <v>125111</v>
      </c>
    </row>
    <row r="3076" spans="1:9" s="2139" customFormat="1" hidden="1">
      <c r="A3076" s="2140" t="s">
        <v>6222</v>
      </c>
      <c r="B3076" s="2141">
        <v>8</v>
      </c>
      <c r="C3076" s="2141" t="s">
        <v>3142</v>
      </c>
      <c r="D3076" s="2141">
        <v>129</v>
      </c>
      <c r="E3076" s="2142">
        <v>42.01</v>
      </c>
      <c r="F3076" s="2142">
        <v>18028</v>
      </c>
      <c r="G3076" s="2142">
        <v>757356.27999999991</v>
      </c>
      <c r="H3076" s="2143"/>
      <c r="I3076" s="2142">
        <v>118967</v>
      </c>
    </row>
    <row r="3077" spans="1:9" s="2139" customFormat="1" hidden="1">
      <c r="A3077" s="2140" t="s">
        <v>6223</v>
      </c>
      <c r="B3077" s="2141">
        <v>8</v>
      </c>
      <c r="C3077" s="2141" t="s">
        <v>3142</v>
      </c>
      <c r="D3077" s="2141">
        <v>132</v>
      </c>
      <c r="E3077" s="2142">
        <v>89.47</v>
      </c>
      <c r="F3077" s="2142">
        <v>14328</v>
      </c>
      <c r="G3077" s="2142">
        <v>1281926.1599999999</v>
      </c>
      <c r="H3077" s="2143">
        <v>42606</v>
      </c>
      <c r="I3077" s="2142">
        <v>641783</v>
      </c>
    </row>
    <row r="3078" spans="1:9" s="2139" customFormat="1" hidden="1">
      <c r="A3078" s="2140" t="s">
        <v>6224</v>
      </c>
      <c r="B3078" s="2141">
        <v>8</v>
      </c>
      <c r="C3078" s="2141" t="s">
        <v>3142</v>
      </c>
      <c r="D3078" s="2141">
        <v>133</v>
      </c>
      <c r="E3078" s="2142">
        <v>47.31</v>
      </c>
      <c r="F3078" s="2142">
        <v>18028</v>
      </c>
      <c r="G3078" s="2142">
        <v>852904.68</v>
      </c>
      <c r="H3078" s="2143">
        <v>42606</v>
      </c>
      <c r="I3078" s="2142">
        <v>432724</v>
      </c>
    </row>
    <row r="3079" spans="1:9" s="2139" customFormat="1" hidden="1">
      <c r="A3079" s="2140" t="s">
        <v>6225</v>
      </c>
      <c r="B3079" s="2141">
        <v>8</v>
      </c>
      <c r="C3079" s="2141" t="s">
        <v>3142</v>
      </c>
      <c r="D3079" s="2141">
        <v>135</v>
      </c>
      <c r="E3079" s="2142">
        <v>54.32</v>
      </c>
      <c r="F3079" s="2142">
        <v>18430</v>
      </c>
      <c r="G3079" s="2142">
        <v>1001117.6</v>
      </c>
      <c r="H3079" s="2143">
        <v>42690</v>
      </c>
      <c r="I3079" s="2142">
        <v>1000933</v>
      </c>
    </row>
    <row r="3080" spans="1:9" s="2139" customFormat="1" hidden="1">
      <c r="A3080" s="2140" t="s">
        <v>6226</v>
      </c>
      <c r="B3080" s="2141">
        <v>8</v>
      </c>
      <c r="C3080" s="2141" t="s">
        <v>3142</v>
      </c>
      <c r="D3080" s="2141">
        <v>146</v>
      </c>
      <c r="E3080" s="2142">
        <v>79.73</v>
      </c>
      <c r="F3080" s="2142">
        <v>17828</v>
      </c>
      <c r="G3080" s="2142">
        <v>1421426.4400000002</v>
      </c>
      <c r="H3080" s="2143">
        <v>42688</v>
      </c>
      <c r="I3080" s="2142">
        <v>1421248</v>
      </c>
    </row>
    <row r="3081" spans="1:9" s="2139" customFormat="1" hidden="1">
      <c r="A3081" s="2140" t="s">
        <v>6227</v>
      </c>
      <c r="B3081" s="3560">
        <v>8</v>
      </c>
      <c r="C3081" s="2141" t="s">
        <v>3142</v>
      </c>
      <c r="D3081" s="3396">
        <v>147</v>
      </c>
      <c r="E3081" s="2142">
        <v>23.08</v>
      </c>
      <c r="F3081" s="2142">
        <v>16323.14</v>
      </c>
      <c r="G3081" s="2142">
        <v>376738.07119999995</v>
      </c>
      <c r="H3081" s="3557">
        <v>42852</v>
      </c>
      <c r="I3081" s="2142">
        <v>376738</v>
      </c>
    </row>
    <row r="3082" spans="1:9" s="2139" customFormat="1" hidden="1">
      <c r="A3082" s="2140" t="s">
        <v>6228</v>
      </c>
      <c r="B3082" s="2141">
        <v>8</v>
      </c>
      <c r="C3082" s="2141" t="s">
        <v>3142</v>
      </c>
      <c r="D3082" s="2141">
        <v>150</v>
      </c>
      <c r="E3082" s="2142">
        <v>72.48</v>
      </c>
      <c r="F3082" s="2142">
        <v>17828</v>
      </c>
      <c r="G3082" s="2142">
        <v>1292173.4400000002</v>
      </c>
      <c r="H3082" s="2143">
        <v>42606</v>
      </c>
      <c r="I3082" s="2142">
        <v>651995</v>
      </c>
    </row>
    <row r="3083" spans="1:9" s="2139" customFormat="1" hidden="1">
      <c r="A3083" s="2140" t="s">
        <v>6229</v>
      </c>
      <c r="B3083" s="2141">
        <v>8</v>
      </c>
      <c r="C3083" s="2141" t="s">
        <v>3142</v>
      </c>
      <c r="D3083" s="2141">
        <v>151</v>
      </c>
      <c r="E3083" s="2142">
        <v>69.98</v>
      </c>
      <c r="F3083" s="2142">
        <v>17828</v>
      </c>
      <c r="G3083" s="2142">
        <v>1247603.4400000002</v>
      </c>
      <c r="H3083" s="2143">
        <v>42606</v>
      </c>
      <c r="I3083" s="2142">
        <v>627425</v>
      </c>
    </row>
    <row r="3084" spans="1:9" s="2139" customFormat="1" hidden="1">
      <c r="A3084" s="2140" t="s">
        <v>6230</v>
      </c>
      <c r="B3084" s="2141">
        <v>8</v>
      </c>
      <c r="C3084" s="2141" t="s">
        <v>3142</v>
      </c>
      <c r="D3084" s="2141">
        <v>152</v>
      </c>
      <c r="E3084" s="2142">
        <v>151.38999999999999</v>
      </c>
      <c r="F3084" s="2142">
        <v>18028</v>
      </c>
      <c r="G3084" s="2142">
        <v>2729258.92</v>
      </c>
      <c r="H3084" s="2143">
        <v>42606</v>
      </c>
      <c r="I3084" s="2142">
        <v>1368898</v>
      </c>
    </row>
    <row r="3085" spans="1:9" s="2139" customFormat="1" hidden="1">
      <c r="A3085" s="2140" t="s">
        <v>6231</v>
      </c>
      <c r="B3085" s="2141">
        <v>8</v>
      </c>
      <c r="C3085" s="2141" t="s">
        <v>3142</v>
      </c>
      <c r="D3085" s="2141">
        <v>155</v>
      </c>
      <c r="E3085" s="2142">
        <v>27.72</v>
      </c>
      <c r="F3085" s="2142">
        <v>16517.169999999998</v>
      </c>
      <c r="G3085" s="2142">
        <v>457855.95239999995</v>
      </c>
      <c r="H3085" s="2143">
        <v>42686</v>
      </c>
      <c r="I3085" s="2142">
        <v>457856</v>
      </c>
    </row>
    <row r="3086" spans="1:9" s="2139" customFormat="1" hidden="1">
      <c r="A3086" s="2140" t="s">
        <v>6232</v>
      </c>
      <c r="B3086" s="2141">
        <v>8</v>
      </c>
      <c r="C3086" s="2141" t="s">
        <v>3142</v>
      </c>
      <c r="D3086" s="2141">
        <v>165</v>
      </c>
      <c r="E3086" s="2142">
        <v>118.97</v>
      </c>
      <c r="F3086" s="2142">
        <v>16827.994999999999</v>
      </c>
      <c r="G3086" s="2142">
        <v>2002026.5651499999</v>
      </c>
      <c r="H3086" s="2143">
        <v>42178</v>
      </c>
      <c r="I3086" s="2142">
        <v>711743</v>
      </c>
    </row>
    <row r="3087" spans="1:9" s="2139" customFormat="1" hidden="1">
      <c r="A3087" s="2140" t="s">
        <v>6233</v>
      </c>
      <c r="B3087" s="2141">
        <v>8</v>
      </c>
      <c r="C3087" s="2141" t="s">
        <v>3142</v>
      </c>
      <c r="D3087" s="2141">
        <v>166</v>
      </c>
      <c r="E3087" s="2142">
        <v>118.98</v>
      </c>
      <c r="F3087" s="2142">
        <v>16828</v>
      </c>
      <c r="G3087" s="2142">
        <v>2002195.4400000002</v>
      </c>
      <c r="H3087" s="2143">
        <v>42178</v>
      </c>
      <c r="I3087" s="2142">
        <v>711743</v>
      </c>
    </row>
    <row r="3088" spans="1:9" s="2139" customFormat="1" hidden="1">
      <c r="A3088" s="2140" t="s">
        <v>6234</v>
      </c>
      <c r="B3088" s="3560">
        <v>8</v>
      </c>
      <c r="C3088" s="2141" t="s">
        <v>3142</v>
      </c>
      <c r="D3088" s="3396">
        <v>167</v>
      </c>
      <c r="E3088" s="2142">
        <v>118.98</v>
      </c>
      <c r="F3088" s="2142">
        <v>17828</v>
      </c>
      <c r="G3088" s="2142">
        <v>2121175.44</v>
      </c>
      <c r="H3088" s="3557">
        <v>42744</v>
      </c>
      <c r="I3088" s="2142">
        <v>50000</v>
      </c>
    </row>
    <row r="3089" spans="1:9" s="2139" customFormat="1" hidden="1">
      <c r="A3089" s="2140" t="s">
        <v>6235</v>
      </c>
      <c r="B3089" s="3560">
        <v>8</v>
      </c>
      <c r="C3089" s="2141" t="s">
        <v>3142</v>
      </c>
      <c r="D3089" s="3396">
        <v>168</v>
      </c>
      <c r="E3089" s="2142">
        <v>118.98</v>
      </c>
      <c r="F3089" s="2142">
        <v>17828</v>
      </c>
      <c r="G3089" s="2142">
        <v>2121175.44</v>
      </c>
      <c r="H3089" s="3557">
        <v>42753</v>
      </c>
      <c r="I3089" s="2142">
        <v>50000</v>
      </c>
    </row>
    <row r="3090" spans="1:9" s="2139" customFormat="1" hidden="1">
      <c r="A3090" s="2140" t="s">
        <v>6236</v>
      </c>
      <c r="B3090" s="3560">
        <v>8</v>
      </c>
      <c r="C3090" s="2141" t="s">
        <v>3142</v>
      </c>
      <c r="D3090" s="3396">
        <v>170</v>
      </c>
      <c r="E3090" s="2142">
        <v>121.24</v>
      </c>
      <c r="F3090" s="2142">
        <v>17487.155579999999</v>
      </c>
      <c r="G3090" s="2142">
        <v>2120143</v>
      </c>
      <c r="H3090" s="3557">
        <v>42815</v>
      </c>
      <c r="I3090" s="2142">
        <v>2119793</v>
      </c>
    </row>
    <row r="3091" spans="1:9" s="2139" customFormat="1" hidden="1">
      <c r="A3091" s="2140" t="s">
        <v>6237</v>
      </c>
      <c r="B3091" s="3560">
        <v>8</v>
      </c>
      <c r="C3091" s="2141" t="s">
        <v>3142</v>
      </c>
      <c r="D3091" s="3396">
        <v>171</v>
      </c>
      <c r="E3091" s="2142">
        <v>122.37</v>
      </c>
      <c r="F3091" s="2142">
        <v>17487.16084</v>
      </c>
      <c r="G3091" s="2142">
        <v>2139903.8719907999</v>
      </c>
      <c r="H3091" s="3557">
        <v>42815</v>
      </c>
      <c r="I3091" s="2142">
        <v>2139729</v>
      </c>
    </row>
    <row r="3092" spans="1:9" s="2139" customFormat="1" hidden="1">
      <c r="A3092" s="2140" t="s">
        <v>6238</v>
      </c>
      <c r="B3092" s="3560">
        <v>8</v>
      </c>
      <c r="C3092" s="2141" t="s">
        <v>3142</v>
      </c>
      <c r="D3092" s="3396">
        <v>172</v>
      </c>
      <c r="E3092" s="2142">
        <v>118.97</v>
      </c>
      <c r="F3092" s="2142">
        <v>17293.157360000001</v>
      </c>
      <c r="G3092" s="2142">
        <v>2057366.9311192001</v>
      </c>
      <c r="H3092" s="3557">
        <v>42815</v>
      </c>
      <c r="I3092" s="2142">
        <v>2057194</v>
      </c>
    </row>
    <row r="3093" spans="1:9" s="2139" customFormat="1" hidden="1">
      <c r="A3093" s="2140" t="s">
        <v>6239</v>
      </c>
      <c r="B3093" s="2141">
        <v>8</v>
      </c>
      <c r="C3093" s="2141" t="s">
        <v>3142</v>
      </c>
      <c r="D3093" s="2141">
        <v>173</v>
      </c>
      <c r="E3093" s="2142">
        <v>118.97</v>
      </c>
      <c r="F3093" s="2142">
        <v>17828</v>
      </c>
      <c r="G3093" s="2142">
        <v>2120997.16</v>
      </c>
      <c r="H3093" s="2143">
        <v>42606</v>
      </c>
      <c r="I3093" s="2142">
        <v>1060819</v>
      </c>
    </row>
    <row r="3094" spans="1:9" s="2139" customFormat="1" hidden="1">
      <c r="A3094" s="2140" t="s">
        <v>6240</v>
      </c>
      <c r="B3094" s="2141">
        <v>8</v>
      </c>
      <c r="C3094" s="2141" t="s">
        <v>3142</v>
      </c>
      <c r="D3094" s="2141">
        <v>175</v>
      </c>
      <c r="E3094" s="2142">
        <v>118.97</v>
      </c>
      <c r="F3094" s="2142">
        <v>17828</v>
      </c>
      <c r="G3094" s="2142">
        <v>2120997.16</v>
      </c>
      <c r="H3094" s="2143">
        <v>42606</v>
      </c>
      <c r="I3094" s="2142">
        <v>1390819</v>
      </c>
    </row>
    <row r="3095" spans="1:9" s="2139" customFormat="1" hidden="1">
      <c r="A3095" s="2140" t="s">
        <v>6241</v>
      </c>
      <c r="B3095" s="2141">
        <v>8</v>
      </c>
      <c r="C3095" s="2141" t="s">
        <v>3142</v>
      </c>
      <c r="D3095" s="2141">
        <v>178</v>
      </c>
      <c r="E3095" s="2142">
        <v>121.24</v>
      </c>
      <c r="F3095" s="2142">
        <v>18218</v>
      </c>
      <c r="G3095" s="2142">
        <v>2208750.3199999998</v>
      </c>
      <c r="H3095" s="2143">
        <v>42688</v>
      </c>
      <c r="I3095" s="2142">
        <v>2208386</v>
      </c>
    </row>
    <row r="3096" spans="1:9" s="2139" customFormat="1" hidden="1">
      <c r="A3096" s="2140" t="s">
        <v>6242</v>
      </c>
      <c r="B3096" s="3560">
        <v>8</v>
      </c>
      <c r="C3096" s="2141" t="s">
        <v>3142</v>
      </c>
      <c r="D3096" s="3396">
        <v>179</v>
      </c>
      <c r="E3096" s="2142">
        <v>122.38</v>
      </c>
      <c r="F3096" s="2142">
        <v>17828.002941999999</v>
      </c>
      <c r="G3096" s="2142">
        <v>2181791.0000419598</v>
      </c>
      <c r="H3096" s="3557">
        <v>42962</v>
      </c>
      <c r="I3096" s="2142">
        <v>1381791</v>
      </c>
    </row>
    <row r="3097" spans="1:9" s="2139" customFormat="1" hidden="1">
      <c r="A3097" s="2140" t="s">
        <v>6243</v>
      </c>
      <c r="B3097" s="3560">
        <v>8</v>
      </c>
      <c r="C3097" s="2141" t="s">
        <v>3142</v>
      </c>
      <c r="D3097" s="3396">
        <v>180</v>
      </c>
      <c r="E3097" s="2142">
        <v>118.97</v>
      </c>
      <c r="F3097" s="2142">
        <v>17827.9986551</v>
      </c>
      <c r="G3097" s="2142">
        <v>2120996.999997247</v>
      </c>
      <c r="H3097" s="3557">
        <v>42962</v>
      </c>
      <c r="I3097" s="2142">
        <v>1060997</v>
      </c>
    </row>
    <row r="3098" spans="1:9" s="2139" customFormat="1" hidden="1">
      <c r="A3098" s="2140" t="s">
        <v>6244</v>
      </c>
      <c r="B3098" s="2141">
        <v>8</v>
      </c>
      <c r="C3098" s="2141" t="s">
        <v>3151</v>
      </c>
      <c r="D3098" s="2141">
        <v>1</v>
      </c>
      <c r="E3098" s="2142">
        <v>153.19</v>
      </c>
      <c r="F3098" s="2142">
        <v>18738.46</v>
      </c>
      <c r="G3098" s="2142">
        <v>2870544.6873999997</v>
      </c>
      <c r="H3098" s="2143">
        <v>42011</v>
      </c>
      <c r="I3098" s="2142">
        <v>2870545</v>
      </c>
    </row>
    <row r="3099" spans="1:9" s="2139" customFormat="1" hidden="1">
      <c r="A3099" s="2140" t="s">
        <v>6245</v>
      </c>
      <c r="B3099" s="2141">
        <v>8</v>
      </c>
      <c r="C3099" s="2141" t="s">
        <v>3151</v>
      </c>
      <c r="D3099" s="2141">
        <v>5</v>
      </c>
      <c r="E3099" s="2142">
        <v>74.599999999999994</v>
      </c>
      <c r="F3099" s="2142">
        <v>15244</v>
      </c>
      <c r="G3099" s="2142">
        <v>1137202.3999999999</v>
      </c>
      <c r="H3099" s="2143">
        <v>42009</v>
      </c>
      <c r="I3099" s="2142">
        <v>257202</v>
      </c>
    </row>
    <row r="3100" spans="1:9" s="2139" customFormat="1" hidden="1">
      <c r="A3100" s="2140" t="s">
        <v>6246</v>
      </c>
      <c r="B3100" s="2141">
        <v>8</v>
      </c>
      <c r="C3100" s="2141" t="s">
        <v>3151</v>
      </c>
      <c r="D3100" s="2141">
        <v>6</v>
      </c>
      <c r="E3100" s="2142">
        <v>76.790000000000006</v>
      </c>
      <c r="F3100" s="2142">
        <v>14786.68</v>
      </c>
      <c r="G3100" s="2142">
        <v>1135469.1572</v>
      </c>
      <c r="H3100" s="2143">
        <v>42002</v>
      </c>
      <c r="I3100" s="2142">
        <v>1135469</v>
      </c>
    </row>
    <row r="3101" spans="1:9" s="2139" customFormat="1" hidden="1">
      <c r="A3101" s="2140" t="s">
        <v>6247</v>
      </c>
      <c r="B3101" s="2141">
        <v>8</v>
      </c>
      <c r="C3101" s="2141" t="s">
        <v>3151</v>
      </c>
      <c r="D3101" s="2141">
        <v>12</v>
      </c>
      <c r="E3101" s="2142">
        <v>75.34</v>
      </c>
      <c r="F3101" s="2142">
        <v>15486.05</v>
      </c>
      <c r="G3101" s="2142">
        <v>1166719.007</v>
      </c>
      <c r="H3101" s="2143">
        <v>42004</v>
      </c>
      <c r="I3101" s="2142">
        <v>1166719</v>
      </c>
    </row>
    <row r="3102" spans="1:9" s="2139" customFormat="1" hidden="1">
      <c r="A3102" s="2140" t="s">
        <v>6248</v>
      </c>
      <c r="B3102" s="2141">
        <v>8</v>
      </c>
      <c r="C3102" s="2141" t="s">
        <v>3151</v>
      </c>
      <c r="D3102" s="2141">
        <v>22</v>
      </c>
      <c r="E3102" s="2142">
        <v>74.63</v>
      </c>
      <c r="F3102" s="2142">
        <v>18600</v>
      </c>
      <c r="G3102" s="2142">
        <v>1388118</v>
      </c>
      <c r="H3102" s="2143">
        <v>42709</v>
      </c>
      <c r="I3102" s="2142">
        <v>288118</v>
      </c>
    </row>
    <row r="3103" spans="1:9" s="2139" customFormat="1" hidden="1">
      <c r="A3103" s="2140" t="s">
        <v>6249</v>
      </c>
      <c r="B3103" s="2141">
        <v>8</v>
      </c>
      <c r="C3103" s="2141" t="s">
        <v>3151</v>
      </c>
      <c r="D3103" s="2141">
        <v>36</v>
      </c>
      <c r="E3103" s="2142">
        <v>18.95</v>
      </c>
      <c r="F3103" s="2142">
        <v>15539</v>
      </c>
      <c r="G3103" s="2142">
        <v>294464.05</v>
      </c>
      <c r="H3103" s="2143">
        <v>42217</v>
      </c>
      <c r="I3103" s="2142">
        <v>74464</v>
      </c>
    </row>
    <row r="3104" spans="1:9" s="2139" customFormat="1" hidden="1">
      <c r="A3104" s="2140" t="s">
        <v>6250</v>
      </c>
      <c r="B3104" s="2141">
        <v>8</v>
      </c>
      <c r="C3104" s="2141" t="s">
        <v>3151</v>
      </c>
      <c r="D3104" s="2141">
        <v>37</v>
      </c>
      <c r="E3104" s="2142">
        <v>59.5</v>
      </c>
      <c r="F3104" s="2142">
        <v>13596</v>
      </c>
      <c r="G3104" s="2142">
        <v>808962</v>
      </c>
      <c r="H3104" s="2143">
        <v>42271</v>
      </c>
      <c r="I3104" s="2142">
        <v>168962</v>
      </c>
    </row>
    <row r="3105" spans="1:9" s="2139" customFormat="1" hidden="1">
      <c r="A3105" s="2140" t="s">
        <v>6251</v>
      </c>
      <c r="B3105" s="2141">
        <v>8</v>
      </c>
      <c r="C3105" s="2141" t="s">
        <v>3151</v>
      </c>
      <c r="D3105" s="2141">
        <v>38</v>
      </c>
      <c r="E3105" s="2142">
        <v>80.069999999999993</v>
      </c>
      <c r="F3105" s="2142">
        <v>18056</v>
      </c>
      <c r="G3105" s="2142">
        <v>1445743.92</v>
      </c>
      <c r="H3105" s="2143">
        <v>42358</v>
      </c>
      <c r="I3105" s="2142">
        <v>295744</v>
      </c>
    </row>
    <row r="3106" spans="1:9" s="2139" customFormat="1" hidden="1">
      <c r="A3106" s="2140" t="s">
        <v>6252</v>
      </c>
      <c r="B3106" s="2141">
        <v>8</v>
      </c>
      <c r="C3106" s="2141" t="s">
        <v>3151</v>
      </c>
      <c r="D3106" s="2141">
        <v>40</v>
      </c>
      <c r="E3106" s="2142">
        <v>18.96</v>
      </c>
      <c r="F3106" s="2142">
        <v>15837</v>
      </c>
      <c r="G3106" s="2142">
        <v>300269.52</v>
      </c>
      <c r="H3106" s="2143">
        <v>42262</v>
      </c>
      <c r="I3106" s="2142">
        <v>300270</v>
      </c>
    </row>
    <row r="3107" spans="1:9" s="2139" customFormat="1" hidden="1">
      <c r="A3107" s="2140" t="s">
        <v>6253</v>
      </c>
      <c r="B3107" s="2141">
        <v>8</v>
      </c>
      <c r="C3107" s="2141" t="s">
        <v>3151</v>
      </c>
      <c r="D3107" s="2141">
        <v>49</v>
      </c>
      <c r="E3107" s="2142">
        <v>65.569999999999993</v>
      </c>
      <c r="F3107" s="2142">
        <v>13660.51</v>
      </c>
      <c r="G3107" s="2142">
        <v>895719.64069999987</v>
      </c>
      <c r="H3107" s="2143">
        <v>42011</v>
      </c>
      <c r="I3107" s="2142">
        <v>895720</v>
      </c>
    </row>
    <row r="3108" spans="1:9" s="2139" customFormat="1" hidden="1">
      <c r="A3108" s="2140" t="s">
        <v>6254</v>
      </c>
      <c r="B3108" s="3560">
        <v>8</v>
      </c>
      <c r="C3108" s="2141" t="s">
        <v>3151</v>
      </c>
      <c r="D3108" s="3396">
        <v>52</v>
      </c>
      <c r="E3108" s="2142">
        <v>69.48</v>
      </c>
      <c r="F3108" s="2142">
        <v>14956</v>
      </c>
      <c r="G3108" s="2142">
        <v>1039143</v>
      </c>
      <c r="H3108" s="3557">
        <v>42807</v>
      </c>
      <c r="I3108" s="2142">
        <v>1039143</v>
      </c>
    </row>
    <row r="3109" spans="1:9" s="2139" customFormat="1" hidden="1">
      <c r="A3109" s="2140" t="s">
        <v>6255</v>
      </c>
      <c r="B3109" s="2141">
        <v>8</v>
      </c>
      <c r="C3109" s="2141" t="s">
        <v>3151</v>
      </c>
      <c r="D3109" s="2141">
        <v>58</v>
      </c>
      <c r="E3109" s="2142">
        <v>43.72</v>
      </c>
      <c r="F3109" s="2142">
        <v>14004.85</v>
      </c>
      <c r="G3109" s="2142">
        <v>612292.04200000002</v>
      </c>
      <c r="H3109" s="2143">
        <v>42616</v>
      </c>
      <c r="I3109" s="2142">
        <v>612292</v>
      </c>
    </row>
    <row r="3110" spans="1:9" s="2139" customFormat="1" hidden="1">
      <c r="A3110" s="2140" t="s">
        <v>6256</v>
      </c>
      <c r="B3110" s="2141">
        <v>8</v>
      </c>
      <c r="C3110" s="2141" t="s">
        <v>3151</v>
      </c>
      <c r="D3110" s="2141">
        <v>59</v>
      </c>
      <c r="E3110" s="2142">
        <v>60</v>
      </c>
      <c r="F3110" s="2142">
        <v>13369</v>
      </c>
      <c r="G3110" s="2142">
        <v>802140</v>
      </c>
      <c r="H3110" s="2143">
        <v>42003</v>
      </c>
      <c r="I3110" s="2142">
        <v>802140</v>
      </c>
    </row>
    <row r="3111" spans="1:9" s="2139" customFormat="1" hidden="1">
      <c r="A3111" s="2140" t="s">
        <v>6257</v>
      </c>
      <c r="B3111" s="2141">
        <v>8</v>
      </c>
      <c r="C3111" s="2141" t="s">
        <v>3151</v>
      </c>
      <c r="D3111" s="2141">
        <v>60</v>
      </c>
      <c r="E3111" s="2142">
        <v>43.39</v>
      </c>
      <c r="F3111" s="2142">
        <v>13369</v>
      </c>
      <c r="G3111" s="2142">
        <v>580080.91</v>
      </c>
      <c r="H3111" s="2143">
        <v>42008</v>
      </c>
      <c r="I3111" s="2142">
        <v>580081</v>
      </c>
    </row>
    <row r="3112" spans="1:9" s="2139" customFormat="1" hidden="1">
      <c r="A3112" s="2140" t="s">
        <v>6258</v>
      </c>
      <c r="B3112" s="2141">
        <v>8</v>
      </c>
      <c r="C3112" s="2141" t="s">
        <v>3151</v>
      </c>
      <c r="D3112" s="2141">
        <v>63</v>
      </c>
      <c r="E3112" s="2142">
        <v>74.05</v>
      </c>
      <c r="F3112" s="2142">
        <v>12154</v>
      </c>
      <c r="G3112" s="2142">
        <v>900003.7</v>
      </c>
      <c r="H3112" s="2143">
        <v>42009</v>
      </c>
      <c r="I3112" s="2142">
        <v>900004</v>
      </c>
    </row>
    <row r="3113" spans="1:9" s="2139" customFormat="1" hidden="1">
      <c r="A3113" s="2140" t="s">
        <v>6259</v>
      </c>
      <c r="B3113" s="2141">
        <v>8</v>
      </c>
      <c r="C3113" s="2141" t="s">
        <v>3151</v>
      </c>
      <c r="D3113" s="2141">
        <v>66</v>
      </c>
      <c r="E3113" s="2142">
        <v>76.36</v>
      </c>
      <c r="F3113" s="2142">
        <v>11639</v>
      </c>
      <c r="G3113" s="2142">
        <v>888754</v>
      </c>
      <c r="H3113" s="2143">
        <v>42047</v>
      </c>
      <c r="I3113" s="2142">
        <v>888754</v>
      </c>
    </row>
    <row r="3114" spans="1:9" s="2139" customFormat="1" hidden="1">
      <c r="A3114" s="2140" t="s">
        <v>6260</v>
      </c>
      <c r="B3114" s="2141">
        <v>8</v>
      </c>
      <c r="C3114" s="2141" t="s">
        <v>3151</v>
      </c>
      <c r="D3114" s="2141">
        <v>68</v>
      </c>
      <c r="E3114" s="2142">
        <v>43.96</v>
      </c>
      <c r="F3114" s="2142">
        <v>11639</v>
      </c>
      <c r="G3114" s="2142">
        <v>511650.44</v>
      </c>
      <c r="H3114" s="2143">
        <v>42097</v>
      </c>
      <c r="I3114" s="2142">
        <v>511650</v>
      </c>
    </row>
    <row r="3115" spans="1:9" s="2139" customFormat="1" hidden="1">
      <c r="A3115" s="2140" t="s">
        <v>6261</v>
      </c>
      <c r="B3115" s="2141">
        <v>8</v>
      </c>
      <c r="C3115" s="2141" t="s">
        <v>3151</v>
      </c>
      <c r="D3115" s="2141">
        <v>69</v>
      </c>
      <c r="E3115" s="2142">
        <v>87.3</v>
      </c>
      <c r="F3115" s="2142">
        <v>11639</v>
      </c>
      <c r="G3115" s="2142">
        <v>1016084.7</v>
      </c>
      <c r="H3115" s="2143">
        <v>42029</v>
      </c>
      <c r="I3115" s="2142">
        <v>1016085</v>
      </c>
    </row>
    <row r="3116" spans="1:9" s="2139" customFormat="1" hidden="1">
      <c r="A3116" s="2140" t="s">
        <v>6262</v>
      </c>
      <c r="B3116" s="2141">
        <v>8</v>
      </c>
      <c r="C3116" s="2141" t="s">
        <v>3151</v>
      </c>
      <c r="D3116" s="2141">
        <v>72</v>
      </c>
      <c r="E3116" s="2142">
        <v>72.06</v>
      </c>
      <c r="F3116" s="2142">
        <v>15533</v>
      </c>
      <c r="G3116" s="2142">
        <v>1119307.98</v>
      </c>
      <c r="H3116" s="2143">
        <v>42295</v>
      </c>
      <c r="I3116" s="2142">
        <v>239308</v>
      </c>
    </row>
    <row r="3117" spans="1:9" s="2139" customFormat="1" hidden="1">
      <c r="A3117" s="2140" t="s">
        <v>6263</v>
      </c>
      <c r="B3117" s="2141">
        <v>8</v>
      </c>
      <c r="C3117" s="2141" t="s">
        <v>3151</v>
      </c>
      <c r="D3117" s="2141">
        <v>75</v>
      </c>
      <c r="E3117" s="2142">
        <v>27.2</v>
      </c>
      <c r="F3117" s="2142">
        <v>11639</v>
      </c>
      <c r="G3117" s="2142">
        <v>316580.8</v>
      </c>
      <c r="H3117" s="2143">
        <v>42022</v>
      </c>
      <c r="I3117" s="2142">
        <v>76581</v>
      </c>
    </row>
    <row r="3118" spans="1:9" s="2139" customFormat="1" hidden="1">
      <c r="A3118" s="2140" t="s">
        <v>6264</v>
      </c>
      <c r="B3118" s="2141">
        <v>8</v>
      </c>
      <c r="C3118" s="2141" t="s">
        <v>3151</v>
      </c>
      <c r="D3118" s="2141">
        <v>76</v>
      </c>
      <c r="E3118" s="2142">
        <v>66.739999999999995</v>
      </c>
      <c r="F3118" s="2142">
        <v>15239</v>
      </c>
      <c r="G3118" s="2142">
        <v>1017050.8599999999</v>
      </c>
      <c r="H3118" s="2143">
        <v>42643</v>
      </c>
      <c r="I3118" s="2142">
        <v>1017051</v>
      </c>
    </row>
    <row r="3119" spans="1:9" s="2139" customFormat="1" hidden="1">
      <c r="A3119" s="2140" t="s">
        <v>6265</v>
      </c>
      <c r="B3119" s="2141">
        <v>8</v>
      </c>
      <c r="C3119" s="2141" t="s">
        <v>3151</v>
      </c>
      <c r="D3119" s="2141">
        <v>77</v>
      </c>
      <c r="E3119" s="2142">
        <v>81.540000000000006</v>
      </c>
      <c r="F3119" s="2142">
        <v>15910</v>
      </c>
      <c r="G3119" s="2142">
        <v>1297301.4000000001</v>
      </c>
      <c r="H3119" s="2143">
        <v>42331</v>
      </c>
      <c r="I3119" s="2142">
        <v>1297301</v>
      </c>
    </row>
    <row r="3120" spans="1:9" s="2139" customFormat="1" hidden="1">
      <c r="A3120" s="2140" t="s">
        <v>6266</v>
      </c>
      <c r="B3120" s="2141">
        <v>8</v>
      </c>
      <c r="C3120" s="2141" t="s">
        <v>3151</v>
      </c>
      <c r="D3120" s="2141">
        <v>78</v>
      </c>
      <c r="E3120" s="2142">
        <v>81.540000000000006</v>
      </c>
      <c r="F3120" s="2142">
        <v>15730</v>
      </c>
      <c r="G3120" s="2142">
        <v>1282624.2000000002</v>
      </c>
      <c r="H3120" s="2143">
        <v>42691</v>
      </c>
      <c r="I3120" s="2142">
        <v>1282624</v>
      </c>
    </row>
    <row r="3121" spans="1:9" s="2139" customFormat="1" hidden="1">
      <c r="A3121" s="2140" t="s">
        <v>6267</v>
      </c>
      <c r="B3121" s="2141">
        <v>8</v>
      </c>
      <c r="C3121" s="2141" t="s">
        <v>3151</v>
      </c>
      <c r="D3121" s="2141">
        <v>79</v>
      </c>
      <c r="E3121" s="2142">
        <v>84.97</v>
      </c>
      <c r="F3121" s="2142">
        <v>11789.37</v>
      </c>
      <c r="G3121" s="2142">
        <v>1001742.7689</v>
      </c>
      <c r="H3121" s="2143">
        <v>42486</v>
      </c>
      <c r="I3121" s="2142">
        <v>1001743</v>
      </c>
    </row>
    <row r="3122" spans="1:9" s="2139" customFormat="1" hidden="1">
      <c r="A3122" s="2140" t="s">
        <v>6268</v>
      </c>
      <c r="B3122" s="2141">
        <v>8</v>
      </c>
      <c r="C3122" s="2141" t="s">
        <v>3151</v>
      </c>
      <c r="D3122" s="2141">
        <v>83</v>
      </c>
      <c r="E3122" s="2142">
        <v>97.16</v>
      </c>
      <c r="F3122" s="2142">
        <v>16800</v>
      </c>
      <c r="G3122" s="2142">
        <v>1632288</v>
      </c>
      <c r="H3122" s="2143">
        <v>42340</v>
      </c>
      <c r="I3122" s="2142">
        <v>1632456</v>
      </c>
    </row>
    <row r="3123" spans="1:9" s="2139" customFormat="1" hidden="1">
      <c r="A3123" s="2140" t="s">
        <v>6269</v>
      </c>
      <c r="B3123" s="2141">
        <v>8</v>
      </c>
      <c r="C3123" s="2141" t="s">
        <v>3151</v>
      </c>
      <c r="D3123" s="2141">
        <v>85</v>
      </c>
      <c r="E3123" s="2142">
        <v>183.56</v>
      </c>
      <c r="F3123" s="2142">
        <v>15500</v>
      </c>
      <c r="G3123" s="2142">
        <v>2845180</v>
      </c>
      <c r="H3123" s="2143">
        <v>42499</v>
      </c>
      <c r="I3123" s="2142">
        <v>2845180</v>
      </c>
    </row>
    <row r="3124" spans="1:9" s="2139" customFormat="1" hidden="1">
      <c r="A3124" s="2140" t="s">
        <v>6270</v>
      </c>
      <c r="B3124" s="2141">
        <v>8</v>
      </c>
      <c r="C3124" s="2141" t="s">
        <v>3151</v>
      </c>
      <c r="D3124" s="2141">
        <v>86</v>
      </c>
      <c r="E3124" s="2142">
        <v>91.54</v>
      </c>
      <c r="F3124" s="2142">
        <v>15500</v>
      </c>
      <c r="G3124" s="2142">
        <v>1418870</v>
      </c>
      <c r="H3124" s="2143">
        <v>42340</v>
      </c>
      <c r="I3124" s="2142">
        <v>1418870</v>
      </c>
    </row>
    <row r="3125" spans="1:9" s="2139" customFormat="1" hidden="1">
      <c r="A3125" s="2140" t="s">
        <v>6271</v>
      </c>
      <c r="B3125" s="2141">
        <v>8</v>
      </c>
      <c r="C3125" s="2141" t="s">
        <v>3151</v>
      </c>
      <c r="D3125" s="2141">
        <v>87</v>
      </c>
      <c r="E3125" s="2142">
        <v>47.21</v>
      </c>
      <c r="F3125" s="2142">
        <v>16800</v>
      </c>
      <c r="G3125" s="2142">
        <v>793128</v>
      </c>
      <c r="H3125" s="2143">
        <v>42340</v>
      </c>
      <c r="I3125" s="2142">
        <v>793128</v>
      </c>
    </row>
    <row r="3126" spans="1:9" s="2139" customFormat="1" hidden="1">
      <c r="A3126" s="2140" t="s">
        <v>6272</v>
      </c>
      <c r="B3126" s="2141">
        <v>8</v>
      </c>
      <c r="C3126" s="2141" t="s">
        <v>3151</v>
      </c>
      <c r="D3126" s="2141">
        <v>88</v>
      </c>
      <c r="E3126" s="2142">
        <v>76.44</v>
      </c>
      <c r="F3126" s="2142">
        <v>12500</v>
      </c>
      <c r="G3126" s="2142">
        <v>955500</v>
      </c>
      <c r="H3126" s="2143">
        <v>42343</v>
      </c>
      <c r="I3126" s="2142">
        <v>955500</v>
      </c>
    </row>
    <row r="3127" spans="1:9" s="2139" customFormat="1" hidden="1">
      <c r="A3127" s="2140" t="s">
        <v>6273</v>
      </c>
      <c r="B3127" s="2141">
        <v>8</v>
      </c>
      <c r="C3127" s="2141" t="s">
        <v>3151</v>
      </c>
      <c r="D3127" s="2141">
        <v>89</v>
      </c>
      <c r="E3127" s="2142">
        <v>97.21</v>
      </c>
      <c r="F3127" s="2142">
        <v>12500</v>
      </c>
      <c r="G3127" s="2142">
        <v>1215125</v>
      </c>
      <c r="H3127" s="2143">
        <v>42122</v>
      </c>
      <c r="I3127" s="2142">
        <v>1215125</v>
      </c>
    </row>
    <row r="3128" spans="1:9" s="2139" customFormat="1" hidden="1">
      <c r="A3128" s="2140" t="s">
        <v>6274</v>
      </c>
      <c r="B3128" s="2141">
        <v>8</v>
      </c>
      <c r="C3128" s="2141" t="s">
        <v>3151</v>
      </c>
      <c r="D3128" s="2141">
        <v>90</v>
      </c>
      <c r="E3128" s="2142">
        <v>101.49</v>
      </c>
      <c r="F3128" s="2142">
        <v>12500</v>
      </c>
      <c r="G3128" s="2142">
        <v>1268625</v>
      </c>
      <c r="H3128" s="2143">
        <v>42122</v>
      </c>
      <c r="I3128" s="2142">
        <v>1268750</v>
      </c>
    </row>
    <row r="3129" spans="1:9" s="2139" customFormat="1" hidden="1">
      <c r="A3129" s="2140" t="s">
        <v>6275</v>
      </c>
      <c r="B3129" s="2141">
        <v>8</v>
      </c>
      <c r="C3129" s="2141" t="s">
        <v>3151</v>
      </c>
      <c r="D3129" s="2141">
        <v>99</v>
      </c>
      <c r="E3129" s="2142">
        <v>109.38</v>
      </c>
      <c r="F3129" s="2142">
        <v>13596</v>
      </c>
      <c r="G3129" s="2142">
        <v>1487130.48</v>
      </c>
      <c r="H3129" s="2143">
        <v>42011</v>
      </c>
      <c r="I3129" s="2142">
        <v>307130</v>
      </c>
    </row>
    <row r="3130" spans="1:9" s="2139" customFormat="1" hidden="1">
      <c r="A3130" s="2140" t="s">
        <v>6276</v>
      </c>
      <c r="B3130" s="2141">
        <v>8</v>
      </c>
      <c r="C3130" s="2141" t="s">
        <v>3151</v>
      </c>
      <c r="D3130" s="2141">
        <v>100</v>
      </c>
      <c r="E3130" s="2142">
        <v>84.75</v>
      </c>
      <c r="F3130" s="2142">
        <v>13208</v>
      </c>
      <c r="G3130" s="2142">
        <v>1119378</v>
      </c>
      <c r="H3130" s="2143"/>
      <c r="I3130" s="2142">
        <v>10000</v>
      </c>
    </row>
    <row r="3131" spans="1:9" s="2139" customFormat="1" hidden="1">
      <c r="A3131" s="2140" t="s">
        <v>6277</v>
      </c>
      <c r="B3131" s="2141">
        <v>8</v>
      </c>
      <c r="C3131" s="2141" t="s">
        <v>3151</v>
      </c>
      <c r="D3131" s="2141">
        <v>101</v>
      </c>
      <c r="E3131" s="2142">
        <v>80.709999999999994</v>
      </c>
      <c r="F3131" s="2142">
        <v>18059</v>
      </c>
      <c r="G3131" s="2142">
        <v>1457541.89</v>
      </c>
      <c r="H3131" s="2143">
        <v>42691</v>
      </c>
      <c r="I3131" s="2142">
        <v>1457722</v>
      </c>
    </row>
    <row r="3132" spans="1:9" s="2139" customFormat="1" hidden="1">
      <c r="A3132" s="2140" t="s">
        <v>6278</v>
      </c>
      <c r="B3132" s="2141">
        <v>8</v>
      </c>
      <c r="C3132" s="2141" t="s">
        <v>3151</v>
      </c>
      <c r="D3132" s="2141">
        <v>103</v>
      </c>
      <c r="E3132" s="2142">
        <v>87.95</v>
      </c>
      <c r="F3132" s="2142">
        <v>12988.3</v>
      </c>
      <c r="G3132" s="2142">
        <v>1142320.9849999999</v>
      </c>
      <c r="H3132" s="2143">
        <v>42032</v>
      </c>
      <c r="I3132" s="2142">
        <v>1142321</v>
      </c>
    </row>
    <row r="3133" spans="1:9" s="2139" customFormat="1" hidden="1">
      <c r="A3133" s="2140" t="s">
        <v>6279</v>
      </c>
      <c r="B3133" s="2141">
        <v>8</v>
      </c>
      <c r="C3133" s="2141" t="s">
        <v>3151</v>
      </c>
      <c r="D3133" s="2141">
        <v>117</v>
      </c>
      <c r="E3133" s="2142">
        <v>117</v>
      </c>
      <c r="F3133" s="2142">
        <v>14520</v>
      </c>
      <c r="G3133" s="2142">
        <v>1698840</v>
      </c>
      <c r="H3133" s="2143">
        <v>42730</v>
      </c>
      <c r="I3133" s="2142">
        <v>858840</v>
      </c>
    </row>
    <row r="3134" spans="1:9" s="2139" customFormat="1" hidden="1">
      <c r="A3134" s="2140" t="s">
        <v>6280</v>
      </c>
      <c r="B3134" s="2141">
        <v>8</v>
      </c>
      <c r="C3134" s="2141" t="s">
        <v>3151</v>
      </c>
      <c r="D3134" s="2141">
        <v>118</v>
      </c>
      <c r="E3134" s="2142">
        <v>77.95</v>
      </c>
      <c r="F3134" s="2142">
        <v>13596</v>
      </c>
      <c r="G3134" s="2142">
        <v>1059808.2</v>
      </c>
      <c r="H3134" s="2143">
        <v>42478</v>
      </c>
      <c r="I3134" s="2142">
        <v>1059808</v>
      </c>
    </row>
    <row r="3135" spans="1:9" s="2139" customFormat="1" hidden="1">
      <c r="A3135" s="2140" t="s">
        <v>6281</v>
      </c>
      <c r="B3135" s="2141">
        <v>8</v>
      </c>
      <c r="C3135" s="2141" t="s">
        <v>3151</v>
      </c>
      <c r="D3135" s="2141">
        <v>119</v>
      </c>
      <c r="E3135" s="2142">
        <v>84.84</v>
      </c>
      <c r="F3135" s="2142">
        <v>12488.76</v>
      </c>
      <c r="G3135" s="2142">
        <v>1059546.3984000001</v>
      </c>
      <c r="H3135" s="2143">
        <v>42496</v>
      </c>
      <c r="I3135" s="2142">
        <v>1059546</v>
      </c>
    </row>
    <row r="3136" spans="1:9" s="2139" customFormat="1" hidden="1">
      <c r="A3136" s="2140" t="s">
        <v>6282</v>
      </c>
      <c r="B3136" s="2141">
        <v>8</v>
      </c>
      <c r="C3136" s="2141" t="s">
        <v>3151</v>
      </c>
      <c r="D3136" s="2141">
        <v>120</v>
      </c>
      <c r="E3136" s="2142">
        <v>80.23</v>
      </c>
      <c r="F3136" s="2142">
        <v>16784.88</v>
      </c>
      <c r="G3136" s="2142">
        <v>1346650.9224</v>
      </c>
      <c r="H3136" s="2143">
        <v>42496</v>
      </c>
      <c r="I3136" s="2142">
        <v>1346651</v>
      </c>
    </row>
    <row r="3137" spans="1:9" s="2139" customFormat="1" hidden="1">
      <c r="A3137" s="2140" t="s">
        <v>6283</v>
      </c>
      <c r="B3137" s="2141">
        <v>8</v>
      </c>
      <c r="C3137" s="2141" t="s">
        <v>3151</v>
      </c>
      <c r="D3137" s="2141">
        <v>121</v>
      </c>
      <c r="E3137" s="2142">
        <v>88.39</v>
      </c>
      <c r="F3137" s="2142">
        <v>17304</v>
      </c>
      <c r="G3137" s="2142">
        <v>1529500.56</v>
      </c>
      <c r="H3137" s="2143"/>
      <c r="I3137" s="2142">
        <v>334140</v>
      </c>
    </row>
    <row r="3138" spans="1:9" s="2139" customFormat="1" hidden="1">
      <c r="A3138" s="2140" t="s">
        <v>6284</v>
      </c>
      <c r="B3138" s="2141">
        <v>8</v>
      </c>
      <c r="C3138" s="2141" t="s">
        <v>3151</v>
      </c>
      <c r="D3138" s="2141">
        <v>122</v>
      </c>
      <c r="E3138" s="2142">
        <v>70.319999999999993</v>
      </c>
      <c r="F3138" s="2142">
        <v>14438</v>
      </c>
      <c r="G3138" s="2142">
        <v>1015280.1599999999</v>
      </c>
      <c r="H3138" s="2143">
        <v>42031</v>
      </c>
      <c r="I3138" s="2142">
        <v>1015280</v>
      </c>
    </row>
    <row r="3139" spans="1:9" s="2139" customFormat="1" hidden="1">
      <c r="A3139" s="2140" t="s">
        <v>6285</v>
      </c>
      <c r="B3139" s="2141">
        <v>8</v>
      </c>
      <c r="C3139" s="2141" t="s">
        <v>3151</v>
      </c>
      <c r="D3139" s="2141">
        <v>125</v>
      </c>
      <c r="E3139" s="2142">
        <v>95.03</v>
      </c>
      <c r="F3139" s="2142">
        <v>12488.75</v>
      </c>
      <c r="G3139" s="2142">
        <v>1186805.9125000001</v>
      </c>
      <c r="H3139" s="2143">
        <v>42586</v>
      </c>
      <c r="I3139" s="2142">
        <v>1186806</v>
      </c>
    </row>
    <row r="3140" spans="1:9" s="2139" customFormat="1" hidden="1">
      <c r="A3140" s="2140" t="s">
        <v>6286</v>
      </c>
      <c r="B3140" s="2141">
        <v>8</v>
      </c>
      <c r="C3140" s="2141" t="s">
        <v>3151</v>
      </c>
      <c r="D3140" s="2141">
        <v>127</v>
      </c>
      <c r="E3140" s="2142">
        <v>60.83</v>
      </c>
      <c r="F3140" s="2142">
        <v>17050</v>
      </c>
      <c r="G3140" s="2142">
        <v>1037151.5</v>
      </c>
      <c r="H3140" s="2143">
        <v>42213</v>
      </c>
      <c r="I3140" s="2142">
        <v>217152</v>
      </c>
    </row>
    <row r="3141" spans="1:9" s="2139" customFormat="1" hidden="1">
      <c r="A3141" s="2140" t="s">
        <v>6287</v>
      </c>
      <c r="B3141" s="2141">
        <v>8</v>
      </c>
      <c r="C3141" s="2141" t="s">
        <v>3151</v>
      </c>
      <c r="D3141" s="2141">
        <v>128</v>
      </c>
      <c r="E3141" s="2142">
        <v>74.56</v>
      </c>
      <c r="F3141" s="2142">
        <v>17050</v>
      </c>
      <c r="G3141" s="2142">
        <v>1271248</v>
      </c>
      <c r="H3141" s="2143">
        <v>42297</v>
      </c>
      <c r="I3141" s="2142">
        <v>261248</v>
      </c>
    </row>
    <row r="3142" spans="1:9" s="2139" customFormat="1" hidden="1">
      <c r="A3142" s="2140" t="s">
        <v>6288</v>
      </c>
      <c r="B3142" s="2141">
        <v>8</v>
      </c>
      <c r="C3142" s="2141" t="s">
        <v>3151</v>
      </c>
      <c r="D3142" s="2141">
        <v>129</v>
      </c>
      <c r="E3142" s="2142">
        <v>82.9</v>
      </c>
      <c r="F3142" s="2142">
        <v>16800</v>
      </c>
      <c r="G3142" s="2142">
        <v>1392720</v>
      </c>
      <c r="H3142" s="2143">
        <v>42174</v>
      </c>
      <c r="I3142" s="2142">
        <v>100000</v>
      </c>
    </row>
    <row r="3143" spans="1:9" s="2139" customFormat="1" hidden="1">
      <c r="A3143" s="2140" t="s">
        <v>6289</v>
      </c>
      <c r="B3143" s="2141">
        <v>8</v>
      </c>
      <c r="C3143" s="2141" t="s">
        <v>3151</v>
      </c>
      <c r="D3143" s="2141">
        <v>131</v>
      </c>
      <c r="E3143" s="2142">
        <v>80.849999999999994</v>
      </c>
      <c r="F3143" s="2142">
        <v>11639</v>
      </c>
      <c r="G3143" s="2142">
        <v>941013.14999999991</v>
      </c>
      <c r="H3143" s="2143">
        <v>42545</v>
      </c>
      <c r="I3143" s="2142">
        <v>941013</v>
      </c>
    </row>
    <row r="3144" spans="1:9" s="2139" customFormat="1" hidden="1">
      <c r="A3144" s="2140" t="s">
        <v>6290</v>
      </c>
      <c r="B3144" s="3560">
        <v>8</v>
      </c>
      <c r="C3144" s="2141" t="s">
        <v>3151</v>
      </c>
      <c r="D3144" s="3396">
        <v>132</v>
      </c>
      <c r="E3144" s="2142">
        <v>70.3</v>
      </c>
      <c r="F3144" s="2142">
        <v>11639.004269999999</v>
      </c>
      <c r="G3144" s="2142">
        <v>818222.00018099998</v>
      </c>
      <c r="H3144" s="3557">
        <v>42883</v>
      </c>
      <c r="I3144" s="2142">
        <v>418222</v>
      </c>
    </row>
    <row r="3145" spans="1:9" s="2139" customFormat="1" hidden="1">
      <c r="A3145" s="2140" t="s">
        <v>6291</v>
      </c>
      <c r="B3145" s="2141">
        <v>8</v>
      </c>
      <c r="C3145" s="2141" t="s">
        <v>3151</v>
      </c>
      <c r="D3145" s="2141">
        <v>133</v>
      </c>
      <c r="E3145" s="2142">
        <v>70.45</v>
      </c>
      <c r="F3145" s="2142">
        <v>13052</v>
      </c>
      <c r="G3145" s="2142">
        <v>919513.4</v>
      </c>
      <c r="H3145" s="2143">
        <v>42538</v>
      </c>
      <c r="I3145" s="2142">
        <v>919513</v>
      </c>
    </row>
    <row r="3146" spans="1:9" s="2139" customFormat="1" hidden="1">
      <c r="A3146" s="2140" t="s">
        <v>6292</v>
      </c>
      <c r="B3146" s="2141">
        <v>8</v>
      </c>
      <c r="C3146" s="2141" t="s">
        <v>3151</v>
      </c>
      <c r="D3146" s="2141">
        <v>138</v>
      </c>
      <c r="E3146" s="2142">
        <v>88.75</v>
      </c>
      <c r="F3146" s="2142">
        <v>13596</v>
      </c>
      <c r="G3146" s="2142">
        <v>1206645</v>
      </c>
      <c r="H3146" s="2143">
        <v>42538</v>
      </c>
      <c r="I3146" s="2142">
        <v>416645</v>
      </c>
    </row>
    <row r="3147" spans="1:9" s="2139" customFormat="1" hidden="1">
      <c r="A3147" s="2140" t="s">
        <v>6293</v>
      </c>
      <c r="B3147" s="2141">
        <v>8</v>
      </c>
      <c r="C3147" s="2141" t="s">
        <v>3151</v>
      </c>
      <c r="D3147" s="2141">
        <v>141</v>
      </c>
      <c r="E3147" s="2142">
        <v>47.84</v>
      </c>
      <c r="F3147" s="2142">
        <v>16550</v>
      </c>
      <c r="G3147" s="2142">
        <v>791752</v>
      </c>
      <c r="H3147" s="2143">
        <v>42522</v>
      </c>
      <c r="I3147" s="2142">
        <v>791752</v>
      </c>
    </row>
    <row r="3148" spans="1:9" s="2139" customFormat="1" hidden="1">
      <c r="A3148" s="2140" t="s">
        <v>6294</v>
      </c>
      <c r="B3148" s="2141">
        <v>8</v>
      </c>
      <c r="C3148" s="2141" t="s">
        <v>3151</v>
      </c>
      <c r="D3148" s="2141">
        <v>142</v>
      </c>
      <c r="E3148" s="2142">
        <v>37.4</v>
      </c>
      <c r="F3148" s="2142">
        <v>16550</v>
      </c>
      <c r="G3148" s="2142">
        <v>618970</v>
      </c>
      <c r="H3148" s="2143">
        <v>42355</v>
      </c>
      <c r="I3148" s="2142">
        <v>138970</v>
      </c>
    </row>
    <row r="3149" spans="1:9" s="2139" customFormat="1" hidden="1">
      <c r="A3149" s="2140" t="s">
        <v>6295</v>
      </c>
      <c r="B3149" s="3560">
        <v>8</v>
      </c>
      <c r="C3149" s="2141" t="s">
        <v>3151</v>
      </c>
      <c r="D3149" s="3396">
        <v>152</v>
      </c>
      <c r="E3149" s="2142">
        <v>23.17</v>
      </c>
      <c r="F3149" s="2142">
        <v>17159.99137</v>
      </c>
      <c r="G3149" s="2142">
        <v>397597.00004290004</v>
      </c>
      <c r="H3149" s="3557">
        <v>42942</v>
      </c>
      <c r="I3149" s="2142">
        <v>207597</v>
      </c>
    </row>
    <row r="3150" spans="1:9" s="2139" customFormat="1" hidden="1">
      <c r="A3150" s="2140" t="s">
        <v>6296</v>
      </c>
      <c r="B3150" s="3560">
        <v>8</v>
      </c>
      <c r="C3150" s="2141" t="s">
        <v>3151</v>
      </c>
      <c r="D3150" s="3396">
        <v>157</v>
      </c>
      <c r="E3150" s="2142">
        <v>54.74</v>
      </c>
      <c r="F3150" s="2142">
        <v>15964.998173100001</v>
      </c>
      <c r="G3150" s="2142">
        <v>873923.99999549403</v>
      </c>
      <c r="H3150" s="3557">
        <v>42941</v>
      </c>
      <c r="I3150" s="2142">
        <v>443924</v>
      </c>
    </row>
    <row r="3151" spans="1:9" s="2139" customFormat="1" hidden="1">
      <c r="A3151" s="2140" t="s">
        <v>6297</v>
      </c>
      <c r="B3151" s="2141">
        <v>8</v>
      </c>
      <c r="C3151" s="2141" t="s">
        <v>3151</v>
      </c>
      <c r="D3151" s="2141">
        <v>160</v>
      </c>
      <c r="E3151" s="2142">
        <v>17.97</v>
      </c>
      <c r="F3151" s="2142">
        <v>16700</v>
      </c>
      <c r="G3151" s="2142">
        <v>300099</v>
      </c>
      <c r="H3151" s="2143">
        <v>42668</v>
      </c>
      <c r="I3151" s="2142">
        <v>300099</v>
      </c>
    </row>
    <row r="3152" spans="1:9" s="2139" customFormat="1" hidden="1">
      <c r="A3152" s="2140" t="s">
        <v>6298</v>
      </c>
      <c r="B3152" s="2141">
        <v>8</v>
      </c>
      <c r="C3152" s="2141" t="s">
        <v>3151</v>
      </c>
      <c r="D3152" s="2141">
        <v>165</v>
      </c>
      <c r="E3152" s="2142">
        <v>77.73</v>
      </c>
      <c r="F3152" s="2142">
        <v>11289.82</v>
      </c>
      <c r="G3152" s="2142">
        <v>877557.70860000001</v>
      </c>
      <c r="H3152" s="2143">
        <v>42647</v>
      </c>
      <c r="I3152" s="2142">
        <v>877558</v>
      </c>
    </row>
    <row r="3153" spans="1:9" s="2139" customFormat="1" hidden="1">
      <c r="A3153" s="2140" t="s">
        <v>6299</v>
      </c>
      <c r="B3153" s="2141">
        <v>8</v>
      </c>
      <c r="C3153" s="2141" t="s">
        <v>3151</v>
      </c>
      <c r="D3153" s="2141">
        <v>166</v>
      </c>
      <c r="E3153" s="2142">
        <v>137.74</v>
      </c>
      <c r="F3153" s="2142">
        <v>16784.88</v>
      </c>
      <c r="G3153" s="2142">
        <v>2311949.3712000004</v>
      </c>
      <c r="H3153" s="2143">
        <v>42444</v>
      </c>
      <c r="I3153" s="2142">
        <v>2311949</v>
      </c>
    </row>
    <row r="3154" spans="1:9" s="2139" customFormat="1" hidden="1">
      <c r="A3154" s="2140" t="s">
        <v>6300</v>
      </c>
      <c r="B3154" s="2141">
        <v>8</v>
      </c>
      <c r="C3154" s="2141" t="s">
        <v>3151</v>
      </c>
      <c r="D3154" s="2141">
        <v>167</v>
      </c>
      <c r="E3154" s="2142">
        <v>72.67</v>
      </c>
      <c r="F3154" s="2142">
        <v>15965</v>
      </c>
      <c r="G3154" s="2142">
        <v>1160176.55</v>
      </c>
      <c r="H3154" s="2143">
        <v>42003</v>
      </c>
      <c r="I3154" s="2142">
        <v>1160336</v>
      </c>
    </row>
    <row r="3155" spans="1:9" s="2139" customFormat="1" hidden="1">
      <c r="A3155" s="2140" t="s">
        <v>6301</v>
      </c>
      <c r="B3155" s="2141">
        <v>8</v>
      </c>
      <c r="C3155" s="2141" t="s">
        <v>3151</v>
      </c>
      <c r="D3155" s="2141">
        <v>169</v>
      </c>
      <c r="E3155" s="2142">
        <v>74.989999999999995</v>
      </c>
      <c r="F3155" s="2142">
        <v>16784.88</v>
      </c>
      <c r="G3155" s="2142">
        <v>1258698.1512</v>
      </c>
      <c r="H3155" s="2143">
        <v>42586</v>
      </c>
      <c r="I3155" s="2142">
        <v>1258698</v>
      </c>
    </row>
    <row r="3156" spans="1:9" s="2139" customFormat="1" hidden="1">
      <c r="A3156" s="2140" t="s">
        <v>6302</v>
      </c>
      <c r="B3156" s="2141">
        <v>8</v>
      </c>
      <c r="C3156" s="2141" t="s">
        <v>3151</v>
      </c>
      <c r="D3156" s="2141">
        <v>170</v>
      </c>
      <c r="E3156" s="2142">
        <v>219.18</v>
      </c>
      <c r="F3156" s="2142">
        <v>15486.050999999999</v>
      </c>
      <c r="G3156" s="2142">
        <v>3394232.6581799998</v>
      </c>
      <c r="H3156" s="2143">
        <v>42647</v>
      </c>
      <c r="I3156" s="2142">
        <v>3394233</v>
      </c>
    </row>
    <row r="3157" spans="1:9" s="2139" customFormat="1" hidden="1">
      <c r="A3157" s="2140" t="s">
        <v>6303</v>
      </c>
      <c r="B3157" s="3560">
        <v>8</v>
      </c>
      <c r="C3157" s="2141" t="s">
        <v>3151</v>
      </c>
      <c r="D3157" s="3396">
        <v>172</v>
      </c>
      <c r="E3157" s="2142">
        <v>117.34</v>
      </c>
      <c r="F3157" s="2142">
        <v>15965</v>
      </c>
      <c r="G3157" s="2142">
        <v>1873333.1</v>
      </c>
      <c r="H3157" s="3557">
        <v>42817</v>
      </c>
      <c r="I3157" s="2142">
        <v>943333</v>
      </c>
    </row>
    <row r="3158" spans="1:9" s="2139" customFormat="1" hidden="1">
      <c r="A3158" s="2140" t="s">
        <v>6304</v>
      </c>
      <c r="B3158" s="2141">
        <v>8</v>
      </c>
      <c r="C3158" s="2141" t="s">
        <v>3151</v>
      </c>
      <c r="D3158" s="2141">
        <v>178</v>
      </c>
      <c r="E3158" s="2142">
        <v>153.1</v>
      </c>
      <c r="F3158" s="2142">
        <v>17304</v>
      </c>
      <c r="G3158" s="2142">
        <v>2649242.4</v>
      </c>
      <c r="H3158" s="2143">
        <v>42008</v>
      </c>
      <c r="I3158" s="2142">
        <v>2649242</v>
      </c>
    </row>
    <row r="3159" spans="1:9" s="2139" customFormat="1" hidden="1">
      <c r="A3159" s="2140" t="s">
        <v>6305</v>
      </c>
      <c r="B3159" s="2141">
        <v>8</v>
      </c>
      <c r="C3159" s="2141" t="s">
        <v>3151</v>
      </c>
      <c r="D3159" s="2141">
        <v>179</v>
      </c>
      <c r="E3159" s="2142">
        <v>117.34</v>
      </c>
      <c r="F3159" s="2142">
        <v>15965</v>
      </c>
      <c r="G3159" s="2142">
        <v>1873333.1</v>
      </c>
      <c r="H3159" s="2143">
        <v>42010</v>
      </c>
      <c r="I3159" s="2142">
        <v>1873333</v>
      </c>
    </row>
    <row r="3160" spans="1:9" s="2139" customFormat="1" hidden="1">
      <c r="A3160" s="2140" t="s">
        <v>6306</v>
      </c>
      <c r="B3160" s="2141">
        <v>8</v>
      </c>
      <c r="C3160" s="2141" t="s">
        <v>3151</v>
      </c>
      <c r="D3160" s="2141">
        <v>182</v>
      </c>
      <c r="E3160" s="2142">
        <v>117.34</v>
      </c>
      <c r="F3160" s="2142">
        <v>15486.05</v>
      </c>
      <c r="G3160" s="2142">
        <v>1817133.1070000001</v>
      </c>
      <c r="H3160" s="2143">
        <v>42604</v>
      </c>
      <c r="I3160" s="2142">
        <v>1817133</v>
      </c>
    </row>
    <row r="3161" spans="1:9" s="2139" customFormat="1" hidden="1">
      <c r="A3161" s="2140" t="s">
        <v>6307</v>
      </c>
      <c r="B3161" s="2141">
        <v>8</v>
      </c>
      <c r="C3161" s="2141" t="s">
        <v>3151</v>
      </c>
      <c r="D3161" s="2141">
        <v>183</v>
      </c>
      <c r="E3161" s="2142">
        <v>112.87</v>
      </c>
      <c r="F3161" s="2142">
        <v>17304</v>
      </c>
      <c r="G3161" s="2142">
        <v>1953102.48</v>
      </c>
      <c r="H3161" s="2143">
        <v>42273</v>
      </c>
      <c r="I3161" s="2142">
        <v>433102</v>
      </c>
    </row>
    <row r="3162" spans="1:9" s="2139" customFormat="1" hidden="1">
      <c r="A3162" s="2140" t="s">
        <v>5415</v>
      </c>
      <c r="B3162" s="2141" t="s">
        <v>3056</v>
      </c>
      <c r="C3162" s="2141" t="s">
        <v>3142</v>
      </c>
      <c r="D3162" s="2141">
        <v>108</v>
      </c>
      <c r="E3162" s="2142">
        <v>42.76</v>
      </c>
      <c r="F3162" s="2142">
        <v>17990</v>
      </c>
      <c r="G3162" s="2142">
        <v>769252.39999999991</v>
      </c>
      <c r="H3162" s="2143"/>
      <c r="I3162" s="2142">
        <v>769252</v>
      </c>
    </row>
    <row r="3163" spans="1:9" s="2139" customFormat="1" hidden="1">
      <c r="A3163" s="2140" t="s">
        <v>5416</v>
      </c>
      <c r="B3163" s="2141" t="s">
        <v>3056</v>
      </c>
      <c r="C3163" s="2141" t="s">
        <v>3142</v>
      </c>
      <c r="D3163" s="2141">
        <v>109</v>
      </c>
      <c r="E3163" s="2142">
        <v>88.08</v>
      </c>
      <c r="F3163" s="2142">
        <v>18290</v>
      </c>
      <c r="G3163" s="2142">
        <v>1610983.2</v>
      </c>
      <c r="H3163" s="2143"/>
      <c r="I3163" s="2142">
        <v>1610983</v>
      </c>
    </row>
    <row r="3164" spans="1:9" s="2139" customFormat="1" hidden="1">
      <c r="A3164" s="2140" t="s">
        <v>5418</v>
      </c>
      <c r="B3164" s="2141" t="s">
        <v>3056</v>
      </c>
      <c r="C3164" s="2141" t="s">
        <v>3142</v>
      </c>
      <c r="D3164" s="2141">
        <v>118</v>
      </c>
      <c r="E3164" s="2142">
        <v>91.81</v>
      </c>
      <c r="F3164" s="2142">
        <v>15100</v>
      </c>
      <c r="G3164" s="2142">
        <v>1386331</v>
      </c>
      <c r="H3164" s="2143"/>
      <c r="I3164" s="2142">
        <v>1386331</v>
      </c>
    </row>
    <row r="3165" spans="1:9" s="2139" customFormat="1" hidden="1">
      <c r="A3165" s="2140" t="s">
        <v>5419</v>
      </c>
      <c r="B3165" s="2141" t="s">
        <v>3056</v>
      </c>
      <c r="C3165" s="2141" t="s">
        <v>3142</v>
      </c>
      <c r="D3165" s="2141">
        <v>119</v>
      </c>
      <c r="E3165" s="2142">
        <v>88.25</v>
      </c>
      <c r="F3165" s="2142">
        <v>14790</v>
      </c>
      <c r="G3165" s="2142">
        <v>1305218</v>
      </c>
      <c r="H3165" s="2143"/>
      <c r="I3165" s="2142">
        <v>1306401</v>
      </c>
    </row>
    <row r="3166" spans="1:9" s="2139" customFormat="1" hidden="1">
      <c r="A3166" s="2140" t="s">
        <v>5420</v>
      </c>
      <c r="B3166" s="2141" t="s">
        <v>3056</v>
      </c>
      <c r="C3166" s="2141" t="s">
        <v>3142</v>
      </c>
      <c r="D3166" s="2141">
        <v>120</v>
      </c>
      <c r="E3166" s="2142">
        <v>61.2</v>
      </c>
      <c r="F3166" s="2142">
        <v>14590</v>
      </c>
      <c r="G3166" s="2142">
        <v>892908</v>
      </c>
      <c r="H3166" s="2143"/>
      <c r="I3166" s="2142">
        <v>892908</v>
      </c>
    </row>
    <row r="3167" spans="1:9" s="2139" customFormat="1" hidden="1">
      <c r="A3167" s="2140" t="s">
        <v>5424</v>
      </c>
      <c r="B3167" s="2141" t="s">
        <v>3056</v>
      </c>
      <c r="C3167" s="2141" t="s">
        <v>3142</v>
      </c>
      <c r="D3167" s="2141">
        <v>125</v>
      </c>
      <c r="E3167" s="2142">
        <v>65.89</v>
      </c>
      <c r="F3167" s="2142">
        <v>16100</v>
      </c>
      <c r="G3167" s="2142">
        <v>1060829</v>
      </c>
      <c r="H3167" s="2143"/>
      <c r="I3167" s="2142">
        <v>1060829</v>
      </c>
    </row>
    <row r="3168" spans="1:9" s="2139" customFormat="1" hidden="1">
      <c r="A3168" s="2140" t="s">
        <v>5425</v>
      </c>
      <c r="B3168" s="2141" t="s">
        <v>3056</v>
      </c>
      <c r="C3168" s="2141" t="s">
        <v>3142</v>
      </c>
      <c r="D3168" s="2141">
        <v>126</v>
      </c>
      <c r="E3168" s="2142">
        <v>55.34</v>
      </c>
      <c r="F3168" s="2142">
        <v>16100</v>
      </c>
      <c r="G3168" s="2142">
        <v>890974</v>
      </c>
      <c r="H3168" s="2143"/>
      <c r="I3168" s="2142">
        <v>890974</v>
      </c>
    </row>
    <row r="3169" spans="1:9" s="2139" customFormat="1" hidden="1">
      <c r="A3169" s="2140" t="s">
        <v>5426</v>
      </c>
      <c r="B3169" s="2141" t="s">
        <v>3056</v>
      </c>
      <c r="C3169" s="2141" t="s">
        <v>3142</v>
      </c>
      <c r="D3169" s="2141">
        <v>127</v>
      </c>
      <c r="E3169" s="2142">
        <v>86.89</v>
      </c>
      <c r="F3169" s="2142">
        <v>16100</v>
      </c>
      <c r="G3169" s="2142">
        <v>1398929</v>
      </c>
      <c r="H3169" s="2143"/>
      <c r="I3169" s="2142">
        <v>1398929</v>
      </c>
    </row>
    <row r="3170" spans="1:9" s="2139" customFormat="1" hidden="1">
      <c r="A3170" s="2140" t="s">
        <v>5427</v>
      </c>
      <c r="B3170" s="2141" t="s">
        <v>3056</v>
      </c>
      <c r="C3170" s="2141" t="s">
        <v>3142</v>
      </c>
      <c r="D3170" s="2141">
        <v>128</v>
      </c>
      <c r="E3170" s="2142">
        <v>97.15</v>
      </c>
      <c r="F3170" s="2142">
        <v>18490.004110000002</v>
      </c>
      <c r="G3170" s="2142">
        <v>1796304</v>
      </c>
      <c r="H3170" s="2143"/>
      <c r="I3170" s="2142">
        <v>1797968</v>
      </c>
    </row>
    <row r="3171" spans="1:9" s="2139" customFormat="1" hidden="1">
      <c r="A3171" s="2140" t="s">
        <v>5428</v>
      </c>
      <c r="B3171" s="2141" t="s">
        <v>3056</v>
      </c>
      <c r="C3171" s="2141" t="s">
        <v>3142</v>
      </c>
      <c r="D3171" s="2141">
        <v>129</v>
      </c>
      <c r="E3171" s="2142">
        <v>99.45</v>
      </c>
      <c r="F3171" s="2142">
        <v>18490.00503</v>
      </c>
      <c r="G3171" s="2142">
        <v>1838831.0002335</v>
      </c>
      <c r="H3171" s="2143"/>
      <c r="I3171" s="2142">
        <v>1838831</v>
      </c>
    </row>
    <row r="3172" spans="1:9" s="2139" customFormat="1" hidden="1">
      <c r="A3172" s="2140" t="s">
        <v>5429</v>
      </c>
      <c r="B3172" s="2141" t="s">
        <v>3056</v>
      </c>
      <c r="C3172" s="2141" t="s">
        <v>3142</v>
      </c>
      <c r="D3172" s="2141">
        <v>132</v>
      </c>
      <c r="E3172" s="2142">
        <v>105.32</v>
      </c>
      <c r="F3172" s="2142">
        <v>16300</v>
      </c>
      <c r="G3172" s="2142">
        <v>1716716</v>
      </c>
      <c r="H3172" s="2143"/>
      <c r="I3172" s="2142">
        <v>1716716</v>
      </c>
    </row>
    <row r="3173" spans="1:9" s="2139" customFormat="1" hidden="1">
      <c r="A3173" s="2140" t="s">
        <v>5430</v>
      </c>
      <c r="B3173" s="2141" t="s">
        <v>3056</v>
      </c>
      <c r="C3173" s="2141" t="s">
        <v>3142</v>
      </c>
      <c r="D3173" s="2141">
        <v>133</v>
      </c>
      <c r="E3173" s="2142">
        <v>51.92</v>
      </c>
      <c r="F3173" s="2142">
        <v>15800</v>
      </c>
      <c r="G3173" s="2142">
        <v>820336</v>
      </c>
      <c r="H3173" s="2143"/>
      <c r="I3173" s="2142">
        <v>820336</v>
      </c>
    </row>
    <row r="3174" spans="1:9" s="2139" customFormat="1" hidden="1">
      <c r="A3174" s="2140" t="s">
        <v>5431</v>
      </c>
      <c r="B3174" s="2141" t="s">
        <v>3056</v>
      </c>
      <c r="C3174" s="2141" t="s">
        <v>3142</v>
      </c>
      <c r="D3174" s="2141">
        <v>135</v>
      </c>
      <c r="E3174" s="2142">
        <v>51.92</v>
      </c>
      <c r="F3174" s="2142">
        <v>15800</v>
      </c>
      <c r="G3174" s="2142">
        <v>820336</v>
      </c>
      <c r="H3174" s="2143"/>
      <c r="I3174" s="2142">
        <v>820336</v>
      </c>
    </row>
    <row r="3175" spans="1:9" s="2139" customFormat="1" hidden="1">
      <c r="A3175" s="2140" t="s">
        <v>5432</v>
      </c>
      <c r="B3175" s="2141" t="s">
        <v>3056</v>
      </c>
      <c r="C3175" s="2141" t="s">
        <v>3142</v>
      </c>
      <c r="D3175" s="2141">
        <v>136</v>
      </c>
      <c r="E3175" s="2142">
        <v>55.63</v>
      </c>
      <c r="F3175" s="2142">
        <v>15800</v>
      </c>
      <c r="G3175" s="2142">
        <v>878954</v>
      </c>
      <c r="H3175" s="2143"/>
      <c r="I3175" s="2142">
        <v>878954</v>
      </c>
    </row>
    <row r="3176" spans="1:9" s="2139" customFormat="1" hidden="1">
      <c r="A3176" s="2140" t="s">
        <v>5433</v>
      </c>
      <c r="B3176" s="2141" t="s">
        <v>3056</v>
      </c>
      <c r="C3176" s="2141" t="s">
        <v>3142</v>
      </c>
      <c r="D3176" s="2141">
        <v>137</v>
      </c>
      <c r="E3176" s="2142">
        <v>77.44</v>
      </c>
      <c r="F3176" s="2142">
        <v>19590.00517</v>
      </c>
      <c r="G3176" s="2142">
        <v>1517050.0003648</v>
      </c>
      <c r="H3176" s="2143"/>
      <c r="I3176" s="2142">
        <v>1517050</v>
      </c>
    </row>
    <row r="3177" spans="1:9" s="2139" customFormat="1" hidden="1">
      <c r="A3177" s="2140" t="s">
        <v>5434</v>
      </c>
      <c r="B3177" s="2141" t="s">
        <v>3056</v>
      </c>
      <c r="C3177" s="2141" t="s">
        <v>3142</v>
      </c>
      <c r="D3177" s="2141">
        <v>138</v>
      </c>
      <c r="E3177" s="2142">
        <v>148.85</v>
      </c>
      <c r="F3177" s="2142">
        <v>19589.999319999999</v>
      </c>
      <c r="G3177" s="2142">
        <v>2915972</v>
      </c>
      <c r="H3177" s="2143"/>
      <c r="I3177" s="2142">
        <v>2918714</v>
      </c>
    </row>
    <row r="3178" spans="1:9" s="2139" customFormat="1" hidden="1">
      <c r="A3178" s="2140" t="s">
        <v>5438</v>
      </c>
      <c r="B3178" s="2141" t="s">
        <v>3056</v>
      </c>
      <c r="C3178" s="2141" t="s">
        <v>3142</v>
      </c>
      <c r="D3178" s="2141">
        <v>142</v>
      </c>
      <c r="E3178" s="2142">
        <v>76.83</v>
      </c>
      <c r="F3178" s="2142">
        <v>16100</v>
      </c>
      <c r="G3178" s="2142">
        <v>1236963</v>
      </c>
      <c r="H3178" s="2143"/>
      <c r="I3178" s="2142">
        <v>1236963</v>
      </c>
    </row>
    <row r="3179" spans="1:9" s="2139" customFormat="1" hidden="1">
      <c r="A3179" s="2140" t="s">
        <v>5439</v>
      </c>
      <c r="B3179" s="2141" t="s">
        <v>3056</v>
      </c>
      <c r="C3179" s="2141" t="s">
        <v>3142</v>
      </c>
      <c r="D3179" s="2141">
        <v>143</v>
      </c>
      <c r="E3179" s="2142">
        <v>71.7</v>
      </c>
      <c r="F3179" s="2142">
        <v>15800</v>
      </c>
      <c r="G3179" s="2142">
        <v>1132860</v>
      </c>
      <c r="H3179" s="2143"/>
      <c r="I3179" s="2142">
        <v>1132860</v>
      </c>
    </row>
    <row r="3180" spans="1:9" s="2139" customFormat="1" hidden="1">
      <c r="A3180" s="2140" t="s">
        <v>5440</v>
      </c>
      <c r="B3180" s="2141" t="s">
        <v>3056</v>
      </c>
      <c r="C3180" s="2141" t="s">
        <v>3142</v>
      </c>
      <c r="D3180" s="2141">
        <v>145</v>
      </c>
      <c r="E3180" s="2142">
        <v>71.7</v>
      </c>
      <c r="F3180" s="2142">
        <v>15800</v>
      </c>
      <c r="G3180" s="2142">
        <v>1132860</v>
      </c>
      <c r="H3180" s="2143"/>
      <c r="I3180" s="2142">
        <v>1132860</v>
      </c>
    </row>
    <row r="3181" spans="1:9" s="2139" customFormat="1" hidden="1">
      <c r="A3181" s="2140" t="s">
        <v>5441</v>
      </c>
      <c r="B3181" s="2141" t="s">
        <v>3056</v>
      </c>
      <c r="C3181" s="2141" t="s">
        <v>3142</v>
      </c>
      <c r="D3181" s="2141">
        <v>147</v>
      </c>
      <c r="E3181" s="2142">
        <v>114.25</v>
      </c>
      <c r="F3181" s="2142">
        <v>18290.004300000001</v>
      </c>
      <c r="G3181" s="2142">
        <v>2089633</v>
      </c>
      <c r="H3181" s="2143"/>
      <c r="I3181" s="2142">
        <v>2091462</v>
      </c>
    </row>
    <row r="3182" spans="1:9" s="2139" customFormat="1" hidden="1">
      <c r="A3182" s="2140" t="s">
        <v>5442</v>
      </c>
      <c r="B3182" s="2141" t="s">
        <v>3056</v>
      </c>
      <c r="C3182" s="2141" t="s">
        <v>3142</v>
      </c>
      <c r="D3182" s="2141">
        <v>152</v>
      </c>
      <c r="E3182" s="2142">
        <v>108.88</v>
      </c>
      <c r="F3182" s="2142">
        <v>15100</v>
      </c>
      <c r="G3182" s="2142">
        <v>1644088</v>
      </c>
      <c r="H3182" s="2143"/>
      <c r="I3182" s="2142">
        <v>1644088</v>
      </c>
    </row>
    <row r="3183" spans="1:9" s="2139" customFormat="1" hidden="1">
      <c r="A3183" s="2140" t="s">
        <v>5443</v>
      </c>
      <c r="B3183" s="2141" t="s">
        <v>3056</v>
      </c>
      <c r="C3183" s="2141" t="s">
        <v>3142</v>
      </c>
      <c r="D3183" s="2141">
        <v>157</v>
      </c>
      <c r="E3183" s="2142">
        <v>127.34</v>
      </c>
      <c r="F3183" s="2142">
        <v>15100</v>
      </c>
      <c r="G3183" s="2142">
        <v>1922834</v>
      </c>
      <c r="H3183" s="2143"/>
      <c r="I3183" s="2142">
        <v>1922834</v>
      </c>
    </row>
    <row r="3184" spans="1:9" s="2139" customFormat="1" hidden="1">
      <c r="A3184" s="2140" t="s">
        <v>5444</v>
      </c>
      <c r="B3184" s="2141" t="s">
        <v>3056</v>
      </c>
      <c r="C3184" s="2141" t="s">
        <v>3142</v>
      </c>
      <c r="D3184" s="2141">
        <v>160</v>
      </c>
      <c r="E3184" s="2142">
        <v>160.94</v>
      </c>
      <c r="F3184" s="2142">
        <v>19590</v>
      </c>
      <c r="G3184" s="2142">
        <v>3152814.6</v>
      </c>
      <c r="H3184" s="2143"/>
      <c r="I3184" s="2142">
        <v>3152815</v>
      </c>
    </row>
    <row r="3185" spans="1:9" s="2139" customFormat="1" hidden="1">
      <c r="A3185" s="2140" t="s">
        <v>5445</v>
      </c>
      <c r="B3185" s="2141" t="s">
        <v>3056</v>
      </c>
      <c r="C3185" s="2141" t="s">
        <v>3142</v>
      </c>
      <c r="D3185" s="2141">
        <v>161</v>
      </c>
      <c r="E3185" s="2142">
        <v>159.51</v>
      </c>
      <c r="F3185" s="2142">
        <v>15800</v>
      </c>
      <c r="G3185" s="2142">
        <v>2520258</v>
      </c>
      <c r="H3185" s="2143"/>
      <c r="I3185" s="2142">
        <v>2520258</v>
      </c>
    </row>
    <row r="3186" spans="1:9" s="2139" customFormat="1" hidden="1">
      <c r="A3186" s="2140" t="s">
        <v>5446</v>
      </c>
      <c r="B3186" s="2141" t="s">
        <v>3056</v>
      </c>
      <c r="C3186" s="2141" t="s">
        <v>3142</v>
      </c>
      <c r="D3186" s="2141">
        <v>162</v>
      </c>
      <c r="E3186" s="2142">
        <v>101.81</v>
      </c>
      <c r="F3186" s="2142">
        <v>16300</v>
      </c>
      <c r="G3186" s="2142">
        <v>1659503</v>
      </c>
      <c r="H3186" s="2143"/>
      <c r="I3186" s="2142">
        <v>1659503</v>
      </c>
    </row>
    <row r="3187" spans="1:9" s="2139" customFormat="1" hidden="1">
      <c r="A3187" s="2140" t="s">
        <v>5447</v>
      </c>
      <c r="B3187" s="2141" t="s">
        <v>3056</v>
      </c>
      <c r="C3187" s="2141" t="s">
        <v>3142</v>
      </c>
      <c r="D3187" s="2141">
        <v>163</v>
      </c>
      <c r="E3187" s="2142">
        <v>59.11</v>
      </c>
      <c r="F3187" s="2142">
        <v>14590</v>
      </c>
      <c r="G3187" s="2142">
        <v>862414.9</v>
      </c>
      <c r="H3187" s="2143"/>
      <c r="I3187" s="2142">
        <v>862415</v>
      </c>
    </row>
    <row r="3188" spans="1:9" s="2139" customFormat="1" hidden="1">
      <c r="A3188" s="2140" t="s">
        <v>5448</v>
      </c>
      <c r="B3188" s="2141" t="s">
        <v>3056</v>
      </c>
      <c r="C3188" s="2141" t="s">
        <v>3142</v>
      </c>
      <c r="D3188" s="2141">
        <v>165</v>
      </c>
      <c r="E3188" s="2142">
        <v>8.94</v>
      </c>
      <c r="F3188" s="2142">
        <v>14590</v>
      </c>
      <c r="G3188" s="2142">
        <v>130434.59999999999</v>
      </c>
      <c r="H3188" s="2143"/>
      <c r="I3188" s="2142">
        <v>130435</v>
      </c>
    </row>
    <row r="3189" spans="1:9" s="2139" customFormat="1" hidden="1">
      <c r="A3189" s="2140" t="s">
        <v>5449</v>
      </c>
      <c r="B3189" s="2141" t="s">
        <v>3056</v>
      </c>
      <c r="C3189" s="2141" t="s">
        <v>3142</v>
      </c>
      <c r="D3189" s="2141">
        <v>166</v>
      </c>
      <c r="E3189" s="2142">
        <v>49.26</v>
      </c>
      <c r="F3189" s="2142">
        <v>15100</v>
      </c>
      <c r="G3189" s="2142">
        <v>743826</v>
      </c>
      <c r="H3189" s="2143"/>
      <c r="I3189" s="2142">
        <v>743826</v>
      </c>
    </row>
    <row r="3190" spans="1:9" s="2139" customFormat="1" hidden="1">
      <c r="A3190" s="2140" t="s">
        <v>5450</v>
      </c>
      <c r="B3190" s="2141" t="s">
        <v>3056</v>
      </c>
      <c r="C3190" s="2141" t="s">
        <v>3142</v>
      </c>
      <c r="D3190" s="2141">
        <v>167</v>
      </c>
      <c r="E3190" s="2142">
        <v>44.42</v>
      </c>
      <c r="F3190" s="2142">
        <v>14590</v>
      </c>
      <c r="G3190" s="2142">
        <v>648087.80000000005</v>
      </c>
      <c r="H3190" s="2143"/>
      <c r="I3190" s="2142">
        <v>648088</v>
      </c>
    </row>
    <row r="3191" spans="1:9" s="2139" customFormat="1" hidden="1">
      <c r="A3191" s="2140" t="s">
        <v>5451</v>
      </c>
      <c r="B3191" s="2141" t="s">
        <v>3056</v>
      </c>
      <c r="C3191" s="2141" t="s">
        <v>3142</v>
      </c>
      <c r="D3191" s="2141">
        <v>168</v>
      </c>
      <c r="E3191" s="2142">
        <v>47.05</v>
      </c>
      <c r="F3191" s="2142">
        <v>14590</v>
      </c>
      <c r="G3191" s="2142">
        <v>686460</v>
      </c>
      <c r="H3191" s="2143"/>
      <c r="I3191" s="2142">
        <v>687189</v>
      </c>
    </row>
    <row r="3192" spans="1:9" s="2139" customFormat="1" hidden="1">
      <c r="A3192" s="2140" t="s">
        <v>5452</v>
      </c>
      <c r="B3192" s="2141" t="s">
        <v>3056</v>
      </c>
      <c r="C3192" s="2141" t="s">
        <v>3142</v>
      </c>
      <c r="D3192" s="2141">
        <v>169</v>
      </c>
      <c r="E3192" s="2142">
        <v>137.12</v>
      </c>
      <c r="F3192" s="2142">
        <v>18290</v>
      </c>
      <c r="G3192" s="2142">
        <v>2507924.8000000003</v>
      </c>
      <c r="H3192" s="2143"/>
      <c r="I3192" s="2142">
        <v>2507925</v>
      </c>
    </row>
    <row r="3193" spans="1:9" s="2139" customFormat="1" hidden="1">
      <c r="A3193" s="2140" t="s">
        <v>5453</v>
      </c>
      <c r="B3193" s="2141" t="s">
        <v>3056</v>
      </c>
      <c r="C3193" s="2141" t="s">
        <v>3142</v>
      </c>
      <c r="D3193" s="2141">
        <v>170</v>
      </c>
      <c r="E3193" s="2142">
        <v>88.21</v>
      </c>
      <c r="F3193" s="2142">
        <v>17990</v>
      </c>
      <c r="G3193" s="2142">
        <v>1586897.9</v>
      </c>
      <c r="H3193" s="2143"/>
      <c r="I3193" s="2142">
        <v>1586898</v>
      </c>
    </row>
    <row r="3194" spans="1:9" s="2139" customFormat="1" hidden="1">
      <c r="A3194" s="2140" t="s">
        <v>5454</v>
      </c>
      <c r="B3194" s="2141" t="s">
        <v>3056</v>
      </c>
      <c r="C3194" s="2141" t="s">
        <v>3142</v>
      </c>
      <c r="D3194" s="2141">
        <v>171</v>
      </c>
      <c r="E3194" s="2142">
        <v>112.49</v>
      </c>
      <c r="F3194" s="2142">
        <v>19790</v>
      </c>
      <c r="G3194" s="2142">
        <v>2226177.1</v>
      </c>
      <c r="H3194" s="2143"/>
      <c r="I3194" s="2142">
        <v>2226177</v>
      </c>
    </row>
    <row r="3195" spans="1:9" s="2139" customFormat="1" hidden="1">
      <c r="A3195" s="2140" t="s">
        <v>5455</v>
      </c>
      <c r="B3195" s="2141" t="s">
        <v>3056</v>
      </c>
      <c r="C3195" s="2141" t="s">
        <v>3142</v>
      </c>
      <c r="D3195" s="2141">
        <v>172</v>
      </c>
      <c r="E3195" s="2142">
        <v>79.09</v>
      </c>
      <c r="F3195" s="2142">
        <v>19300</v>
      </c>
      <c r="G3195" s="2142">
        <v>1526437</v>
      </c>
      <c r="H3195" s="2143"/>
      <c r="I3195" s="2142">
        <v>1526437</v>
      </c>
    </row>
    <row r="3196" spans="1:9" s="2139" customFormat="1" hidden="1">
      <c r="A3196" s="2140" t="s">
        <v>5456</v>
      </c>
      <c r="B3196" s="2141" t="s">
        <v>3056</v>
      </c>
      <c r="C3196" s="2141" t="s">
        <v>3142</v>
      </c>
      <c r="D3196" s="2141">
        <v>173</v>
      </c>
      <c r="E3196" s="2142">
        <v>77.260000000000005</v>
      </c>
      <c r="F3196" s="2142">
        <v>19300</v>
      </c>
      <c r="G3196" s="2142">
        <v>1491118</v>
      </c>
      <c r="H3196" s="2143"/>
      <c r="I3196" s="2142">
        <v>1491118</v>
      </c>
    </row>
    <row r="3197" spans="1:9" s="2139" customFormat="1" hidden="1">
      <c r="A3197" s="2140" t="s">
        <v>5457</v>
      </c>
      <c r="B3197" s="2141" t="s">
        <v>3056</v>
      </c>
      <c r="C3197" s="2141" t="s">
        <v>3142</v>
      </c>
      <c r="D3197" s="2141">
        <v>175</v>
      </c>
      <c r="E3197" s="2142">
        <v>78.87</v>
      </c>
      <c r="F3197" s="2142">
        <v>19590</v>
      </c>
      <c r="G3197" s="2142">
        <v>1545063.3</v>
      </c>
      <c r="H3197" s="2143"/>
      <c r="I3197" s="2142">
        <v>1545063</v>
      </c>
    </row>
    <row r="3198" spans="1:9" s="2139" customFormat="1" hidden="1">
      <c r="A3198" s="2140" t="s">
        <v>5458</v>
      </c>
      <c r="B3198" s="2141" t="s">
        <v>3056</v>
      </c>
      <c r="C3198" s="2141" t="s">
        <v>3142</v>
      </c>
      <c r="D3198" s="2141">
        <v>176</v>
      </c>
      <c r="E3198" s="2142">
        <v>25.88</v>
      </c>
      <c r="F3198" s="2142">
        <v>19590</v>
      </c>
      <c r="G3198" s="2142">
        <v>506989.19999999995</v>
      </c>
      <c r="H3198" s="2143"/>
      <c r="I3198" s="2142">
        <v>506989</v>
      </c>
    </row>
    <row r="3199" spans="1:9" s="2139" customFormat="1" hidden="1">
      <c r="A3199" s="2140" t="s">
        <v>5459</v>
      </c>
      <c r="B3199" s="2141" t="s">
        <v>3056</v>
      </c>
      <c r="C3199" s="2141" t="s">
        <v>3142</v>
      </c>
      <c r="D3199" s="2141">
        <v>177</v>
      </c>
      <c r="E3199" s="2142">
        <v>94.4</v>
      </c>
      <c r="F3199" s="2142">
        <v>19300</v>
      </c>
      <c r="G3199" s="2142">
        <v>1821920</v>
      </c>
      <c r="H3199" s="2143"/>
      <c r="I3199" s="2142">
        <v>1821920</v>
      </c>
    </row>
    <row r="3200" spans="1:9" s="2139" customFormat="1" hidden="1">
      <c r="A3200" s="2140" t="s">
        <v>5460</v>
      </c>
      <c r="B3200" s="2141" t="s">
        <v>3056</v>
      </c>
      <c r="C3200" s="2141" t="s">
        <v>3142</v>
      </c>
      <c r="D3200" s="2141">
        <v>178</v>
      </c>
      <c r="E3200" s="2142">
        <v>76.67</v>
      </c>
      <c r="F3200" s="2142">
        <v>19300</v>
      </c>
      <c r="G3200" s="2142">
        <v>1479731</v>
      </c>
      <c r="H3200" s="2143"/>
      <c r="I3200" s="2142">
        <v>1479731</v>
      </c>
    </row>
    <row r="3201" spans="1:9" s="2139" customFormat="1" hidden="1">
      <c r="A3201" s="2140" t="s">
        <v>5461</v>
      </c>
      <c r="B3201" s="2141" t="s">
        <v>3056</v>
      </c>
      <c r="C3201" s="2141" t="s">
        <v>3142</v>
      </c>
      <c r="D3201" s="2141">
        <v>179</v>
      </c>
      <c r="E3201" s="2142">
        <v>74.760000000000005</v>
      </c>
      <c r="F3201" s="2142">
        <v>19300</v>
      </c>
      <c r="G3201" s="2142">
        <v>1442868</v>
      </c>
      <c r="H3201" s="2143"/>
      <c r="I3201" s="2142">
        <v>1442868</v>
      </c>
    </row>
    <row r="3202" spans="1:9" s="2139" customFormat="1" hidden="1">
      <c r="A3202" s="2140" t="s">
        <v>5462</v>
      </c>
      <c r="B3202" s="2141" t="s">
        <v>3056</v>
      </c>
      <c r="C3202" s="2141" t="s">
        <v>3142</v>
      </c>
      <c r="D3202" s="2141">
        <v>180</v>
      </c>
      <c r="E3202" s="2142">
        <v>76.03</v>
      </c>
      <c r="F3202" s="2142">
        <v>19300</v>
      </c>
      <c r="G3202" s="2142">
        <v>1467379</v>
      </c>
      <c r="H3202" s="2143"/>
      <c r="I3202" s="2142">
        <v>1467379</v>
      </c>
    </row>
    <row r="3203" spans="1:9" s="2139" customFormat="1" hidden="1">
      <c r="A3203" s="2140" t="s">
        <v>5463</v>
      </c>
      <c r="B3203" s="2141" t="s">
        <v>3056</v>
      </c>
      <c r="C3203" s="2141" t="s">
        <v>3142</v>
      </c>
      <c r="D3203" s="2141">
        <v>181</v>
      </c>
      <c r="E3203" s="2142">
        <v>79.459999999999994</v>
      </c>
      <c r="F3203" s="2142">
        <v>19590</v>
      </c>
      <c r="G3203" s="2142">
        <v>1556621.4</v>
      </c>
      <c r="H3203" s="2143"/>
      <c r="I3203" s="2142">
        <v>1556621</v>
      </c>
    </row>
    <row r="3204" spans="1:9" s="2139" customFormat="1" hidden="1">
      <c r="A3204" s="2140" t="s">
        <v>5464</v>
      </c>
      <c r="B3204" s="2141" t="s">
        <v>3056</v>
      </c>
      <c r="C3204" s="2141" t="s">
        <v>3142</v>
      </c>
      <c r="D3204" s="2141">
        <v>182</v>
      </c>
      <c r="E3204" s="2142">
        <v>128.01</v>
      </c>
      <c r="F3204" s="2142">
        <v>19590</v>
      </c>
      <c r="G3204" s="2142">
        <v>2507715.9</v>
      </c>
      <c r="H3204" s="2143"/>
      <c r="I3204" s="2142">
        <v>2507716</v>
      </c>
    </row>
    <row r="3205" spans="1:9" s="2139" customFormat="1" hidden="1">
      <c r="A3205" s="2140" t="s">
        <v>5465</v>
      </c>
      <c r="B3205" s="2141" t="s">
        <v>3056</v>
      </c>
      <c r="C3205" s="2141" t="s">
        <v>3142</v>
      </c>
      <c r="D3205" s="2141">
        <v>183</v>
      </c>
      <c r="E3205" s="2142">
        <v>75.19</v>
      </c>
      <c r="F3205" s="2142">
        <v>15800</v>
      </c>
      <c r="G3205" s="2142">
        <v>1188002</v>
      </c>
      <c r="H3205" s="2143"/>
      <c r="I3205" s="2142">
        <v>1188002</v>
      </c>
    </row>
    <row r="3206" spans="1:9" s="2139" customFormat="1" hidden="1">
      <c r="A3206" s="2140" t="s">
        <v>5468</v>
      </c>
      <c r="B3206" s="2141" t="s">
        <v>3056</v>
      </c>
      <c r="C3206" s="2141" t="s">
        <v>3142</v>
      </c>
      <c r="D3206" s="2141">
        <v>187</v>
      </c>
      <c r="E3206" s="2142">
        <v>135.1</v>
      </c>
      <c r="F3206" s="2142">
        <v>19300</v>
      </c>
      <c r="G3206" s="2142">
        <v>2607430</v>
      </c>
      <c r="H3206" s="2143"/>
      <c r="I3206" s="2142">
        <v>2607430</v>
      </c>
    </row>
    <row r="3207" spans="1:9" s="2139" customFormat="1" hidden="1">
      <c r="A3207" s="2140" t="s">
        <v>5470</v>
      </c>
      <c r="B3207" s="2141" t="s">
        <v>3056</v>
      </c>
      <c r="C3207" s="2141" t="s">
        <v>3142</v>
      </c>
      <c r="D3207" s="2141">
        <v>189</v>
      </c>
      <c r="E3207" s="2142">
        <v>106.16</v>
      </c>
      <c r="F3207" s="2142">
        <v>19500</v>
      </c>
      <c r="G3207" s="2142">
        <v>2070120</v>
      </c>
      <c r="H3207" s="2143"/>
      <c r="I3207" s="2142">
        <v>2070120</v>
      </c>
    </row>
    <row r="3208" spans="1:9" s="2139" customFormat="1" hidden="1">
      <c r="A3208" s="2140" t="s">
        <v>5471</v>
      </c>
      <c r="B3208" s="2141" t="s">
        <v>3056</v>
      </c>
      <c r="C3208" s="2141" t="s">
        <v>3142</v>
      </c>
      <c r="D3208" s="2141">
        <v>191</v>
      </c>
      <c r="E3208" s="2142">
        <v>54.26</v>
      </c>
      <c r="F3208" s="2142">
        <v>15100</v>
      </c>
      <c r="G3208" s="2142">
        <v>819326</v>
      </c>
      <c r="H3208" s="2143"/>
      <c r="I3208" s="2142">
        <v>819326</v>
      </c>
    </row>
    <row r="3209" spans="1:9" s="2139" customFormat="1" hidden="1">
      <c r="A3209" s="2140" t="s">
        <v>5473</v>
      </c>
      <c r="B3209" s="2141" t="s">
        <v>3056</v>
      </c>
      <c r="C3209" s="2141" t="s">
        <v>3142</v>
      </c>
      <c r="D3209" s="2141">
        <v>193</v>
      </c>
      <c r="E3209" s="2142">
        <v>31.35</v>
      </c>
      <c r="F3209" s="2142">
        <v>14590.015950000001</v>
      </c>
      <c r="G3209" s="2142">
        <v>457397.00003250007</v>
      </c>
      <c r="H3209" s="2143"/>
      <c r="I3209" s="2142">
        <v>457397</v>
      </c>
    </row>
    <row r="3210" spans="1:9" s="2139" customFormat="1" hidden="1">
      <c r="A3210" s="2140" t="s">
        <v>5474</v>
      </c>
      <c r="B3210" s="2141" t="s">
        <v>3056</v>
      </c>
      <c r="C3210" s="2141" t="s">
        <v>3142</v>
      </c>
      <c r="D3210" s="2141">
        <v>196</v>
      </c>
      <c r="E3210" s="2142">
        <v>134.27000000000001</v>
      </c>
      <c r="F3210" s="2142">
        <v>16300</v>
      </c>
      <c r="G3210" s="2142">
        <v>2188601</v>
      </c>
      <c r="H3210" s="2143"/>
      <c r="I3210" s="2142">
        <v>2188601</v>
      </c>
    </row>
    <row r="3211" spans="1:9" s="2139" customFormat="1" hidden="1">
      <c r="A3211" s="2140" t="s">
        <v>5475</v>
      </c>
      <c r="B3211" s="2141" t="s">
        <v>3056</v>
      </c>
      <c r="C3211" s="2141" t="s">
        <v>3142</v>
      </c>
      <c r="D3211" s="2141">
        <v>197</v>
      </c>
      <c r="E3211" s="2142">
        <v>59.87</v>
      </c>
      <c r="F3211" s="2142">
        <v>16300</v>
      </c>
      <c r="G3211" s="2142">
        <v>975881</v>
      </c>
      <c r="H3211" s="2143"/>
      <c r="I3211" s="2142">
        <v>975881</v>
      </c>
    </row>
    <row r="3212" spans="1:9" s="2139" customFormat="1" hidden="1">
      <c r="A3212" s="2140" t="s">
        <v>5476</v>
      </c>
      <c r="B3212" s="2141" t="s">
        <v>3056</v>
      </c>
      <c r="C3212" s="2141" t="s">
        <v>3142</v>
      </c>
      <c r="D3212" s="2141">
        <v>198</v>
      </c>
      <c r="E3212" s="2142">
        <v>57.88</v>
      </c>
      <c r="F3212" s="2142">
        <v>15800</v>
      </c>
      <c r="G3212" s="2142">
        <v>914504</v>
      </c>
      <c r="H3212" s="2143"/>
      <c r="I3212" s="2142">
        <v>914504</v>
      </c>
    </row>
    <row r="3213" spans="1:9" s="2139" customFormat="1" hidden="1">
      <c r="A3213" s="2140" t="s">
        <v>5477</v>
      </c>
      <c r="B3213" s="2141" t="s">
        <v>3056</v>
      </c>
      <c r="C3213" s="2141" t="s">
        <v>3142</v>
      </c>
      <c r="D3213" s="2141">
        <v>199</v>
      </c>
      <c r="E3213" s="2142">
        <v>55.88</v>
      </c>
      <c r="F3213" s="2142">
        <v>15800</v>
      </c>
      <c r="G3213" s="2142">
        <v>882904</v>
      </c>
      <c r="H3213" s="2143"/>
      <c r="I3213" s="2142">
        <v>882904</v>
      </c>
    </row>
    <row r="3214" spans="1:9" s="2139" customFormat="1" hidden="1">
      <c r="A3214" s="2140" t="s">
        <v>5478</v>
      </c>
      <c r="B3214" s="2141" t="s">
        <v>3056</v>
      </c>
      <c r="C3214" s="2141" t="s">
        <v>3142</v>
      </c>
      <c r="D3214" s="2141">
        <v>200</v>
      </c>
      <c r="E3214" s="2142">
        <v>79.349999999999994</v>
      </c>
      <c r="F3214" s="2142">
        <v>19590.009999999998</v>
      </c>
      <c r="G3214" s="2142">
        <v>1554467.2934999997</v>
      </c>
      <c r="H3214" s="2143"/>
      <c r="I3214" s="2142">
        <v>1554467</v>
      </c>
    </row>
    <row r="3215" spans="1:9" s="2139" customFormat="1" hidden="1">
      <c r="A3215" s="2140" t="s">
        <v>5479</v>
      </c>
      <c r="B3215" s="2141" t="s">
        <v>3056</v>
      </c>
      <c r="C3215" s="2141" t="s">
        <v>3142</v>
      </c>
      <c r="D3215" s="2141">
        <v>201</v>
      </c>
      <c r="E3215" s="2142">
        <v>127.7</v>
      </c>
      <c r="F3215" s="2142">
        <v>19590</v>
      </c>
      <c r="G3215" s="2142">
        <v>2501643</v>
      </c>
      <c r="H3215" s="2143"/>
      <c r="I3215" s="2142">
        <v>2501643</v>
      </c>
    </row>
    <row r="3216" spans="1:9" s="2139" customFormat="1" hidden="1">
      <c r="A3216" s="2140" t="s">
        <v>5480</v>
      </c>
      <c r="B3216" s="2141" t="s">
        <v>3056</v>
      </c>
      <c r="C3216" s="2141" t="s">
        <v>3142</v>
      </c>
      <c r="D3216" s="2141">
        <v>210</v>
      </c>
      <c r="E3216" s="2142">
        <v>47.5</v>
      </c>
      <c r="F3216" s="2142">
        <v>15100</v>
      </c>
      <c r="G3216" s="2142">
        <v>717250</v>
      </c>
      <c r="H3216" s="2143"/>
      <c r="I3216" s="2142">
        <v>717250</v>
      </c>
    </row>
    <row r="3217" spans="1:9" s="2139" customFormat="1" hidden="1">
      <c r="A3217" s="2140" t="s">
        <v>5481</v>
      </c>
      <c r="B3217" s="2141" t="s">
        <v>3056</v>
      </c>
      <c r="C3217" s="2141" t="s">
        <v>3142</v>
      </c>
      <c r="D3217" s="2141">
        <v>212</v>
      </c>
      <c r="E3217" s="2142">
        <v>53.71</v>
      </c>
      <c r="F3217" s="2142">
        <v>15100</v>
      </c>
      <c r="G3217" s="2142">
        <v>811021</v>
      </c>
      <c r="H3217" s="2143"/>
      <c r="I3217" s="2142">
        <v>811021</v>
      </c>
    </row>
    <row r="3218" spans="1:9" s="2139" customFormat="1" hidden="1">
      <c r="A3218" s="2140" t="s">
        <v>5485</v>
      </c>
      <c r="B3218" s="2141" t="s">
        <v>3056</v>
      </c>
      <c r="C3218" s="2141" t="s">
        <v>3142</v>
      </c>
      <c r="D3218" s="2141">
        <v>220</v>
      </c>
      <c r="E3218" s="2142">
        <v>199.85</v>
      </c>
      <c r="F3218" s="2142">
        <v>19590</v>
      </c>
      <c r="G3218" s="2142">
        <v>3915061.5</v>
      </c>
      <c r="H3218" s="2143"/>
      <c r="I3218" s="2142">
        <v>1950000</v>
      </c>
    </row>
    <row r="3219" spans="1:9" s="2139" customFormat="1" hidden="1">
      <c r="A3219" s="2140" t="s">
        <v>5486</v>
      </c>
      <c r="B3219" s="2141" t="s">
        <v>3056</v>
      </c>
      <c r="C3219" s="2141" t="s">
        <v>3142</v>
      </c>
      <c r="D3219" s="2141">
        <v>222</v>
      </c>
      <c r="E3219" s="2142">
        <v>96.63</v>
      </c>
      <c r="F3219" s="2142">
        <v>19590</v>
      </c>
      <c r="G3219" s="2142">
        <v>1892981.7</v>
      </c>
      <c r="H3219" s="2143"/>
      <c r="I3219" s="2142">
        <v>940000</v>
      </c>
    </row>
    <row r="3220" spans="1:9" s="2139" customFormat="1" hidden="1">
      <c r="A3220" s="2140" t="s">
        <v>5490</v>
      </c>
      <c r="B3220" s="2141" t="s">
        <v>3056</v>
      </c>
      <c r="C3220" s="2141" t="s">
        <v>3142</v>
      </c>
      <c r="D3220" s="2141">
        <v>230</v>
      </c>
      <c r="E3220" s="2142">
        <v>67.650000000000006</v>
      </c>
      <c r="F3220" s="2142">
        <v>15100</v>
      </c>
      <c r="G3220" s="2142">
        <v>1021515.0000000001</v>
      </c>
      <c r="H3220" s="2143"/>
      <c r="I3220" s="2142">
        <v>1021515</v>
      </c>
    </row>
    <row r="3221" spans="1:9" s="2139" customFormat="1" hidden="1">
      <c r="A3221" s="2140" t="s">
        <v>5491</v>
      </c>
      <c r="B3221" s="2141" t="s">
        <v>3056</v>
      </c>
      <c r="C3221" s="2141" t="s">
        <v>3142</v>
      </c>
      <c r="D3221" s="2141">
        <v>240</v>
      </c>
      <c r="E3221" s="2142">
        <v>53.08</v>
      </c>
      <c r="F3221" s="2142">
        <v>19589.996230000001</v>
      </c>
      <c r="G3221" s="2142">
        <v>1039836.9998884</v>
      </c>
      <c r="H3221" s="2143"/>
      <c r="I3221" s="2142">
        <v>1039837</v>
      </c>
    </row>
    <row r="3222" spans="1:9" s="2139" customFormat="1" hidden="1">
      <c r="A3222" s="2140" t="s">
        <v>5494</v>
      </c>
      <c r="B3222" s="2141" t="s">
        <v>3056</v>
      </c>
      <c r="C3222" s="2141" t="s">
        <v>3142</v>
      </c>
      <c r="D3222" s="2141">
        <v>252</v>
      </c>
      <c r="E3222" s="2142">
        <v>58.16</v>
      </c>
      <c r="F3222" s="2142">
        <v>16300</v>
      </c>
      <c r="G3222" s="2142">
        <v>948008</v>
      </c>
      <c r="H3222" s="2143"/>
      <c r="I3222" s="2142">
        <v>948008</v>
      </c>
    </row>
    <row r="3223" spans="1:9" s="2139" customFormat="1" hidden="1">
      <c r="A3223" s="2140" t="s">
        <v>5495</v>
      </c>
      <c r="B3223" s="2141" t="s">
        <v>3056</v>
      </c>
      <c r="C3223" s="2141" t="s">
        <v>3142</v>
      </c>
      <c r="D3223" s="2141">
        <v>253</v>
      </c>
      <c r="E3223" s="2142">
        <v>54.29</v>
      </c>
      <c r="F3223" s="2142">
        <v>15800</v>
      </c>
      <c r="G3223" s="2142">
        <v>857782</v>
      </c>
      <c r="H3223" s="2143"/>
      <c r="I3223" s="2142">
        <v>857782</v>
      </c>
    </row>
    <row r="3224" spans="1:9" s="2139" customFormat="1" hidden="1">
      <c r="A3224" s="2140" t="s">
        <v>5496</v>
      </c>
      <c r="B3224" s="2141" t="s">
        <v>3056</v>
      </c>
      <c r="C3224" s="2141" t="s">
        <v>3142</v>
      </c>
      <c r="D3224" s="2141">
        <v>255</v>
      </c>
      <c r="E3224" s="2142">
        <v>54.29</v>
      </c>
      <c r="F3224" s="2142">
        <v>15800</v>
      </c>
      <c r="G3224" s="2142">
        <v>857782</v>
      </c>
      <c r="H3224" s="2143"/>
      <c r="I3224" s="2142">
        <v>857782</v>
      </c>
    </row>
    <row r="3225" spans="1:9" s="2139" customFormat="1" hidden="1">
      <c r="A3225" s="2140" t="s">
        <v>5497</v>
      </c>
      <c r="B3225" s="2141" t="s">
        <v>3056</v>
      </c>
      <c r="C3225" s="2141" t="s">
        <v>3142</v>
      </c>
      <c r="D3225" s="2141">
        <v>256</v>
      </c>
      <c r="E3225" s="2142">
        <v>52.16</v>
      </c>
      <c r="F3225" s="2142">
        <v>16300</v>
      </c>
      <c r="G3225" s="2142">
        <v>850208</v>
      </c>
      <c r="H3225" s="2143"/>
      <c r="I3225" s="2142">
        <v>850208</v>
      </c>
    </row>
    <row r="3226" spans="1:9" s="2139" customFormat="1" hidden="1">
      <c r="A3226" s="2140" t="s">
        <v>6957</v>
      </c>
      <c r="B3226" s="2141">
        <v>12</v>
      </c>
      <c r="C3226" s="2141" t="s">
        <v>3151</v>
      </c>
      <c r="D3226" s="2141">
        <v>137</v>
      </c>
      <c r="E3226" s="2142">
        <v>65.73</v>
      </c>
      <c r="F3226" s="2142">
        <v>16065</v>
      </c>
      <c r="G3226" s="2142">
        <v>1055952.45</v>
      </c>
      <c r="H3226" s="2143">
        <v>42369</v>
      </c>
      <c r="I3226" s="2142">
        <v>251254</v>
      </c>
    </row>
    <row r="3227" spans="1:9" s="2139" customFormat="1" hidden="1">
      <c r="A3227" s="2140" t="s">
        <v>5621</v>
      </c>
      <c r="B3227" s="2141" t="s">
        <v>3056</v>
      </c>
      <c r="C3227" s="2141" t="s">
        <v>3151</v>
      </c>
      <c r="D3227" s="2141">
        <v>160</v>
      </c>
      <c r="E3227" s="2142">
        <v>63.56</v>
      </c>
      <c r="F3227" s="2142">
        <v>15023.35</v>
      </c>
      <c r="G3227" s="2142">
        <v>954884.12600000005</v>
      </c>
      <c r="H3227" s="2143">
        <v>42364</v>
      </c>
      <c r="I3227" s="2142">
        <v>954884</v>
      </c>
    </row>
    <row r="3228" spans="1:9" s="2139" customFormat="1" hidden="1">
      <c r="A3228" s="2140" t="s">
        <v>6402</v>
      </c>
      <c r="B3228" s="2141">
        <v>9</v>
      </c>
      <c r="C3228" s="2141" t="s">
        <v>3151</v>
      </c>
      <c r="D3228" s="2141">
        <v>92</v>
      </c>
      <c r="E3228" s="2142">
        <v>68.34</v>
      </c>
      <c r="F3228" s="2142">
        <v>12875</v>
      </c>
      <c r="G3228" s="2142">
        <v>879877.5</v>
      </c>
      <c r="H3228" s="2143">
        <v>42358</v>
      </c>
      <c r="I3228" s="2142">
        <v>199878</v>
      </c>
    </row>
    <row r="3229" spans="1:9" s="2139" customFormat="1" hidden="1">
      <c r="A3229" s="2140" t="s">
        <v>6682</v>
      </c>
      <c r="B3229" s="2141">
        <v>11</v>
      </c>
      <c r="C3229" s="2141" t="s">
        <v>3151</v>
      </c>
      <c r="D3229" s="2141">
        <v>83</v>
      </c>
      <c r="E3229" s="2142">
        <v>81.03</v>
      </c>
      <c r="F3229" s="2142">
        <v>12154</v>
      </c>
      <c r="G3229" s="2142">
        <v>984838.62</v>
      </c>
      <c r="H3229" s="2143">
        <v>42358</v>
      </c>
      <c r="I3229" s="2142">
        <v>215568</v>
      </c>
    </row>
    <row r="3230" spans="1:9" s="2139" customFormat="1" hidden="1">
      <c r="A3230" s="2140" t="s">
        <v>6981</v>
      </c>
      <c r="B3230" s="2141">
        <v>12</v>
      </c>
      <c r="C3230" s="2141" t="s">
        <v>3151</v>
      </c>
      <c r="D3230" s="2141">
        <v>160</v>
      </c>
      <c r="E3230" s="2142">
        <v>62.78</v>
      </c>
      <c r="F3230" s="2142">
        <v>12600</v>
      </c>
      <c r="G3230" s="2142">
        <v>791028</v>
      </c>
      <c r="H3230" s="2143">
        <v>42358</v>
      </c>
      <c r="I3230" s="2142">
        <v>179894</v>
      </c>
    </row>
    <row r="3231" spans="1:9" s="2139" customFormat="1" hidden="1">
      <c r="A3231" s="2140" t="s">
        <v>6995</v>
      </c>
      <c r="B3231" s="2141">
        <v>12</v>
      </c>
      <c r="C3231" s="2141" t="s">
        <v>3151</v>
      </c>
      <c r="D3231" s="2141">
        <v>177</v>
      </c>
      <c r="E3231" s="2142">
        <v>67.72</v>
      </c>
      <c r="F3231" s="2142">
        <v>17385</v>
      </c>
      <c r="G3231" s="2142">
        <v>1177312.2</v>
      </c>
      <c r="H3231" s="2143">
        <v>42358</v>
      </c>
      <c r="I3231" s="2142">
        <v>245574</v>
      </c>
    </row>
    <row r="3232" spans="1:9" s="2139" customFormat="1" hidden="1">
      <c r="A3232" s="2140" t="s">
        <v>6996</v>
      </c>
      <c r="B3232" s="2141">
        <v>12</v>
      </c>
      <c r="C3232" s="2141" t="s">
        <v>3151</v>
      </c>
      <c r="D3232" s="2141">
        <v>178</v>
      </c>
      <c r="E3232" s="2142">
        <v>74.97</v>
      </c>
      <c r="F3232" s="2142">
        <v>13440</v>
      </c>
      <c r="G3232" s="2142">
        <v>1007596.7999999999</v>
      </c>
      <c r="H3232" s="2143">
        <v>42358</v>
      </c>
      <c r="I3232" s="2142">
        <v>206253</v>
      </c>
    </row>
    <row r="3233" spans="1:9" s="2139" customFormat="1" hidden="1">
      <c r="A3233" s="2140" t="s">
        <v>7021</v>
      </c>
      <c r="B3233" s="2141">
        <v>12</v>
      </c>
      <c r="C3233" s="2141" t="s">
        <v>3151</v>
      </c>
      <c r="D3233" s="2141">
        <v>211</v>
      </c>
      <c r="E3233" s="2142">
        <v>72.48</v>
      </c>
      <c r="F3233" s="2142">
        <v>11760</v>
      </c>
      <c r="G3233" s="2142">
        <v>852364.80000000005</v>
      </c>
      <c r="H3233" s="2143">
        <v>42358</v>
      </c>
      <c r="I3233" s="2142">
        <v>181189</v>
      </c>
    </row>
    <row r="3234" spans="1:9" s="2139" customFormat="1" hidden="1">
      <c r="A3234" s="2140" t="s">
        <v>7027</v>
      </c>
      <c r="B3234" s="2141">
        <v>12</v>
      </c>
      <c r="C3234" s="2141" t="s">
        <v>3151</v>
      </c>
      <c r="D3234" s="2141">
        <v>218</v>
      </c>
      <c r="E3234" s="2142">
        <v>69.819999999999993</v>
      </c>
      <c r="F3234" s="2142">
        <v>11760</v>
      </c>
      <c r="G3234" s="2142">
        <v>821083.2</v>
      </c>
      <c r="H3234" s="2143">
        <v>42358</v>
      </c>
      <c r="I3234" s="2142">
        <v>179907</v>
      </c>
    </row>
    <row r="3235" spans="1:9" s="2139" customFormat="1" hidden="1">
      <c r="A3235" s="2140" t="s">
        <v>7028</v>
      </c>
      <c r="B3235" s="2141">
        <v>12</v>
      </c>
      <c r="C3235" s="2141" t="s">
        <v>3151</v>
      </c>
      <c r="D3235" s="2141">
        <v>219</v>
      </c>
      <c r="E3235" s="2142">
        <v>71.319999999999993</v>
      </c>
      <c r="F3235" s="2142">
        <v>16825</v>
      </c>
      <c r="G3235" s="2142">
        <v>1199959</v>
      </c>
      <c r="H3235" s="2143">
        <v>42358</v>
      </c>
      <c r="I3235" s="2142">
        <v>258277</v>
      </c>
    </row>
    <row r="3236" spans="1:9" s="2139" customFormat="1" hidden="1">
      <c r="A3236" s="2140" t="s">
        <v>6384</v>
      </c>
      <c r="B3236" s="2141">
        <v>9</v>
      </c>
      <c r="C3236" s="2141" t="s">
        <v>3151</v>
      </c>
      <c r="D3236" s="2141">
        <v>36</v>
      </c>
      <c r="E3236" s="2142">
        <v>67.14</v>
      </c>
      <c r="F3236" s="2142">
        <v>14214</v>
      </c>
      <c r="G3236" s="2142">
        <v>954327.96</v>
      </c>
      <c r="H3236" s="2143">
        <v>42356</v>
      </c>
      <c r="I3236" s="2142">
        <v>484328</v>
      </c>
    </row>
    <row r="3237" spans="1:9" s="2139" customFormat="1" hidden="1">
      <c r="A3237" s="2140" t="s">
        <v>6406</v>
      </c>
      <c r="B3237" s="2141">
        <v>9</v>
      </c>
      <c r="C3237" s="2141" t="s">
        <v>3151</v>
      </c>
      <c r="D3237" s="2141">
        <v>97</v>
      </c>
      <c r="E3237" s="2142">
        <v>76.52</v>
      </c>
      <c r="F3237" s="2142">
        <v>11845</v>
      </c>
      <c r="G3237" s="2142">
        <v>906379.39999999991</v>
      </c>
      <c r="H3237" s="2143">
        <v>42355</v>
      </c>
      <c r="I3237" s="2142">
        <v>196379</v>
      </c>
    </row>
    <row r="3238" spans="1:9" s="2139" customFormat="1" hidden="1">
      <c r="A3238" s="2140" t="s">
        <v>6413</v>
      </c>
      <c r="B3238" s="2141">
        <v>9</v>
      </c>
      <c r="C3238" s="2141" t="s">
        <v>3151</v>
      </c>
      <c r="D3238" s="2141">
        <v>109</v>
      </c>
      <c r="E3238" s="2142">
        <v>76.52</v>
      </c>
      <c r="F3238" s="2142">
        <v>13905</v>
      </c>
      <c r="G3238" s="2142">
        <v>1064010.5999999999</v>
      </c>
      <c r="H3238" s="2143">
        <v>42355</v>
      </c>
      <c r="I3238" s="2142">
        <v>224011</v>
      </c>
    </row>
    <row r="3239" spans="1:9" s="2139" customFormat="1" hidden="1">
      <c r="A3239" s="2140" t="s">
        <v>6414</v>
      </c>
      <c r="B3239" s="2141">
        <v>9</v>
      </c>
      <c r="C3239" s="2141" t="s">
        <v>3151</v>
      </c>
      <c r="D3239" s="2141">
        <v>110</v>
      </c>
      <c r="E3239" s="2142">
        <v>80.84</v>
      </c>
      <c r="F3239" s="2142">
        <v>14420</v>
      </c>
      <c r="G3239" s="2142">
        <v>1165712.8</v>
      </c>
      <c r="H3239" s="2143">
        <v>42355</v>
      </c>
      <c r="I3239" s="2142">
        <v>265713</v>
      </c>
    </row>
    <row r="3240" spans="1:9" s="2139" customFormat="1" hidden="1">
      <c r="A3240" s="2140" t="s">
        <v>6679</v>
      </c>
      <c r="B3240" s="2141">
        <v>11</v>
      </c>
      <c r="C3240" s="2141" t="s">
        <v>3151</v>
      </c>
      <c r="D3240" s="2141">
        <v>79</v>
      </c>
      <c r="E3240" s="2142">
        <v>70.099999999999994</v>
      </c>
      <c r="F3240" s="2142">
        <v>12154</v>
      </c>
      <c r="G3240" s="2142">
        <v>851995.39999999991</v>
      </c>
      <c r="H3240" s="2143">
        <v>42355</v>
      </c>
      <c r="I3240" s="2142">
        <v>252725</v>
      </c>
    </row>
    <row r="3241" spans="1:9" s="2139" customFormat="1" hidden="1">
      <c r="A3241" s="2140" t="s">
        <v>6999</v>
      </c>
      <c r="B3241" s="2141">
        <v>12</v>
      </c>
      <c r="C3241" s="2141" t="s">
        <v>3151</v>
      </c>
      <c r="D3241" s="2141">
        <v>181</v>
      </c>
      <c r="E3241" s="2142">
        <v>82.51</v>
      </c>
      <c r="F3241" s="2142">
        <v>16065</v>
      </c>
      <c r="G3241" s="2142">
        <v>1325523.1500000001</v>
      </c>
      <c r="H3241" s="2143">
        <v>42354</v>
      </c>
      <c r="I3241" s="2142">
        <v>273435</v>
      </c>
    </row>
    <row r="3242" spans="1:9" s="2139" customFormat="1" hidden="1">
      <c r="A3242" s="2140" t="s">
        <v>7000</v>
      </c>
      <c r="B3242" s="2141">
        <v>12</v>
      </c>
      <c r="C3242" s="2141" t="s">
        <v>3151</v>
      </c>
      <c r="D3242" s="2141">
        <v>182</v>
      </c>
      <c r="E3242" s="2142">
        <v>67.260000000000005</v>
      </c>
      <c r="F3242" s="2142">
        <v>14490</v>
      </c>
      <c r="G3242" s="2142">
        <v>974597.4</v>
      </c>
      <c r="H3242" s="2143">
        <v>42354</v>
      </c>
      <c r="I3242" s="2142">
        <v>223438</v>
      </c>
    </row>
    <row r="3243" spans="1:9" s="2139" customFormat="1" hidden="1">
      <c r="A3243" s="2140" t="s">
        <v>7029</v>
      </c>
      <c r="B3243" s="2141">
        <v>12</v>
      </c>
      <c r="C3243" s="2141" t="s">
        <v>3151</v>
      </c>
      <c r="D3243" s="2141">
        <v>220</v>
      </c>
      <c r="E3243" s="2142">
        <v>69.709999999999994</v>
      </c>
      <c r="F3243" s="2142">
        <v>17825</v>
      </c>
      <c r="G3243" s="2142">
        <v>1242580.75</v>
      </c>
      <c r="H3243" s="2143">
        <v>42353</v>
      </c>
      <c r="I3243" s="2142">
        <v>250798</v>
      </c>
    </row>
    <row r="3244" spans="1:9" s="2139" customFormat="1" hidden="1">
      <c r="A3244" s="2140" t="s">
        <v>5553</v>
      </c>
      <c r="B3244" s="2141" t="s">
        <v>3056</v>
      </c>
      <c r="C3244" s="2141" t="s">
        <v>3151</v>
      </c>
      <c r="D3244" s="2141">
        <v>33</v>
      </c>
      <c r="E3244" s="2142">
        <v>58.52</v>
      </c>
      <c r="F3244" s="2142">
        <v>18392</v>
      </c>
      <c r="G3244" s="2142">
        <v>1076299.8400000001</v>
      </c>
      <c r="H3244" s="2143">
        <v>42347</v>
      </c>
      <c r="I3244" s="2142">
        <v>1076300</v>
      </c>
    </row>
    <row r="3245" spans="1:9" s="2139" customFormat="1" hidden="1">
      <c r="A3245" s="2140" t="s">
        <v>5554</v>
      </c>
      <c r="B3245" s="2141" t="s">
        <v>3056</v>
      </c>
      <c r="C3245" s="2141" t="s">
        <v>3151</v>
      </c>
      <c r="D3245" s="2141">
        <v>35</v>
      </c>
      <c r="E3245" s="2142">
        <v>53.8</v>
      </c>
      <c r="F3245" s="2142">
        <v>15466</v>
      </c>
      <c r="G3245" s="2142">
        <v>832070.79999999993</v>
      </c>
      <c r="H3245" s="2143">
        <v>42347</v>
      </c>
      <c r="I3245" s="2142">
        <v>832071</v>
      </c>
    </row>
    <row r="3246" spans="1:9" s="2139" customFormat="1" hidden="1">
      <c r="A3246" s="2140" t="s">
        <v>6970</v>
      </c>
      <c r="B3246" s="2141">
        <v>12</v>
      </c>
      <c r="C3246" s="2141" t="s">
        <v>3151</v>
      </c>
      <c r="D3246" s="2141">
        <v>148</v>
      </c>
      <c r="E3246" s="2142">
        <v>69.13</v>
      </c>
      <c r="F3246" s="2142">
        <v>12600</v>
      </c>
      <c r="G3246" s="2142">
        <v>871038</v>
      </c>
      <c r="H3246" s="2143">
        <v>42345</v>
      </c>
      <c r="I3246" s="2142">
        <v>869778</v>
      </c>
    </row>
    <row r="3247" spans="1:9" s="2139" customFormat="1" hidden="1">
      <c r="A3247" s="2140" t="s">
        <v>6949</v>
      </c>
      <c r="B3247" s="2141">
        <v>12</v>
      </c>
      <c r="C3247" s="2141" t="s">
        <v>3151</v>
      </c>
      <c r="D3247" s="2141">
        <v>130</v>
      </c>
      <c r="E3247" s="2142">
        <v>58.73</v>
      </c>
      <c r="F3247" s="2142" t="s">
        <v>6950</v>
      </c>
      <c r="G3247" s="2142">
        <v>669944.85600000003</v>
      </c>
      <c r="H3247" s="2143">
        <v>42339</v>
      </c>
      <c r="I3247" s="2142">
        <v>668918</v>
      </c>
    </row>
    <row r="3248" spans="1:9" s="2139" customFormat="1" hidden="1">
      <c r="A3248" s="2140" t="s">
        <v>6395</v>
      </c>
      <c r="B3248" s="2141">
        <v>9</v>
      </c>
      <c r="C3248" s="2141" t="s">
        <v>3151</v>
      </c>
      <c r="D3248" s="2141">
        <v>72</v>
      </c>
      <c r="E3248" s="2142">
        <v>12.82</v>
      </c>
      <c r="F3248" s="2142">
        <v>11845</v>
      </c>
      <c r="G3248" s="2142">
        <v>151852.9</v>
      </c>
      <c r="H3248" s="2143">
        <v>42331</v>
      </c>
      <c r="I3248" s="2142">
        <v>151853</v>
      </c>
    </row>
    <row r="3249" spans="1:9" s="2139" customFormat="1" hidden="1">
      <c r="A3249" s="2140" t="s">
        <v>6997</v>
      </c>
      <c r="B3249" s="2141">
        <v>12</v>
      </c>
      <c r="C3249" s="2141" t="s">
        <v>3151</v>
      </c>
      <c r="D3249" s="2141">
        <v>179</v>
      </c>
      <c r="E3249" s="2142">
        <v>62.21</v>
      </c>
      <c r="F3249" s="2142">
        <v>21000</v>
      </c>
      <c r="G3249" s="2142">
        <v>1306410</v>
      </c>
      <c r="H3249" s="2143">
        <v>42319</v>
      </c>
      <c r="I3249" s="2142">
        <v>394730</v>
      </c>
    </row>
    <row r="3250" spans="1:9" s="2139" customFormat="1" hidden="1">
      <c r="A3250" s="2140" t="s">
        <v>6998</v>
      </c>
      <c r="B3250" s="2141">
        <v>12</v>
      </c>
      <c r="C3250" s="2141" t="s">
        <v>3151</v>
      </c>
      <c r="D3250" s="2141">
        <v>180</v>
      </c>
      <c r="E3250" s="2142">
        <v>64.88</v>
      </c>
      <c r="F3250" s="2142">
        <v>21000</v>
      </c>
      <c r="G3250" s="2142">
        <v>1362480</v>
      </c>
      <c r="H3250" s="2143">
        <v>42319</v>
      </c>
      <c r="I3250" s="2142">
        <v>410590</v>
      </c>
    </row>
    <row r="3251" spans="1:9" s="2139" customFormat="1" hidden="1">
      <c r="A3251" s="2140" t="s">
        <v>6971</v>
      </c>
      <c r="B3251" s="2141">
        <v>12</v>
      </c>
      <c r="C3251" s="2141" t="s">
        <v>3151</v>
      </c>
      <c r="D3251" s="2141">
        <v>149</v>
      </c>
      <c r="E3251" s="2142">
        <v>58.86</v>
      </c>
      <c r="F3251" s="2142">
        <v>11235</v>
      </c>
      <c r="G3251" s="2142">
        <v>661292.1</v>
      </c>
      <c r="H3251" s="2143">
        <v>42314</v>
      </c>
      <c r="I3251" s="2142">
        <v>140281</v>
      </c>
    </row>
    <row r="3252" spans="1:9" s="2139" customFormat="1" hidden="1">
      <c r="A3252" s="2140" t="s">
        <v>6948</v>
      </c>
      <c r="B3252" s="2141">
        <v>12</v>
      </c>
      <c r="C3252" s="2141" t="s">
        <v>3151</v>
      </c>
      <c r="D3252" s="2141">
        <v>129</v>
      </c>
      <c r="E3252" s="2142">
        <v>62.5</v>
      </c>
      <c r="F3252" s="2142">
        <v>11760</v>
      </c>
      <c r="G3252" s="2142">
        <v>735000</v>
      </c>
      <c r="H3252" s="2143">
        <v>42311</v>
      </c>
      <c r="I3252" s="2142">
        <v>153942</v>
      </c>
    </row>
    <row r="3253" spans="1:9" s="2139" customFormat="1" hidden="1">
      <c r="A3253" s="2140" t="s">
        <v>6986</v>
      </c>
      <c r="B3253" s="2141">
        <v>12</v>
      </c>
      <c r="C3253" s="2141" t="s">
        <v>3151</v>
      </c>
      <c r="D3253" s="2141">
        <v>166</v>
      </c>
      <c r="E3253" s="2142">
        <v>63.48</v>
      </c>
      <c r="F3253" s="2142">
        <v>16090</v>
      </c>
      <c r="G3253" s="2142">
        <v>1021393.2</v>
      </c>
      <c r="H3253" s="2143">
        <v>42311</v>
      </c>
      <c r="I3253" s="2142">
        <v>230106</v>
      </c>
    </row>
    <row r="3254" spans="1:9" s="2139" customFormat="1" hidden="1">
      <c r="A3254" s="2140" t="s">
        <v>7022</v>
      </c>
      <c r="B3254" s="2141">
        <v>12</v>
      </c>
      <c r="C3254" s="2141" t="s">
        <v>3151</v>
      </c>
      <c r="D3254" s="2141">
        <v>212</v>
      </c>
      <c r="E3254" s="2142">
        <v>73.58</v>
      </c>
      <c r="F3254" s="2142">
        <v>16065</v>
      </c>
      <c r="G3254" s="2142">
        <v>1182062.7</v>
      </c>
      <c r="H3254" s="2143">
        <v>42311</v>
      </c>
      <c r="I3254" s="2142">
        <v>260296</v>
      </c>
    </row>
    <row r="3255" spans="1:9" s="2139" customFormat="1" hidden="1">
      <c r="A3255" s="2140" t="s">
        <v>6933</v>
      </c>
      <c r="B3255" s="2141">
        <v>12</v>
      </c>
      <c r="C3255" s="2141" t="s">
        <v>3151</v>
      </c>
      <c r="D3255" s="2141">
        <v>109</v>
      </c>
      <c r="E3255" s="2142">
        <v>50.22</v>
      </c>
      <c r="F3255" s="2142">
        <v>16500</v>
      </c>
      <c r="G3255" s="2142">
        <v>828630</v>
      </c>
      <c r="H3255" s="2143">
        <v>42308</v>
      </c>
      <c r="I3255" s="2142">
        <v>177475</v>
      </c>
    </row>
    <row r="3256" spans="1:9" s="2139" customFormat="1" hidden="1">
      <c r="A3256" s="2140" t="s">
        <v>5604</v>
      </c>
      <c r="B3256" s="2141" t="s">
        <v>3056</v>
      </c>
      <c r="C3256" s="2141" t="s">
        <v>3151</v>
      </c>
      <c r="D3256" s="2141">
        <v>123</v>
      </c>
      <c r="E3256" s="2142">
        <v>79.12</v>
      </c>
      <c r="F3256" s="2142">
        <v>14084.39</v>
      </c>
      <c r="G3256" s="2142">
        <v>1114356.9368</v>
      </c>
      <c r="H3256" s="2143">
        <v>42296</v>
      </c>
      <c r="I3256" s="2142">
        <v>1114357</v>
      </c>
    </row>
    <row r="3257" spans="1:9" s="2139" customFormat="1" hidden="1">
      <c r="A3257" s="2140" t="s">
        <v>6111</v>
      </c>
      <c r="B3257" s="2141" t="s">
        <v>3057</v>
      </c>
      <c r="C3257" s="2141" t="s">
        <v>3151</v>
      </c>
      <c r="D3257" s="2141">
        <v>411</v>
      </c>
      <c r="E3257" s="2142">
        <v>38.89</v>
      </c>
      <c r="F3257" s="2142">
        <v>18050.009999999998</v>
      </c>
      <c r="G3257" s="2142">
        <v>701964.8888999999</v>
      </c>
      <c r="H3257" s="2143">
        <v>42294</v>
      </c>
      <c r="I3257" s="2142">
        <v>701965</v>
      </c>
    </row>
    <row r="3258" spans="1:9" s="2139" customFormat="1" hidden="1">
      <c r="A3258" s="2140" t="s">
        <v>6112</v>
      </c>
      <c r="B3258" s="2141" t="s">
        <v>3057</v>
      </c>
      <c r="C3258" s="2141" t="s">
        <v>3151</v>
      </c>
      <c r="D3258" s="2141">
        <v>412</v>
      </c>
      <c r="E3258" s="2142">
        <v>46.02</v>
      </c>
      <c r="F3258" s="2142">
        <v>18050</v>
      </c>
      <c r="G3258" s="2142">
        <v>830661</v>
      </c>
      <c r="H3258" s="2143">
        <v>42294</v>
      </c>
      <c r="I3258" s="2142">
        <v>830661</v>
      </c>
    </row>
    <row r="3259" spans="1:9" s="2139" customFormat="1" hidden="1">
      <c r="A3259" s="2140" t="s">
        <v>6920</v>
      </c>
      <c r="B3259" s="2141">
        <v>12</v>
      </c>
      <c r="C3259" s="2141" t="s">
        <v>3151</v>
      </c>
      <c r="D3259" s="2141">
        <v>86</v>
      </c>
      <c r="E3259" s="2142">
        <v>43.25</v>
      </c>
      <c r="F3259" s="2142">
        <v>13940</v>
      </c>
      <c r="G3259" s="2142">
        <v>602905</v>
      </c>
      <c r="H3259" s="2143">
        <v>42291</v>
      </c>
      <c r="I3259" s="2142">
        <v>121929</v>
      </c>
    </row>
    <row r="3260" spans="1:9" s="2139" customFormat="1" hidden="1">
      <c r="A3260" s="2140" t="s">
        <v>6671</v>
      </c>
      <c r="B3260" s="2141">
        <v>11</v>
      </c>
      <c r="C3260" s="2141" t="s">
        <v>3151</v>
      </c>
      <c r="D3260" s="2141">
        <v>41</v>
      </c>
      <c r="E3260" s="2142">
        <v>46.64</v>
      </c>
      <c r="F3260" s="2142">
        <v>11330</v>
      </c>
      <c r="G3260" s="2142">
        <v>528431.19999999995</v>
      </c>
      <c r="H3260" s="2143">
        <v>42283</v>
      </c>
      <c r="I3260" s="2142">
        <v>528884</v>
      </c>
    </row>
    <row r="3261" spans="1:9" s="2139" customFormat="1" hidden="1">
      <c r="A3261" s="2140" t="s">
        <v>6694</v>
      </c>
      <c r="B3261" s="2141">
        <v>11</v>
      </c>
      <c r="C3261" s="2141" t="s">
        <v>3151</v>
      </c>
      <c r="D3261" s="2141">
        <v>136</v>
      </c>
      <c r="E3261" s="2142">
        <v>82.38</v>
      </c>
      <c r="F3261" s="2142">
        <v>12978</v>
      </c>
      <c r="G3261" s="2142">
        <v>1069127.6399999999</v>
      </c>
      <c r="H3261" s="2143">
        <v>42280</v>
      </c>
      <c r="I3261" s="2142">
        <v>249906</v>
      </c>
    </row>
    <row r="3262" spans="1:9" s="2139" customFormat="1" hidden="1">
      <c r="A3262" s="2140" t="s">
        <v>6934</v>
      </c>
      <c r="B3262" s="2141">
        <v>12</v>
      </c>
      <c r="C3262" s="2141" t="s">
        <v>3151</v>
      </c>
      <c r="D3262" s="2141">
        <v>110</v>
      </c>
      <c r="E3262" s="2142">
        <v>51.42</v>
      </c>
      <c r="F3262" s="2142">
        <v>13946</v>
      </c>
      <c r="G3262" s="2142">
        <v>717103.32000000007</v>
      </c>
      <c r="H3262" s="2143">
        <v>42277</v>
      </c>
      <c r="I3262" s="2142">
        <v>156127</v>
      </c>
    </row>
    <row r="3263" spans="1:9" s="2139" customFormat="1" hidden="1">
      <c r="A3263" s="2140" t="s">
        <v>6936</v>
      </c>
      <c r="B3263" s="2141">
        <v>12</v>
      </c>
      <c r="C3263" s="2141" t="s">
        <v>3151</v>
      </c>
      <c r="D3263" s="2141">
        <v>115</v>
      </c>
      <c r="E3263" s="2142">
        <v>27.63</v>
      </c>
      <c r="F3263" s="2142" t="s">
        <v>6937</v>
      </c>
      <c r="G3263" s="2142">
        <v>402734.88</v>
      </c>
      <c r="H3263" s="2143">
        <v>42277</v>
      </c>
      <c r="I3263" s="2142">
        <v>82152</v>
      </c>
    </row>
    <row r="3264" spans="1:9" s="2139" customFormat="1" hidden="1">
      <c r="A3264" s="2140" t="s">
        <v>6963</v>
      </c>
      <c r="B3264" s="2141">
        <v>12</v>
      </c>
      <c r="C3264" s="2141" t="s">
        <v>3151</v>
      </c>
      <c r="D3264" s="2141">
        <v>142</v>
      </c>
      <c r="E3264" s="2142">
        <v>61.04</v>
      </c>
      <c r="F3264" s="2142" t="s">
        <v>6964</v>
      </c>
      <c r="G3264" s="2142">
        <v>824482.54</v>
      </c>
      <c r="H3264" s="2143">
        <v>42277</v>
      </c>
      <c r="I3264" s="2142">
        <v>823267</v>
      </c>
    </row>
    <row r="3265" spans="1:9" s="2139" customFormat="1" hidden="1">
      <c r="A3265" s="2140" t="s">
        <v>6421</v>
      </c>
      <c r="B3265" s="2141">
        <v>9</v>
      </c>
      <c r="C3265" s="2141" t="s">
        <v>3151</v>
      </c>
      <c r="D3265" s="2141">
        <v>142</v>
      </c>
      <c r="E3265" s="2142">
        <v>89.24</v>
      </c>
      <c r="F3265" s="2142">
        <v>15244</v>
      </c>
      <c r="G3265" s="2142">
        <v>1360374.5599999998</v>
      </c>
      <c r="H3265" s="2143">
        <v>42276</v>
      </c>
      <c r="I3265" s="2142">
        <v>1360375</v>
      </c>
    </row>
    <row r="3266" spans="1:9" s="2139" customFormat="1" hidden="1">
      <c r="A3266" s="2140" t="s">
        <v>6711</v>
      </c>
      <c r="B3266" s="2141">
        <v>11</v>
      </c>
      <c r="C3266" s="2141" t="s">
        <v>3151</v>
      </c>
      <c r="D3266" s="2141">
        <v>165</v>
      </c>
      <c r="E3266" s="2142">
        <v>42</v>
      </c>
      <c r="F3266" s="2142">
        <v>12978</v>
      </c>
      <c r="G3266" s="2142">
        <v>545076</v>
      </c>
      <c r="H3266" s="2143">
        <v>42273</v>
      </c>
      <c r="I3266" s="2142">
        <v>135465</v>
      </c>
    </row>
    <row r="3267" spans="1:9" s="2139" customFormat="1" hidden="1">
      <c r="A3267" s="2140" t="s">
        <v>6718</v>
      </c>
      <c r="B3267" s="2141">
        <v>11</v>
      </c>
      <c r="C3267" s="2141" t="s">
        <v>3151</v>
      </c>
      <c r="D3267" s="2141">
        <v>196</v>
      </c>
      <c r="E3267" s="2142">
        <v>85.38</v>
      </c>
      <c r="F3267" s="2142">
        <v>15553</v>
      </c>
      <c r="G3267" s="2142">
        <v>1327915.1399999999</v>
      </c>
      <c r="H3267" s="2143">
        <v>42273</v>
      </c>
      <c r="I3267" s="2142">
        <v>279004</v>
      </c>
    </row>
    <row r="3268" spans="1:9" s="2139" customFormat="1" hidden="1">
      <c r="A3268" s="2140" t="s">
        <v>6392</v>
      </c>
      <c r="B3268" s="2141">
        <v>9</v>
      </c>
      <c r="C3268" s="2141" t="s">
        <v>3151</v>
      </c>
      <c r="D3268" s="2141">
        <v>61</v>
      </c>
      <c r="E3268" s="2142">
        <v>39.65</v>
      </c>
      <c r="F3268" s="2142">
        <v>10700</v>
      </c>
      <c r="G3268" s="2142">
        <v>424255</v>
      </c>
      <c r="H3268" s="2143">
        <v>42266</v>
      </c>
      <c r="I3268" s="2142">
        <v>424255</v>
      </c>
    </row>
    <row r="3269" spans="1:9" s="2139" customFormat="1" hidden="1">
      <c r="A3269" s="2140" t="s">
        <v>6393</v>
      </c>
      <c r="B3269" s="2141">
        <v>9</v>
      </c>
      <c r="C3269" s="2141" t="s">
        <v>3151</v>
      </c>
      <c r="D3269" s="2141">
        <v>62</v>
      </c>
      <c r="E3269" s="2142">
        <v>39.24</v>
      </c>
      <c r="F3269" s="2142">
        <v>10700</v>
      </c>
      <c r="G3269" s="2142">
        <v>419868</v>
      </c>
      <c r="H3269" s="2143">
        <v>42266</v>
      </c>
      <c r="I3269" s="2142">
        <v>419868</v>
      </c>
    </row>
    <row r="3270" spans="1:9" s="2139" customFormat="1" hidden="1">
      <c r="A3270" s="2140" t="s">
        <v>6394</v>
      </c>
      <c r="B3270" s="2141">
        <v>9</v>
      </c>
      <c r="C3270" s="2141" t="s">
        <v>3151</v>
      </c>
      <c r="D3270" s="2141">
        <v>63</v>
      </c>
      <c r="E3270" s="2142">
        <v>65.47</v>
      </c>
      <c r="F3270" s="2142">
        <v>15500</v>
      </c>
      <c r="G3270" s="2142">
        <v>1014785</v>
      </c>
      <c r="H3270" s="2143">
        <v>42266</v>
      </c>
      <c r="I3270" s="2142">
        <v>1014785</v>
      </c>
    </row>
    <row r="3271" spans="1:9" s="2139" customFormat="1" hidden="1">
      <c r="A3271" s="2140" t="s">
        <v>6118</v>
      </c>
      <c r="B3271" s="2141" t="s">
        <v>3057</v>
      </c>
      <c r="C3271" s="2141" t="s">
        <v>3151</v>
      </c>
      <c r="D3271" s="2141">
        <v>420</v>
      </c>
      <c r="E3271" s="2142">
        <v>45.92</v>
      </c>
      <c r="F3271" s="2142">
        <v>12800</v>
      </c>
      <c r="G3271" s="2142">
        <v>587776</v>
      </c>
      <c r="H3271" s="2143">
        <v>42264</v>
      </c>
      <c r="I3271" s="2142">
        <v>587776</v>
      </c>
    </row>
    <row r="3272" spans="1:9" s="2139" customFormat="1" hidden="1">
      <c r="A3272" s="2140" t="s">
        <v>6125</v>
      </c>
      <c r="B3272" s="2141" t="s">
        <v>3057</v>
      </c>
      <c r="C3272" s="2141" t="s">
        <v>3151</v>
      </c>
      <c r="D3272" s="2141">
        <v>435</v>
      </c>
      <c r="E3272" s="2142">
        <v>66.260000000000005</v>
      </c>
      <c r="F3272" s="2142">
        <v>16600</v>
      </c>
      <c r="G3272" s="2142">
        <v>1099916</v>
      </c>
      <c r="H3272" s="2143">
        <v>42264</v>
      </c>
      <c r="I3272" s="2142">
        <v>1099916</v>
      </c>
    </row>
    <row r="3273" spans="1:9" s="2139" customFormat="1" hidden="1">
      <c r="A3273" s="2140" t="s">
        <v>7035</v>
      </c>
      <c r="B3273" s="2141">
        <v>12</v>
      </c>
      <c r="C3273" s="2141" t="s">
        <v>3151</v>
      </c>
      <c r="D3273" s="2141">
        <v>226</v>
      </c>
      <c r="E3273" s="2142">
        <v>43.16</v>
      </c>
      <c r="F3273" s="2142" t="s">
        <v>7036</v>
      </c>
      <c r="G3273" s="2142">
        <v>603376.79999999993</v>
      </c>
      <c r="H3273" s="2143">
        <v>42260</v>
      </c>
      <c r="I3273" s="2142">
        <v>602538</v>
      </c>
    </row>
    <row r="3274" spans="1:9" s="2139" customFormat="1" hidden="1">
      <c r="A3274" s="2140" t="s">
        <v>5573</v>
      </c>
      <c r="B3274" s="2141" t="s">
        <v>3056</v>
      </c>
      <c r="C3274" s="2141" t="s">
        <v>3151</v>
      </c>
      <c r="D3274" s="2141">
        <v>68</v>
      </c>
      <c r="E3274" s="2142">
        <v>26.15</v>
      </c>
      <c r="F3274" s="2142">
        <v>14080</v>
      </c>
      <c r="G3274" s="2142">
        <v>368192</v>
      </c>
      <c r="H3274" s="2143">
        <v>42247</v>
      </c>
      <c r="I3274" s="2142">
        <v>368192</v>
      </c>
    </row>
    <row r="3275" spans="1:9" s="2139" customFormat="1" hidden="1">
      <c r="A3275" s="2140" t="s">
        <v>6058</v>
      </c>
      <c r="B3275" s="2141" t="s">
        <v>3057</v>
      </c>
      <c r="C3275" s="2141" t="s">
        <v>3151</v>
      </c>
      <c r="D3275" s="2141">
        <v>168</v>
      </c>
      <c r="E3275" s="2142">
        <v>67.5</v>
      </c>
      <c r="F3275" s="2142">
        <v>16600</v>
      </c>
      <c r="G3275" s="2142">
        <v>1120500</v>
      </c>
      <c r="H3275" s="2143">
        <v>42240</v>
      </c>
      <c r="I3275" s="2142">
        <v>1120500</v>
      </c>
    </row>
    <row r="3276" spans="1:9" s="2139" customFormat="1" hidden="1">
      <c r="A3276" s="2140" t="s">
        <v>5609</v>
      </c>
      <c r="B3276" s="2141" t="s">
        <v>3056</v>
      </c>
      <c r="C3276" s="2141" t="s">
        <v>3151</v>
      </c>
      <c r="D3276" s="2141">
        <v>135</v>
      </c>
      <c r="E3276" s="2142">
        <v>106.12</v>
      </c>
      <c r="F3276" s="2142">
        <v>15800</v>
      </c>
      <c r="G3276" s="2142">
        <v>1676696</v>
      </c>
      <c r="H3276" s="2143">
        <v>42237</v>
      </c>
      <c r="I3276" s="2142">
        <v>1676696</v>
      </c>
    </row>
    <row r="3277" spans="1:9" s="2139" customFormat="1" hidden="1">
      <c r="A3277" s="2140" t="s">
        <v>5607</v>
      </c>
      <c r="B3277" s="2141" t="s">
        <v>3056</v>
      </c>
      <c r="C3277" s="2141" t="s">
        <v>3151</v>
      </c>
      <c r="D3277" s="2141">
        <v>127</v>
      </c>
      <c r="E3277" s="2142">
        <v>66.010000000000005</v>
      </c>
      <c r="F3277" s="2142">
        <v>16800</v>
      </c>
      <c r="G3277" s="2142">
        <v>1108968</v>
      </c>
      <c r="H3277" s="2143">
        <v>42234</v>
      </c>
      <c r="I3277" s="2142">
        <v>1108968</v>
      </c>
    </row>
    <row r="3278" spans="1:9" s="2139" customFormat="1" hidden="1">
      <c r="A3278" s="2140" t="s">
        <v>5610</v>
      </c>
      <c r="B3278" s="2141" t="s">
        <v>3056</v>
      </c>
      <c r="C3278" s="2141" t="s">
        <v>3151</v>
      </c>
      <c r="D3278" s="2141">
        <v>136</v>
      </c>
      <c r="E3278" s="2142">
        <v>51.56</v>
      </c>
      <c r="F3278" s="2142">
        <v>13000</v>
      </c>
      <c r="G3278" s="2142">
        <v>670280</v>
      </c>
      <c r="H3278" s="2143">
        <v>42234</v>
      </c>
      <c r="I3278" s="2142">
        <v>670280</v>
      </c>
    </row>
    <row r="3279" spans="1:9" s="2139" customFormat="1" hidden="1">
      <c r="A3279" s="2140" t="s">
        <v>5611</v>
      </c>
      <c r="B3279" s="2141" t="s">
        <v>3056</v>
      </c>
      <c r="C3279" s="2141" t="s">
        <v>3151</v>
      </c>
      <c r="D3279" s="2141">
        <v>137</v>
      </c>
      <c r="E3279" s="2142">
        <v>48.59</v>
      </c>
      <c r="F3279" s="2142">
        <v>13000</v>
      </c>
      <c r="G3279" s="2142">
        <v>631670</v>
      </c>
      <c r="H3279" s="2143">
        <v>42234</v>
      </c>
      <c r="I3279" s="2142">
        <v>631670</v>
      </c>
    </row>
    <row r="3280" spans="1:9" s="2139" customFormat="1" hidden="1">
      <c r="A3280" s="2140" t="s">
        <v>5612</v>
      </c>
      <c r="B3280" s="2141" t="s">
        <v>3056</v>
      </c>
      <c r="C3280" s="2141" t="s">
        <v>3151</v>
      </c>
      <c r="D3280" s="2141">
        <v>138</v>
      </c>
      <c r="E3280" s="2142">
        <v>56.48</v>
      </c>
      <c r="F3280" s="2142">
        <v>13000</v>
      </c>
      <c r="G3280" s="2142">
        <v>734240</v>
      </c>
      <c r="H3280" s="2143">
        <v>42234</v>
      </c>
      <c r="I3280" s="2142">
        <v>734240</v>
      </c>
    </row>
    <row r="3281" spans="1:9" s="2139" customFormat="1" hidden="1">
      <c r="A3281" s="2140" t="s">
        <v>6903</v>
      </c>
      <c r="B3281" s="2141">
        <v>12</v>
      </c>
      <c r="C3281" s="2141" t="s">
        <v>3151</v>
      </c>
      <c r="D3281" s="2141">
        <v>45</v>
      </c>
      <c r="E3281" s="2142">
        <v>65.2</v>
      </c>
      <c r="F3281" s="2142" t="s">
        <v>6904</v>
      </c>
      <c r="G3281" s="2142">
        <v>1268140</v>
      </c>
      <c r="H3281" s="2143">
        <v>42217</v>
      </c>
      <c r="I3281" s="2142">
        <v>266390</v>
      </c>
    </row>
    <row r="3282" spans="1:9" s="2139" customFormat="1" hidden="1">
      <c r="A3282" s="2140" t="s">
        <v>6952</v>
      </c>
      <c r="B3282" s="2141">
        <v>12</v>
      </c>
      <c r="C3282" s="2141" t="s">
        <v>3151</v>
      </c>
      <c r="D3282" s="2141">
        <v>132</v>
      </c>
      <c r="E3282" s="2142">
        <v>73.97</v>
      </c>
      <c r="F3282" s="2142">
        <v>15607.3</v>
      </c>
      <c r="G3282" s="2142">
        <v>1154471.9809999999</v>
      </c>
      <c r="H3282" s="2143">
        <v>42217</v>
      </c>
      <c r="I3282" s="2142">
        <v>1152911</v>
      </c>
    </row>
    <row r="3283" spans="1:9" s="2139" customFormat="1" hidden="1">
      <c r="A3283" s="2140" t="s">
        <v>6994</v>
      </c>
      <c r="B3283" s="2141">
        <v>12</v>
      </c>
      <c r="C3283" s="2141" t="s">
        <v>3151</v>
      </c>
      <c r="D3283" s="2141">
        <v>176</v>
      </c>
      <c r="E3283" s="2142">
        <v>67.8</v>
      </c>
      <c r="F3283" s="2142">
        <v>18555</v>
      </c>
      <c r="G3283" s="2142">
        <v>1258029</v>
      </c>
      <c r="H3283" s="2143">
        <v>42216</v>
      </c>
      <c r="I3283" s="2142">
        <v>50000</v>
      </c>
    </row>
    <row r="3284" spans="1:9" s="2139" customFormat="1" hidden="1">
      <c r="A3284" s="2140" t="s">
        <v>6923</v>
      </c>
      <c r="B3284" s="2141">
        <v>12</v>
      </c>
      <c r="C3284" s="2141" t="s">
        <v>3151</v>
      </c>
      <c r="D3284" s="2141">
        <v>89</v>
      </c>
      <c r="E3284" s="2142">
        <v>50.58</v>
      </c>
      <c r="F3284" s="2142">
        <v>14350.01</v>
      </c>
      <c r="G3284" s="2142">
        <v>725823</v>
      </c>
      <c r="H3284" s="2143">
        <v>42215</v>
      </c>
      <c r="I3284" s="2142">
        <v>724819</v>
      </c>
    </row>
    <row r="3285" spans="1:9" s="2139" customFormat="1" hidden="1">
      <c r="A3285" s="2140" t="s">
        <v>7057</v>
      </c>
      <c r="B3285" s="2141">
        <v>12</v>
      </c>
      <c r="C3285" s="2141" t="s">
        <v>3151</v>
      </c>
      <c r="D3285" s="2141">
        <v>249</v>
      </c>
      <c r="E3285" s="2142">
        <v>75.42</v>
      </c>
      <c r="F3285" s="2142">
        <v>13965</v>
      </c>
      <c r="G3285" s="2142">
        <v>1053240.3</v>
      </c>
      <c r="H3285" s="2143">
        <v>42212</v>
      </c>
      <c r="I3285" s="2142">
        <v>231844</v>
      </c>
    </row>
    <row r="3286" spans="1:9" s="2139" customFormat="1" hidden="1">
      <c r="A3286" s="2140" t="s">
        <v>6401</v>
      </c>
      <c r="B3286" s="2141">
        <v>9</v>
      </c>
      <c r="C3286" s="2141" t="s">
        <v>3151</v>
      </c>
      <c r="D3286" s="2141">
        <v>91</v>
      </c>
      <c r="E3286" s="2142">
        <v>17.34</v>
      </c>
      <c r="F3286" s="2142">
        <v>10190.83</v>
      </c>
      <c r="G3286" s="2142">
        <v>176708.99220000001</v>
      </c>
      <c r="H3286" s="2143">
        <v>42195</v>
      </c>
      <c r="I3286" s="2142">
        <v>176709</v>
      </c>
    </row>
    <row r="3287" spans="1:9" s="2139" customFormat="1" hidden="1">
      <c r="A3287" s="2140" t="s">
        <v>6130</v>
      </c>
      <c r="B3287" s="2141" t="s">
        <v>3057</v>
      </c>
      <c r="C3287" s="2141" t="s">
        <v>3151</v>
      </c>
      <c r="D3287" s="2141">
        <v>442</v>
      </c>
      <c r="E3287" s="2142">
        <v>67.650000000000006</v>
      </c>
      <c r="F3287" s="2142">
        <v>18235.990000000002</v>
      </c>
      <c r="G3287" s="2142">
        <v>1233664.7235000003</v>
      </c>
      <c r="H3287" s="2143">
        <v>42184</v>
      </c>
      <c r="I3287" s="2142">
        <v>1233665</v>
      </c>
    </row>
    <row r="3288" spans="1:9" s="2139" customFormat="1" hidden="1">
      <c r="A3288" s="2140" t="s">
        <v>6132</v>
      </c>
      <c r="B3288" s="2141" t="s">
        <v>3057</v>
      </c>
      <c r="C3288" s="2141" t="s">
        <v>3151</v>
      </c>
      <c r="D3288" s="2141">
        <v>449</v>
      </c>
      <c r="E3288" s="2142">
        <v>50.07</v>
      </c>
      <c r="F3288" s="2142">
        <v>13182.28</v>
      </c>
      <c r="G3288" s="2142">
        <v>660036.75959999999</v>
      </c>
      <c r="H3288" s="2143">
        <v>42184</v>
      </c>
      <c r="I3288" s="2142">
        <v>660037</v>
      </c>
    </row>
    <row r="3289" spans="1:9" s="2139" customFormat="1" hidden="1">
      <c r="A3289" s="2140" t="s">
        <v>6133</v>
      </c>
      <c r="B3289" s="2141" t="s">
        <v>3057</v>
      </c>
      <c r="C3289" s="2141" t="s">
        <v>3151</v>
      </c>
      <c r="D3289" s="2141">
        <v>450</v>
      </c>
      <c r="E3289" s="2142">
        <v>67.239999999999995</v>
      </c>
      <c r="F3289" s="2142">
        <v>18430</v>
      </c>
      <c r="G3289" s="2142">
        <v>1239233.2</v>
      </c>
      <c r="H3289" s="2143">
        <v>42184</v>
      </c>
      <c r="I3289" s="2142">
        <v>1239233</v>
      </c>
    </row>
    <row r="3290" spans="1:9" s="2139" customFormat="1" hidden="1">
      <c r="A3290" s="2140" t="s">
        <v>6140</v>
      </c>
      <c r="B3290" s="2141" t="s">
        <v>3057</v>
      </c>
      <c r="C3290" s="2141" t="s">
        <v>3151</v>
      </c>
      <c r="D3290" s="2141">
        <v>488</v>
      </c>
      <c r="E3290" s="2142">
        <v>99.14</v>
      </c>
      <c r="F3290" s="2142">
        <v>18235.999</v>
      </c>
      <c r="G3290" s="2142">
        <v>1807916.94086</v>
      </c>
      <c r="H3290" s="2143">
        <v>42184</v>
      </c>
      <c r="I3290" s="2142">
        <v>1807917</v>
      </c>
    </row>
    <row r="3291" spans="1:9" s="2139" customFormat="1" hidden="1">
      <c r="A3291" s="2140" t="s">
        <v>6437</v>
      </c>
      <c r="B3291" s="2141">
        <v>10</v>
      </c>
      <c r="C3291" s="2141" t="s">
        <v>3261</v>
      </c>
      <c r="D3291" s="2141">
        <v>6</v>
      </c>
      <c r="E3291" s="2142">
        <v>56.23</v>
      </c>
      <c r="F3291" s="2142">
        <v>36800</v>
      </c>
      <c r="G3291" s="2142">
        <v>2069264</v>
      </c>
      <c r="H3291" s="2143">
        <v>42639</v>
      </c>
      <c r="I3291" s="2142">
        <v>50000</v>
      </c>
    </row>
    <row r="3292" spans="1:9" s="2139" customFormat="1" hidden="1">
      <c r="A3292" s="2140" t="s">
        <v>6438</v>
      </c>
      <c r="B3292" s="2141">
        <v>10</v>
      </c>
      <c r="C3292" s="2141" t="s">
        <v>3261</v>
      </c>
      <c r="D3292" s="2141">
        <v>7</v>
      </c>
      <c r="E3292" s="2142">
        <v>80.430000000000007</v>
      </c>
      <c r="F3292" s="2142">
        <v>36800</v>
      </c>
      <c r="G3292" s="2142">
        <v>2959824.0000000005</v>
      </c>
      <c r="H3292" s="2143">
        <v>42639</v>
      </c>
      <c r="I3292" s="2142">
        <v>50000</v>
      </c>
    </row>
    <row r="3293" spans="1:9" s="2139" customFormat="1" hidden="1">
      <c r="A3293" s="2140" t="s">
        <v>6439</v>
      </c>
      <c r="B3293" s="2141">
        <v>10</v>
      </c>
      <c r="C3293" s="2141" t="s">
        <v>3261</v>
      </c>
      <c r="D3293" s="2141">
        <v>8</v>
      </c>
      <c r="E3293" s="2142">
        <v>70.510000000000005</v>
      </c>
      <c r="F3293" s="2142">
        <v>36800</v>
      </c>
      <c r="G3293" s="2142">
        <v>2594768</v>
      </c>
      <c r="H3293" s="2143">
        <v>42639</v>
      </c>
      <c r="I3293" s="2142">
        <v>50000</v>
      </c>
    </row>
    <row r="3294" spans="1:9" s="2139" customFormat="1" hidden="1">
      <c r="A3294" s="2140" t="s">
        <v>6440</v>
      </c>
      <c r="B3294" s="2141">
        <v>10</v>
      </c>
      <c r="C3294" s="2141" t="s">
        <v>3261</v>
      </c>
      <c r="D3294" s="2141">
        <v>92</v>
      </c>
      <c r="E3294" s="2142">
        <v>66.680000000000007</v>
      </c>
      <c r="F3294" s="2142">
        <v>25800</v>
      </c>
      <c r="G3294" s="2142">
        <v>1720344.0000000002</v>
      </c>
      <c r="H3294" s="2143"/>
      <c r="I3294" s="2142">
        <v>430910</v>
      </c>
    </row>
    <row r="3295" spans="1:9" s="2139" customFormat="1" hidden="1">
      <c r="A3295" s="2140" t="s">
        <v>6441</v>
      </c>
      <c r="B3295" s="2141">
        <v>10</v>
      </c>
      <c r="C3295" s="2141" t="s">
        <v>3261</v>
      </c>
      <c r="D3295" s="2141">
        <v>93</v>
      </c>
      <c r="E3295" s="2142">
        <v>74.430000000000007</v>
      </c>
      <c r="F3295" s="2142">
        <v>26300</v>
      </c>
      <c r="G3295" s="2142">
        <v>1957509.0000000002</v>
      </c>
      <c r="H3295" s="2143"/>
      <c r="I3295" s="2142">
        <v>468352</v>
      </c>
    </row>
    <row r="3296" spans="1:9" s="2139" customFormat="1" hidden="1">
      <c r="A3296" s="2140" t="s">
        <v>6442</v>
      </c>
      <c r="B3296" s="2141">
        <v>10</v>
      </c>
      <c r="C3296" s="2141" t="s">
        <v>3261</v>
      </c>
      <c r="D3296" s="2141">
        <v>96</v>
      </c>
      <c r="E3296" s="2142">
        <v>179.81</v>
      </c>
      <c r="F3296" s="2142">
        <v>35800</v>
      </c>
      <c r="G3296" s="2142">
        <v>6437198</v>
      </c>
      <c r="H3296" s="2143">
        <v>42124</v>
      </c>
      <c r="I3296" s="2142">
        <v>1297198</v>
      </c>
    </row>
    <row r="3297" spans="1:9" s="2139" customFormat="1" hidden="1">
      <c r="A3297" s="2140" t="s">
        <v>6443</v>
      </c>
      <c r="B3297" s="2141">
        <v>10</v>
      </c>
      <c r="C3297" s="2141" t="s">
        <v>3261</v>
      </c>
      <c r="D3297" s="2141">
        <v>99</v>
      </c>
      <c r="E3297" s="2142">
        <v>146.68</v>
      </c>
      <c r="F3297" s="2142">
        <v>33300</v>
      </c>
      <c r="G3297" s="2142">
        <v>4884444</v>
      </c>
      <c r="H3297" s="2143">
        <v>42133</v>
      </c>
      <c r="I3297" s="2142">
        <v>1154444</v>
      </c>
    </row>
    <row r="3298" spans="1:9" s="2139" customFormat="1" hidden="1">
      <c r="A3298" s="2140" t="s">
        <v>6444</v>
      </c>
      <c r="B3298" s="2141">
        <v>10</v>
      </c>
      <c r="C3298" s="2141" t="s">
        <v>3142</v>
      </c>
      <c r="D3298" s="2141">
        <v>69</v>
      </c>
      <c r="E3298" s="2142">
        <v>18</v>
      </c>
      <c r="F3298" s="2142">
        <v>16984.7</v>
      </c>
      <c r="G3298" s="2142">
        <v>305724.60000000003</v>
      </c>
      <c r="H3298" s="2143">
        <v>42132</v>
      </c>
      <c r="I3298" s="2142">
        <v>305215</v>
      </c>
    </row>
    <row r="3299" spans="1:9" s="2139" customFormat="1" hidden="1">
      <c r="A3299" s="2140" t="s">
        <v>6445</v>
      </c>
      <c r="B3299" s="2141">
        <v>10</v>
      </c>
      <c r="C3299" s="2141" t="s">
        <v>3142</v>
      </c>
      <c r="D3299" s="2141">
        <v>111</v>
      </c>
      <c r="E3299" s="2142">
        <v>50.93</v>
      </c>
      <c r="F3299" s="2142">
        <v>21218.005099999998</v>
      </c>
      <c r="G3299" s="2142">
        <v>1080632.9997429999</v>
      </c>
      <c r="H3299" s="2143">
        <v>42188</v>
      </c>
      <c r="I3299" s="2142">
        <v>220633</v>
      </c>
    </row>
    <row r="3300" spans="1:9" s="2139" customFormat="1" hidden="1">
      <c r="A3300" s="2140" t="s">
        <v>6446</v>
      </c>
      <c r="B3300" s="2141">
        <v>10</v>
      </c>
      <c r="C3300" s="2141" t="s">
        <v>3142</v>
      </c>
      <c r="D3300" s="2141">
        <v>112</v>
      </c>
      <c r="E3300" s="2142">
        <v>48.07</v>
      </c>
      <c r="F3300" s="2142">
        <v>20600</v>
      </c>
      <c r="G3300" s="2142">
        <v>990242</v>
      </c>
      <c r="H3300" s="2143">
        <v>42263</v>
      </c>
      <c r="I3300" s="2142">
        <v>210242</v>
      </c>
    </row>
    <row r="3301" spans="1:9" s="2139" customFormat="1" hidden="1">
      <c r="A3301" s="2140" t="s">
        <v>6447</v>
      </c>
      <c r="B3301" s="2141">
        <v>10</v>
      </c>
      <c r="C3301" s="2141" t="s">
        <v>3142</v>
      </c>
      <c r="D3301" s="2141">
        <v>139</v>
      </c>
      <c r="E3301" s="2142">
        <v>71.819999999999993</v>
      </c>
      <c r="F3301" s="2142">
        <v>21218</v>
      </c>
      <c r="G3301" s="2142">
        <v>1523876.7599999998</v>
      </c>
      <c r="H3301" s="2143">
        <v>42433</v>
      </c>
      <c r="I3301" s="2142">
        <v>1521755</v>
      </c>
    </row>
    <row r="3302" spans="1:9" s="2139" customFormat="1" hidden="1">
      <c r="A3302" s="2140" t="s">
        <v>6448</v>
      </c>
      <c r="B3302" s="2141">
        <v>10</v>
      </c>
      <c r="C3302" s="2141" t="s">
        <v>3142</v>
      </c>
      <c r="D3302" s="2141">
        <v>140</v>
      </c>
      <c r="E3302" s="2142">
        <v>88.91</v>
      </c>
      <c r="F3302" s="2142">
        <v>20600</v>
      </c>
      <c r="G3302" s="2142">
        <v>1831546</v>
      </c>
      <c r="H3302" s="2143">
        <v>42433</v>
      </c>
      <c r="I3302" s="2142">
        <v>1829074</v>
      </c>
    </row>
    <row r="3303" spans="1:9" s="2139" customFormat="1" hidden="1">
      <c r="A3303" s="2140" t="s">
        <v>6449</v>
      </c>
      <c r="B3303" s="2141">
        <v>10</v>
      </c>
      <c r="C3303" s="2141" t="s">
        <v>3142</v>
      </c>
      <c r="D3303" s="2141">
        <v>153</v>
      </c>
      <c r="E3303" s="2142">
        <v>80.28</v>
      </c>
      <c r="F3303" s="2142">
        <v>20600</v>
      </c>
      <c r="G3303" s="2142">
        <v>1653768</v>
      </c>
      <c r="H3303" s="2143">
        <v>42639</v>
      </c>
      <c r="I3303" s="2142">
        <v>50000</v>
      </c>
    </row>
    <row r="3304" spans="1:9" s="2139" customFormat="1" hidden="1">
      <c r="A3304" s="2140" t="s">
        <v>6450</v>
      </c>
      <c r="B3304" s="2141">
        <v>10</v>
      </c>
      <c r="C3304" s="2141" t="s">
        <v>3142</v>
      </c>
      <c r="D3304" s="2141">
        <v>189</v>
      </c>
      <c r="E3304" s="2142">
        <v>58.06</v>
      </c>
      <c r="F3304" s="2142">
        <v>16068</v>
      </c>
      <c r="G3304" s="2142">
        <v>932908.08000000007</v>
      </c>
      <c r="H3304" s="2143">
        <v>42119</v>
      </c>
      <c r="I3304" s="2142">
        <v>931623</v>
      </c>
    </row>
    <row r="3305" spans="1:9" s="2139" customFormat="1" hidden="1">
      <c r="A3305" s="2140" t="s">
        <v>6451</v>
      </c>
      <c r="B3305" s="2141">
        <v>10</v>
      </c>
      <c r="C3305" s="2141" t="s">
        <v>3142</v>
      </c>
      <c r="D3305" s="2141">
        <v>190</v>
      </c>
      <c r="E3305" s="2142">
        <v>33.53</v>
      </c>
      <c r="F3305" s="2142">
        <v>16068</v>
      </c>
      <c r="G3305" s="2142">
        <v>538760.04</v>
      </c>
      <c r="H3305" s="2143">
        <v>42123</v>
      </c>
      <c r="I3305" s="2142">
        <v>538117</v>
      </c>
    </row>
    <row r="3306" spans="1:9" s="2139" customFormat="1" hidden="1">
      <c r="A3306" s="2140" t="s">
        <v>6452</v>
      </c>
      <c r="B3306" s="2141">
        <v>10</v>
      </c>
      <c r="C3306" s="2141" t="s">
        <v>3142</v>
      </c>
      <c r="D3306" s="2141">
        <v>219</v>
      </c>
      <c r="E3306" s="2142">
        <v>191.37</v>
      </c>
      <c r="F3306" s="2142">
        <v>18103</v>
      </c>
      <c r="G3306" s="2142">
        <v>3464371.11</v>
      </c>
      <c r="H3306" s="2143">
        <v>42191</v>
      </c>
      <c r="I3306" s="2142">
        <v>1739664</v>
      </c>
    </row>
    <row r="3307" spans="1:9" s="2139" customFormat="1" hidden="1">
      <c r="A3307" s="2140" t="s">
        <v>6453</v>
      </c>
      <c r="B3307" s="2141">
        <v>10</v>
      </c>
      <c r="C3307" s="2141" t="s">
        <v>3142</v>
      </c>
      <c r="D3307" s="2141">
        <v>220</v>
      </c>
      <c r="E3307" s="2142">
        <v>92.18</v>
      </c>
      <c r="F3307" s="2142">
        <v>17603</v>
      </c>
      <c r="G3307" s="2142">
        <v>1622644.54</v>
      </c>
      <c r="H3307" s="2143">
        <v>42178</v>
      </c>
      <c r="I3307" s="2142">
        <v>1622645</v>
      </c>
    </row>
    <row r="3308" spans="1:9" s="2139" customFormat="1" hidden="1">
      <c r="A3308" s="2140" t="s">
        <v>6454</v>
      </c>
      <c r="B3308" s="2141">
        <v>10</v>
      </c>
      <c r="C3308" s="2141" t="s">
        <v>3142</v>
      </c>
      <c r="D3308" s="2141">
        <v>221</v>
      </c>
      <c r="E3308" s="2142">
        <v>95.34</v>
      </c>
      <c r="F3308" s="2142">
        <v>17803</v>
      </c>
      <c r="G3308" s="2142">
        <v>1697338.02</v>
      </c>
      <c r="H3308" s="2143">
        <v>42178</v>
      </c>
      <c r="I3308" s="2142">
        <v>1697338</v>
      </c>
    </row>
    <row r="3309" spans="1:9" s="2139" customFormat="1" hidden="1">
      <c r="A3309" s="2140" t="s">
        <v>6455</v>
      </c>
      <c r="B3309" s="2141">
        <v>10</v>
      </c>
      <c r="C3309" s="2141" t="s">
        <v>3142</v>
      </c>
      <c r="D3309" s="2141">
        <v>222</v>
      </c>
      <c r="E3309" s="2142">
        <v>80.67</v>
      </c>
      <c r="F3309" s="2142">
        <v>17803</v>
      </c>
      <c r="G3309" s="2142">
        <v>1436168.01</v>
      </c>
      <c r="H3309" s="2143">
        <v>42611</v>
      </c>
      <c r="I3309" s="2142">
        <v>726168</v>
      </c>
    </row>
    <row r="3310" spans="1:9" s="2139" customFormat="1" hidden="1">
      <c r="A3310" s="2140" t="s">
        <v>6456</v>
      </c>
      <c r="B3310" s="2141">
        <v>10</v>
      </c>
      <c r="C3310" s="2141" t="s">
        <v>3142</v>
      </c>
      <c r="D3310" s="2141">
        <v>223</v>
      </c>
      <c r="E3310" s="2142">
        <v>77</v>
      </c>
      <c r="F3310" s="2142">
        <v>17603</v>
      </c>
      <c r="G3310" s="2142">
        <v>1355431</v>
      </c>
      <c r="H3310" s="2143">
        <v>42611</v>
      </c>
      <c r="I3310" s="2142">
        <v>685431</v>
      </c>
    </row>
    <row r="3311" spans="1:9" s="2139" customFormat="1" hidden="1">
      <c r="A3311" s="2140" t="s">
        <v>6457</v>
      </c>
      <c r="B3311" s="2141">
        <v>10</v>
      </c>
      <c r="C3311" s="2141" t="s">
        <v>3142</v>
      </c>
      <c r="D3311" s="2141">
        <v>225</v>
      </c>
      <c r="E3311" s="2142">
        <v>79.23</v>
      </c>
      <c r="F3311" s="2142">
        <v>17603</v>
      </c>
      <c r="G3311" s="2142">
        <v>1394685.6900000002</v>
      </c>
      <c r="H3311" s="2143"/>
      <c r="I3311" s="2142">
        <v>294428</v>
      </c>
    </row>
    <row r="3312" spans="1:9" s="2139" customFormat="1" hidden="1">
      <c r="A3312" s="2140" t="s">
        <v>6458</v>
      </c>
      <c r="B3312" s="2141">
        <v>10</v>
      </c>
      <c r="C3312" s="2141" t="s">
        <v>3142</v>
      </c>
      <c r="D3312" s="2141">
        <v>226</v>
      </c>
      <c r="E3312" s="2142">
        <v>79.23</v>
      </c>
      <c r="F3312" s="2142">
        <v>17603</v>
      </c>
      <c r="G3312" s="2142">
        <v>1394685.6900000002</v>
      </c>
      <c r="H3312" s="2143"/>
      <c r="I3312" s="2142">
        <v>147232</v>
      </c>
    </row>
    <row r="3313" spans="1:9" s="2139" customFormat="1" hidden="1">
      <c r="A3313" s="2140" t="s">
        <v>6459</v>
      </c>
      <c r="B3313" s="2141">
        <v>10</v>
      </c>
      <c r="C3313" s="2141" t="s">
        <v>3142</v>
      </c>
      <c r="D3313" s="2141">
        <v>227</v>
      </c>
      <c r="E3313" s="2142">
        <v>77</v>
      </c>
      <c r="F3313" s="2142">
        <v>17603</v>
      </c>
      <c r="G3313" s="2142">
        <v>1355431</v>
      </c>
      <c r="H3313" s="2143"/>
      <c r="I3313" s="2142">
        <v>147267</v>
      </c>
    </row>
    <row r="3314" spans="1:9" s="2139" customFormat="1" hidden="1">
      <c r="A3314" s="2140" t="s">
        <v>6460</v>
      </c>
      <c r="B3314" s="3560">
        <v>10</v>
      </c>
      <c r="C3314" s="2141" t="s">
        <v>3151</v>
      </c>
      <c r="D3314" s="3396">
        <v>21</v>
      </c>
      <c r="E3314" s="2142">
        <v>84.88</v>
      </c>
      <c r="F3314" s="2142">
        <v>17050</v>
      </c>
      <c r="G3314" s="2142">
        <v>1447204</v>
      </c>
      <c r="H3314" s="3557">
        <v>42759</v>
      </c>
      <c r="I3314" s="2142">
        <v>50000</v>
      </c>
    </row>
    <row r="3315" spans="1:9" s="2139" customFormat="1" hidden="1">
      <c r="A3315" s="2140" t="s">
        <v>6461</v>
      </c>
      <c r="B3315" s="3560">
        <v>10</v>
      </c>
      <c r="C3315" s="2141" t="s">
        <v>3151</v>
      </c>
      <c r="D3315" s="3396">
        <v>22</v>
      </c>
      <c r="E3315" s="2142">
        <v>88.32</v>
      </c>
      <c r="F3315" s="2142">
        <v>16280</v>
      </c>
      <c r="G3315" s="2142">
        <v>1437849.5999999999</v>
      </c>
      <c r="H3315" s="3557">
        <v>42759</v>
      </c>
      <c r="I3315" s="2142">
        <v>50000</v>
      </c>
    </row>
    <row r="3316" spans="1:9" s="2139" customFormat="1" hidden="1">
      <c r="A3316" s="2140" t="s">
        <v>6462</v>
      </c>
      <c r="B3316" s="2141">
        <v>10</v>
      </c>
      <c r="C3316" s="2141" t="s">
        <v>3151</v>
      </c>
      <c r="D3316" s="2141">
        <v>40</v>
      </c>
      <c r="E3316" s="2142">
        <v>62.46</v>
      </c>
      <c r="F3316" s="2142">
        <v>17635</v>
      </c>
      <c r="G3316" s="2142">
        <v>1101482.1000000001</v>
      </c>
      <c r="H3316" s="2143">
        <v>42129</v>
      </c>
      <c r="I3316" s="2142">
        <v>1101482</v>
      </c>
    </row>
    <row r="3317" spans="1:9" s="2139" customFormat="1" hidden="1">
      <c r="A3317" s="2140" t="s">
        <v>6463</v>
      </c>
      <c r="B3317" s="2141">
        <v>10</v>
      </c>
      <c r="C3317" s="2141" t="s">
        <v>3151</v>
      </c>
      <c r="D3317" s="2141">
        <v>43</v>
      </c>
      <c r="E3317" s="2142">
        <v>36.9</v>
      </c>
      <c r="F3317" s="2142">
        <v>13389</v>
      </c>
      <c r="G3317" s="2142">
        <v>494054.1</v>
      </c>
      <c r="H3317" s="2143">
        <v>42517</v>
      </c>
      <c r="I3317" s="2142">
        <v>494054</v>
      </c>
    </row>
    <row r="3318" spans="1:9" s="2139" customFormat="1" hidden="1">
      <c r="A3318" s="2140" t="s">
        <v>6464</v>
      </c>
      <c r="B3318" s="2141">
        <v>10</v>
      </c>
      <c r="C3318" s="2141" t="s">
        <v>3151</v>
      </c>
      <c r="D3318" s="2141">
        <v>55</v>
      </c>
      <c r="E3318" s="2142">
        <v>73.23</v>
      </c>
      <c r="F3318" s="2142">
        <v>17635</v>
      </c>
      <c r="G3318" s="2142">
        <v>1291411.05</v>
      </c>
      <c r="H3318" s="2143">
        <v>42356</v>
      </c>
      <c r="I3318" s="2142">
        <v>271411</v>
      </c>
    </row>
    <row r="3319" spans="1:9" s="2139" customFormat="1" hidden="1">
      <c r="A3319" s="2140" t="s">
        <v>6465</v>
      </c>
      <c r="B3319" s="2141">
        <v>10</v>
      </c>
      <c r="C3319" s="2141" t="s">
        <v>3151</v>
      </c>
      <c r="D3319" s="2141">
        <v>61</v>
      </c>
      <c r="E3319" s="2142">
        <v>31.47</v>
      </c>
      <c r="F3319" s="2142">
        <v>13389</v>
      </c>
      <c r="G3319" s="2142">
        <v>421351.82999999996</v>
      </c>
      <c r="H3319" s="2143">
        <v>42570</v>
      </c>
      <c r="I3319" s="2142">
        <v>421352</v>
      </c>
    </row>
    <row r="3320" spans="1:9" s="2139" customFormat="1" hidden="1">
      <c r="A3320" s="2140" t="s">
        <v>6466</v>
      </c>
      <c r="B3320" s="2141">
        <v>10</v>
      </c>
      <c r="C3320" s="2141" t="s">
        <v>3151</v>
      </c>
      <c r="D3320" s="2141">
        <v>62</v>
      </c>
      <c r="E3320" s="2142">
        <v>33.35</v>
      </c>
      <c r="F3320" s="2142">
        <v>13166.99</v>
      </c>
      <c r="G3320" s="2142">
        <v>439119.1165</v>
      </c>
      <c r="H3320" s="2143">
        <v>42595</v>
      </c>
      <c r="I3320" s="2142">
        <v>439119</v>
      </c>
    </row>
    <row r="3321" spans="1:9" s="2139" customFormat="1" hidden="1">
      <c r="A3321" s="2140" t="s">
        <v>6467</v>
      </c>
      <c r="B3321" s="2141">
        <v>10</v>
      </c>
      <c r="C3321" s="2141" t="s">
        <v>3151</v>
      </c>
      <c r="D3321" s="2141">
        <v>69</v>
      </c>
      <c r="E3321" s="2142">
        <v>34.47</v>
      </c>
      <c r="F3321" s="2142">
        <v>13389</v>
      </c>
      <c r="G3321" s="2142">
        <v>461518.82999999996</v>
      </c>
      <c r="H3321" s="2143">
        <v>42569</v>
      </c>
      <c r="I3321" s="2142">
        <v>461519</v>
      </c>
    </row>
    <row r="3322" spans="1:9" s="2139" customFormat="1" hidden="1">
      <c r="A3322" s="2140" t="s">
        <v>6468</v>
      </c>
      <c r="B3322" s="2141">
        <v>10</v>
      </c>
      <c r="C3322" s="2141" t="s">
        <v>3151</v>
      </c>
      <c r="D3322" s="2141">
        <v>70</v>
      </c>
      <c r="E3322" s="2142">
        <v>50.96</v>
      </c>
      <c r="F3322" s="2142">
        <v>15266.82</v>
      </c>
      <c r="G3322" s="2142">
        <v>777997.14720000001</v>
      </c>
      <c r="H3322" s="2143">
        <v>42529</v>
      </c>
      <c r="I3322" s="2142">
        <v>777997</v>
      </c>
    </row>
    <row r="3323" spans="1:9" s="2139" customFormat="1" hidden="1">
      <c r="A3323" s="2140" t="s">
        <v>6469</v>
      </c>
      <c r="B3323" s="2141">
        <v>10</v>
      </c>
      <c r="C3323" s="2141" t="s">
        <v>3151</v>
      </c>
      <c r="D3323" s="2141">
        <v>79</v>
      </c>
      <c r="E3323" s="2142">
        <v>17.79</v>
      </c>
      <c r="F3323" s="2142">
        <v>15005.9</v>
      </c>
      <c r="G3323" s="2142">
        <v>266954.96099999995</v>
      </c>
      <c r="H3323" s="2143">
        <v>42094</v>
      </c>
      <c r="I3323" s="2142">
        <v>266955</v>
      </c>
    </row>
    <row r="3324" spans="1:9" s="2139" customFormat="1" hidden="1">
      <c r="A3324" s="2140" t="s">
        <v>6470</v>
      </c>
      <c r="B3324" s="2141">
        <v>10</v>
      </c>
      <c r="C3324" s="2141" t="s">
        <v>3151</v>
      </c>
      <c r="D3324" s="2141">
        <v>93</v>
      </c>
      <c r="E3324" s="2142">
        <v>67.72</v>
      </c>
      <c r="F3324" s="2142">
        <v>18315</v>
      </c>
      <c r="G3324" s="2142">
        <v>1240291.8</v>
      </c>
      <c r="H3324" s="2143">
        <v>42139</v>
      </c>
      <c r="I3324" s="2142">
        <v>1240292</v>
      </c>
    </row>
    <row r="3325" spans="1:9" s="2139" customFormat="1" hidden="1">
      <c r="A3325" s="2140" t="s">
        <v>6471</v>
      </c>
      <c r="B3325" s="2141">
        <v>10</v>
      </c>
      <c r="C3325" s="2141" t="s">
        <v>3151</v>
      </c>
      <c r="D3325" s="2141">
        <v>99</v>
      </c>
      <c r="E3325" s="2142">
        <v>79.55</v>
      </c>
      <c r="F3325" s="2142">
        <v>13444.2</v>
      </c>
      <c r="G3325" s="2142">
        <v>1069486.1100000001</v>
      </c>
      <c r="H3325" s="2143">
        <v>42713</v>
      </c>
      <c r="I3325" s="2142">
        <v>1069486</v>
      </c>
    </row>
    <row r="3326" spans="1:9" s="2139" customFormat="1" hidden="1">
      <c r="A3326" s="2140" t="s">
        <v>6472</v>
      </c>
      <c r="B3326" s="2141">
        <v>10</v>
      </c>
      <c r="C3326" s="2141" t="s">
        <v>3151</v>
      </c>
      <c r="D3326" s="2141">
        <v>100</v>
      </c>
      <c r="E3326" s="2142">
        <v>49.11</v>
      </c>
      <c r="F3326" s="2142">
        <v>16000</v>
      </c>
      <c r="G3326" s="2142">
        <v>785760</v>
      </c>
      <c r="H3326" s="2143">
        <v>42730</v>
      </c>
      <c r="I3326" s="2142">
        <v>395760</v>
      </c>
    </row>
    <row r="3327" spans="1:9" s="2139" customFormat="1" hidden="1">
      <c r="A3327" s="2140" t="s">
        <v>6473</v>
      </c>
      <c r="B3327" s="2141">
        <v>10</v>
      </c>
      <c r="C3327" s="2141" t="s">
        <v>3151</v>
      </c>
      <c r="D3327" s="2141">
        <v>101</v>
      </c>
      <c r="E3327" s="2142">
        <v>58.48</v>
      </c>
      <c r="F3327" s="2142">
        <v>15950.00855</v>
      </c>
      <c r="G3327" s="2142">
        <v>932756</v>
      </c>
      <c r="H3327" s="2143">
        <v>42730</v>
      </c>
      <c r="I3327" s="2142">
        <v>472597</v>
      </c>
    </row>
    <row r="3328" spans="1:9" s="2139" customFormat="1" hidden="1">
      <c r="A3328" s="2140" t="s">
        <v>6474</v>
      </c>
      <c r="B3328" s="2141">
        <v>10</v>
      </c>
      <c r="C3328" s="2141" t="s">
        <v>3151</v>
      </c>
      <c r="D3328" s="2141">
        <v>112</v>
      </c>
      <c r="E3328" s="2142">
        <v>63.63</v>
      </c>
      <c r="F3328" s="2142">
        <v>16000</v>
      </c>
      <c r="G3328" s="2142">
        <v>1018080</v>
      </c>
      <c r="H3328" s="2143">
        <v>42539</v>
      </c>
      <c r="I3328" s="2142">
        <v>1018080</v>
      </c>
    </row>
    <row r="3329" spans="1:9" s="2139" customFormat="1" hidden="1">
      <c r="A3329" s="2140" t="s">
        <v>6475</v>
      </c>
      <c r="B3329" s="2141">
        <v>10</v>
      </c>
      <c r="C3329" s="2141" t="s">
        <v>3151</v>
      </c>
      <c r="D3329" s="2141">
        <v>115</v>
      </c>
      <c r="E3329" s="2142">
        <v>85.79</v>
      </c>
      <c r="F3329" s="2142">
        <v>19400</v>
      </c>
      <c r="G3329" s="2142">
        <v>1664326.0000000002</v>
      </c>
      <c r="H3329" s="2143">
        <v>42477</v>
      </c>
      <c r="I3329" s="2142">
        <v>1664326</v>
      </c>
    </row>
    <row r="3330" spans="1:9" s="2139" customFormat="1" hidden="1">
      <c r="A3330" s="2140" t="s">
        <v>6476</v>
      </c>
      <c r="B3330" s="2141">
        <v>10</v>
      </c>
      <c r="C3330" s="2141" t="s">
        <v>3151</v>
      </c>
      <c r="D3330" s="2141">
        <v>116</v>
      </c>
      <c r="E3330" s="2142">
        <v>85.96</v>
      </c>
      <c r="F3330" s="2142">
        <v>19639.59</v>
      </c>
      <c r="G3330" s="2142">
        <v>1688219.1564</v>
      </c>
      <c r="H3330" s="2143">
        <v>42477</v>
      </c>
      <c r="I3330" s="2142">
        <v>1688219</v>
      </c>
    </row>
    <row r="3331" spans="1:9" s="2139" customFormat="1" hidden="1">
      <c r="A3331" s="2140" t="s">
        <v>6477</v>
      </c>
      <c r="B3331" s="3560">
        <v>10</v>
      </c>
      <c r="C3331" s="2141" t="s">
        <v>3151</v>
      </c>
      <c r="D3331" s="3396">
        <v>117</v>
      </c>
      <c r="E3331" s="2142">
        <v>47.15</v>
      </c>
      <c r="F3331" s="2142">
        <v>17050</v>
      </c>
      <c r="G3331" s="2142">
        <v>803908</v>
      </c>
      <c r="H3331" s="3557">
        <v>42914</v>
      </c>
      <c r="I3331" s="2142">
        <v>425561</v>
      </c>
    </row>
    <row r="3332" spans="1:9" s="2139" customFormat="1" hidden="1">
      <c r="A3332" s="2140" t="s">
        <v>6478</v>
      </c>
      <c r="B3332" s="2141">
        <v>10</v>
      </c>
      <c r="C3332" s="2141" t="s">
        <v>3151</v>
      </c>
      <c r="D3332" s="2141">
        <v>120</v>
      </c>
      <c r="E3332" s="2142">
        <v>75.22</v>
      </c>
      <c r="F3332" s="2142">
        <v>12980</v>
      </c>
      <c r="G3332" s="2142">
        <v>976355.6</v>
      </c>
      <c r="H3332" s="2143"/>
      <c r="I3332" s="2142">
        <v>50000</v>
      </c>
    </row>
    <row r="3333" spans="1:9" s="2139" customFormat="1" hidden="1">
      <c r="A3333" s="2140" t="s">
        <v>6479</v>
      </c>
      <c r="B3333" s="2141">
        <v>10</v>
      </c>
      <c r="C3333" s="2141" t="s">
        <v>3151</v>
      </c>
      <c r="D3333" s="2141">
        <v>121</v>
      </c>
      <c r="E3333" s="2142">
        <v>71.02</v>
      </c>
      <c r="F3333" s="2142">
        <v>12320</v>
      </c>
      <c r="G3333" s="2142">
        <v>874966.39999999991</v>
      </c>
      <c r="H3333" s="2143"/>
      <c r="I3333" s="2142">
        <v>50000</v>
      </c>
    </row>
    <row r="3334" spans="1:9" s="2139" customFormat="1" hidden="1">
      <c r="A3334" s="2140" t="s">
        <v>6480</v>
      </c>
      <c r="B3334" s="2141">
        <v>10</v>
      </c>
      <c r="C3334" s="2141" t="s">
        <v>3151</v>
      </c>
      <c r="D3334" s="2141">
        <v>122</v>
      </c>
      <c r="E3334" s="2142">
        <v>71.459999999999994</v>
      </c>
      <c r="F3334" s="2142">
        <v>17050</v>
      </c>
      <c r="G3334" s="2142">
        <v>1218393</v>
      </c>
      <c r="H3334" s="2143"/>
      <c r="I3334" s="2142">
        <v>50000</v>
      </c>
    </row>
    <row r="3335" spans="1:9" s="2139" customFormat="1" hidden="1">
      <c r="A3335" s="2140" t="s">
        <v>6481</v>
      </c>
      <c r="B3335" s="2141">
        <v>10</v>
      </c>
      <c r="C3335" s="2141" t="s">
        <v>3151</v>
      </c>
      <c r="D3335" s="2141">
        <v>123</v>
      </c>
      <c r="E3335" s="2142">
        <v>67.44</v>
      </c>
      <c r="F3335" s="2142">
        <v>16280</v>
      </c>
      <c r="G3335" s="2142">
        <v>1097923.2</v>
      </c>
      <c r="H3335" s="2143"/>
      <c r="I3335" s="2142">
        <v>50000</v>
      </c>
    </row>
    <row r="3336" spans="1:9" s="2139" customFormat="1" hidden="1">
      <c r="A3336" s="2140" t="s">
        <v>6482</v>
      </c>
      <c r="B3336" s="2141">
        <v>10</v>
      </c>
      <c r="C3336" s="2141" t="s">
        <v>3151</v>
      </c>
      <c r="D3336" s="2141">
        <v>125</v>
      </c>
      <c r="E3336" s="2142">
        <v>67.44</v>
      </c>
      <c r="F3336" s="2142">
        <v>15791.59</v>
      </c>
      <c r="G3336" s="2142">
        <v>1064984.8296000001</v>
      </c>
      <c r="H3336" s="2143">
        <v>42265</v>
      </c>
      <c r="I3336" s="2142">
        <v>1064985</v>
      </c>
    </row>
    <row r="3337" spans="1:9" s="2139" customFormat="1" hidden="1">
      <c r="A3337" s="2140" t="s">
        <v>6483</v>
      </c>
      <c r="B3337" s="2141">
        <v>10</v>
      </c>
      <c r="C3337" s="2141" t="s">
        <v>3151</v>
      </c>
      <c r="D3337" s="2141">
        <v>126</v>
      </c>
      <c r="E3337" s="2142">
        <v>71.459999999999994</v>
      </c>
      <c r="F3337" s="2142">
        <v>16538.5</v>
      </c>
      <c r="G3337" s="2142">
        <v>1181841.21</v>
      </c>
      <c r="H3337" s="2143">
        <v>42194</v>
      </c>
      <c r="I3337" s="2142">
        <v>1181841</v>
      </c>
    </row>
    <row r="3338" spans="1:9" s="2139" customFormat="1" hidden="1">
      <c r="A3338" s="2140" t="s">
        <v>6484</v>
      </c>
      <c r="B3338" s="2141">
        <v>10</v>
      </c>
      <c r="C3338" s="2141" t="s">
        <v>3151</v>
      </c>
      <c r="D3338" s="2141">
        <v>127</v>
      </c>
      <c r="E3338" s="2142">
        <v>52.19</v>
      </c>
      <c r="F3338" s="2142">
        <v>15965</v>
      </c>
      <c r="G3338" s="2142">
        <v>833213.35</v>
      </c>
      <c r="H3338" s="2143"/>
      <c r="I3338" s="2142">
        <v>50000</v>
      </c>
    </row>
    <row r="3339" spans="1:9" s="2139" customFormat="1" hidden="1">
      <c r="A3339" s="2140" t="s">
        <v>6485</v>
      </c>
      <c r="B3339" s="2141">
        <v>10</v>
      </c>
      <c r="C3339" s="2141" t="s">
        <v>3151</v>
      </c>
      <c r="D3339" s="2141">
        <v>128</v>
      </c>
      <c r="E3339" s="2142">
        <v>62.62</v>
      </c>
      <c r="F3339" s="2142">
        <v>23273</v>
      </c>
      <c r="G3339" s="2142">
        <v>1457355.26</v>
      </c>
      <c r="H3339" s="2143">
        <v>42570</v>
      </c>
      <c r="I3339" s="2142">
        <v>1457355</v>
      </c>
    </row>
    <row r="3340" spans="1:9" s="2139" customFormat="1" hidden="1">
      <c r="A3340" s="2140" t="s">
        <v>6486</v>
      </c>
      <c r="B3340" s="2141">
        <v>10</v>
      </c>
      <c r="C3340" s="2141" t="s">
        <v>3151</v>
      </c>
      <c r="D3340" s="2141">
        <v>129</v>
      </c>
      <c r="E3340" s="2142">
        <v>103.76</v>
      </c>
      <c r="F3340" s="2142">
        <v>15965</v>
      </c>
      <c r="G3340" s="2142">
        <v>1656528.4000000001</v>
      </c>
      <c r="H3340" s="2143"/>
      <c r="I3340" s="2142">
        <v>50000</v>
      </c>
    </row>
    <row r="3341" spans="1:9" s="2139" customFormat="1" hidden="1">
      <c r="A3341" s="2140" t="s">
        <v>6487</v>
      </c>
      <c r="B3341" s="2141">
        <v>10</v>
      </c>
      <c r="C3341" s="2141" t="s">
        <v>3151</v>
      </c>
      <c r="D3341" s="2141">
        <v>130</v>
      </c>
      <c r="E3341" s="2142">
        <v>62.25</v>
      </c>
      <c r="F3341" s="2142">
        <v>16725</v>
      </c>
      <c r="G3341" s="2142">
        <v>1041131.25</v>
      </c>
      <c r="H3341" s="2143">
        <v>42692</v>
      </c>
      <c r="I3341" s="2142">
        <v>521131</v>
      </c>
    </row>
    <row r="3342" spans="1:9" s="2139" customFormat="1" hidden="1">
      <c r="A3342" s="2140" t="s">
        <v>6488</v>
      </c>
      <c r="B3342" s="2141">
        <v>10</v>
      </c>
      <c r="C3342" s="2141" t="s">
        <v>3151</v>
      </c>
      <c r="D3342" s="2141">
        <v>131</v>
      </c>
      <c r="E3342" s="2142">
        <v>62.25</v>
      </c>
      <c r="F3342" s="2142">
        <v>16725</v>
      </c>
      <c r="G3342" s="2142">
        <v>1041131.25</v>
      </c>
      <c r="H3342" s="2143">
        <v>42537</v>
      </c>
      <c r="I3342" s="2142">
        <v>1041131</v>
      </c>
    </row>
    <row r="3343" spans="1:9" s="2139" customFormat="1" hidden="1">
      <c r="A3343" s="2140" t="s">
        <v>6489</v>
      </c>
      <c r="B3343" s="2141">
        <v>10</v>
      </c>
      <c r="C3343" s="2141" t="s">
        <v>3151</v>
      </c>
      <c r="D3343" s="2141">
        <v>132</v>
      </c>
      <c r="E3343" s="2142">
        <v>84.19</v>
      </c>
      <c r="F3343" s="2142">
        <v>20674</v>
      </c>
      <c r="G3343" s="2142">
        <v>1740544.06</v>
      </c>
      <c r="H3343" s="2143">
        <v>42536</v>
      </c>
      <c r="I3343" s="2142">
        <v>1740544</v>
      </c>
    </row>
    <row r="3344" spans="1:9" s="2139" customFormat="1" hidden="1">
      <c r="A3344" s="2140" t="s">
        <v>6490</v>
      </c>
      <c r="B3344" s="2141">
        <v>10</v>
      </c>
      <c r="C3344" s="2141" t="s">
        <v>3151</v>
      </c>
      <c r="D3344" s="2141">
        <v>140</v>
      </c>
      <c r="E3344" s="2142">
        <v>70.47</v>
      </c>
      <c r="F3344" s="2142">
        <v>16329</v>
      </c>
      <c r="G3344" s="2142">
        <v>1150704.6299999999</v>
      </c>
      <c r="H3344" s="2143">
        <v>42646</v>
      </c>
      <c r="I3344" s="2142">
        <v>580705</v>
      </c>
    </row>
    <row r="3345" spans="1:9" s="2139" customFormat="1" hidden="1">
      <c r="A3345" s="2140" t="s">
        <v>6491</v>
      </c>
      <c r="B3345" s="2141">
        <v>10</v>
      </c>
      <c r="C3345" s="2141" t="s">
        <v>3151</v>
      </c>
      <c r="D3345" s="2141">
        <v>141</v>
      </c>
      <c r="E3345" s="2142">
        <v>139.13</v>
      </c>
      <c r="F3345" s="2142">
        <v>12875</v>
      </c>
      <c r="G3345" s="2142">
        <v>1791298.75</v>
      </c>
      <c r="H3345" s="2143"/>
      <c r="I3345" s="2142">
        <v>140968</v>
      </c>
    </row>
    <row r="3346" spans="1:9" s="2139" customFormat="1" hidden="1">
      <c r="A3346" s="2140" t="s">
        <v>6492</v>
      </c>
      <c r="B3346" s="2141">
        <v>10</v>
      </c>
      <c r="C3346" s="2141" t="s">
        <v>3151</v>
      </c>
      <c r="D3346" s="2141">
        <v>142</v>
      </c>
      <c r="E3346" s="2142">
        <v>104</v>
      </c>
      <c r="F3346" s="2142">
        <v>15641</v>
      </c>
      <c r="G3346" s="2142">
        <v>1626664</v>
      </c>
      <c r="H3346" s="2143">
        <v>42290</v>
      </c>
      <c r="I3346" s="2142">
        <v>336664</v>
      </c>
    </row>
    <row r="3347" spans="1:9" s="2139" customFormat="1" hidden="1">
      <c r="A3347" s="2140" t="s">
        <v>6493</v>
      </c>
      <c r="B3347" s="2141">
        <v>10</v>
      </c>
      <c r="C3347" s="2141" t="s">
        <v>3151</v>
      </c>
      <c r="D3347" s="2141">
        <v>147</v>
      </c>
      <c r="E3347" s="2142">
        <v>68.19</v>
      </c>
      <c r="F3347" s="2142">
        <v>14025</v>
      </c>
      <c r="G3347" s="2142">
        <v>956364.75</v>
      </c>
      <c r="H3347" s="2143">
        <v>42358</v>
      </c>
      <c r="I3347" s="2142">
        <v>206365</v>
      </c>
    </row>
    <row r="3348" spans="1:9" s="2139" customFormat="1" hidden="1">
      <c r="A3348" s="2140" t="s">
        <v>6494</v>
      </c>
      <c r="B3348" s="2141">
        <v>10</v>
      </c>
      <c r="C3348" s="2141" t="s">
        <v>3151</v>
      </c>
      <c r="D3348" s="2141">
        <v>148</v>
      </c>
      <c r="E3348" s="2142">
        <v>72.58</v>
      </c>
      <c r="F3348" s="2142">
        <v>15569</v>
      </c>
      <c r="G3348" s="2142">
        <v>1129998.02</v>
      </c>
      <c r="H3348" s="2143">
        <v>42644</v>
      </c>
      <c r="I3348" s="2142">
        <v>1129998</v>
      </c>
    </row>
    <row r="3349" spans="1:9" s="2139" customFormat="1" hidden="1">
      <c r="A3349" s="2140" t="s">
        <v>6495</v>
      </c>
      <c r="B3349" s="2141">
        <v>10</v>
      </c>
      <c r="C3349" s="2141" t="s">
        <v>3151</v>
      </c>
      <c r="D3349" s="2141">
        <v>149</v>
      </c>
      <c r="E3349" s="2142">
        <v>82.14</v>
      </c>
      <c r="F3349" s="2142">
        <v>19333</v>
      </c>
      <c r="G3349" s="2142">
        <v>1588012.62</v>
      </c>
      <c r="H3349" s="2143">
        <v>42567</v>
      </c>
      <c r="I3349" s="2142">
        <v>798013</v>
      </c>
    </row>
    <row r="3350" spans="1:9" s="2139" customFormat="1" hidden="1">
      <c r="A3350" s="2140" t="s">
        <v>6496</v>
      </c>
      <c r="B3350" s="2141">
        <v>10</v>
      </c>
      <c r="C3350" s="2141" t="s">
        <v>3151</v>
      </c>
      <c r="D3350" s="2141">
        <v>151</v>
      </c>
      <c r="E3350" s="2142">
        <v>118.51</v>
      </c>
      <c r="F3350" s="2142">
        <v>17304</v>
      </c>
      <c r="G3350" s="2142">
        <v>2050697.04</v>
      </c>
      <c r="H3350" s="2143"/>
      <c r="I3350" s="2142">
        <v>176224</v>
      </c>
    </row>
    <row r="3351" spans="1:9" s="2139" customFormat="1" hidden="1">
      <c r="A3351" s="2140" t="s">
        <v>6497</v>
      </c>
      <c r="B3351" s="2141">
        <v>10</v>
      </c>
      <c r="C3351" s="2141" t="s">
        <v>3151</v>
      </c>
      <c r="D3351" s="2141">
        <v>152</v>
      </c>
      <c r="E3351" s="2142">
        <v>87.44</v>
      </c>
      <c r="F3351" s="2142">
        <v>15965</v>
      </c>
      <c r="G3351" s="2142">
        <v>1395979.5999999999</v>
      </c>
      <c r="H3351" s="2143"/>
      <c r="I3351" s="2142">
        <v>166850</v>
      </c>
    </row>
    <row r="3352" spans="1:9" s="2139" customFormat="1" hidden="1">
      <c r="A3352" s="2140" t="s">
        <v>6498</v>
      </c>
      <c r="B3352" s="2141">
        <v>10</v>
      </c>
      <c r="C3352" s="2141" t="s">
        <v>3151</v>
      </c>
      <c r="D3352" s="2141">
        <v>153</v>
      </c>
      <c r="E3352" s="2142">
        <v>87.67</v>
      </c>
      <c r="F3352" s="2142">
        <v>15965</v>
      </c>
      <c r="G3352" s="2142">
        <v>1399651.55</v>
      </c>
      <c r="H3352" s="2143"/>
      <c r="I3352" s="2142">
        <v>166994</v>
      </c>
    </row>
    <row r="3353" spans="1:9" s="2139" customFormat="1" hidden="1">
      <c r="A3353" s="2140" t="s">
        <v>6499</v>
      </c>
      <c r="B3353" s="2141">
        <v>10</v>
      </c>
      <c r="C3353" s="2141" t="s">
        <v>3151</v>
      </c>
      <c r="D3353" s="2141">
        <v>160</v>
      </c>
      <c r="E3353" s="2142">
        <v>60.52</v>
      </c>
      <c r="F3353" s="2142">
        <v>13629</v>
      </c>
      <c r="G3353" s="2142">
        <v>824827.08000000007</v>
      </c>
      <c r="H3353" s="2143">
        <v>42149</v>
      </c>
      <c r="I3353" s="2142">
        <v>414827</v>
      </c>
    </row>
    <row r="3354" spans="1:9" s="2139" customFormat="1" hidden="1">
      <c r="A3354" s="2140" t="s">
        <v>6500</v>
      </c>
      <c r="B3354" s="2141">
        <v>10</v>
      </c>
      <c r="C3354" s="2141" t="s">
        <v>3151</v>
      </c>
      <c r="D3354" s="2141">
        <v>161</v>
      </c>
      <c r="E3354" s="2142">
        <v>60.1</v>
      </c>
      <c r="F3354" s="2142">
        <v>16225.008</v>
      </c>
      <c r="G3354" s="2142">
        <v>975122.98080000002</v>
      </c>
      <c r="H3354" s="2143">
        <v>42731</v>
      </c>
      <c r="I3354" s="2142">
        <v>495123</v>
      </c>
    </row>
    <row r="3355" spans="1:9" s="2139" customFormat="1" hidden="1">
      <c r="A3355" s="2140" t="s">
        <v>6501</v>
      </c>
      <c r="B3355" s="2141">
        <v>10</v>
      </c>
      <c r="C3355" s="2141" t="s">
        <v>3151</v>
      </c>
      <c r="D3355" s="2141">
        <v>162</v>
      </c>
      <c r="E3355" s="2142">
        <v>103.76</v>
      </c>
      <c r="F3355" s="2142">
        <v>15500</v>
      </c>
      <c r="G3355" s="2142">
        <v>1608280</v>
      </c>
      <c r="H3355" s="2143"/>
      <c r="I3355" s="2142">
        <v>50000</v>
      </c>
    </row>
    <row r="3356" spans="1:9" s="2139" customFormat="1" hidden="1">
      <c r="A3356" s="2140" t="s">
        <v>6502</v>
      </c>
      <c r="B3356" s="2141">
        <v>10</v>
      </c>
      <c r="C3356" s="2141" t="s">
        <v>3151</v>
      </c>
      <c r="D3356" s="2141">
        <v>163</v>
      </c>
      <c r="E3356" s="2142">
        <v>69.42</v>
      </c>
      <c r="F3356" s="2142">
        <v>17807</v>
      </c>
      <c r="G3356" s="2142">
        <v>1236161.94</v>
      </c>
      <c r="H3356" s="2143">
        <v>42301</v>
      </c>
      <c r="I3356" s="2142">
        <v>256162</v>
      </c>
    </row>
    <row r="3357" spans="1:9" s="2139" customFormat="1" hidden="1">
      <c r="A3357" s="2140" t="s">
        <v>6503</v>
      </c>
      <c r="B3357" s="2141">
        <v>10</v>
      </c>
      <c r="C3357" s="2141" t="s">
        <v>3151</v>
      </c>
      <c r="D3357" s="2141">
        <v>165</v>
      </c>
      <c r="E3357" s="2142">
        <v>42.41</v>
      </c>
      <c r="F3357" s="2142">
        <v>16800</v>
      </c>
      <c r="G3357" s="2142">
        <v>712488</v>
      </c>
      <c r="H3357" s="2143"/>
      <c r="I3357" s="2142">
        <v>50000</v>
      </c>
    </row>
    <row r="3358" spans="1:9" s="2139" customFormat="1" hidden="1">
      <c r="A3358" s="2140" t="s">
        <v>6504</v>
      </c>
      <c r="B3358" s="2141">
        <v>10</v>
      </c>
      <c r="C3358" s="2141" t="s">
        <v>3151</v>
      </c>
      <c r="D3358" s="2141">
        <v>166</v>
      </c>
      <c r="E3358" s="2142">
        <v>79.12</v>
      </c>
      <c r="F3358" s="2142">
        <v>18480</v>
      </c>
      <c r="G3358" s="2142">
        <v>1462137.6</v>
      </c>
      <c r="H3358" s="2143">
        <v>42341</v>
      </c>
      <c r="I3358" s="2142">
        <v>302138</v>
      </c>
    </row>
    <row r="3359" spans="1:9" s="2139" customFormat="1" hidden="1">
      <c r="A3359" s="2140" t="s">
        <v>6505</v>
      </c>
      <c r="B3359" s="2141">
        <v>10</v>
      </c>
      <c r="C3359" s="2141" t="s">
        <v>3151</v>
      </c>
      <c r="D3359" s="2141">
        <v>167</v>
      </c>
      <c r="E3359" s="2142">
        <v>76.5</v>
      </c>
      <c r="F3359" s="2142">
        <v>18328</v>
      </c>
      <c r="G3359" s="2142">
        <v>1402092</v>
      </c>
      <c r="H3359" s="2143">
        <v>42144</v>
      </c>
      <c r="I3359" s="2142">
        <v>282092</v>
      </c>
    </row>
    <row r="3360" spans="1:9" s="2139" customFormat="1" hidden="1">
      <c r="A3360" s="2140" t="s">
        <v>6506</v>
      </c>
      <c r="B3360" s="2141">
        <v>10</v>
      </c>
      <c r="C3360" s="2141" t="s">
        <v>3151</v>
      </c>
      <c r="D3360" s="2141">
        <v>168</v>
      </c>
      <c r="E3360" s="2142">
        <v>117.6</v>
      </c>
      <c r="F3360" s="2142">
        <v>17050</v>
      </c>
      <c r="G3360" s="2142">
        <v>2005080</v>
      </c>
      <c r="H3360" s="2143"/>
      <c r="I3360" s="2142">
        <v>50000</v>
      </c>
    </row>
    <row r="3361" spans="1:9" s="2139" customFormat="1" hidden="1">
      <c r="A3361" s="2140" t="s">
        <v>6507</v>
      </c>
      <c r="B3361" s="2141">
        <v>10</v>
      </c>
      <c r="C3361" s="2141" t="s">
        <v>3151</v>
      </c>
      <c r="D3361" s="2141">
        <v>169</v>
      </c>
      <c r="E3361" s="2142">
        <v>115.39</v>
      </c>
      <c r="F3361" s="2142">
        <v>17035.14</v>
      </c>
      <c r="G3361" s="2142">
        <v>1965684.8045999999</v>
      </c>
      <c r="H3361" s="2143">
        <v>42480</v>
      </c>
      <c r="I3361" s="2142">
        <v>1965685</v>
      </c>
    </row>
    <row r="3362" spans="1:9" s="2139" customFormat="1" hidden="1">
      <c r="A3362" s="2140" t="s">
        <v>6508</v>
      </c>
      <c r="B3362" s="2141">
        <v>10</v>
      </c>
      <c r="C3362" s="2141" t="s">
        <v>3151</v>
      </c>
      <c r="D3362" s="2141">
        <v>173</v>
      </c>
      <c r="E3362" s="2142">
        <v>126.96</v>
      </c>
      <c r="F3362" s="2142">
        <v>15486.05</v>
      </c>
      <c r="G3362" s="2142">
        <v>1966108.9079999998</v>
      </c>
      <c r="H3362" s="2143">
        <v>42124</v>
      </c>
      <c r="I3362" s="2142">
        <v>1966109</v>
      </c>
    </row>
    <row r="3363" spans="1:9" s="2139" customFormat="1" hidden="1">
      <c r="A3363" s="2140" t="s">
        <v>6509</v>
      </c>
      <c r="B3363" s="2141">
        <v>10</v>
      </c>
      <c r="C3363" s="2141" t="s">
        <v>3151</v>
      </c>
      <c r="D3363" s="2141">
        <v>175</v>
      </c>
      <c r="E3363" s="2142">
        <v>115.76</v>
      </c>
      <c r="F3363" s="2142">
        <v>15965</v>
      </c>
      <c r="G3363" s="2142">
        <v>1848108.4000000001</v>
      </c>
      <c r="H3363" s="2143"/>
      <c r="I3363" s="2142">
        <v>399604</v>
      </c>
    </row>
    <row r="3364" spans="1:9" s="2139" customFormat="1" hidden="1">
      <c r="A3364" s="2140" t="s">
        <v>6510</v>
      </c>
      <c r="B3364" s="2141">
        <v>10</v>
      </c>
      <c r="C3364" s="2141" t="s">
        <v>3151</v>
      </c>
      <c r="D3364" s="2141">
        <v>176</v>
      </c>
      <c r="E3364" s="2142">
        <v>115.76</v>
      </c>
      <c r="F3364" s="2142">
        <v>15965</v>
      </c>
      <c r="G3364" s="2142">
        <v>1848108.4000000001</v>
      </c>
      <c r="H3364" s="2143"/>
      <c r="I3364" s="2142">
        <v>357264</v>
      </c>
    </row>
    <row r="3365" spans="1:9" s="2139" customFormat="1" hidden="1">
      <c r="A3365" s="2140" t="s">
        <v>6511</v>
      </c>
      <c r="B3365" s="2141">
        <v>10</v>
      </c>
      <c r="C3365" s="2141" t="s">
        <v>3151</v>
      </c>
      <c r="D3365" s="2141">
        <v>177</v>
      </c>
      <c r="E3365" s="2142">
        <v>154.41999999999999</v>
      </c>
      <c r="F3365" s="2142">
        <v>16480</v>
      </c>
      <c r="G3365" s="2142">
        <v>2544841.5999999996</v>
      </c>
      <c r="H3365" s="2143"/>
      <c r="I3365" s="2142">
        <v>606530</v>
      </c>
    </row>
    <row r="3366" spans="1:9" s="2139" customFormat="1" hidden="1">
      <c r="A3366" s="2140" t="s">
        <v>6512</v>
      </c>
      <c r="B3366" s="2141">
        <v>10</v>
      </c>
      <c r="C3366" s="2141" t="s">
        <v>3151</v>
      </c>
      <c r="D3366" s="2141">
        <v>178</v>
      </c>
      <c r="E3366" s="2142">
        <v>109.33</v>
      </c>
      <c r="F3366" s="2142">
        <v>12309.3</v>
      </c>
      <c r="G3366" s="2142">
        <v>1345775.7689999999</v>
      </c>
      <c r="H3366" s="2143">
        <v>42525</v>
      </c>
      <c r="I3366" s="2142">
        <v>1345776</v>
      </c>
    </row>
    <row r="3367" spans="1:9" s="2139" customFormat="1" hidden="1">
      <c r="A3367" s="2140" t="s">
        <v>6513</v>
      </c>
      <c r="B3367" s="2141">
        <v>10</v>
      </c>
      <c r="C3367" s="2141" t="s">
        <v>3151</v>
      </c>
      <c r="D3367" s="2141">
        <v>187</v>
      </c>
      <c r="E3367" s="2142">
        <v>78.709999999999994</v>
      </c>
      <c r="F3367" s="2142">
        <v>13738.11</v>
      </c>
      <c r="G3367" s="2142">
        <v>1081326.6380999999</v>
      </c>
      <c r="H3367" s="2143">
        <v>42140</v>
      </c>
      <c r="I3367" s="2142">
        <v>1081327</v>
      </c>
    </row>
    <row r="3368" spans="1:9" s="2139" customFormat="1" hidden="1">
      <c r="A3368" s="2140" t="s">
        <v>6514</v>
      </c>
      <c r="B3368" s="2141">
        <v>10</v>
      </c>
      <c r="C3368" s="2141" t="s">
        <v>3151</v>
      </c>
      <c r="D3368" s="2141">
        <v>192</v>
      </c>
      <c r="E3368" s="2142">
        <v>61.43</v>
      </c>
      <c r="F3368" s="2142">
        <v>12359</v>
      </c>
      <c r="G3368" s="2142">
        <v>759213.37</v>
      </c>
      <c r="H3368" s="2143">
        <v>42139</v>
      </c>
      <c r="I3368" s="2142">
        <v>389213</v>
      </c>
    </row>
    <row r="3369" spans="1:9" s="2139" customFormat="1" hidden="1">
      <c r="A3369" s="2140" t="s">
        <v>6515</v>
      </c>
      <c r="B3369" s="2141">
        <v>10</v>
      </c>
      <c r="C3369" s="2141" t="s">
        <v>3151</v>
      </c>
      <c r="D3369" s="2141">
        <v>193</v>
      </c>
      <c r="E3369" s="2142">
        <v>43.24</v>
      </c>
      <c r="F3369" s="2142">
        <v>13536</v>
      </c>
      <c r="G3369" s="2142">
        <v>585296.64000000001</v>
      </c>
      <c r="H3369" s="2143">
        <v>42569</v>
      </c>
      <c r="I3369" s="2142">
        <v>585297</v>
      </c>
    </row>
    <row r="3370" spans="1:9" s="2139" customFormat="1" hidden="1">
      <c r="A3370" s="2140" t="s">
        <v>6516</v>
      </c>
      <c r="B3370" s="2141">
        <v>10</v>
      </c>
      <c r="C3370" s="2141" t="s">
        <v>3151</v>
      </c>
      <c r="D3370" s="2141">
        <v>199</v>
      </c>
      <c r="E3370" s="2142">
        <v>66.23</v>
      </c>
      <c r="F3370" s="2142">
        <v>12359</v>
      </c>
      <c r="G3370" s="2142">
        <v>818536.57000000007</v>
      </c>
      <c r="H3370" s="2143">
        <v>42327</v>
      </c>
      <c r="I3370" s="2142">
        <v>178537</v>
      </c>
    </row>
    <row r="3371" spans="1:9" s="2139" customFormat="1" hidden="1">
      <c r="A3371" s="2140" t="s">
        <v>6517</v>
      </c>
      <c r="B3371" s="2141">
        <v>10</v>
      </c>
      <c r="C3371" s="2141" t="s">
        <v>3151</v>
      </c>
      <c r="D3371" s="2141">
        <v>202</v>
      </c>
      <c r="E3371" s="2142">
        <v>56.31</v>
      </c>
      <c r="F3371" s="2142">
        <v>11021</v>
      </c>
      <c r="G3371" s="2142">
        <v>620592.51</v>
      </c>
      <c r="H3371" s="2143">
        <v>42119</v>
      </c>
      <c r="I3371" s="2142">
        <v>620593</v>
      </c>
    </row>
    <row r="3372" spans="1:9" s="2139" customFormat="1" hidden="1">
      <c r="A3372" s="2140" t="s">
        <v>6518</v>
      </c>
      <c r="B3372" s="2141">
        <v>10</v>
      </c>
      <c r="C3372" s="2141" t="s">
        <v>3151</v>
      </c>
      <c r="D3372" s="2141">
        <v>203</v>
      </c>
      <c r="E3372" s="2142">
        <v>32.53</v>
      </c>
      <c r="F3372" s="2142">
        <v>11021</v>
      </c>
      <c r="G3372" s="2142">
        <v>358513.13</v>
      </c>
      <c r="H3372" s="2143">
        <v>42117</v>
      </c>
      <c r="I3372" s="2142">
        <v>358513</v>
      </c>
    </row>
    <row r="3373" spans="1:9" s="2139" customFormat="1" hidden="1">
      <c r="A3373" s="2140" t="s">
        <v>6519</v>
      </c>
      <c r="B3373" s="2141">
        <v>10</v>
      </c>
      <c r="C3373" s="2141" t="s">
        <v>3151</v>
      </c>
      <c r="D3373" s="2141">
        <v>208</v>
      </c>
      <c r="E3373" s="2142">
        <v>48.28</v>
      </c>
      <c r="F3373" s="2142">
        <v>11789.37</v>
      </c>
      <c r="G3373" s="2142">
        <v>569190.78360000008</v>
      </c>
      <c r="H3373" s="2143">
        <v>42123</v>
      </c>
      <c r="I3373" s="2142">
        <v>569191</v>
      </c>
    </row>
    <row r="3374" spans="1:9" s="2139" customFormat="1" hidden="1">
      <c r="A3374" s="2140" t="s">
        <v>6520</v>
      </c>
      <c r="B3374" s="2141">
        <v>10</v>
      </c>
      <c r="C3374" s="2141" t="s">
        <v>3151</v>
      </c>
      <c r="D3374" s="2141">
        <v>209</v>
      </c>
      <c r="E3374" s="2142">
        <v>28.9</v>
      </c>
      <c r="F3374" s="2142">
        <v>14765</v>
      </c>
      <c r="G3374" s="2142">
        <v>426709</v>
      </c>
      <c r="H3374" s="2143">
        <v>42570</v>
      </c>
      <c r="I3374" s="2142">
        <v>426561</v>
      </c>
    </row>
    <row r="3375" spans="1:9" s="2139" customFormat="1" hidden="1">
      <c r="A3375" s="2140" t="s">
        <v>6521</v>
      </c>
      <c r="B3375" s="2141">
        <v>10</v>
      </c>
      <c r="C3375" s="2141" t="s">
        <v>3151</v>
      </c>
      <c r="D3375" s="2141">
        <v>210</v>
      </c>
      <c r="E3375" s="2142">
        <v>19</v>
      </c>
      <c r="F3375" s="2142">
        <v>11789.38</v>
      </c>
      <c r="G3375" s="2142">
        <v>223998.21999999997</v>
      </c>
      <c r="H3375" s="2143">
        <v>42115</v>
      </c>
      <c r="I3375" s="2142">
        <v>223998</v>
      </c>
    </row>
    <row r="3376" spans="1:9" s="2139" customFormat="1" hidden="1">
      <c r="A3376" s="2140" t="s">
        <v>6522</v>
      </c>
      <c r="B3376" s="2141">
        <v>10</v>
      </c>
      <c r="C3376" s="2141" t="s">
        <v>3151</v>
      </c>
      <c r="D3376" s="2141">
        <v>211</v>
      </c>
      <c r="E3376" s="2142">
        <v>30.7</v>
      </c>
      <c r="F3376" s="2142">
        <v>13220.13</v>
      </c>
      <c r="G3376" s="2142">
        <v>405857.99099999998</v>
      </c>
      <c r="H3376" s="2143">
        <v>42120</v>
      </c>
      <c r="I3376" s="2142">
        <v>405858</v>
      </c>
    </row>
    <row r="3377" spans="1:9" s="2139" customFormat="1" hidden="1">
      <c r="A3377" s="2140" t="s">
        <v>6523</v>
      </c>
      <c r="B3377" s="2141">
        <v>10</v>
      </c>
      <c r="C3377" s="2141" t="s">
        <v>3151</v>
      </c>
      <c r="D3377" s="2141">
        <v>212</v>
      </c>
      <c r="E3377" s="2142">
        <v>28.94</v>
      </c>
      <c r="F3377" s="2142">
        <v>13220.11</v>
      </c>
      <c r="G3377" s="2142">
        <v>382589.98340000003</v>
      </c>
      <c r="H3377" s="2143">
        <v>42476</v>
      </c>
      <c r="I3377" s="2142">
        <v>382590</v>
      </c>
    </row>
    <row r="3378" spans="1:9" s="2139" customFormat="1" hidden="1">
      <c r="A3378" s="2140" t="s">
        <v>6524</v>
      </c>
      <c r="B3378" s="2141">
        <v>10</v>
      </c>
      <c r="C3378" s="2141" t="s">
        <v>3151</v>
      </c>
      <c r="D3378" s="2141">
        <v>213</v>
      </c>
      <c r="E3378" s="2142">
        <v>26.6</v>
      </c>
      <c r="F3378" s="2142">
        <v>11789.37</v>
      </c>
      <c r="G3378" s="2142">
        <v>313597.24200000003</v>
      </c>
      <c r="H3378" s="2143">
        <v>42115</v>
      </c>
      <c r="I3378" s="2142">
        <v>313597</v>
      </c>
    </row>
    <row r="3379" spans="1:9" s="2139" customFormat="1" hidden="1">
      <c r="A3379" s="2140" t="s">
        <v>6525</v>
      </c>
      <c r="B3379" s="2141">
        <v>10</v>
      </c>
      <c r="C3379" s="2141" t="s">
        <v>3151</v>
      </c>
      <c r="D3379" s="2141">
        <v>215</v>
      </c>
      <c r="E3379" s="2142">
        <v>62.3</v>
      </c>
      <c r="F3379" s="2142">
        <v>16981</v>
      </c>
      <c r="G3379" s="2142">
        <v>1057916.3</v>
      </c>
      <c r="H3379" s="2143">
        <v>42703</v>
      </c>
      <c r="I3379" s="2142">
        <v>1057916</v>
      </c>
    </row>
    <row r="3380" spans="1:9" s="2139" customFormat="1" hidden="1">
      <c r="A3380" s="2140" t="s">
        <v>6526</v>
      </c>
      <c r="B3380" s="2141">
        <v>10</v>
      </c>
      <c r="C3380" s="2141" t="s">
        <v>3151</v>
      </c>
      <c r="D3380" s="2141">
        <v>218</v>
      </c>
      <c r="E3380" s="2142">
        <v>86.79</v>
      </c>
      <c r="F3380" s="2142">
        <v>15965</v>
      </c>
      <c r="G3380" s="2142">
        <v>1385602.35</v>
      </c>
      <c r="H3380" s="2143">
        <v>42269</v>
      </c>
      <c r="I3380" s="2142">
        <v>285602</v>
      </c>
    </row>
    <row r="3381" spans="1:9" s="2139" customFormat="1" hidden="1">
      <c r="A3381" s="2140" t="s">
        <v>6527</v>
      </c>
      <c r="B3381" s="2141">
        <v>10</v>
      </c>
      <c r="C3381" s="2141" t="s">
        <v>3151</v>
      </c>
      <c r="D3381" s="2141">
        <v>219</v>
      </c>
      <c r="E3381" s="2142">
        <v>58.71</v>
      </c>
      <c r="F3381" s="2142">
        <v>12547.93</v>
      </c>
      <c r="G3381" s="2142">
        <v>736688.97030000004</v>
      </c>
      <c r="H3381" s="2143">
        <v>42120</v>
      </c>
      <c r="I3381" s="2142">
        <v>736689</v>
      </c>
    </row>
    <row r="3382" spans="1:9" s="2139" customFormat="1" hidden="1">
      <c r="A3382" s="2140" t="s">
        <v>6528</v>
      </c>
      <c r="B3382" s="2141">
        <v>10</v>
      </c>
      <c r="C3382" s="2141" t="s">
        <v>3151</v>
      </c>
      <c r="D3382" s="2141">
        <v>223</v>
      </c>
      <c r="E3382" s="2142">
        <v>78.709999999999994</v>
      </c>
      <c r="F3382" s="2142">
        <v>12690</v>
      </c>
      <c r="G3382" s="2142">
        <v>998829.89999999991</v>
      </c>
      <c r="H3382" s="2143"/>
      <c r="I3382" s="2142">
        <v>100000</v>
      </c>
    </row>
    <row r="3383" spans="1:9" s="2139" customFormat="1" hidden="1">
      <c r="A3383" s="2140" t="s">
        <v>6529</v>
      </c>
      <c r="B3383" s="2141">
        <v>10</v>
      </c>
      <c r="C3383" s="2141" t="s">
        <v>3151</v>
      </c>
      <c r="D3383" s="2141">
        <v>225</v>
      </c>
      <c r="E3383" s="2142">
        <v>147.47</v>
      </c>
      <c r="F3383" s="2142">
        <v>19034</v>
      </c>
      <c r="G3383" s="2142">
        <v>2806943.98</v>
      </c>
      <c r="H3383" s="2143"/>
      <c r="I3383" s="2142">
        <v>50000</v>
      </c>
    </row>
    <row r="3384" spans="1:9" s="2139" customFormat="1" hidden="1">
      <c r="A3384" s="2140" t="s">
        <v>6530</v>
      </c>
      <c r="B3384" s="2141">
        <v>10</v>
      </c>
      <c r="C3384" s="2141" t="s">
        <v>3151</v>
      </c>
      <c r="D3384" s="2141">
        <v>229</v>
      </c>
      <c r="E3384" s="2142">
        <v>26.09</v>
      </c>
      <c r="F3384" s="2142">
        <v>13977.35</v>
      </c>
      <c r="G3384" s="2142">
        <v>364669.06150000001</v>
      </c>
      <c r="H3384" s="2143">
        <v>42604</v>
      </c>
      <c r="I3384" s="2142">
        <v>364669</v>
      </c>
    </row>
    <row r="3385" spans="1:9" s="2139" customFormat="1" hidden="1">
      <c r="A3385" s="2140" t="s">
        <v>6531</v>
      </c>
      <c r="B3385" s="2141">
        <v>10</v>
      </c>
      <c r="C3385" s="2141" t="s">
        <v>3151</v>
      </c>
      <c r="D3385" s="2141">
        <v>230</v>
      </c>
      <c r="E3385" s="2142">
        <v>64.819999999999993</v>
      </c>
      <c r="F3385" s="2142">
        <v>11759.32</v>
      </c>
      <c r="G3385" s="2142">
        <v>762239.12239999988</v>
      </c>
      <c r="H3385" s="2143">
        <v>42119</v>
      </c>
      <c r="I3385" s="2142">
        <v>762239</v>
      </c>
    </row>
    <row r="3386" spans="1:9" s="2139" customFormat="1" hidden="1">
      <c r="A3386" s="2140" t="s">
        <v>6532</v>
      </c>
      <c r="B3386" s="2141">
        <v>10</v>
      </c>
      <c r="C3386" s="2141" t="s">
        <v>3151</v>
      </c>
      <c r="D3386" s="2141">
        <v>231</v>
      </c>
      <c r="E3386" s="2142">
        <v>79.52</v>
      </c>
      <c r="F3386" s="2142">
        <v>12309.3</v>
      </c>
      <c r="G3386" s="2142">
        <v>978835.53599999985</v>
      </c>
      <c r="H3386" s="2143">
        <v>42119</v>
      </c>
      <c r="I3386" s="2142">
        <v>978836</v>
      </c>
    </row>
    <row r="3387" spans="1:9" s="2139" customFormat="1" hidden="1">
      <c r="A3387" s="2140" t="s">
        <v>6533</v>
      </c>
      <c r="B3387" s="2141">
        <v>10</v>
      </c>
      <c r="C3387" s="2141" t="s">
        <v>3151</v>
      </c>
      <c r="D3387" s="2141">
        <v>236</v>
      </c>
      <c r="E3387" s="2142">
        <v>101.22</v>
      </c>
      <c r="F3387" s="2142">
        <v>18328</v>
      </c>
      <c r="G3387" s="2142">
        <v>1855160.16</v>
      </c>
      <c r="H3387" s="2143">
        <v>42122</v>
      </c>
      <c r="I3387" s="2142">
        <v>385160</v>
      </c>
    </row>
    <row r="3388" spans="1:9" s="2139" customFormat="1" hidden="1">
      <c r="A3388" s="2140" t="s">
        <v>6534</v>
      </c>
      <c r="B3388" s="2141">
        <v>10</v>
      </c>
      <c r="C3388" s="2141" t="s">
        <v>3151</v>
      </c>
      <c r="D3388" s="2141">
        <v>237</v>
      </c>
      <c r="E3388" s="2142">
        <v>96.93</v>
      </c>
      <c r="F3388" s="2142">
        <v>19310</v>
      </c>
      <c r="G3388" s="2142">
        <v>1871718.3</v>
      </c>
      <c r="H3388" s="2143">
        <v>42355</v>
      </c>
      <c r="I3388" s="2142">
        <v>381718</v>
      </c>
    </row>
    <row r="3389" spans="1:9" s="2139" customFormat="1" hidden="1">
      <c r="A3389" s="2140" t="s">
        <v>6535</v>
      </c>
      <c r="B3389" s="2141">
        <v>10</v>
      </c>
      <c r="C3389" s="2141" t="s">
        <v>3151</v>
      </c>
      <c r="D3389" s="2141">
        <v>238</v>
      </c>
      <c r="E3389" s="2142">
        <v>164.64</v>
      </c>
      <c r="F3389" s="2142">
        <v>18479.998790000001</v>
      </c>
      <c r="G3389" s="2142">
        <v>3042547.0007855999</v>
      </c>
      <c r="H3389" s="2143">
        <v>42681</v>
      </c>
      <c r="I3389" s="2142">
        <v>50000</v>
      </c>
    </row>
    <row r="3390" spans="1:9" s="2139" customFormat="1" hidden="1">
      <c r="A3390" s="2140" t="s">
        <v>6536</v>
      </c>
      <c r="B3390" s="2141">
        <v>10</v>
      </c>
      <c r="C3390" s="2141" t="s">
        <v>3151</v>
      </c>
      <c r="D3390" s="2141">
        <v>242</v>
      </c>
      <c r="E3390" s="2142">
        <v>72.25</v>
      </c>
      <c r="F3390" s="2142">
        <v>17584.169999999998</v>
      </c>
      <c r="G3390" s="2142">
        <v>1270456.2825</v>
      </c>
      <c r="H3390" s="2143">
        <v>42123</v>
      </c>
      <c r="I3390" s="2142">
        <v>1270456</v>
      </c>
    </row>
    <row r="3391" spans="1:9" s="2139" customFormat="1" hidden="1">
      <c r="A3391" s="2140" t="s">
        <v>6537</v>
      </c>
      <c r="B3391" s="2141">
        <v>10</v>
      </c>
      <c r="C3391" s="2141" t="s">
        <v>3151</v>
      </c>
      <c r="D3391" s="2141">
        <v>243</v>
      </c>
      <c r="E3391" s="2142">
        <v>74.790000000000006</v>
      </c>
      <c r="F3391" s="2142">
        <v>17562</v>
      </c>
      <c r="G3391" s="2142">
        <v>1313461.9800000002</v>
      </c>
      <c r="H3391" s="2143">
        <v>42129</v>
      </c>
      <c r="I3391" s="2142">
        <v>1313462</v>
      </c>
    </row>
    <row r="3392" spans="1:9" s="2139" customFormat="1" hidden="1">
      <c r="A3392" s="2140" t="s">
        <v>6538</v>
      </c>
      <c r="B3392" s="2141">
        <v>10</v>
      </c>
      <c r="C3392" s="2141" t="s">
        <v>3151</v>
      </c>
      <c r="D3392" s="2141">
        <v>246</v>
      </c>
      <c r="E3392" s="2142">
        <v>76.95</v>
      </c>
      <c r="F3392" s="2142">
        <v>15486.06</v>
      </c>
      <c r="G3392" s="2142">
        <v>1191652.317</v>
      </c>
      <c r="H3392" s="2143">
        <v>42479</v>
      </c>
      <c r="I3392" s="2142">
        <v>1191652</v>
      </c>
    </row>
    <row r="3393" spans="1:9" s="2139" customFormat="1" hidden="1">
      <c r="A3393" s="2140" t="s">
        <v>6539</v>
      </c>
      <c r="B3393" s="2141">
        <v>10</v>
      </c>
      <c r="C3393" s="2141" t="s">
        <v>3151</v>
      </c>
      <c r="D3393" s="2141">
        <v>260</v>
      </c>
      <c r="E3393" s="2142">
        <v>68.55</v>
      </c>
      <c r="F3393" s="2142">
        <v>15244</v>
      </c>
      <c r="G3393" s="2142">
        <v>1044976.2</v>
      </c>
      <c r="H3393" s="2143"/>
      <c r="I3393" s="2142">
        <v>256922</v>
      </c>
    </row>
    <row r="3394" spans="1:9" s="2139" customFormat="1" hidden="1">
      <c r="A3394" s="2140" t="s">
        <v>6540</v>
      </c>
      <c r="B3394" s="2141">
        <v>10</v>
      </c>
      <c r="C3394" s="2141" t="s">
        <v>3151</v>
      </c>
      <c r="D3394" s="2141">
        <v>261</v>
      </c>
      <c r="E3394" s="2142">
        <v>36.659999999999997</v>
      </c>
      <c r="F3394" s="2142">
        <v>15244</v>
      </c>
      <c r="G3394" s="2142">
        <v>558845.03999999992</v>
      </c>
      <c r="H3394" s="2143">
        <v>42125</v>
      </c>
      <c r="I3394" s="2142">
        <v>558845</v>
      </c>
    </row>
    <row r="3395" spans="1:9" s="2139" customFormat="1" hidden="1">
      <c r="A3395" s="2140" t="s">
        <v>6541</v>
      </c>
      <c r="B3395" s="2141">
        <v>10</v>
      </c>
      <c r="C3395" s="2141" t="s">
        <v>3151</v>
      </c>
      <c r="D3395" s="2141">
        <v>262</v>
      </c>
      <c r="E3395" s="2142">
        <v>57.44</v>
      </c>
      <c r="F3395" s="2142">
        <v>15244</v>
      </c>
      <c r="G3395" s="2142">
        <v>875615.36</v>
      </c>
      <c r="H3395" s="2143">
        <v>42480</v>
      </c>
      <c r="I3395" s="2142">
        <v>875615</v>
      </c>
    </row>
    <row r="3396" spans="1:9" s="2139" customFormat="1" hidden="1">
      <c r="A3396" s="2140" t="s">
        <v>6542</v>
      </c>
      <c r="B3396" s="2141">
        <v>10</v>
      </c>
      <c r="C3396" s="2141" t="s">
        <v>3151</v>
      </c>
      <c r="D3396" s="2141">
        <v>263</v>
      </c>
      <c r="E3396" s="2142">
        <v>42.35</v>
      </c>
      <c r="F3396" s="2142">
        <v>15244</v>
      </c>
      <c r="G3396" s="2142">
        <v>645583.4</v>
      </c>
      <c r="H3396" s="2143">
        <v>42125</v>
      </c>
      <c r="I3396" s="2142">
        <v>645583</v>
      </c>
    </row>
    <row r="3397" spans="1:9" s="2139" customFormat="1" hidden="1">
      <c r="A3397" s="2140" t="s">
        <v>6543</v>
      </c>
      <c r="B3397" s="2141">
        <v>10</v>
      </c>
      <c r="C3397" s="2141" t="s">
        <v>3151</v>
      </c>
      <c r="D3397" s="2141">
        <v>265</v>
      </c>
      <c r="E3397" s="2142">
        <v>38.24</v>
      </c>
      <c r="F3397" s="2142">
        <v>15244</v>
      </c>
      <c r="G3397" s="2142">
        <v>582930.56000000006</v>
      </c>
      <c r="H3397" s="2143">
        <v>42439</v>
      </c>
      <c r="I3397" s="2142">
        <v>292931</v>
      </c>
    </row>
    <row r="3398" spans="1:9" s="2139" customFormat="1" hidden="1">
      <c r="A3398" s="2140" t="s">
        <v>3754</v>
      </c>
      <c r="B3398" s="2141" t="s">
        <v>3054</v>
      </c>
      <c r="C3398" s="2141" t="s">
        <v>3261</v>
      </c>
      <c r="D3398" s="2141">
        <v>36</v>
      </c>
      <c r="E3398" s="2142">
        <v>40.93</v>
      </c>
      <c r="F3398" s="2142">
        <v>25800</v>
      </c>
      <c r="G3398" s="2142">
        <v>1055994</v>
      </c>
      <c r="H3398" s="2143">
        <v>41902</v>
      </c>
      <c r="I3398" s="2142">
        <v>1055994</v>
      </c>
    </row>
    <row r="3399" spans="1:9" s="2139" customFormat="1" hidden="1">
      <c r="A3399" s="2140" t="s">
        <v>4377</v>
      </c>
      <c r="B3399" s="2141" t="s">
        <v>3055</v>
      </c>
      <c r="C3399" s="2141" t="s">
        <v>3261</v>
      </c>
      <c r="D3399" s="3396">
        <v>70</v>
      </c>
      <c r="E3399" s="2142">
        <v>103.98</v>
      </c>
      <c r="F3399" s="2142">
        <v>27300</v>
      </c>
      <c r="G3399" s="2142">
        <v>2838654</v>
      </c>
      <c r="H3399" s="3557">
        <v>41902</v>
      </c>
      <c r="I3399" s="2142">
        <v>2838654</v>
      </c>
    </row>
    <row r="3400" spans="1:9" s="2139" customFormat="1" hidden="1">
      <c r="A3400" s="2140" t="s">
        <v>3764</v>
      </c>
      <c r="B3400" s="2141" t="s">
        <v>3054</v>
      </c>
      <c r="C3400" s="2141" t="s">
        <v>3261</v>
      </c>
      <c r="D3400" s="2141">
        <v>47</v>
      </c>
      <c r="E3400" s="2142">
        <v>52.99</v>
      </c>
      <c r="F3400" s="2142">
        <v>25800</v>
      </c>
      <c r="G3400" s="2142">
        <v>1367142</v>
      </c>
      <c r="H3400" s="2143">
        <v>41901</v>
      </c>
      <c r="I3400" s="2142">
        <v>1367142</v>
      </c>
    </row>
    <row r="3401" spans="1:9" s="2139" customFormat="1" hidden="1">
      <c r="A3401" s="2140" t="s">
        <v>3765</v>
      </c>
      <c r="B3401" s="2141" t="s">
        <v>3054</v>
      </c>
      <c r="C3401" s="2141" t="s">
        <v>3261</v>
      </c>
      <c r="D3401" s="2141">
        <v>48</v>
      </c>
      <c r="E3401" s="2142">
        <v>52.37</v>
      </c>
      <c r="F3401" s="2142">
        <v>25800</v>
      </c>
      <c r="G3401" s="2142">
        <v>1351146</v>
      </c>
      <c r="H3401" s="2143">
        <v>41901</v>
      </c>
      <c r="I3401" s="2142">
        <v>1351146</v>
      </c>
    </row>
    <row r="3402" spans="1:9" s="2139" customFormat="1" hidden="1">
      <c r="A3402" s="2140" t="s">
        <v>3797</v>
      </c>
      <c r="B3402" s="2141" t="s">
        <v>3054</v>
      </c>
      <c r="C3402" s="2141" t="s">
        <v>3261</v>
      </c>
      <c r="D3402" s="2141">
        <v>165</v>
      </c>
      <c r="E3402" s="2142">
        <v>40.15</v>
      </c>
      <c r="F3402" s="2142">
        <v>25800</v>
      </c>
      <c r="G3402" s="2142">
        <v>1035870</v>
      </c>
      <c r="H3402" s="2143">
        <v>41901</v>
      </c>
      <c r="I3402" s="2142">
        <v>1035870</v>
      </c>
    </row>
    <row r="3403" spans="1:9" s="2139" customFormat="1" hidden="1">
      <c r="A3403" s="2140" t="s">
        <v>3798</v>
      </c>
      <c r="B3403" s="2141" t="s">
        <v>3054</v>
      </c>
      <c r="C3403" s="2141" t="s">
        <v>3261</v>
      </c>
      <c r="D3403" s="2141">
        <v>166</v>
      </c>
      <c r="E3403" s="2142">
        <v>20.63</v>
      </c>
      <c r="F3403" s="2142">
        <v>25800</v>
      </c>
      <c r="G3403" s="2142">
        <v>532254</v>
      </c>
      <c r="H3403" s="2143">
        <v>41901</v>
      </c>
      <c r="I3403" s="2142">
        <v>532254</v>
      </c>
    </row>
    <row r="3404" spans="1:9" s="2139" customFormat="1" hidden="1">
      <c r="A3404" s="2140" t="s">
        <v>4338</v>
      </c>
      <c r="B3404" s="2141" t="s">
        <v>3055</v>
      </c>
      <c r="C3404" s="2141" t="s">
        <v>3261</v>
      </c>
      <c r="D3404" s="3396">
        <v>25</v>
      </c>
      <c r="E3404" s="2142">
        <v>39.82</v>
      </c>
      <c r="F3404" s="2142">
        <v>25800</v>
      </c>
      <c r="G3404" s="2142">
        <v>1027356</v>
      </c>
      <c r="H3404" s="3557">
        <v>41901</v>
      </c>
      <c r="I3404" s="2142">
        <v>1027356</v>
      </c>
    </row>
    <row r="3405" spans="1:9" s="2139" customFormat="1" hidden="1">
      <c r="A3405" s="2140" t="s">
        <v>4365</v>
      </c>
      <c r="B3405" s="2141" t="s">
        <v>3055</v>
      </c>
      <c r="C3405" s="2141" t="s">
        <v>3261</v>
      </c>
      <c r="D3405" s="3396">
        <v>57</v>
      </c>
      <c r="E3405" s="2142">
        <v>38.159999999999997</v>
      </c>
      <c r="F3405" s="2142">
        <v>26300</v>
      </c>
      <c r="G3405" s="2142">
        <v>1003607.9999999999</v>
      </c>
      <c r="H3405" s="3557">
        <v>41901</v>
      </c>
      <c r="I3405" s="2142">
        <v>1003608</v>
      </c>
    </row>
    <row r="3406" spans="1:9" s="2139" customFormat="1" hidden="1">
      <c r="A3406" s="2140" t="s">
        <v>4403</v>
      </c>
      <c r="B3406" s="2141" t="s">
        <v>3055</v>
      </c>
      <c r="C3406" s="2141" t="s">
        <v>3261</v>
      </c>
      <c r="D3406" s="3396">
        <v>117</v>
      </c>
      <c r="E3406" s="2142">
        <v>56.22</v>
      </c>
      <c r="F3406" s="2142">
        <v>26800</v>
      </c>
      <c r="G3406" s="2142">
        <v>1506696</v>
      </c>
      <c r="H3406" s="3557">
        <v>41901</v>
      </c>
      <c r="I3406" s="2142">
        <v>1506696</v>
      </c>
    </row>
    <row r="3407" spans="1:9" s="2139" customFormat="1" hidden="1">
      <c r="A3407" s="2140" t="s">
        <v>4410</v>
      </c>
      <c r="B3407" s="2141" t="s">
        <v>3055</v>
      </c>
      <c r="C3407" s="2141" t="s">
        <v>3261</v>
      </c>
      <c r="D3407" s="3396">
        <v>129</v>
      </c>
      <c r="E3407" s="2142">
        <v>46.31</v>
      </c>
      <c r="F3407" s="2142">
        <v>25800</v>
      </c>
      <c r="G3407" s="2142">
        <v>1194798</v>
      </c>
      <c r="H3407" s="3557">
        <v>41901</v>
      </c>
      <c r="I3407" s="2142">
        <v>1194798</v>
      </c>
    </row>
    <row r="3408" spans="1:9" s="2139" customFormat="1" hidden="1">
      <c r="A3408" s="2140" t="s">
        <v>3757</v>
      </c>
      <c r="B3408" s="2141" t="s">
        <v>3054</v>
      </c>
      <c r="C3408" s="2141" t="s">
        <v>3261</v>
      </c>
      <c r="D3408" s="2141">
        <v>39</v>
      </c>
      <c r="E3408" s="2142">
        <v>44.35</v>
      </c>
      <c r="F3408" s="2142">
        <v>26300</v>
      </c>
      <c r="G3408" s="2142">
        <v>1166405</v>
      </c>
      <c r="H3408" s="2143">
        <v>41900</v>
      </c>
      <c r="I3408" s="2142">
        <v>1166405</v>
      </c>
    </row>
    <row r="3409" spans="1:9" s="2139" customFormat="1" hidden="1">
      <c r="A3409" s="2140" t="s">
        <v>3759</v>
      </c>
      <c r="B3409" s="2141" t="s">
        <v>3054</v>
      </c>
      <c r="C3409" s="2141" t="s">
        <v>3261</v>
      </c>
      <c r="D3409" s="2141">
        <v>41</v>
      </c>
      <c r="E3409" s="2142">
        <v>41.63</v>
      </c>
      <c r="F3409" s="2142">
        <v>25026.01</v>
      </c>
      <c r="G3409" s="2142">
        <v>1041832.7963</v>
      </c>
      <c r="H3409" s="2143">
        <v>41899</v>
      </c>
      <c r="I3409" s="2142">
        <v>1041833</v>
      </c>
    </row>
    <row r="3410" spans="1:9" s="2139" customFormat="1" hidden="1">
      <c r="A3410" s="2140" t="s">
        <v>3794</v>
      </c>
      <c r="B3410" s="2141" t="s">
        <v>3054</v>
      </c>
      <c r="C3410" s="2141" t="s">
        <v>3261</v>
      </c>
      <c r="D3410" s="2141">
        <v>159</v>
      </c>
      <c r="E3410" s="2142">
        <v>30.8</v>
      </c>
      <c r="F3410" s="2142">
        <v>26000</v>
      </c>
      <c r="G3410" s="2142">
        <v>800800</v>
      </c>
      <c r="H3410" s="2143">
        <v>41899</v>
      </c>
      <c r="I3410" s="2142">
        <v>800800</v>
      </c>
    </row>
    <row r="3411" spans="1:9" s="2139" customFormat="1" hidden="1">
      <c r="A3411" s="2140" t="s">
        <v>4353</v>
      </c>
      <c r="B3411" s="2141" t="s">
        <v>3055</v>
      </c>
      <c r="C3411" s="2141" t="s">
        <v>3261</v>
      </c>
      <c r="D3411" s="3396">
        <v>41</v>
      </c>
      <c r="E3411" s="2142">
        <v>34.69</v>
      </c>
      <c r="F3411" s="2142">
        <v>25800</v>
      </c>
      <c r="G3411" s="2142">
        <v>895001.99999999988</v>
      </c>
      <c r="H3411" s="3557">
        <v>41899</v>
      </c>
      <c r="I3411" s="2142">
        <v>895002</v>
      </c>
    </row>
    <row r="3412" spans="1:9" s="2139" customFormat="1" hidden="1">
      <c r="A3412" s="2140" t="s">
        <v>4354</v>
      </c>
      <c r="B3412" s="2141" t="s">
        <v>3055</v>
      </c>
      <c r="C3412" s="2141" t="s">
        <v>3261</v>
      </c>
      <c r="D3412" s="3396">
        <v>42</v>
      </c>
      <c r="E3412" s="2142">
        <v>34.69</v>
      </c>
      <c r="F3412" s="2142">
        <v>25800</v>
      </c>
      <c r="G3412" s="2142">
        <v>895001.99999999988</v>
      </c>
      <c r="H3412" s="3557">
        <v>41899</v>
      </c>
      <c r="I3412" s="2142">
        <v>895002</v>
      </c>
    </row>
    <row r="3413" spans="1:9" s="2139" customFormat="1" hidden="1">
      <c r="A3413" s="2140" t="s">
        <v>4355</v>
      </c>
      <c r="B3413" s="2141" t="s">
        <v>3055</v>
      </c>
      <c r="C3413" s="2141" t="s">
        <v>3261</v>
      </c>
      <c r="D3413" s="3396">
        <v>43</v>
      </c>
      <c r="E3413" s="2142">
        <v>38.72</v>
      </c>
      <c r="F3413" s="2142">
        <v>26300</v>
      </c>
      <c r="G3413" s="2142">
        <v>1018336</v>
      </c>
      <c r="H3413" s="3557">
        <v>41899</v>
      </c>
      <c r="I3413" s="2142">
        <v>1018336</v>
      </c>
    </row>
    <row r="3414" spans="1:9" s="2139" customFormat="1" hidden="1">
      <c r="A3414" s="2140" t="s">
        <v>4378</v>
      </c>
      <c r="B3414" s="2141" t="s">
        <v>3055</v>
      </c>
      <c r="C3414" s="2141" t="s">
        <v>3261</v>
      </c>
      <c r="D3414" s="3396">
        <v>75</v>
      </c>
      <c r="E3414" s="2142">
        <v>45.38</v>
      </c>
      <c r="F3414" s="2142">
        <v>26300</v>
      </c>
      <c r="G3414" s="2142">
        <v>1193494</v>
      </c>
      <c r="H3414" s="3557">
        <v>41899</v>
      </c>
      <c r="I3414" s="2142">
        <v>1193494</v>
      </c>
    </row>
    <row r="3415" spans="1:9" s="2139" customFormat="1" hidden="1">
      <c r="A3415" s="2140" t="s">
        <v>4379</v>
      </c>
      <c r="B3415" s="2141" t="s">
        <v>3055</v>
      </c>
      <c r="C3415" s="2141" t="s">
        <v>3261</v>
      </c>
      <c r="D3415" s="3396">
        <v>76</v>
      </c>
      <c r="E3415" s="2142">
        <v>41.81</v>
      </c>
      <c r="F3415" s="2142">
        <v>25800</v>
      </c>
      <c r="G3415" s="2142">
        <v>1078698</v>
      </c>
      <c r="H3415" s="3557">
        <v>41899</v>
      </c>
      <c r="I3415" s="2142">
        <v>1078698</v>
      </c>
    </row>
    <row r="3416" spans="1:9" s="2139" customFormat="1" hidden="1">
      <c r="A3416" s="2140" t="s">
        <v>4380</v>
      </c>
      <c r="B3416" s="2141" t="s">
        <v>3055</v>
      </c>
      <c r="C3416" s="2141" t="s">
        <v>3261</v>
      </c>
      <c r="D3416" s="3396">
        <v>77</v>
      </c>
      <c r="E3416" s="2142">
        <v>49.99</v>
      </c>
      <c r="F3416" s="2142">
        <v>25800</v>
      </c>
      <c r="G3416" s="2142">
        <v>1289742</v>
      </c>
      <c r="H3416" s="3557">
        <v>41899</v>
      </c>
      <c r="I3416" s="2142">
        <v>1289742</v>
      </c>
    </row>
    <row r="3417" spans="1:9" s="2139" customFormat="1" hidden="1">
      <c r="A3417" s="2140" t="s">
        <v>4395</v>
      </c>
      <c r="B3417" s="2141" t="s">
        <v>3055</v>
      </c>
      <c r="C3417" s="2141" t="s">
        <v>3261</v>
      </c>
      <c r="D3417" s="3396">
        <v>103</v>
      </c>
      <c r="E3417" s="2142">
        <v>53.4</v>
      </c>
      <c r="F3417" s="2142">
        <v>32800</v>
      </c>
      <c r="G3417" s="2142">
        <v>1751520</v>
      </c>
      <c r="H3417" s="3557">
        <v>41898</v>
      </c>
      <c r="I3417" s="2142">
        <v>1751520</v>
      </c>
    </row>
    <row r="3418" spans="1:9" s="2139" customFormat="1" hidden="1">
      <c r="A3418" s="2140" t="s">
        <v>3778</v>
      </c>
      <c r="B3418" s="2141" t="s">
        <v>3054</v>
      </c>
      <c r="C3418" s="2141" t="s">
        <v>3261</v>
      </c>
      <c r="D3418" s="2141">
        <v>87</v>
      </c>
      <c r="E3418" s="2142">
        <v>44.32</v>
      </c>
      <c r="F3418" s="2142">
        <v>25800</v>
      </c>
      <c r="G3418" s="2142">
        <v>1143456</v>
      </c>
      <c r="H3418" s="2143">
        <v>41897</v>
      </c>
      <c r="I3418" s="2142">
        <v>1143456</v>
      </c>
    </row>
    <row r="3419" spans="1:9" s="2139" customFormat="1" hidden="1">
      <c r="A3419" s="2140" t="s">
        <v>6727</v>
      </c>
      <c r="B3419" s="2141">
        <v>12</v>
      </c>
      <c r="C3419" s="2141" t="s">
        <v>3261</v>
      </c>
      <c r="D3419" s="2141">
        <v>5</v>
      </c>
      <c r="E3419" s="2142">
        <v>73.2</v>
      </c>
      <c r="F3419" s="2142">
        <v>39360</v>
      </c>
      <c r="G3419" s="2142">
        <v>2881152</v>
      </c>
      <c r="H3419" s="2143">
        <v>41891</v>
      </c>
      <c r="I3419" s="2142">
        <v>329916</v>
      </c>
    </row>
    <row r="3420" spans="1:9" s="2139" customFormat="1" hidden="1">
      <c r="A3420" s="2140" t="s">
        <v>4320</v>
      </c>
      <c r="B3420" s="2141" t="s">
        <v>3055</v>
      </c>
      <c r="C3420" s="2141" t="s">
        <v>3261</v>
      </c>
      <c r="D3420" s="3396">
        <v>3</v>
      </c>
      <c r="E3420" s="2142">
        <v>53.5</v>
      </c>
      <c r="F3420" s="2142">
        <v>35800</v>
      </c>
      <c r="G3420" s="2142">
        <v>1915300</v>
      </c>
      <c r="H3420" s="3557"/>
      <c r="I3420" s="2142">
        <v>385000</v>
      </c>
    </row>
    <row r="3421" spans="1:9" s="2139" customFormat="1" hidden="1">
      <c r="A3421" s="2140" t="s">
        <v>4321</v>
      </c>
      <c r="B3421" s="2141" t="s">
        <v>3055</v>
      </c>
      <c r="C3421" s="2141" t="s">
        <v>3261</v>
      </c>
      <c r="D3421" s="3396">
        <v>5</v>
      </c>
      <c r="E3421" s="2142">
        <v>63.53</v>
      </c>
      <c r="F3421" s="2142">
        <v>35800</v>
      </c>
      <c r="G3421" s="2142">
        <v>2274374</v>
      </c>
      <c r="H3421" s="3557"/>
      <c r="I3421" s="2142">
        <v>385000</v>
      </c>
    </row>
    <row r="3422" spans="1:9" s="2139" customFormat="1" hidden="1">
      <c r="A3422" s="2140" t="s">
        <v>4340</v>
      </c>
      <c r="B3422" s="2141" t="s">
        <v>3055</v>
      </c>
      <c r="C3422" s="2141" t="s">
        <v>3261</v>
      </c>
      <c r="D3422" s="3396">
        <v>27</v>
      </c>
      <c r="E3422" s="2142">
        <v>39.85</v>
      </c>
      <c r="F3422" s="2142">
        <v>25800</v>
      </c>
      <c r="G3422" s="2142">
        <v>1028130</v>
      </c>
      <c r="H3422" s="3557"/>
      <c r="I3422" s="2142">
        <v>260000</v>
      </c>
    </row>
    <row r="3423" spans="1:9" s="2139" customFormat="1" hidden="1">
      <c r="A3423" s="2140" t="s">
        <v>4341</v>
      </c>
      <c r="B3423" s="2141" t="s">
        <v>3055</v>
      </c>
      <c r="C3423" s="2141" t="s">
        <v>3261</v>
      </c>
      <c r="D3423" s="3396">
        <v>28</v>
      </c>
      <c r="E3423" s="2142">
        <v>40.99</v>
      </c>
      <c r="F3423" s="2142">
        <v>25800</v>
      </c>
      <c r="G3423" s="2142">
        <v>1057542</v>
      </c>
      <c r="H3423" s="3557"/>
      <c r="I3423" s="2142">
        <v>260000</v>
      </c>
    </row>
    <row r="3424" spans="1:9" s="2139" customFormat="1" hidden="1">
      <c r="A3424" s="2140" t="s">
        <v>4343</v>
      </c>
      <c r="B3424" s="2141" t="s">
        <v>3055</v>
      </c>
      <c r="C3424" s="2141" t="s">
        <v>3261</v>
      </c>
      <c r="D3424" s="3396">
        <v>30</v>
      </c>
      <c r="E3424" s="2142">
        <v>38.92</v>
      </c>
      <c r="F3424" s="2142">
        <v>26300</v>
      </c>
      <c r="G3424" s="2142">
        <v>1023596</v>
      </c>
      <c r="H3424" s="3557"/>
      <c r="I3424" s="2142">
        <v>300000</v>
      </c>
    </row>
    <row r="3425" spans="1:9" s="2139" customFormat="1" hidden="1">
      <c r="A3425" s="2140" t="s">
        <v>4381</v>
      </c>
      <c r="B3425" s="2141" t="s">
        <v>3055</v>
      </c>
      <c r="C3425" s="2141" t="s">
        <v>3261</v>
      </c>
      <c r="D3425" s="3396">
        <v>78</v>
      </c>
      <c r="E3425" s="2142">
        <v>54.35</v>
      </c>
      <c r="F3425" s="2142">
        <v>25800</v>
      </c>
      <c r="G3425" s="2142">
        <v>1402230</v>
      </c>
      <c r="H3425" s="3557"/>
      <c r="I3425" s="2142">
        <v>170000</v>
      </c>
    </row>
    <row r="3426" spans="1:9" s="2139" customFormat="1" hidden="1">
      <c r="A3426" s="2140" t="s">
        <v>4397</v>
      </c>
      <c r="B3426" s="2141" t="s">
        <v>3055</v>
      </c>
      <c r="C3426" s="2141" t="s">
        <v>3261</v>
      </c>
      <c r="D3426" s="3396">
        <v>110</v>
      </c>
      <c r="E3426" s="2142">
        <v>35.72</v>
      </c>
      <c r="F3426" s="2142">
        <v>25800</v>
      </c>
      <c r="G3426" s="2142">
        <v>921576</v>
      </c>
      <c r="H3426" s="3557"/>
      <c r="I3426" s="2142">
        <v>118138</v>
      </c>
    </row>
    <row r="3427" spans="1:9" s="2139" customFormat="1" hidden="1">
      <c r="A3427" s="2140" t="s">
        <v>4399</v>
      </c>
      <c r="B3427" s="2141" t="s">
        <v>3055</v>
      </c>
      <c r="C3427" s="2141" t="s">
        <v>3261</v>
      </c>
      <c r="D3427" s="3396">
        <v>112</v>
      </c>
      <c r="E3427" s="2142">
        <v>37.21</v>
      </c>
      <c r="F3427" s="2142">
        <v>25800</v>
      </c>
      <c r="G3427" s="2142">
        <v>960018</v>
      </c>
      <c r="H3427" s="3557"/>
      <c r="I3427" s="2142">
        <v>118138</v>
      </c>
    </row>
    <row r="3428" spans="1:9" s="2139" customFormat="1" hidden="1">
      <c r="A3428" s="2140" t="s">
        <v>4401</v>
      </c>
      <c r="B3428" s="2141" t="s">
        <v>3055</v>
      </c>
      <c r="C3428" s="2141" t="s">
        <v>3261</v>
      </c>
      <c r="D3428" s="3396">
        <v>115</v>
      </c>
      <c r="E3428" s="2142">
        <v>55.38</v>
      </c>
      <c r="F3428" s="2142">
        <v>27300</v>
      </c>
      <c r="G3428" s="2142">
        <v>1511874</v>
      </c>
      <c r="H3428" s="3557"/>
      <c r="I3428" s="2142">
        <v>192001</v>
      </c>
    </row>
    <row r="3429" spans="1:9" s="2139" customFormat="1" hidden="1">
      <c r="A3429" s="2140" t="s">
        <v>4402</v>
      </c>
      <c r="B3429" s="2141" t="s">
        <v>3055</v>
      </c>
      <c r="C3429" s="2141" t="s">
        <v>3261</v>
      </c>
      <c r="D3429" s="3396">
        <v>116</v>
      </c>
      <c r="E3429" s="2142">
        <v>52.37</v>
      </c>
      <c r="F3429" s="2142">
        <v>26800</v>
      </c>
      <c r="G3429" s="2142">
        <v>1403516</v>
      </c>
      <c r="H3429" s="3557"/>
      <c r="I3429" s="2142">
        <v>351830</v>
      </c>
    </row>
    <row r="3430" spans="1:9" s="2139" customFormat="1" hidden="1">
      <c r="A3430" s="2140" t="s">
        <v>4407</v>
      </c>
      <c r="B3430" s="2141" t="s">
        <v>3055</v>
      </c>
      <c r="C3430" s="2141" t="s">
        <v>3261</v>
      </c>
      <c r="D3430" s="3396">
        <v>126</v>
      </c>
      <c r="E3430" s="2142">
        <v>63.83</v>
      </c>
      <c r="F3430" s="2142">
        <v>26800</v>
      </c>
      <c r="G3430" s="2142">
        <v>1710644</v>
      </c>
      <c r="H3430" s="3557"/>
      <c r="I3430" s="2142">
        <v>220912</v>
      </c>
    </row>
    <row r="3431" spans="1:9" s="2139" customFormat="1" hidden="1">
      <c r="A3431" s="2140" t="s">
        <v>4408</v>
      </c>
      <c r="B3431" s="2141" t="s">
        <v>3055</v>
      </c>
      <c r="C3431" s="2141" t="s">
        <v>3261</v>
      </c>
      <c r="D3431" s="3396">
        <v>127</v>
      </c>
      <c r="E3431" s="2142">
        <v>65.180000000000007</v>
      </c>
      <c r="F3431" s="2142">
        <v>27300</v>
      </c>
      <c r="G3431" s="2142">
        <v>1779414.0000000002</v>
      </c>
      <c r="H3431" s="3557"/>
      <c r="I3431" s="2142">
        <v>209855</v>
      </c>
    </row>
    <row r="3432" spans="1:9" s="2139" customFormat="1" hidden="1">
      <c r="A3432" s="2140" t="s">
        <v>4412</v>
      </c>
      <c r="B3432" s="2141" t="s">
        <v>3055</v>
      </c>
      <c r="C3432" s="2141" t="s">
        <v>3261</v>
      </c>
      <c r="D3432" s="3396">
        <v>135</v>
      </c>
      <c r="E3432" s="2142">
        <v>30.69</v>
      </c>
      <c r="F3432" s="2142">
        <v>25800</v>
      </c>
      <c r="G3432" s="2142">
        <v>791802</v>
      </c>
      <c r="H3432" s="3557"/>
      <c r="I3432" s="2142">
        <v>100414</v>
      </c>
    </row>
    <row r="3433" spans="1:9" s="2139" customFormat="1" hidden="1">
      <c r="A3433" s="2140" t="s">
        <v>4414</v>
      </c>
      <c r="B3433" s="2141" t="s">
        <v>3055</v>
      </c>
      <c r="C3433" s="2141" t="s">
        <v>3261</v>
      </c>
      <c r="D3433" s="3396">
        <v>139</v>
      </c>
      <c r="E3433" s="2142">
        <v>40.94</v>
      </c>
      <c r="F3433" s="2142">
        <v>30800</v>
      </c>
      <c r="G3433" s="2142">
        <v>1260952</v>
      </c>
      <c r="H3433" s="3557"/>
      <c r="I3433" s="2142">
        <v>169924</v>
      </c>
    </row>
    <row r="3434" spans="1:9" s="2139" customFormat="1" hidden="1">
      <c r="A3434" s="2140" t="s">
        <v>4415</v>
      </c>
      <c r="B3434" s="2141" t="s">
        <v>3055</v>
      </c>
      <c r="C3434" s="2141" t="s">
        <v>3261</v>
      </c>
      <c r="D3434" s="3396">
        <v>141</v>
      </c>
      <c r="E3434" s="2142">
        <v>38.65</v>
      </c>
      <c r="F3434" s="2142">
        <v>25800</v>
      </c>
      <c r="G3434" s="2142">
        <v>997170</v>
      </c>
      <c r="H3434" s="3557"/>
      <c r="I3434" s="2142">
        <v>129955</v>
      </c>
    </row>
    <row r="3435" spans="1:9" s="2139" customFormat="1" hidden="1">
      <c r="A3435" s="2140" t="s">
        <v>5498</v>
      </c>
      <c r="B3435" s="2141" t="s">
        <v>3056</v>
      </c>
      <c r="C3435" s="2141" t="s">
        <v>3142</v>
      </c>
      <c r="D3435" s="2141">
        <v>261</v>
      </c>
      <c r="E3435" s="2142">
        <v>103.26</v>
      </c>
      <c r="F3435" s="2142">
        <v>15100</v>
      </c>
      <c r="G3435" s="2142">
        <v>1559226</v>
      </c>
      <c r="H3435" s="2143"/>
      <c r="I3435" s="2142">
        <v>1559226</v>
      </c>
    </row>
    <row r="3436" spans="1:9" s="2139" customFormat="1" hidden="1">
      <c r="A3436" s="2140" t="s">
        <v>5499</v>
      </c>
      <c r="B3436" s="2141" t="s">
        <v>3056</v>
      </c>
      <c r="C3436" s="2141" t="s">
        <v>3142</v>
      </c>
      <c r="D3436" s="2141">
        <v>265</v>
      </c>
      <c r="E3436" s="2142">
        <v>55.73</v>
      </c>
      <c r="F3436" s="2142">
        <v>14590</v>
      </c>
      <c r="G3436" s="2142">
        <v>813100.7</v>
      </c>
      <c r="H3436" s="2143"/>
      <c r="I3436" s="2142">
        <v>813101</v>
      </c>
    </row>
    <row r="3437" spans="1:9" s="2139" customFormat="1" hidden="1">
      <c r="A3437" s="2140" t="s">
        <v>5500</v>
      </c>
      <c r="B3437" s="2141" t="s">
        <v>3056</v>
      </c>
      <c r="C3437" s="2141" t="s">
        <v>3142</v>
      </c>
      <c r="D3437" s="2141">
        <v>266</v>
      </c>
      <c r="E3437" s="2142">
        <v>44.3</v>
      </c>
      <c r="F3437" s="2142">
        <v>14590</v>
      </c>
      <c r="G3437" s="2142">
        <v>646337</v>
      </c>
      <c r="H3437" s="2143"/>
      <c r="I3437" s="2142">
        <v>646337</v>
      </c>
    </row>
    <row r="3438" spans="1:9" s="2139" customFormat="1" hidden="1">
      <c r="A3438" s="2140" t="s">
        <v>5501</v>
      </c>
      <c r="B3438" s="2141" t="s">
        <v>3056</v>
      </c>
      <c r="C3438" s="2141" t="s">
        <v>3142</v>
      </c>
      <c r="D3438" s="2141">
        <v>267</v>
      </c>
      <c r="E3438" s="2142">
        <v>28.3</v>
      </c>
      <c r="F3438" s="2142">
        <v>14590</v>
      </c>
      <c r="G3438" s="2142">
        <v>412897</v>
      </c>
      <c r="H3438" s="2143"/>
      <c r="I3438" s="2142">
        <v>412897</v>
      </c>
    </row>
    <row r="3439" spans="1:9" s="2139" customFormat="1" hidden="1">
      <c r="A3439" s="2140" t="s">
        <v>5502</v>
      </c>
      <c r="B3439" s="2141" t="s">
        <v>3056</v>
      </c>
      <c r="C3439" s="2141" t="s">
        <v>3142</v>
      </c>
      <c r="D3439" s="2141">
        <v>268</v>
      </c>
      <c r="E3439" s="2142">
        <v>34.450000000000003</v>
      </c>
      <c r="F3439" s="2142">
        <v>14590.01</v>
      </c>
      <c r="G3439" s="2142">
        <v>502625.84450000006</v>
      </c>
      <c r="H3439" s="2143"/>
      <c r="I3439" s="2142">
        <v>502626</v>
      </c>
    </row>
    <row r="3440" spans="1:9" s="2139" customFormat="1" hidden="1">
      <c r="A3440" s="2140" t="s">
        <v>5503</v>
      </c>
      <c r="B3440" s="2141" t="s">
        <v>3056</v>
      </c>
      <c r="C3440" s="2141" t="s">
        <v>3142</v>
      </c>
      <c r="D3440" s="2141">
        <v>269</v>
      </c>
      <c r="E3440" s="2142">
        <v>28.26</v>
      </c>
      <c r="F3440" s="2142">
        <v>14590</v>
      </c>
      <c r="G3440" s="2142">
        <v>412313.4</v>
      </c>
      <c r="H3440" s="2143"/>
      <c r="I3440" s="2142">
        <v>412313</v>
      </c>
    </row>
    <row r="3441" spans="1:9" s="2139" customFormat="1" hidden="1">
      <c r="A3441" s="2140" t="s">
        <v>5508</v>
      </c>
      <c r="B3441" s="2141" t="s">
        <v>3056</v>
      </c>
      <c r="C3441" s="2141" t="s">
        <v>3142</v>
      </c>
      <c r="D3441" s="2141">
        <v>275</v>
      </c>
      <c r="E3441" s="2142">
        <v>62.66</v>
      </c>
      <c r="F3441" s="2142">
        <v>19300</v>
      </c>
      <c r="G3441" s="2142">
        <v>1209338</v>
      </c>
      <c r="H3441" s="2143"/>
      <c r="I3441" s="2142">
        <v>1209338</v>
      </c>
    </row>
    <row r="3442" spans="1:9" s="2139" customFormat="1" hidden="1">
      <c r="A3442" s="2140" t="s">
        <v>5509</v>
      </c>
      <c r="B3442" s="2141" t="s">
        <v>3056</v>
      </c>
      <c r="C3442" s="2141" t="s">
        <v>3142</v>
      </c>
      <c r="D3442" s="2141">
        <v>276</v>
      </c>
      <c r="E3442" s="2142">
        <v>62.64</v>
      </c>
      <c r="F3442" s="2142">
        <v>19300</v>
      </c>
      <c r="G3442" s="2142">
        <v>1208952</v>
      </c>
      <c r="H3442" s="2143"/>
      <c r="I3442" s="2142">
        <v>1208952</v>
      </c>
    </row>
    <row r="3443" spans="1:9" s="2139" customFormat="1" hidden="1">
      <c r="A3443" s="2140" t="s">
        <v>5510</v>
      </c>
      <c r="B3443" s="2141" t="s">
        <v>3056</v>
      </c>
      <c r="C3443" s="2141" t="s">
        <v>3142</v>
      </c>
      <c r="D3443" s="2141">
        <v>277</v>
      </c>
      <c r="E3443" s="2142">
        <v>62.65</v>
      </c>
      <c r="F3443" s="2142">
        <v>19300</v>
      </c>
      <c r="G3443" s="2142">
        <v>1209145</v>
      </c>
      <c r="H3443" s="2143"/>
      <c r="I3443" s="2142">
        <v>1209145</v>
      </c>
    </row>
    <row r="3444" spans="1:9" s="2139" customFormat="1" hidden="1">
      <c r="A3444" s="2140" t="s">
        <v>5511</v>
      </c>
      <c r="B3444" s="2141" t="s">
        <v>3056</v>
      </c>
      <c r="C3444" s="2141" t="s">
        <v>3142</v>
      </c>
      <c r="D3444" s="2141">
        <v>278</v>
      </c>
      <c r="E3444" s="2142">
        <v>80.55</v>
      </c>
      <c r="F3444" s="2142">
        <v>19300</v>
      </c>
      <c r="G3444" s="2142">
        <v>1554615</v>
      </c>
      <c r="H3444" s="2143"/>
      <c r="I3444" s="2142">
        <v>1554615</v>
      </c>
    </row>
    <row r="3445" spans="1:9" s="2139" customFormat="1" hidden="1">
      <c r="A3445" s="2140" t="s">
        <v>5512</v>
      </c>
      <c r="B3445" s="2141" t="s">
        <v>3056</v>
      </c>
      <c r="C3445" s="2141" t="s">
        <v>3142</v>
      </c>
      <c r="D3445" s="2141">
        <v>279</v>
      </c>
      <c r="E3445" s="2142">
        <v>18.649999999999999</v>
      </c>
      <c r="F3445" s="2142">
        <v>19300</v>
      </c>
      <c r="G3445" s="2142">
        <v>359945</v>
      </c>
      <c r="H3445" s="2143"/>
      <c r="I3445" s="2142">
        <v>359945</v>
      </c>
    </row>
    <row r="3446" spans="1:9" s="2139" customFormat="1" hidden="1">
      <c r="A3446" s="2140" t="s">
        <v>5515</v>
      </c>
      <c r="B3446" s="2141" t="s">
        <v>3056</v>
      </c>
      <c r="C3446" s="2141" t="s">
        <v>3142</v>
      </c>
      <c r="D3446" s="2141">
        <v>282</v>
      </c>
      <c r="E3446" s="2142">
        <v>80.239999999999995</v>
      </c>
      <c r="F3446" s="2142">
        <v>19300</v>
      </c>
      <c r="G3446" s="2142">
        <v>1548632</v>
      </c>
      <c r="H3446" s="2143"/>
      <c r="I3446" s="2142">
        <v>1548632</v>
      </c>
    </row>
    <row r="3447" spans="1:9" s="2139" customFormat="1" hidden="1">
      <c r="A3447" s="2140" t="s">
        <v>5516</v>
      </c>
      <c r="B3447" s="2141" t="s">
        <v>3056</v>
      </c>
      <c r="C3447" s="2141" t="s">
        <v>3142</v>
      </c>
      <c r="D3447" s="2141">
        <v>283</v>
      </c>
      <c r="E3447" s="2142">
        <v>81.680000000000007</v>
      </c>
      <c r="F3447" s="2142">
        <v>19300</v>
      </c>
      <c r="G3447" s="2142">
        <v>1576424.0000000002</v>
      </c>
      <c r="H3447" s="2143"/>
      <c r="I3447" s="2142">
        <v>1576424</v>
      </c>
    </row>
    <row r="3448" spans="1:9" s="2139" customFormat="1" hidden="1">
      <c r="A3448" s="2140" t="s">
        <v>5517</v>
      </c>
      <c r="B3448" s="2141" t="s">
        <v>3056</v>
      </c>
      <c r="C3448" s="2141" t="s">
        <v>3142</v>
      </c>
      <c r="D3448" s="2141">
        <v>285</v>
      </c>
      <c r="E3448" s="2142">
        <v>23.46</v>
      </c>
      <c r="F3448" s="2142">
        <v>19500</v>
      </c>
      <c r="G3448" s="2142">
        <v>457470</v>
      </c>
      <c r="H3448" s="2143"/>
      <c r="I3448" s="2142">
        <v>0</v>
      </c>
    </row>
    <row r="3449" spans="1:9" s="2139" customFormat="1" hidden="1">
      <c r="A3449" s="2140" t="s">
        <v>5518</v>
      </c>
      <c r="B3449" s="2141" t="s">
        <v>3056</v>
      </c>
      <c r="C3449" s="2141" t="s">
        <v>3142</v>
      </c>
      <c r="D3449" s="2141">
        <v>286</v>
      </c>
      <c r="E3449" s="2142">
        <v>80.38</v>
      </c>
      <c r="F3449" s="2142">
        <v>19500</v>
      </c>
      <c r="G3449" s="2142">
        <v>1567410</v>
      </c>
      <c r="H3449" s="2143"/>
      <c r="I3449" s="2142">
        <v>1567410</v>
      </c>
    </row>
    <row r="3450" spans="1:9" s="2139" customFormat="1" hidden="1">
      <c r="A3450" s="2140" t="s">
        <v>5519</v>
      </c>
      <c r="B3450" s="2141" t="s">
        <v>3056</v>
      </c>
      <c r="C3450" s="2141" t="s">
        <v>3142</v>
      </c>
      <c r="D3450" s="2141">
        <v>287</v>
      </c>
      <c r="E3450" s="2142">
        <v>39.1</v>
      </c>
      <c r="F3450" s="2142">
        <v>14590</v>
      </c>
      <c r="G3450" s="2142">
        <v>570469</v>
      </c>
      <c r="H3450" s="2143"/>
      <c r="I3450" s="2142">
        <v>570469</v>
      </c>
    </row>
    <row r="3451" spans="1:9" s="2139" customFormat="1" hidden="1">
      <c r="A3451" s="2140" t="s">
        <v>5520</v>
      </c>
      <c r="B3451" s="2141" t="s">
        <v>3056</v>
      </c>
      <c r="C3451" s="2141" t="s">
        <v>3142</v>
      </c>
      <c r="D3451" s="2141">
        <v>288</v>
      </c>
      <c r="E3451" s="2142">
        <v>39.159999999999997</v>
      </c>
      <c r="F3451" s="2142">
        <v>14590</v>
      </c>
      <c r="G3451" s="2142">
        <v>571344.39999999991</v>
      </c>
      <c r="H3451" s="2143"/>
      <c r="I3451" s="2142">
        <v>571344</v>
      </c>
    </row>
    <row r="3452" spans="1:9" s="2139" customFormat="1" hidden="1">
      <c r="A3452" s="2140" t="s">
        <v>5521</v>
      </c>
      <c r="B3452" s="2141" t="s">
        <v>3056</v>
      </c>
      <c r="C3452" s="2141" t="s">
        <v>3142</v>
      </c>
      <c r="D3452" s="2141">
        <v>297</v>
      </c>
      <c r="E3452" s="2142">
        <v>39.159999999999997</v>
      </c>
      <c r="F3452" s="2142">
        <v>14590</v>
      </c>
      <c r="G3452" s="2142">
        <v>571344.39999999991</v>
      </c>
      <c r="H3452" s="2143"/>
      <c r="I3452" s="2142">
        <v>571344</v>
      </c>
    </row>
    <row r="3453" spans="1:9" s="2139" customFormat="1" hidden="1">
      <c r="A3453" s="2140" t="s">
        <v>5522</v>
      </c>
      <c r="B3453" s="2141" t="s">
        <v>3056</v>
      </c>
      <c r="C3453" s="2141" t="s">
        <v>3142</v>
      </c>
      <c r="D3453" s="2141">
        <v>298</v>
      </c>
      <c r="E3453" s="2142">
        <v>39.159999999999997</v>
      </c>
      <c r="F3453" s="2142">
        <v>14590</v>
      </c>
      <c r="G3453" s="2142">
        <v>571344.39999999991</v>
      </c>
      <c r="H3453" s="2143"/>
      <c r="I3453" s="2142">
        <v>571344</v>
      </c>
    </row>
    <row r="3454" spans="1:9" s="2139" customFormat="1" hidden="1">
      <c r="A3454" s="2140" t="s">
        <v>5523</v>
      </c>
      <c r="B3454" s="2141" t="s">
        <v>3056</v>
      </c>
      <c r="C3454" s="2141" t="s">
        <v>3142</v>
      </c>
      <c r="D3454" s="2141">
        <v>299</v>
      </c>
      <c r="E3454" s="2142">
        <v>41.77</v>
      </c>
      <c r="F3454" s="2142">
        <v>16300</v>
      </c>
      <c r="G3454" s="2142">
        <v>680851</v>
      </c>
      <c r="H3454" s="2143"/>
      <c r="I3454" s="2142">
        <v>680851</v>
      </c>
    </row>
    <row r="3455" spans="1:9" s="2139" customFormat="1" hidden="1">
      <c r="A3455" s="2140" t="s">
        <v>5524</v>
      </c>
      <c r="B3455" s="2141" t="s">
        <v>3056</v>
      </c>
      <c r="C3455" s="2141" t="s">
        <v>3142</v>
      </c>
      <c r="D3455" s="2141">
        <v>306</v>
      </c>
      <c r="E3455" s="2142">
        <v>39.159999999999997</v>
      </c>
      <c r="F3455" s="2142">
        <v>14590</v>
      </c>
      <c r="G3455" s="2142">
        <v>571344.39999999991</v>
      </c>
      <c r="H3455" s="2143"/>
      <c r="I3455" s="2142">
        <v>571344</v>
      </c>
    </row>
    <row r="3456" spans="1:9" s="2139" customFormat="1" hidden="1">
      <c r="A3456" s="2140" t="s">
        <v>5525</v>
      </c>
      <c r="B3456" s="2141" t="s">
        <v>3056</v>
      </c>
      <c r="C3456" s="2141" t="s">
        <v>3142</v>
      </c>
      <c r="D3456" s="2141">
        <v>307</v>
      </c>
      <c r="E3456" s="2142">
        <v>39.159999999999997</v>
      </c>
      <c r="F3456" s="2142">
        <v>14590</v>
      </c>
      <c r="G3456" s="2142">
        <v>571344.39999999991</v>
      </c>
      <c r="H3456" s="2143"/>
      <c r="I3456" s="2142">
        <v>571344</v>
      </c>
    </row>
    <row r="3457" spans="1:9" s="2139" customFormat="1" hidden="1">
      <c r="A3457" s="2140" t="s">
        <v>5526</v>
      </c>
      <c r="B3457" s="2141" t="s">
        <v>3056</v>
      </c>
      <c r="C3457" s="2141" t="s">
        <v>3142</v>
      </c>
      <c r="D3457" s="2141">
        <v>309</v>
      </c>
      <c r="E3457" s="2142">
        <v>69.91</v>
      </c>
      <c r="F3457" s="2142">
        <v>19500</v>
      </c>
      <c r="G3457" s="2142">
        <v>1363245</v>
      </c>
      <c r="H3457" s="2143"/>
      <c r="I3457" s="2142">
        <v>1363245</v>
      </c>
    </row>
    <row r="3458" spans="1:9" s="2139" customFormat="1" hidden="1">
      <c r="A3458" s="2140" t="s">
        <v>5889</v>
      </c>
      <c r="B3458" s="2141" t="s">
        <v>3057</v>
      </c>
      <c r="C3458" s="2141" t="s">
        <v>3142</v>
      </c>
      <c r="D3458" s="2141">
        <v>1</v>
      </c>
      <c r="E3458" s="2142">
        <v>74.77</v>
      </c>
      <c r="F3458" s="2142">
        <v>19790</v>
      </c>
      <c r="G3458" s="2142">
        <v>1479698.2999999998</v>
      </c>
      <c r="H3458" s="2143"/>
      <c r="I3458" s="2142">
        <v>1479698</v>
      </c>
    </row>
    <row r="3459" spans="1:9" s="2139" customFormat="1" hidden="1">
      <c r="A3459" s="2140" t="s">
        <v>5890</v>
      </c>
      <c r="B3459" s="2141" t="s">
        <v>3057</v>
      </c>
      <c r="C3459" s="2141" t="s">
        <v>3142</v>
      </c>
      <c r="D3459" s="2141">
        <v>2</v>
      </c>
      <c r="E3459" s="2142">
        <v>71.38</v>
      </c>
      <c r="F3459" s="2142">
        <v>19300</v>
      </c>
      <c r="G3459" s="2142">
        <v>1377634</v>
      </c>
      <c r="H3459" s="2143"/>
      <c r="I3459" s="2142">
        <v>1377634</v>
      </c>
    </row>
    <row r="3460" spans="1:9" s="2139" customFormat="1" hidden="1">
      <c r="A3460" s="2140" t="s">
        <v>5892</v>
      </c>
      <c r="B3460" s="2141" t="s">
        <v>3057</v>
      </c>
      <c r="C3460" s="2141" t="s">
        <v>3142</v>
      </c>
      <c r="D3460" s="2141">
        <v>7</v>
      </c>
      <c r="E3460" s="2142">
        <v>71.38</v>
      </c>
      <c r="F3460" s="2142">
        <v>19300</v>
      </c>
      <c r="G3460" s="2142">
        <v>1377634</v>
      </c>
      <c r="H3460" s="2143"/>
      <c r="I3460" s="2142">
        <v>1377634</v>
      </c>
    </row>
    <row r="3461" spans="1:9" s="2139" customFormat="1" hidden="1">
      <c r="A3461" s="2140" t="s">
        <v>5893</v>
      </c>
      <c r="B3461" s="2141" t="s">
        <v>3057</v>
      </c>
      <c r="C3461" s="2141" t="s">
        <v>3142</v>
      </c>
      <c r="D3461" s="2141">
        <v>8</v>
      </c>
      <c r="E3461" s="2142">
        <v>71.37</v>
      </c>
      <c r="F3461" s="2142">
        <v>19300</v>
      </c>
      <c r="G3461" s="2142">
        <v>1377441</v>
      </c>
      <c r="H3461" s="2143"/>
      <c r="I3461" s="2142">
        <v>1377441</v>
      </c>
    </row>
    <row r="3462" spans="1:9" s="2139" customFormat="1" hidden="1">
      <c r="A3462" s="2140" t="s">
        <v>5894</v>
      </c>
      <c r="B3462" s="2141" t="s">
        <v>3057</v>
      </c>
      <c r="C3462" s="2141" t="s">
        <v>3142</v>
      </c>
      <c r="D3462" s="2141">
        <v>9</v>
      </c>
      <c r="E3462" s="2142">
        <v>71.38</v>
      </c>
      <c r="F3462" s="2142">
        <v>19300</v>
      </c>
      <c r="G3462" s="2142">
        <v>1377634</v>
      </c>
      <c r="H3462" s="2143"/>
      <c r="I3462" s="2142">
        <v>1377634</v>
      </c>
    </row>
    <row r="3463" spans="1:9" s="2139" customFormat="1" hidden="1">
      <c r="A3463" s="2140" t="s">
        <v>5895</v>
      </c>
      <c r="B3463" s="2141" t="s">
        <v>3057</v>
      </c>
      <c r="C3463" s="2141" t="s">
        <v>3142</v>
      </c>
      <c r="D3463" s="2141">
        <v>10</v>
      </c>
      <c r="E3463" s="2142">
        <v>68.64</v>
      </c>
      <c r="F3463" s="2142">
        <v>19500</v>
      </c>
      <c r="G3463" s="2142">
        <v>1338480</v>
      </c>
      <c r="H3463" s="2143"/>
      <c r="I3463" s="2142">
        <v>1338480</v>
      </c>
    </row>
    <row r="3464" spans="1:9" s="2139" customFormat="1" hidden="1">
      <c r="A3464" s="2140" t="s">
        <v>5896</v>
      </c>
      <c r="B3464" s="2141" t="s">
        <v>3057</v>
      </c>
      <c r="C3464" s="2141" t="s">
        <v>3142</v>
      </c>
      <c r="D3464" s="2141">
        <v>11</v>
      </c>
      <c r="E3464" s="2142">
        <v>74.78</v>
      </c>
      <c r="F3464" s="2142">
        <v>19500</v>
      </c>
      <c r="G3464" s="2142">
        <v>1458210</v>
      </c>
      <c r="H3464" s="2143"/>
      <c r="I3464" s="2142">
        <v>1458210</v>
      </c>
    </row>
    <row r="3465" spans="1:9" s="2139" customFormat="1" hidden="1">
      <c r="A3465" s="2140" t="s">
        <v>5897</v>
      </c>
      <c r="B3465" s="2141" t="s">
        <v>3057</v>
      </c>
      <c r="C3465" s="2141" t="s">
        <v>3142</v>
      </c>
      <c r="D3465" s="2141">
        <v>12</v>
      </c>
      <c r="E3465" s="2142">
        <v>71.37</v>
      </c>
      <c r="F3465" s="2142">
        <v>19300</v>
      </c>
      <c r="G3465" s="2142">
        <v>1377441</v>
      </c>
      <c r="H3465" s="2143"/>
      <c r="I3465" s="2142">
        <v>1377441</v>
      </c>
    </row>
    <row r="3466" spans="1:9" s="2139" customFormat="1" hidden="1">
      <c r="A3466" s="2140" t="s">
        <v>5898</v>
      </c>
      <c r="B3466" s="2141" t="s">
        <v>3057</v>
      </c>
      <c r="C3466" s="2141" t="s">
        <v>3142</v>
      </c>
      <c r="D3466" s="2141">
        <v>13</v>
      </c>
      <c r="E3466" s="2142">
        <v>71.37</v>
      </c>
      <c r="F3466" s="2142">
        <v>19300</v>
      </c>
      <c r="G3466" s="2142">
        <v>1377441</v>
      </c>
      <c r="H3466" s="2143"/>
      <c r="I3466" s="2142">
        <v>1377441</v>
      </c>
    </row>
    <row r="3467" spans="1:9" s="2139" customFormat="1" hidden="1">
      <c r="A3467" s="2140" t="s">
        <v>5899</v>
      </c>
      <c r="B3467" s="2141" t="s">
        <v>3057</v>
      </c>
      <c r="C3467" s="2141" t="s">
        <v>3142</v>
      </c>
      <c r="D3467" s="2141">
        <v>15</v>
      </c>
      <c r="E3467" s="2142">
        <v>71.37</v>
      </c>
      <c r="F3467" s="2142">
        <v>19300</v>
      </c>
      <c r="G3467" s="2142">
        <v>1377441</v>
      </c>
      <c r="H3467" s="2143"/>
      <c r="I3467" s="2142">
        <v>1377441</v>
      </c>
    </row>
    <row r="3468" spans="1:9" s="2139" customFormat="1" hidden="1">
      <c r="A3468" s="2140" t="s">
        <v>5900</v>
      </c>
      <c r="B3468" s="2141" t="s">
        <v>3057</v>
      </c>
      <c r="C3468" s="2141" t="s">
        <v>3142</v>
      </c>
      <c r="D3468" s="2141">
        <v>16</v>
      </c>
      <c r="E3468" s="2142">
        <v>71.37</v>
      </c>
      <c r="F3468" s="2142">
        <v>19300</v>
      </c>
      <c r="G3468" s="2142">
        <v>1377441</v>
      </c>
      <c r="H3468" s="2143"/>
      <c r="I3468" s="2142">
        <v>1377441</v>
      </c>
    </row>
    <row r="3469" spans="1:9" s="2139" customFormat="1" hidden="1">
      <c r="A3469" s="2140" t="s">
        <v>5901</v>
      </c>
      <c r="B3469" s="2141" t="s">
        <v>3057</v>
      </c>
      <c r="C3469" s="2141" t="s">
        <v>3142</v>
      </c>
      <c r="D3469" s="2141">
        <v>31</v>
      </c>
      <c r="E3469" s="2142">
        <v>41.26</v>
      </c>
      <c r="F3469" s="2142">
        <v>14590</v>
      </c>
      <c r="G3469" s="2142">
        <v>601983.4</v>
      </c>
      <c r="H3469" s="2143"/>
      <c r="I3469" s="2142">
        <v>601983</v>
      </c>
    </row>
    <row r="3470" spans="1:9" s="2139" customFormat="1" hidden="1">
      <c r="A3470" s="2140" t="s">
        <v>5902</v>
      </c>
      <c r="B3470" s="2141" t="s">
        <v>3057</v>
      </c>
      <c r="C3470" s="2141" t="s">
        <v>3142</v>
      </c>
      <c r="D3470" s="2141">
        <v>32</v>
      </c>
      <c r="E3470" s="2142">
        <v>41.26</v>
      </c>
      <c r="F3470" s="2142">
        <v>14590</v>
      </c>
      <c r="G3470" s="2142">
        <v>601983.4</v>
      </c>
      <c r="H3470" s="2143"/>
      <c r="I3470" s="2142">
        <v>601983</v>
      </c>
    </row>
    <row r="3471" spans="1:9" s="2139" customFormat="1" hidden="1">
      <c r="A3471" s="2140" t="s">
        <v>5903</v>
      </c>
      <c r="B3471" s="2141" t="s">
        <v>3057</v>
      </c>
      <c r="C3471" s="2141" t="s">
        <v>3142</v>
      </c>
      <c r="D3471" s="2141">
        <v>35</v>
      </c>
      <c r="E3471" s="2142">
        <v>41.27</v>
      </c>
      <c r="F3471" s="2142">
        <v>14590</v>
      </c>
      <c r="G3471" s="2142">
        <v>602129.30000000005</v>
      </c>
      <c r="H3471" s="2143"/>
      <c r="I3471" s="2142">
        <v>602129</v>
      </c>
    </row>
    <row r="3472" spans="1:9" s="2139" customFormat="1" hidden="1">
      <c r="A3472" s="2140" t="s">
        <v>5904</v>
      </c>
      <c r="B3472" s="2141" t="s">
        <v>3057</v>
      </c>
      <c r="C3472" s="2141" t="s">
        <v>3142</v>
      </c>
      <c r="D3472" s="2141">
        <v>36</v>
      </c>
      <c r="E3472" s="2142">
        <v>41.27</v>
      </c>
      <c r="F3472" s="2142">
        <v>14590</v>
      </c>
      <c r="G3472" s="2142">
        <v>602129.30000000005</v>
      </c>
      <c r="H3472" s="2143"/>
      <c r="I3472" s="2142">
        <v>602129</v>
      </c>
    </row>
    <row r="3473" spans="1:9" s="2139" customFormat="1" hidden="1">
      <c r="A3473" s="2140" t="s">
        <v>5905</v>
      </c>
      <c r="B3473" s="2141" t="s">
        <v>3057</v>
      </c>
      <c r="C3473" s="2141" t="s">
        <v>3142</v>
      </c>
      <c r="D3473" s="2141">
        <v>37</v>
      </c>
      <c r="E3473" s="2142">
        <v>43.63</v>
      </c>
      <c r="F3473" s="2142">
        <v>16100</v>
      </c>
      <c r="G3473" s="2142">
        <v>702443</v>
      </c>
      <c r="H3473" s="2143"/>
      <c r="I3473" s="2142">
        <v>702443</v>
      </c>
    </row>
    <row r="3474" spans="1:9" s="2139" customFormat="1" hidden="1">
      <c r="A3474" s="2140" t="s">
        <v>5906</v>
      </c>
      <c r="B3474" s="2141" t="s">
        <v>3057</v>
      </c>
      <c r="C3474" s="2141" t="s">
        <v>3142</v>
      </c>
      <c r="D3474" s="2141">
        <v>38</v>
      </c>
      <c r="E3474" s="2142">
        <v>40.07</v>
      </c>
      <c r="F3474" s="2142">
        <v>16100</v>
      </c>
      <c r="G3474" s="2142">
        <v>645127</v>
      </c>
      <c r="H3474" s="2143"/>
      <c r="I3474" s="2142">
        <v>645127</v>
      </c>
    </row>
    <row r="3475" spans="1:9" s="2139" customFormat="1" hidden="1">
      <c r="A3475" s="2140" t="s">
        <v>5907</v>
      </c>
      <c r="B3475" s="2141" t="s">
        <v>3057</v>
      </c>
      <c r="C3475" s="2141" t="s">
        <v>3142</v>
      </c>
      <c r="D3475" s="2141">
        <v>39</v>
      </c>
      <c r="E3475" s="2142">
        <v>41.26</v>
      </c>
      <c r="F3475" s="2142">
        <v>14590</v>
      </c>
      <c r="G3475" s="2142">
        <v>601983.4</v>
      </c>
      <c r="H3475" s="2143"/>
      <c r="I3475" s="2142">
        <v>601983</v>
      </c>
    </row>
    <row r="3476" spans="1:9" s="2139" customFormat="1" hidden="1">
      <c r="A3476" s="2140" t="s">
        <v>5908</v>
      </c>
      <c r="B3476" s="2141" t="s">
        <v>3057</v>
      </c>
      <c r="C3476" s="2141" t="s">
        <v>3142</v>
      </c>
      <c r="D3476" s="2141">
        <v>40</v>
      </c>
      <c r="E3476" s="2142">
        <v>41.26</v>
      </c>
      <c r="F3476" s="2142">
        <v>14590</v>
      </c>
      <c r="G3476" s="2142">
        <v>601983.4</v>
      </c>
      <c r="H3476" s="2143"/>
      <c r="I3476" s="2142">
        <v>601983</v>
      </c>
    </row>
    <row r="3477" spans="1:9" s="2139" customFormat="1" hidden="1">
      <c r="A3477" s="2140" t="s">
        <v>5909</v>
      </c>
      <c r="B3477" s="2141" t="s">
        <v>3057</v>
      </c>
      <c r="C3477" s="2141" t="s">
        <v>3142</v>
      </c>
      <c r="D3477" s="2141">
        <v>41</v>
      </c>
      <c r="E3477" s="2142">
        <v>41.26</v>
      </c>
      <c r="F3477" s="2142">
        <v>14590</v>
      </c>
      <c r="G3477" s="2142">
        <v>601983.4</v>
      </c>
      <c r="H3477" s="2143"/>
      <c r="I3477" s="2142">
        <v>601983</v>
      </c>
    </row>
    <row r="3478" spans="1:9" s="2139" customFormat="1" hidden="1">
      <c r="A3478" s="2140" t="s">
        <v>5911</v>
      </c>
      <c r="B3478" s="2141" t="s">
        <v>3057</v>
      </c>
      <c r="C3478" s="2141" t="s">
        <v>3142</v>
      </c>
      <c r="D3478" s="2141">
        <v>46</v>
      </c>
      <c r="E3478" s="2142">
        <v>83.63</v>
      </c>
      <c r="F3478" s="2142">
        <v>19590</v>
      </c>
      <c r="G3478" s="2142">
        <v>1638311.7</v>
      </c>
      <c r="H3478" s="2143"/>
      <c r="I3478" s="2142">
        <v>1638312</v>
      </c>
    </row>
    <row r="3479" spans="1:9" s="2139" customFormat="1" hidden="1">
      <c r="A3479" s="2140" t="s">
        <v>5912</v>
      </c>
      <c r="B3479" s="2141" t="s">
        <v>3057</v>
      </c>
      <c r="C3479" s="2141" t="s">
        <v>3142</v>
      </c>
      <c r="D3479" s="2141">
        <v>47</v>
      </c>
      <c r="E3479" s="2142">
        <v>75.180000000000007</v>
      </c>
      <c r="F3479" s="2142">
        <v>19590</v>
      </c>
      <c r="G3479" s="2142">
        <v>1472776.2000000002</v>
      </c>
      <c r="H3479" s="2143"/>
      <c r="I3479" s="2142">
        <v>1472776</v>
      </c>
    </row>
    <row r="3480" spans="1:9" s="2139" customFormat="1" hidden="1">
      <c r="A3480" s="2140" t="s">
        <v>5913</v>
      </c>
      <c r="B3480" s="2141" t="s">
        <v>3057</v>
      </c>
      <c r="C3480" s="2141" t="s">
        <v>3142</v>
      </c>
      <c r="D3480" s="2141">
        <v>48</v>
      </c>
      <c r="E3480" s="2142">
        <v>70.959999999999994</v>
      </c>
      <c r="F3480" s="2142">
        <v>19300</v>
      </c>
      <c r="G3480" s="2142">
        <v>1369527.9999999998</v>
      </c>
      <c r="H3480" s="2143"/>
      <c r="I3480" s="2142">
        <v>1369528</v>
      </c>
    </row>
    <row r="3481" spans="1:9" s="2139" customFormat="1" hidden="1">
      <c r="A3481" s="2140" t="s">
        <v>5914</v>
      </c>
      <c r="B3481" s="2141" t="s">
        <v>3057</v>
      </c>
      <c r="C3481" s="2141" t="s">
        <v>3142</v>
      </c>
      <c r="D3481" s="2141">
        <v>49</v>
      </c>
      <c r="E3481" s="2142">
        <v>70.959999999999994</v>
      </c>
      <c r="F3481" s="2142">
        <v>19300</v>
      </c>
      <c r="G3481" s="2142">
        <v>1369527.9999999998</v>
      </c>
      <c r="H3481" s="2143"/>
      <c r="I3481" s="2142">
        <v>1369528</v>
      </c>
    </row>
    <row r="3482" spans="1:9" s="2139" customFormat="1" hidden="1">
      <c r="A3482" s="2140" t="s">
        <v>5915</v>
      </c>
      <c r="B3482" s="2141" t="s">
        <v>3057</v>
      </c>
      <c r="C3482" s="2141" t="s">
        <v>3142</v>
      </c>
      <c r="D3482" s="2141">
        <v>50</v>
      </c>
      <c r="E3482" s="2142">
        <v>70.959999999999994</v>
      </c>
      <c r="F3482" s="2142">
        <v>19300</v>
      </c>
      <c r="G3482" s="2142">
        <v>1369527.9999999998</v>
      </c>
      <c r="H3482" s="2143"/>
      <c r="I3482" s="2142">
        <v>1369528</v>
      </c>
    </row>
    <row r="3483" spans="1:9" s="2139" customFormat="1" hidden="1">
      <c r="A3483" s="2140" t="s">
        <v>5917</v>
      </c>
      <c r="B3483" s="2141" t="s">
        <v>3057</v>
      </c>
      <c r="C3483" s="2141" t="s">
        <v>3142</v>
      </c>
      <c r="D3483" s="2141">
        <v>52</v>
      </c>
      <c r="E3483" s="2142">
        <v>75.16</v>
      </c>
      <c r="F3483" s="2142">
        <v>19790</v>
      </c>
      <c r="G3483" s="2142">
        <v>1487416.4</v>
      </c>
      <c r="H3483" s="2143"/>
      <c r="I3483" s="2142">
        <v>1487416</v>
      </c>
    </row>
    <row r="3484" spans="1:9" s="2139" customFormat="1" hidden="1">
      <c r="A3484" s="2140" t="s">
        <v>5918</v>
      </c>
      <c r="B3484" s="2141" t="s">
        <v>3057</v>
      </c>
      <c r="C3484" s="2141" t="s">
        <v>3142</v>
      </c>
      <c r="D3484" s="2141">
        <v>53</v>
      </c>
      <c r="E3484" s="2142">
        <v>49.64</v>
      </c>
      <c r="F3484" s="2142">
        <v>18290</v>
      </c>
      <c r="G3484" s="2142">
        <v>907915.6</v>
      </c>
      <c r="H3484" s="2143"/>
      <c r="I3484" s="2142">
        <v>907916</v>
      </c>
    </row>
    <row r="3485" spans="1:9" s="2139" customFormat="1" hidden="1">
      <c r="A3485" s="2140" t="s">
        <v>5919</v>
      </c>
      <c r="B3485" s="2141" t="s">
        <v>3057</v>
      </c>
      <c r="C3485" s="2141" t="s">
        <v>3142</v>
      </c>
      <c r="D3485" s="2141">
        <v>55</v>
      </c>
      <c r="E3485" s="2142">
        <v>40.700000000000003</v>
      </c>
      <c r="F3485" s="2142">
        <v>14590</v>
      </c>
      <c r="G3485" s="2142">
        <v>593813</v>
      </c>
      <c r="H3485" s="2143"/>
      <c r="I3485" s="2142">
        <v>593813</v>
      </c>
    </row>
    <row r="3486" spans="1:9" s="2139" customFormat="1" hidden="1">
      <c r="A3486" s="2140" t="s">
        <v>5920</v>
      </c>
      <c r="B3486" s="2141" t="s">
        <v>3057</v>
      </c>
      <c r="C3486" s="2141" t="s">
        <v>3142</v>
      </c>
      <c r="D3486" s="2141">
        <v>57</v>
      </c>
      <c r="E3486" s="2142">
        <v>46.86</v>
      </c>
      <c r="F3486" s="2142">
        <v>14590</v>
      </c>
      <c r="G3486" s="2142">
        <v>683687.4</v>
      </c>
      <c r="H3486" s="2143"/>
      <c r="I3486" s="2142">
        <v>683687</v>
      </c>
    </row>
    <row r="3487" spans="1:9" s="2139" customFormat="1" hidden="1">
      <c r="A3487" s="2140" t="s">
        <v>5921</v>
      </c>
      <c r="B3487" s="2141" t="s">
        <v>3057</v>
      </c>
      <c r="C3487" s="2141" t="s">
        <v>3142</v>
      </c>
      <c r="D3487" s="2141">
        <v>58</v>
      </c>
      <c r="E3487" s="2142">
        <v>46.87</v>
      </c>
      <c r="F3487" s="2142">
        <v>14590</v>
      </c>
      <c r="G3487" s="2142">
        <v>683833.29999999993</v>
      </c>
      <c r="H3487" s="2143"/>
      <c r="I3487" s="2142">
        <v>683833</v>
      </c>
    </row>
    <row r="3488" spans="1:9" s="2139" customFormat="1" hidden="1">
      <c r="A3488" s="2140" t="s">
        <v>5922</v>
      </c>
      <c r="B3488" s="2141" t="s">
        <v>3057</v>
      </c>
      <c r="C3488" s="2141" t="s">
        <v>3142</v>
      </c>
      <c r="D3488" s="2141">
        <v>59</v>
      </c>
      <c r="E3488" s="2142">
        <v>50.23</v>
      </c>
      <c r="F3488" s="2142">
        <v>15100</v>
      </c>
      <c r="G3488" s="2142">
        <v>758473</v>
      </c>
      <c r="H3488" s="2143"/>
      <c r="I3488" s="2142">
        <v>758473</v>
      </c>
    </row>
    <row r="3489" spans="1:9" s="2139" customFormat="1" hidden="1">
      <c r="A3489" s="2140" t="s">
        <v>5923</v>
      </c>
      <c r="B3489" s="2141" t="s">
        <v>3057</v>
      </c>
      <c r="C3489" s="2141" t="s">
        <v>3142</v>
      </c>
      <c r="D3489" s="2141">
        <v>60</v>
      </c>
      <c r="E3489" s="2142">
        <v>23.9</v>
      </c>
      <c r="F3489" s="2142">
        <v>15100</v>
      </c>
      <c r="G3489" s="2142">
        <v>360890</v>
      </c>
      <c r="H3489" s="2143"/>
      <c r="I3489" s="2142">
        <v>360890</v>
      </c>
    </row>
    <row r="3490" spans="1:9" s="2139" customFormat="1" hidden="1">
      <c r="A3490" s="2140" t="s">
        <v>5924</v>
      </c>
      <c r="B3490" s="2141" t="s">
        <v>3057</v>
      </c>
      <c r="C3490" s="2141" t="s">
        <v>3142</v>
      </c>
      <c r="D3490" s="2141">
        <v>61</v>
      </c>
      <c r="E3490" s="2142">
        <v>22.01</v>
      </c>
      <c r="F3490" s="2142">
        <v>14590</v>
      </c>
      <c r="G3490" s="2142">
        <v>321125.90000000002</v>
      </c>
      <c r="H3490" s="2143"/>
      <c r="I3490" s="2142">
        <v>321126</v>
      </c>
    </row>
    <row r="3491" spans="1:9" s="2139" customFormat="1" hidden="1">
      <c r="A3491" s="2140" t="s">
        <v>5925</v>
      </c>
      <c r="B3491" s="2141" t="s">
        <v>3057</v>
      </c>
      <c r="C3491" s="2141" t="s">
        <v>3142</v>
      </c>
      <c r="D3491" s="2141">
        <v>62</v>
      </c>
      <c r="E3491" s="2142">
        <v>22.01</v>
      </c>
      <c r="F3491" s="2142">
        <v>14590</v>
      </c>
      <c r="G3491" s="2142">
        <v>321125.90000000002</v>
      </c>
      <c r="H3491" s="2143"/>
      <c r="I3491" s="2142">
        <v>321126</v>
      </c>
    </row>
    <row r="3492" spans="1:9" s="2139" customFormat="1" hidden="1">
      <c r="A3492" s="2140" t="s">
        <v>5927</v>
      </c>
      <c r="B3492" s="2141" t="s">
        <v>3057</v>
      </c>
      <c r="C3492" s="2141" t="s">
        <v>3142</v>
      </c>
      <c r="D3492" s="2141">
        <v>67</v>
      </c>
      <c r="E3492" s="2142">
        <v>32.07</v>
      </c>
      <c r="F3492" s="2142">
        <v>16100</v>
      </c>
      <c r="G3492" s="2142">
        <v>516327</v>
      </c>
      <c r="H3492" s="2143"/>
      <c r="I3492" s="2142">
        <v>516327</v>
      </c>
    </row>
    <row r="3493" spans="1:9" s="2139" customFormat="1" hidden="1">
      <c r="A3493" s="2140" t="s">
        <v>5937</v>
      </c>
      <c r="B3493" s="2141" t="s">
        <v>3057</v>
      </c>
      <c r="C3493" s="2141" t="s">
        <v>3142</v>
      </c>
      <c r="D3493" s="2141">
        <v>103</v>
      </c>
      <c r="E3493" s="2142">
        <v>40.08</v>
      </c>
      <c r="F3493" s="2142">
        <v>16100</v>
      </c>
      <c r="G3493" s="2142">
        <v>645288</v>
      </c>
      <c r="H3493" s="2143"/>
      <c r="I3493" s="2142">
        <v>645288</v>
      </c>
    </row>
    <row r="3494" spans="1:9" s="2139" customFormat="1" hidden="1">
      <c r="A3494" s="2140" t="s">
        <v>5938</v>
      </c>
      <c r="B3494" s="2141" t="s">
        <v>3057</v>
      </c>
      <c r="C3494" s="2141" t="s">
        <v>3142</v>
      </c>
      <c r="D3494" s="2141">
        <v>115</v>
      </c>
      <c r="E3494" s="2142">
        <v>40.08</v>
      </c>
      <c r="F3494" s="2142">
        <v>16100</v>
      </c>
      <c r="G3494" s="2142">
        <v>645288</v>
      </c>
      <c r="H3494" s="2143"/>
      <c r="I3494" s="2142">
        <v>645288</v>
      </c>
    </row>
    <row r="3495" spans="1:9" s="2139" customFormat="1" hidden="1">
      <c r="A3495" s="2140" t="s">
        <v>5939</v>
      </c>
      <c r="B3495" s="2141" t="s">
        <v>3057</v>
      </c>
      <c r="C3495" s="2141" t="s">
        <v>3142</v>
      </c>
      <c r="D3495" s="2141">
        <v>116</v>
      </c>
      <c r="E3495" s="2142">
        <v>43.6</v>
      </c>
      <c r="F3495" s="2142">
        <v>16100</v>
      </c>
      <c r="G3495" s="2142">
        <v>701960</v>
      </c>
      <c r="H3495" s="2143"/>
      <c r="I3495" s="2142">
        <v>701960</v>
      </c>
    </row>
    <row r="3496" spans="1:9" s="2139" customFormat="1" hidden="1">
      <c r="A3496" s="2140" t="s">
        <v>5940</v>
      </c>
      <c r="B3496" s="2141" t="s">
        <v>3057</v>
      </c>
      <c r="C3496" s="2141" t="s">
        <v>3142</v>
      </c>
      <c r="D3496" s="2141">
        <v>117</v>
      </c>
      <c r="E3496" s="2142">
        <v>41.25</v>
      </c>
      <c r="F3496" s="2142">
        <v>14590.01</v>
      </c>
      <c r="G3496" s="2142">
        <v>601837.91249999998</v>
      </c>
      <c r="H3496" s="2143"/>
      <c r="I3496" s="2142">
        <v>601838</v>
      </c>
    </row>
    <row r="3497" spans="1:9" s="2139" customFormat="1" hidden="1">
      <c r="A3497" s="2140" t="s">
        <v>5941</v>
      </c>
      <c r="B3497" s="2141" t="s">
        <v>3057</v>
      </c>
      <c r="C3497" s="2141" t="s">
        <v>3142</v>
      </c>
      <c r="D3497" s="2141">
        <v>128</v>
      </c>
      <c r="E3497" s="2142">
        <v>50.65</v>
      </c>
      <c r="F3497" s="2142">
        <v>18290</v>
      </c>
      <c r="G3497" s="2142">
        <v>926389</v>
      </c>
      <c r="H3497" s="2143"/>
      <c r="I3497" s="2142">
        <v>926206</v>
      </c>
    </row>
    <row r="3498" spans="1:9" s="2139" customFormat="1" hidden="1">
      <c r="A3498" s="2140" t="s">
        <v>5942</v>
      </c>
      <c r="B3498" s="2141" t="s">
        <v>3057</v>
      </c>
      <c r="C3498" s="2141" t="s">
        <v>3142</v>
      </c>
      <c r="D3498" s="2141">
        <v>129</v>
      </c>
      <c r="E3498" s="2142">
        <v>48.89</v>
      </c>
      <c r="F3498" s="2142">
        <v>17990</v>
      </c>
      <c r="G3498" s="2142">
        <v>879531.1</v>
      </c>
      <c r="H3498" s="2143"/>
      <c r="I3498" s="2142">
        <v>879531</v>
      </c>
    </row>
    <row r="3499" spans="1:9" s="2139" customFormat="1" hidden="1">
      <c r="A3499" s="2140" t="s">
        <v>5943</v>
      </c>
      <c r="B3499" s="2141" t="s">
        <v>3057</v>
      </c>
      <c r="C3499" s="2141" t="s">
        <v>3142</v>
      </c>
      <c r="D3499" s="2141">
        <v>130</v>
      </c>
      <c r="E3499" s="2142">
        <v>25.61</v>
      </c>
      <c r="F3499" s="2142">
        <v>17990</v>
      </c>
      <c r="G3499" s="2142">
        <v>460723.89999999997</v>
      </c>
      <c r="H3499" s="2143"/>
      <c r="I3499" s="2142">
        <v>460724</v>
      </c>
    </row>
    <row r="3500" spans="1:9" s="2139" customFormat="1" hidden="1">
      <c r="A3500" s="2140" t="s">
        <v>5944</v>
      </c>
      <c r="B3500" s="2141" t="s">
        <v>3057</v>
      </c>
      <c r="C3500" s="2141" t="s">
        <v>3142</v>
      </c>
      <c r="D3500" s="2141">
        <v>131</v>
      </c>
      <c r="E3500" s="2142">
        <v>42.35</v>
      </c>
      <c r="F3500" s="2142">
        <v>17990.0118</v>
      </c>
      <c r="G3500" s="2142">
        <v>761876.99973000004</v>
      </c>
      <c r="H3500" s="2143"/>
      <c r="I3500" s="2142">
        <v>761877</v>
      </c>
    </row>
    <row r="3501" spans="1:9" s="2139" customFormat="1" hidden="1">
      <c r="A3501" s="2140" t="s">
        <v>5945</v>
      </c>
      <c r="B3501" s="2141" t="s">
        <v>3057</v>
      </c>
      <c r="C3501" s="2141" t="s">
        <v>3142</v>
      </c>
      <c r="D3501" s="2141">
        <v>132</v>
      </c>
      <c r="E3501" s="2142">
        <v>32.26</v>
      </c>
      <c r="F3501" s="2142">
        <v>17990</v>
      </c>
      <c r="G3501" s="2142">
        <v>580357.39999999991</v>
      </c>
      <c r="H3501" s="2143"/>
      <c r="I3501" s="2142">
        <v>580357</v>
      </c>
    </row>
    <row r="3502" spans="1:9" s="2139" customFormat="1" hidden="1">
      <c r="A3502" s="2140" t="s">
        <v>5946</v>
      </c>
      <c r="B3502" s="2141" t="s">
        <v>3057</v>
      </c>
      <c r="C3502" s="2141" t="s">
        <v>3142</v>
      </c>
      <c r="D3502" s="2141">
        <v>133</v>
      </c>
      <c r="E3502" s="2142">
        <v>50.99</v>
      </c>
      <c r="F3502" s="2142">
        <v>17990</v>
      </c>
      <c r="G3502" s="2142">
        <v>917310.10000000009</v>
      </c>
      <c r="H3502" s="2143"/>
      <c r="I3502" s="2142">
        <v>917310</v>
      </c>
    </row>
    <row r="3503" spans="1:9" s="2139" customFormat="1" hidden="1">
      <c r="A3503" s="2140" t="s">
        <v>5947</v>
      </c>
      <c r="B3503" s="2141" t="s">
        <v>3057</v>
      </c>
      <c r="C3503" s="2141" t="s">
        <v>3142</v>
      </c>
      <c r="D3503" s="2141">
        <v>135</v>
      </c>
      <c r="E3503" s="2142">
        <v>47.86</v>
      </c>
      <c r="F3503" s="2142">
        <v>17990</v>
      </c>
      <c r="G3503" s="2142">
        <v>861001.4</v>
      </c>
      <c r="H3503" s="2143"/>
      <c r="I3503" s="2142">
        <v>861001</v>
      </c>
    </row>
    <row r="3504" spans="1:9" s="2139" customFormat="1" hidden="1">
      <c r="A3504" s="2140" t="s">
        <v>6943</v>
      </c>
      <c r="B3504" s="2141">
        <v>12</v>
      </c>
      <c r="C3504" s="2141" t="s">
        <v>3151</v>
      </c>
      <c r="D3504" s="2141">
        <v>123</v>
      </c>
      <c r="E3504" s="2142">
        <v>92.42</v>
      </c>
      <c r="F3504" s="2142">
        <v>11760</v>
      </c>
      <c r="G3504" s="2142">
        <v>1086859.2</v>
      </c>
      <c r="H3504" s="2143">
        <v>42184</v>
      </c>
      <c r="I3504" s="2142">
        <v>1085330</v>
      </c>
    </row>
    <row r="3505" spans="1:9" s="2139" customFormat="1" hidden="1">
      <c r="A3505" s="2140" t="s">
        <v>6928</v>
      </c>
      <c r="B3505" s="2141">
        <v>12</v>
      </c>
      <c r="C3505" s="2141" t="s">
        <v>3151</v>
      </c>
      <c r="D3505" s="2141">
        <v>103</v>
      </c>
      <c r="E3505" s="2142">
        <v>34.71</v>
      </c>
      <c r="F3505" s="2142" t="s">
        <v>6929</v>
      </c>
      <c r="G3505" s="2142">
        <v>378267.84450000001</v>
      </c>
      <c r="H3505" s="2143">
        <v>42183</v>
      </c>
      <c r="I3505" s="2142">
        <v>377723</v>
      </c>
    </row>
    <row r="3506" spans="1:9" s="2139" customFormat="1" hidden="1">
      <c r="A3506" s="2140" t="s">
        <v>6925</v>
      </c>
      <c r="B3506" s="2141">
        <v>12</v>
      </c>
      <c r="C3506" s="2141" t="s">
        <v>3151</v>
      </c>
      <c r="D3506" s="2141">
        <v>99</v>
      </c>
      <c r="E3506" s="2142">
        <v>84.95</v>
      </c>
      <c r="F3506" s="2142">
        <v>12413.83</v>
      </c>
      <c r="G3506" s="2142">
        <v>1054554.8585000001</v>
      </c>
      <c r="H3506" s="2143">
        <v>42180</v>
      </c>
      <c r="I3506" s="2142">
        <v>533065</v>
      </c>
    </row>
    <row r="3507" spans="1:9" s="2139" customFormat="1" hidden="1">
      <c r="A3507" s="2140" t="s">
        <v>7037</v>
      </c>
      <c r="B3507" s="2141">
        <v>12</v>
      </c>
      <c r="C3507" s="2141" t="s">
        <v>3151</v>
      </c>
      <c r="D3507" s="2141">
        <v>227</v>
      </c>
      <c r="E3507" s="2142">
        <v>36.53</v>
      </c>
      <c r="F3507" s="2142">
        <v>12600</v>
      </c>
      <c r="G3507" s="2142">
        <v>460278</v>
      </c>
      <c r="H3507" s="2143">
        <v>42178</v>
      </c>
      <c r="I3507" s="2142">
        <v>459648</v>
      </c>
    </row>
    <row r="3508" spans="1:9" s="2139" customFormat="1" hidden="1">
      <c r="A3508" s="2140" t="s">
        <v>7026</v>
      </c>
      <c r="B3508" s="2141">
        <v>12</v>
      </c>
      <c r="C3508" s="2141" t="s">
        <v>3151</v>
      </c>
      <c r="D3508" s="2141">
        <v>217</v>
      </c>
      <c r="E3508" s="2142">
        <v>9.5299999999999994</v>
      </c>
      <c r="F3508" s="2142">
        <v>15122.37</v>
      </c>
      <c r="G3508" s="2142">
        <v>144116.18609999999</v>
      </c>
      <c r="H3508" s="2143">
        <v>42177</v>
      </c>
      <c r="I3508" s="2142">
        <v>143965</v>
      </c>
    </row>
    <row r="3509" spans="1:9" s="2139" customFormat="1" hidden="1">
      <c r="A3509" s="2140" t="s">
        <v>6901</v>
      </c>
      <c r="B3509" s="2141">
        <v>12</v>
      </c>
      <c r="C3509" s="2141" t="s">
        <v>3151</v>
      </c>
      <c r="D3509" s="2141">
        <v>26</v>
      </c>
      <c r="E3509" s="2142">
        <v>119.45</v>
      </c>
      <c r="F3509" s="2142">
        <v>13650</v>
      </c>
      <c r="G3509" s="2142">
        <v>1630493</v>
      </c>
      <c r="H3509" s="2143">
        <v>42165</v>
      </c>
      <c r="I3509" s="2142">
        <v>1628172</v>
      </c>
    </row>
    <row r="3510" spans="1:9" s="2139" customFormat="1" hidden="1">
      <c r="A3510" s="2140" t="s">
        <v>7054</v>
      </c>
      <c r="B3510" s="2141">
        <v>12</v>
      </c>
      <c r="C3510" s="2141" t="s">
        <v>3151</v>
      </c>
      <c r="D3510" s="2141">
        <v>246</v>
      </c>
      <c r="E3510" s="2142">
        <v>75.42</v>
      </c>
      <c r="F3510" s="2142">
        <v>13965</v>
      </c>
      <c r="G3510" s="2142">
        <v>1053240.3</v>
      </c>
      <c r="H3510" s="2143">
        <v>42161</v>
      </c>
      <c r="I3510" s="2142">
        <v>1051844</v>
      </c>
    </row>
    <row r="3511" spans="1:9" s="2139" customFormat="1" hidden="1">
      <c r="A3511" s="2140" t="s">
        <v>5622</v>
      </c>
      <c r="B3511" s="2141" t="s">
        <v>3056</v>
      </c>
      <c r="C3511" s="2141" t="s">
        <v>3151</v>
      </c>
      <c r="D3511" s="2141">
        <v>161</v>
      </c>
      <c r="E3511" s="2142">
        <v>123.6</v>
      </c>
      <c r="F3511" s="2142">
        <v>18713</v>
      </c>
      <c r="G3511" s="2142">
        <v>2312926.7999999998</v>
      </c>
      <c r="H3511" s="2143">
        <v>42160</v>
      </c>
      <c r="I3511" s="2142">
        <v>1162927</v>
      </c>
    </row>
    <row r="3512" spans="1:9" s="2139" customFormat="1" hidden="1">
      <c r="A3512" s="2140" t="s">
        <v>6975</v>
      </c>
      <c r="B3512" s="2141">
        <v>12</v>
      </c>
      <c r="C3512" s="2141" t="s">
        <v>3151</v>
      </c>
      <c r="D3512" s="2141">
        <v>152</v>
      </c>
      <c r="E3512" s="2142">
        <v>58.86</v>
      </c>
      <c r="F3512" s="2142">
        <v>11235</v>
      </c>
      <c r="G3512" s="2142">
        <v>661292.1</v>
      </c>
      <c r="H3512" s="2143">
        <v>42157</v>
      </c>
      <c r="I3512" s="2142">
        <v>660281</v>
      </c>
    </row>
    <row r="3513" spans="1:9" s="2139" customFormat="1" hidden="1">
      <c r="A3513" s="2140" t="s">
        <v>6942</v>
      </c>
      <c r="B3513" s="2141">
        <v>12</v>
      </c>
      <c r="C3513" s="2141" t="s">
        <v>3151</v>
      </c>
      <c r="D3513" s="2141">
        <v>122</v>
      </c>
      <c r="E3513" s="2142">
        <v>81.5</v>
      </c>
      <c r="F3513" s="2142">
        <v>12600</v>
      </c>
      <c r="G3513" s="2142">
        <v>1026900</v>
      </c>
      <c r="H3513" s="2143">
        <v>42155</v>
      </c>
      <c r="I3513" s="2142">
        <v>1025514</v>
      </c>
    </row>
    <row r="3514" spans="1:9" s="2139" customFormat="1" hidden="1">
      <c r="A3514" s="2140" t="s">
        <v>6991</v>
      </c>
      <c r="B3514" s="2141">
        <v>12</v>
      </c>
      <c r="C3514" s="2141" t="s">
        <v>3151</v>
      </c>
      <c r="D3514" s="2141">
        <v>173</v>
      </c>
      <c r="E3514" s="2142">
        <v>62.5</v>
      </c>
      <c r="F3514" s="2142" t="s">
        <v>6992</v>
      </c>
      <c r="G3514" s="2142">
        <v>998750</v>
      </c>
      <c r="H3514" s="2143">
        <v>42154</v>
      </c>
      <c r="I3514" s="2142">
        <v>997472</v>
      </c>
    </row>
    <row r="3515" spans="1:9" s="2139" customFormat="1" hidden="1">
      <c r="A3515" s="2140" t="s">
        <v>6910</v>
      </c>
      <c r="B3515" s="2141">
        <v>12</v>
      </c>
      <c r="C3515" s="2141" t="s">
        <v>3151</v>
      </c>
      <c r="D3515" s="2141">
        <v>66</v>
      </c>
      <c r="E3515" s="2142">
        <v>98.15</v>
      </c>
      <c r="F3515" s="2142">
        <v>12915</v>
      </c>
      <c r="G3515" s="2142">
        <v>1267607.25</v>
      </c>
      <c r="H3515" s="2143">
        <v>42152</v>
      </c>
      <c r="I3515" s="2142">
        <v>1265799</v>
      </c>
    </row>
    <row r="3516" spans="1:9" s="2139" customFormat="1" hidden="1">
      <c r="A3516" s="2140" t="s">
        <v>6712</v>
      </c>
      <c r="B3516" s="2141">
        <v>11</v>
      </c>
      <c r="C3516" s="2141" t="s">
        <v>3151</v>
      </c>
      <c r="D3516" s="2141">
        <v>166</v>
      </c>
      <c r="E3516" s="2142">
        <v>46.64</v>
      </c>
      <c r="F3516" s="2142">
        <v>11330</v>
      </c>
      <c r="G3516" s="2142">
        <v>528431.19999999995</v>
      </c>
      <c r="H3516" s="2143">
        <v>42150</v>
      </c>
      <c r="I3516" s="2142">
        <v>268884</v>
      </c>
    </row>
    <row r="3517" spans="1:9" s="2139" customFormat="1" hidden="1">
      <c r="A3517" s="2140" t="s">
        <v>6717</v>
      </c>
      <c r="B3517" s="2141">
        <v>11</v>
      </c>
      <c r="C3517" s="2141" t="s">
        <v>3151</v>
      </c>
      <c r="D3517" s="2141">
        <v>195</v>
      </c>
      <c r="E3517" s="2142">
        <v>81.5</v>
      </c>
      <c r="F3517" s="2142">
        <v>14729</v>
      </c>
      <c r="G3517" s="2142">
        <v>1200414</v>
      </c>
      <c r="H3517" s="2143">
        <v>42150</v>
      </c>
      <c r="I3517" s="2142">
        <v>601445</v>
      </c>
    </row>
    <row r="3518" spans="1:9" s="2139" customFormat="1" hidden="1">
      <c r="A3518" s="2140" t="s">
        <v>6911</v>
      </c>
      <c r="B3518" s="2141">
        <v>12</v>
      </c>
      <c r="C3518" s="2141" t="s">
        <v>3151</v>
      </c>
      <c r="D3518" s="2141">
        <v>67</v>
      </c>
      <c r="E3518" s="2142">
        <v>74.489999999999995</v>
      </c>
      <c r="F3518" s="2142">
        <v>13440</v>
      </c>
      <c r="G3518" s="2142">
        <v>1001145.6</v>
      </c>
      <c r="H3518" s="2143">
        <v>42150</v>
      </c>
      <c r="I3518" s="2142">
        <v>509667</v>
      </c>
    </row>
    <row r="3519" spans="1:9" s="2139" customFormat="1" hidden="1">
      <c r="A3519" s="2140" t="s">
        <v>6912</v>
      </c>
      <c r="B3519" s="2141">
        <v>12</v>
      </c>
      <c r="C3519" s="2141" t="s">
        <v>3151</v>
      </c>
      <c r="D3519" s="2141">
        <v>68</v>
      </c>
      <c r="E3519" s="2142">
        <v>77.73</v>
      </c>
      <c r="F3519" s="2142">
        <v>13440</v>
      </c>
      <c r="G3519" s="2142">
        <v>1044691.2000000001</v>
      </c>
      <c r="H3519" s="2143">
        <v>42150</v>
      </c>
      <c r="I3519" s="2142">
        <v>523213</v>
      </c>
    </row>
    <row r="3520" spans="1:9" s="2139" customFormat="1" hidden="1">
      <c r="A3520" s="2140" t="s">
        <v>6955</v>
      </c>
      <c r="B3520" s="2141">
        <v>12</v>
      </c>
      <c r="C3520" s="2141" t="s">
        <v>3151</v>
      </c>
      <c r="D3520" s="2141">
        <v>135</v>
      </c>
      <c r="E3520" s="2142">
        <v>61.04</v>
      </c>
      <c r="F3520" s="2142">
        <v>16065</v>
      </c>
      <c r="G3520" s="2142">
        <v>980607.6</v>
      </c>
      <c r="H3520" s="2143">
        <v>42150</v>
      </c>
      <c r="I3520" s="2142">
        <v>986070</v>
      </c>
    </row>
    <row r="3521" spans="1:9" s="2139" customFormat="1" hidden="1">
      <c r="A3521" s="2140" t="s">
        <v>7020</v>
      </c>
      <c r="B3521" s="2141">
        <v>12</v>
      </c>
      <c r="C3521" s="2141" t="s">
        <v>3151</v>
      </c>
      <c r="D3521" s="2141">
        <v>209</v>
      </c>
      <c r="E3521" s="2142">
        <v>36.06</v>
      </c>
      <c r="F3521" s="2142">
        <v>13940</v>
      </c>
      <c r="G3521" s="2142">
        <v>502676.4</v>
      </c>
      <c r="H3521" s="2143">
        <v>42150</v>
      </c>
      <c r="I3521" s="2142">
        <v>500725</v>
      </c>
    </row>
    <row r="3522" spans="1:9" s="2139" customFormat="1" hidden="1">
      <c r="A3522" s="2140" t="s">
        <v>7015</v>
      </c>
      <c r="B3522" s="2141">
        <v>12</v>
      </c>
      <c r="C3522" s="2141" t="s">
        <v>3151</v>
      </c>
      <c r="D3522" s="2141">
        <v>203</v>
      </c>
      <c r="E3522" s="2142">
        <v>78.040000000000006</v>
      </c>
      <c r="F3522" s="2142">
        <v>16065</v>
      </c>
      <c r="G3522" s="2142">
        <v>1253712.6000000001</v>
      </c>
      <c r="H3522" s="2143">
        <v>42147</v>
      </c>
      <c r="I3522" s="2142">
        <v>1251945</v>
      </c>
    </row>
    <row r="3523" spans="1:9" s="2139" customFormat="1" hidden="1">
      <c r="A3523" s="2140" t="s">
        <v>7016</v>
      </c>
      <c r="B3523" s="2141">
        <v>12</v>
      </c>
      <c r="C3523" s="2141" t="s">
        <v>3151</v>
      </c>
      <c r="D3523" s="2141">
        <v>205</v>
      </c>
      <c r="E3523" s="2142">
        <v>78.040000000000006</v>
      </c>
      <c r="F3523" s="2142">
        <v>16065</v>
      </c>
      <c r="G3523" s="2142">
        <v>1253712.6000000001</v>
      </c>
      <c r="H3523" s="2143">
        <v>42147</v>
      </c>
      <c r="I3523" s="2142">
        <v>1251945</v>
      </c>
    </row>
    <row r="3524" spans="1:9" s="2139" customFormat="1" hidden="1">
      <c r="A3524" s="2140" t="s">
        <v>6990</v>
      </c>
      <c r="B3524" s="2141">
        <v>12</v>
      </c>
      <c r="C3524" s="2141" t="s">
        <v>3151</v>
      </c>
      <c r="D3524" s="2141">
        <v>172</v>
      </c>
      <c r="E3524" s="2142">
        <v>61.75</v>
      </c>
      <c r="F3524" s="2142">
        <v>13440</v>
      </c>
      <c r="G3524" s="2142">
        <v>829920</v>
      </c>
      <c r="H3524" s="2143">
        <v>42146</v>
      </c>
      <c r="I3524" s="2142">
        <v>828710</v>
      </c>
    </row>
    <row r="3525" spans="1:9" s="2139" customFormat="1" hidden="1">
      <c r="A3525" s="2140" t="s">
        <v>7033</v>
      </c>
      <c r="B3525" s="2141">
        <v>12</v>
      </c>
      <c r="C3525" s="2141" t="s">
        <v>3151</v>
      </c>
      <c r="D3525" s="2141">
        <v>225</v>
      </c>
      <c r="E3525" s="2142">
        <v>45.22</v>
      </c>
      <c r="F3525" s="2142" t="s">
        <v>7034</v>
      </c>
      <c r="G3525" s="2142">
        <v>774189.46219999995</v>
      </c>
      <c r="H3525" s="2143">
        <v>42146</v>
      </c>
      <c r="I3525" s="2142">
        <v>772991</v>
      </c>
    </row>
    <row r="3526" spans="1:9" s="2139" customFormat="1" hidden="1">
      <c r="A3526" s="2140" t="s">
        <v>6915</v>
      </c>
      <c r="B3526" s="2141">
        <v>12</v>
      </c>
      <c r="C3526" s="2141" t="s">
        <v>3151</v>
      </c>
      <c r="D3526" s="2141">
        <v>77</v>
      </c>
      <c r="E3526" s="2142">
        <v>94.17</v>
      </c>
      <c r="F3526" s="2142">
        <v>12915</v>
      </c>
      <c r="G3526" s="2142">
        <v>1216205.55</v>
      </c>
      <c r="H3526" s="2143">
        <v>42145</v>
      </c>
      <c r="I3526" s="2142">
        <v>374527</v>
      </c>
    </row>
    <row r="3527" spans="1:9" s="2139" customFormat="1" hidden="1">
      <c r="A3527" s="2140" t="s">
        <v>6916</v>
      </c>
      <c r="B3527" s="2141">
        <v>12</v>
      </c>
      <c r="C3527" s="2141" t="s">
        <v>3151</v>
      </c>
      <c r="D3527" s="2141">
        <v>78</v>
      </c>
      <c r="E3527" s="2142">
        <v>119.1</v>
      </c>
      <c r="F3527" s="2142">
        <v>14280</v>
      </c>
      <c r="G3527" s="2142">
        <v>1700748</v>
      </c>
      <c r="H3527" s="2143">
        <v>42145</v>
      </c>
      <c r="I3527" s="2142">
        <v>528320</v>
      </c>
    </row>
    <row r="3528" spans="1:9" s="2139" customFormat="1" hidden="1">
      <c r="A3528" s="2140" t="s">
        <v>6945</v>
      </c>
      <c r="B3528" s="2141">
        <v>12</v>
      </c>
      <c r="C3528" s="2141" t="s">
        <v>3151</v>
      </c>
      <c r="D3528" s="2141">
        <v>126</v>
      </c>
      <c r="E3528" s="2142">
        <v>82.54</v>
      </c>
      <c r="F3528" s="2142">
        <v>18955</v>
      </c>
      <c r="G3528" s="2142">
        <v>1564545.7000000002</v>
      </c>
      <c r="H3528" s="2143">
        <v>42145</v>
      </c>
      <c r="I3528" s="2142">
        <v>352599</v>
      </c>
    </row>
    <row r="3529" spans="1:9" s="2139" customFormat="1" hidden="1">
      <c r="A3529" s="2140" t="s">
        <v>6974</v>
      </c>
      <c r="B3529" s="2141">
        <v>12</v>
      </c>
      <c r="C3529" s="2141" t="s">
        <v>3151</v>
      </c>
      <c r="D3529" s="2141">
        <v>151</v>
      </c>
      <c r="E3529" s="2142">
        <v>58.86</v>
      </c>
      <c r="F3529" s="2142" t="s">
        <v>6973</v>
      </c>
      <c r="G3529" s="2142">
        <v>641453.92559999996</v>
      </c>
      <c r="H3529" s="2143">
        <v>42145</v>
      </c>
      <c r="I3529" s="2142">
        <v>640473</v>
      </c>
    </row>
    <row r="3530" spans="1:9" s="2139" customFormat="1" hidden="1">
      <c r="A3530" s="2140" t="s">
        <v>7017</v>
      </c>
      <c r="B3530" s="2141">
        <v>12</v>
      </c>
      <c r="C3530" s="2141" t="s">
        <v>3151</v>
      </c>
      <c r="D3530" s="2141">
        <v>206</v>
      </c>
      <c r="E3530" s="2142">
        <v>80.69</v>
      </c>
      <c r="F3530" s="2142">
        <v>12600</v>
      </c>
      <c r="G3530" s="2142">
        <v>1016694</v>
      </c>
      <c r="H3530" s="2143">
        <v>42144</v>
      </c>
      <c r="I3530" s="2142">
        <v>515308</v>
      </c>
    </row>
    <row r="3531" spans="1:9" s="2139" customFormat="1" hidden="1">
      <c r="A3531" s="2140" t="s">
        <v>7023</v>
      </c>
      <c r="B3531" s="2141">
        <v>12</v>
      </c>
      <c r="C3531" s="2141" t="s">
        <v>3151</v>
      </c>
      <c r="D3531" s="2141">
        <v>213</v>
      </c>
      <c r="E3531" s="2142">
        <v>78.040000000000006</v>
      </c>
      <c r="F3531" s="2142" t="s">
        <v>7024</v>
      </c>
      <c r="G3531" s="2142">
        <v>1379122.8800000001</v>
      </c>
      <c r="H3531" s="2143">
        <v>42143</v>
      </c>
      <c r="I3531" s="2142">
        <v>307179</v>
      </c>
    </row>
    <row r="3532" spans="1:9" hidden="1">
      <c r="A3532" s="3395" t="s">
        <v>5021</v>
      </c>
      <c r="B3532" s="3396" t="s">
        <v>3055</v>
      </c>
      <c r="C3532" s="3396" t="s">
        <v>3151</v>
      </c>
      <c r="D3532" s="3396">
        <v>221</v>
      </c>
      <c r="E3532" s="3397">
        <v>73.86</v>
      </c>
      <c r="F3532" s="3397">
        <v>18200</v>
      </c>
      <c r="G3532" s="3397">
        <v>1344252</v>
      </c>
      <c r="H3532" s="3557">
        <v>42139</v>
      </c>
      <c r="I3532" s="3397">
        <v>268850</v>
      </c>
    </row>
    <row r="3533" spans="1:9" s="2139" customFormat="1" hidden="1">
      <c r="A3533" s="2140" t="s">
        <v>6900</v>
      </c>
      <c r="B3533" s="2141">
        <v>12</v>
      </c>
      <c r="C3533" s="2141" t="s">
        <v>3151</v>
      </c>
      <c r="D3533" s="2141">
        <v>21</v>
      </c>
      <c r="E3533" s="2142">
        <v>89.81</v>
      </c>
      <c r="F3533" s="2142">
        <v>13650</v>
      </c>
      <c r="G3533" s="2142">
        <v>1225907</v>
      </c>
      <c r="H3533" s="2143">
        <v>42138</v>
      </c>
      <c r="I3533" s="2142">
        <v>1224132</v>
      </c>
    </row>
    <row r="3534" spans="1:9" s="2139" customFormat="1" hidden="1">
      <c r="A3534" s="2140" t="s">
        <v>6906</v>
      </c>
      <c r="B3534" s="2141">
        <v>12</v>
      </c>
      <c r="C3534" s="2141" t="s">
        <v>3151</v>
      </c>
      <c r="D3534" s="2141">
        <v>59</v>
      </c>
      <c r="E3534" s="2142">
        <v>82.48</v>
      </c>
      <c r="F3534" s="2142">
        <v>12915</v>
      </c>
      <c r="G3534" s="2142">
        <v>1065229.2</v>
      </c>
      <c r="H3534" s="2143">
        <v>42138</v>
      </c>
      <c r="I3534" s="2142">
        <v>378882</v>
      </c>
    </row>
    <row r="3535" spans="1:9" s="2139" customFormat="1" hidden="1">
      <c r="A3535" s="2140" t="s">
        <v>6707</v>
      </c>
      <c r="B3535" s="2141">
        <v>11</v>
      </c>
      <c r="C3535" s="2141" t="s">
        <v>3151</v>
      </c>
      <c r="D3535" s="2141">
        <v>156</v>
      </c>
      <c r="E3535" s="2142">
        <v>46.64</v>
      </c>
      <c r="F3535" s="2142">
        <v>11330</v>
      </c>
      <c r="G3535" s="2142">
        <v>528431.19999999995</v>
      </c>
      <c r="H3535" s="2143">
        <v>42130</v>
      </c>
      <c r="I3535" s="2142">
        <v>528884</v>
      </c>
    </row>
    <row r="3536" spans="1:9" s="2139" customFormat="1" hidden="1">
      <c r="A3536" s="2140" t="s">
        <v>6719</v>
      </c>
      <c r="B3536" s="2141">
        <v>11</v>
      </c>
      <c r="C3536" s="2141" t="s">
        <v>3151</v>
      </c>
      <c r="D3536" s="2141">
        <v>207</v>
      </c>
      <c r="E3536" s="2142">
        <v>81.5</v>
      </c>
      <c r="F3536" s="2142">
        <v>14729</v>
      </c>
      <c r="G3536" s="2142">
        <v>1200414</v>
      </c>
      <c r="H3536" s="2143">
        <v>42130</v>
      </c>
      <c r="I3536" s="2142">
        <v>1201445</v>
      </c>
    </row>
    <row r="3537" spans="1:9" s="2139" customFormat="1" hidden="1">
      <c r="A3537" s="2140" t="s">
        <v>6087</v>
      </c>
      <c r="B3537" s="2141" t="s">
        <v>3057</v>
      </c>
      <c r="C3537" s="2141" t="s">
        <v>3151</v>
      </c>
      <c r="D3537" s="2141">
        <v>358</v>
      </c>
      <c r="E3537" s="2142">
        <v>49.68</v>
      </c>
      <c r="F3537" s="2142">
        <v>17000</v>
      </c>
      <c r="G3537" s="2142">
        <v>844560</v>
      </c>
      <c r="H3537" s="2143">
        <v>42129</v>
      </c>
      <c r="I3537" s="2142">
        <v>844560</v>
      </c>
    </row>
    <row r="3538" spans="1:9" s="2139" customFormat="1" hidden="1">
      <c r="A3538" s="2140" t="s">
        <v>6085</v>
      </c>
      <c r="B3538" s="2141" t="s">
        <v>3057</v>
      </c>
      <c r="C3538" s="2141" t="s">
        <v>3151</v>
      </c>
      <c r="D3538" s="2141">
        <v>246</v>
      </c>
      <c r="E3538" s="2142">
        <v>144.88999999999999</v>
      </c>
      <c r="F3538" s="2142">
        <v>18800</v>
      </c>
      <c r="G3538" s="2142">
        <v>2723931.9999999995</v>
      </c>
      <c r="H3538" s="2143">
        <v>42128</v>
      </c>
      <c r="I3538" s="2142">
        <v>2723932</v>
      </c>
    </row>
    <row r="3539" spans="1:9" s="2139" customFormat="1" hidden="1">
      <c r="A3539" s="2140" t="s">
        <v>6086</v>
      </c>
      <c r="B3539" s="2141" t="s">
        <v>3057</v>
      </c>
      <c r="C3539" s="2141" t="s">
        <v>3151</v>
      </c>
      <c r="D3539" s="2141">
        <v>247</v>
      </c>
      <c r="E3539" s="2142">
        <v>59.93</v>
      </c>
      <c r="F3539" s="2142">
        <v>15800</v>
      </c>
      <c r="G3539" s="2142">
        <v>946894</v>
      </c>
      <c r="H3539" s="2143">
        <v>42128</v>
      </c>
      <c r="I3539" s="2142">
        <v>946894</v>
      </c>
    </row>
    <row r="3540" spans="1:9" s="2139" customFormat="1" hidden="1">
      <c r="A3540" s="2140" t="s">
        <v>6383</v>
      </c>
      <c r="B3540" s="2141">
        <v>9</v>
      </c>
      <c r="C3540" s="2141" t="s">
        <v>3151</v>
      </c>
      <c r="D3540" s="2141">
        <v>30</v>
      </c>
      <c r="E3540" s="2142">
        <v>70.84</v>
      </c>
      <c r="F3540" s="2142">
        <v>13699</v>
      </c>
      <c r="G3540" s="2142">
        <v>970437.16</v>
      </c>
      <c r="H3540" s="2143">
        <v>42121</v>
      </c>
      <c r="I3540" s="2142">
        <v>490437</v>
      </c>
    </row>
    <row r="3541" spans="1:9" s="2139" customFormat="1" hidden="1">
      <c r="A3541" s="2140" t="s">
        <v>6386</v>
      </c>
      <c r="B3541" s="2141">
        <v>9</v>
      </c>
      <c r="C3541" s="2141" t="s">
        <v>3151</v>
      </c>
      <c r="D3541" s="2141">
        <v>42</v>
      </c>
      <c r="E3541" s="2142">
        <v>60.49</v>
      </c>
      <c r="F3541" s="2142">
        <v>10815</v>
      </c>
      <c r="G3541" s="2142">
        <v>654199.35</v>
      </c>
      <c r="H3541" s="2143">
        <v>42121</v>
      </c>
      <c r="I3541" s="2142">
        <v>334199</v>
      </c>
    </row>
    <row r="3542" spans="1:9" s="2139" customFormat="1" hidden="1">
      <c r="A3542" s="2140" t="s">
        <v>6084</v>
      </c>
      <c r="B3542" s="2141" t="s">
        <v>3057</v>
      </c>
      <c r="C3542" s="2141" t="s">
        <v>3151</v>
      </c>
      <c r="D3542" s="2141">
        <v>245</v>
      </c>
      <c r="E3542" s="2142">
        <v>146.03</v>
      </c>
      <c r="F3542" s="2142">
        <v>18800</v>
      </c>
      <c r="G3542" s="2142">
        <v>2745364</v>
      </c>
      <c r="H3542" s="2143">
        <v>42119</v>
      </c>
      <c r="I3542" s="2142">
        <v>2745364</v>
      </c>
    </row>
    <row r="3543" spans="1:9" s="2139" customFormat="1" hidden="1">
      <c r="A3543" s="2140" t="s">
        <v>6654</v>
      </c>
      <c r="B3543" s="2141">
        <v>11</v>
      </c>
      <c r="C3543" s="2141" t="s">
        <v>3151</v>
      </c>
      <c r="D3543" s="2141">
        <v>19</v>
      </c>
      <c r="E3543" s="2142">
        <v>47.58</v>
      </c>
      <c r="F3543" s="2142">
        <v>14729</v>
      </c>
      <c r="G3543" s="2142">
        <v>700805.82</v>
      </c>
      <c r="H3543" s="2143">
        <v>42119</v>
      </c>
      <c r="I3543" s="2142">
        <v>701395</v>
      </c>
    </row>
    <row r="3544" spans="1:9" s="2139" customFormat="1" hidden="1">
      <c r="A3544" s="2140" t="s">
        <v>7025</v>
      </c>
      <c r="B3544" s="2141">
        <v>12</v>
      </c>
      <c r="C3544" s="2141" t="s">
        <v>3151</v>
      </c>
      <c r="D3544" s="2141">
        <v>216</v>
      </c>
      <c r="E3544" s="2142">
        <v>81.75</v>
      </c>
      <c r="F3544" s="2142">
        <v>21340</v>
      </c>
      <c r="G3544" s="2142">
        <v>1744545</v>
      </c>
      <c r="H3544" s="2143">
        <v>42117</v>
      </c>
      <c r="I3544" s="2142">
        <v>50000</v>
      </c>
    </row>
    <row r="3545" spans="1:9" s="2139" customFormat="1" hidden="1">
      <c r="A3545" s="2140" t="s">
        <v>5584</v>
      </c>
      <c r="B3545" s="2141" t="s">
        <v>3056</v>
      </c>
      <c r="C3545" s="2141" t="s">
        <v>3151</v>
      </c>
      <c r="D3545" s="2141">
        <v>82</v>
      </c>
      <c r="E3545" s="2142">
        <v>132.27000000000001</v>
      </c>
      <c r="F3545" s="2142">
        <v>17600</v>
      </c>
      <c r="G3545" s="2142">
        <v>2327952</v>
      </c>
      <c r="H3545" s="2143">
        <v>42110</v>
      </c>
      <c r="I3545" s="2142">
        <v>843688</v>
      </c>
    </row>
    <row r="3546" spans="1:9" s="2139" customFormat="1" hidden="1">
      <c r="A3546" s="2140" t="s">
        <v>6699</v>
      </c>
      <c r="B3546" s="2141">
        <v>11</v>
      </c>
      <c r="C3546" s="2141" t="s">
        <v>3151</v>
      </c>
      <c r="D3546" s="2141">
        <v>143</v>
      </c>
      <c r="E3546" s="2142">
        <v>51.36</v>
      </c>
      <c r="F3546" s="2142">
        <v>12154</v>
      </c>
      <c r="G3546" s="2142">
        <v>624229.43999999994</v>
      </c>
      <c r="H3546" s="2143">
        <v>42098</v>
      </c>
      <c r="I3546" s="2142">
        <v>134837</v>
      </c>
    </row>
    <row r="3547" spans="1:9" s="2139" customFormat="1" hidden="1">
      <c r="A3547" s="2140" t="s">
        <v>6688</v>
      </c>
      <c r="B3547" s="2141">
        <v>11</v>
      </c>
      <c r="C3547" s="2141" t="s">
        <v>3151</v>
      </c>
      <c r="D3547" s="2141">
        <v>103</v>
      </c>
      <c r="E3547" s="2142">
        <v>92.59</v>
      </c>
      <c r="F3547" s="2142">
        <v>12978</v>
      </c>
      <c r="G3547" s="2142">
        <v>1201633.02</v>
      </c>
      <c r="H3547" s="2143">
        <v>42096</v>
      </c>
      <c r="I3547" s="2142">
        <v>1202671</v>
      </c>
    </row>
    <row r="3548" spans="1:9" s="2139" customFormat="1" hidden="1">
      <c r="A3548" s="2140" t="s">
        <v>6436</v>
      </c>
      <c r="B3548" s="2141">
        <v>9</v>
      </c>
      <c r="C3548" s="2141" t="s">
        <v>3151</v>
      </c>
      <c r="D3548" s="2141">
        <v>237</v>
      </c>
      <c r="E3548" s="2142">
        <v>107.41</v>
      </c>
      <c r="F3548" s="2142">
        <v>15244</v>
      </c>
      <c r="G3548" s="2142">
        <v>1637358.04</v>
      </c>
      <c r="H3548" s="2143">
        <v>42088</v>
      </c>
      <c r="I3548" s="2142">
        <v>1637358</v>
      </c>
    </row>
    <row r="3549" spans="1:9" s="2139" customFormat="1" hidden="1">
      <c r="A3549" s="2140" t="s">
        <v>6695</v>
      </c>
      <c r="B3549" s="2141">
        <v>11</v>
      </c>
      <c r="C3549" s="2141" t="s">
        <v>3151</v>
      </c>
      <c r="D3549" s="2141">
        <v>138</v>
      </c>
      <c r="E3549" s="2142">
        <v>40.33</v>
      </c>
      <c r="F3549" s="2142">
        <v>17325</v>
      </c>
      <c r="G3549" s="2142">
        <v>698717.25</v>
      </c>
      <c r="H3549" s="2143">
        <v>42088</v>
      </c>
      <c r="I3549" s="2142">
        <v>69924</v>
      </c>
    </row>
    <row r="3550" spans="1:9" s="2139" customFormat="1" hidden="1">
      <c r="A3550" s="2140" t="s">
        <v>6715</v>
      </c>
      <c r="B3550" s="2141">
        <v>11</v>
      </c>
      <c r="C3550" s="2141" t="s">
        <v>3151</v>
      </c>
      <c r="D3550" s="2141">
        <v>192</v>
      </c>
      <c r="E3550" s="2142">
        <v>81.5</v>
      </c>
      <c r="F3550" s="2142">
        <v>15715.94</v>
      </c>
      <c r="G3550" s="2142">
        <v>1280849.1100000001</v>
      </c>
      <c r="H3550" s="2143">
        <v>42082</v>
      </c>
      <c r="I3550" s="2142">
        <v>1281949</v>
      </c>
    </row>
    <row r="3551" spans="1:9" s="2139" customFormat="1" hidden="1">
      <c r="A3551" s="2140" t="s">
        <v>6716</v>
      </c>
      <c r="B3551" s="2141">
        <v>11</v>
      </c>
      <c r="C3551" s="2141" t="s">
        <v>3151</v>
      </c>
      <c r="D3551" s="2141">
        <v>193</v>
      </c>
      <c r="E3551" s="2142">
        <v>81.5</v>
      </c>
      <c r="F3551" s="2142">
        <v>15715.94</v>
      </c>
      <c r="G3551" s="2142">
        <v>1280849.1100000001</v>
      </c>
      <c r="H3551" s="2143">
        <v>42082</v>
      </c>
      <c r="I3551" s="2142">
        <v>1281949</v>
      </c>
    </row>
    <row r="3552" spans="1:9" s="2139" customFormat="1" hidden="1">
      <c r="A3552" s="2140" t="s">
        <v>6714</v>
      </c>
      <c r="B3552" s="2141">
        <v>11</v>
      </c>
      <c r="C3552" s="2141" t="s">
        <v>3151</v>
      </c>
      <c r="D3552" s="2141">
        <v>169</v>
      </c>
      <c r="E3552" s="2142">
        <v>33.32</v>
      </c>
      <c r="F3552" s="2142">
        <v>12089.11</v>
      </c>
      <c r="G3552" s="2142">
        <v>402809.14520000003</v>
      </c>
      <c r="H3552" s="2143">
        <v>42077</v>
      </c>
      <c r="I3552" s="2142">
        <v>403051</v>
      </c>
    </row>
    <row r="3553" spans="1:9" s="2139" customFormat="1" hidden="1">
      <c r="A3553" s="2140" t="s">
        <v>6683</v>
      </c>
      <c r="B3553" s="2141">
        <v>11</v>
      </c>
      <c r="C3553" s="2141" t="s">
        <v>3151</v>
      </c>
      <c r="D3553" s="2141">
        <v>90</v>
      </c>
      <c r="E3553" s="2142">
        <v>170.55</v>
      </c>
      <c r="F3553" s="2142">
        <v>16274</v>
      </c>
      <c r="G3553" s="2142">
        <v>2775530.7</v>
      </c>
      <c r="H3553" s="2143">
        <v>42076</v>
      </c>
      <c r="I3553" s="2142">
        <v>2777646</v>
      </c>
    </row>
    <row r="3554" spans="1:9" s="2139" customFormat="1" hidden="1">
      <c r="A3554" s="2140" t="s">
        <v>6385</v>
      </c>
      <c r="B3554" s="2141">
        <v>9</v>
      </c>
      <c r="C3554" s="2141" t="s">
        <v>3151</v>
      </c>
      <c r="D3554" s="2141">
        <v>41</v>
      </c>
      <c r="E3554" s="2142">
        <v>40.46</v>
      </c>
      <c r="F3554" s="2142">
        <v>10506</v>
      </c>
      <c r="G3554" s="2142">
        <v>425072.76</v>
      </c>
      <c r="H3554" s="2143">
        <v>42045</v>
      </c>
      <c r="I3554" s="2142">
        <v>215073</v>
      </c>
    </row>
    <row r="3555" spans="1:9" s="2139" customFormat="1" hidden="1">
      <c r="A3555" s="2140" t="s">
        <v>5563</v>
      </c>
      <c r="B3555" s="2141" t="s">
        <v>3056</v>
      </c>
      <c r="C3555" s="2141" t="s">
        <v>3151</v>
      </c>
      <c r="D3555" s="2141">
        <v>52</v>
      </c>
      <c r="E3555" s="2142">
        <v>29.06</v>
      </c>
      <c r="F3555" s="2142">
        <v>14800</v>
      </c>
      <c r="G3555" s="2142">
        <v>430088</v>
      </c>
      <c r="H3555" s="2143">
        <v>42044</v>
      </c>
      <c r="I3555" s="2142">
        <v>142012</v>
      </c>
    </row>
    <row r="3556" spans="1:9" hidden="1">
      <c r="A3556" s="3395" t="s">
        <v>5020</v>
      </c>
      <c r="B3556" s="3396" t="s">
        <v>3055</v>
      </c>
      <c r="C3556" s="3396" t="s">
        <v>3151</v>
      </c>
      <c r="D3556" s="3396">
        <v>220</v>
      </c>
      <c r="E3556" s="3397">
        <v>50.22</v>
      </c>
      <c r="F3556" s="3397">
        <v>13500</v>
      </c>
      <c r="G3556" s="3397">
        <v>677970</v>
      </c>
      <c r="H3556" s="3557">
        <v>42034</v>
      </c>
      <c r="I3556" s="3397">
        <v>124757</v>
      </c>
    </row>
    <row r="3557" spans="1:9" s="2139" customFormat="1" hidden="1">
      <c r="A3557" s="2140" t="s">
        <v>6398</v>
      </c>
      <c r="B3557" s="2141">
        <v>9</v>
      </c>
      <c r="C3557" s="2141" t="s">
        <v>3151</v>
      </c>
      <c r="D3557" s="2141">
        <v>85</v>
      </c>
      <c r="E3557" s="2142">
        <v>77.849999999999994</v>
      </c>
      <c r="F3557" s="2142">
        <v>11489.65</v>
      </c>
      <c r="G3557" s="2142">
        <v>894469.25249999994</v>
      </c>
      <c r="H3557" s="2143">
        <v>42027</v>
      </c>
      <c r="I3557" s="2142">
        <v>894469</v>
      </c>
    </row>
    <row r="3558" spans="1:9" s="2139" customFormat="1" hidden="1">
      <c r="A3558" s="2140" t="s">
        <v>5630</v>
      </c>
      <c r="B3558" s="2141" t="s">
        <v>3056</v>
      </c>
      <c r="C3558" s="2141" t="s">
        <v>3151</v>
      </c>
      <c r="D3558" s="2141">
        <v>187</v>
      </c>
      <c r="E3558" s="2142">
        <v>155.12</v>
      </c>
      <c r="F3558" s="2142">
        <v>19360</v>
      </c>
      <c r="G3558" s="2142">
        <v>3003123.2</v>
      </c>
      <c r="H3558" s="2143">
        <v>42026</v>
      </c>
      <c r="I3558" s="2142">
        <v>667062</v>
      </c>
    </row>
    <row r="3559" spans="1:9" s="2139" customFormat="1" hidden="1">
      <c r="A3559" s="2140" t="s">
        <v>6409</v>
      </c>
      <c r="B3559" s="2141">
        <v>9</v>
      </c>
      <c r="C3559" s="2141" t="s">
        <v>3151</v>
      </c>
      <c r="D3559" s="2141">
        <v>100</v>
      </c>
      <c r="E3559" s="2142">
        <v>77.12</v>
      </c>
      <c r="F3559" s="2142">
        <v>11845</v>
      </c>
      <c r="G3559" s="2142">
        <v>913486.4</v>
      </c>
      <c r="H3559" s="2143">
        <v>42022</v>
      </c>
      <c r="I3559" s="2142">
        <v>463486</v>
      </c>
    </row>
    <row r="3560" spans="1:9" s="2139" customFormat="1" hidden="1">
      <c r="A3560" s="2140" t="s">
        <v>6400</v>
      </c>
      <c r="B3560" s="2141">
        <v>9</v>
      </c>
      <c r="C3560" s="2141" t="s">
        <v>3151</v>
      </c>
      <c r="D3560" s="2141">
        <v>88</v>
      </c>
      <c r="E3560" s="2142">
        <v>74.989999999999995</v>
      </c>
      <c r="F3560" s="2142">
        <v>10506</v>
      </c>
      <c r="G3560" s="2142">
        <v>787844.94</v>
      </c>
      <c r="H3560" s="2143">
        <v>42016</v>
      </c>
      <c r="I3560" s="2142">
        <v>447845</v>
      </c>
    </row>
    <row r="3561" spans="1:9" s="2139" customFormat="1" hidden="1">
      <c r="A3561" s="2140" t="s">
        <v>6428</v>
      </c>
      <c r="B3561" s="2141">
        <v>9</v>
      </c>
      <c r="C3561" s="2141" t="s">
        <v>3151</v>
      </c>
      <c r="D3561" s="2141">
        <v>189</v>
      </c>
      <c r="E3561" s="2142">
        <v>67.14</v>
      </c>
      <c r="F3561" s="2142">
        <v>11845</v>
      </c>
      <c r="G3561" s="2142">
        <v>795273.3</v>
      </c>
      <c r="H3561" s="2143">
        <v>42016</v>
      </c>
      <c r="I3561" s="2142">
        <v>795273</v>
      </c>
    </row>
    <row r="3562" spans="1:9" s="2139" customFormat="1" hidden="1">
      <c r="A3562" s="2140" t="s">
        <v>6412</v>
      </c>
      <c r="B3562" s="2141">
        <v>9</v>
      </c>
      <c r="C3562" s="2141" t="s">
        <v>3151</v>
      </c>
      <c r="D3562" s="2141">
        <v>105</v>
      </c>
      <c r="E3562" s="2142">
        <v>80.099999999999994</v>
      </c>
      <c r="F3562" s="2142">
        <v>15244</v>
      </c>
      <c r="G3562" s="2142">
        <v>1221044.3999999999</v>
      </c>
      <c r="H3562" s="2143">
        <v>42012</v>
      </c>
      <c r="I3562" s="2142">
        <v>1221044</v>
      </c>
    </row>
    <row r="3563" spans="1:9" s="2139" customFormat="1" hidden="1">
      <c r="A3563" s="2140" t="s">
        <v>6100</v>
      </c>
      <c r="B3563" s="2141" t="s">
        <v>3057</v>
      </c>
      <c r="C3563" s="2141" t="s">
        <v>3151</v>
      </c>
      <c r="D3563" s="2141">
        <v>392</v>
      </c>
      <c r="E3563" s="2142">
        <v>139.66</v>
      </c>
      <c r="F3563" s="2142">
        <v>21800</v>
      </c>
      <c r="G3563" s="2142">
        <v>3044588</v>
      </c>
      <c r="H3563" s="2143">
        <v>42008</v>
      </c>
      <c r="I3563" s="2142">
        <v>3044588</v>
      </c>
    </row>
    <row r="3564" spans="1:9" s="2139" customFormat="1" hidden="1">
      <c r="A3564" s="2140" t="s">
        <v>6430</v>
      </c>
      <c r="B3564" s="2141">
        <v>9</v>
      </c>
      <c r="C3564" s="2141" t="s">
        <v>3151</v>
      </c>
      <c r="D3564" s="2141">
        <v>199</v>
      </c>
      <c r="E3564" s="2142">
        <v>75</v>
      </c>
      <c r="F3564" s="2142">
        <v>14420</v>
      </c>
      <c r="G3564" s="2142">
        <v>1081500</v>
      </c>
      <c r="H3564" s="2143">
        <v>42006</v>
      </c>
      <c r="I3564" s="2142">
        <v>1081500</v>
      </c>
    </row>
    <row r="3565" spans="1:9" s="2139" customFormat="1" hidden="1">
      <c r="A3565" s="2140" t="s">
        <v>6431</v>
      </c>
      <c r="B3565" s="2141">
        <v>9</v>
      </c>
      <c r="C3565" s="2141" t="s">
        <v>3151</v>
      </c>
      <c r="D3565" s="2141">
        <v>200</v>
      </c>
      <c r="E3565" s="2142">
        <v>75</v>
      </c>
      <c r="F3565" s="2142">
        <v>14420</v>
      </c>
      <c r="G3565" s="2142">
        <v>1081500</v>
      </c>
      <c r="H3565" s="2143">
        <v>42006</v>
      </c>
      <c r="I3565" s="2142">
        <v>1081500</v>
      </c>
    </row>
    <row r="3566" spans="1:9" s="2139" customFormat="1" hidden="1">
      <c r="A3566" s="2140" t="s">
        <v>6434</v>
      </c>
      <c r="B3566" s="2141">
        <v>9</v>
      </c>
      <c r="C3566" s="2141" t="s">
        <v>3151</v>
      </c>
      <c r="D3566" s="2141">
        <v>223</v>
      </c>
      <c r="E3566" s="2142">
        <v>93.4</v>
      </c>
      <c r="F3566" s="2142">
        <v>17903</v>
      </c>
      <c r="G3566" s="2142">
        <v>1672140.2000000002</v>
      </c>
      <c r="H3566" s="2143">
        <v>42006</v>
      </c>
      <c r="I3566" s="2142">
        <v>842140</v>
      </c>
    </row>
    <row r="3567" spans="1:9" s="2139" customFormat="1" hidden="1">
      <c r="A3567" s="2140" t="s">
        <v>6435</v>
      </c>
      <c r="B3567" s="2141">
        <v>9</v>
      </c>
      <c r="C3567" s="2141" t="s">
        <v>3151</v>
      </c>
      <c r="D3567" s="2141">
        <v>225</v>
      </c>
      <c r="E3567" s="2142">
        <v>79.53</v>
      </c>
      <c r="F3567" s="2142">
        <v>17094</v>
      </c>
      <c r="G3567" s="2142">
        <v>1359485.82</v>
      </c>
      <c r="H3567" s="2143">
        <v>42006</v>
      </c>
      <c r="I3567" s="2142">
        <v>689486</v>
      </c>
    </row>
    <row r="3568" spans="1:9" s="2139" customFormat="1" hidden="1">
      <c r="A3568" s="2140" t="s">
        <v>6376</v>
      </c>
      <c r="B3568" s="2141">
        <v>9</v>
      </c>
      <c r="C3568" s="2141" t="s">
        <v>3151</v>
      </c>
      <c r="D3568" s="2141">
        <v>13</v>
      </c>
      <c r="E3568" s="2142">
        <v>75</v>
      </c>
      <c r="F3568" s="2142">
        <v>14729</v>
      </c>
      <c r="G3568" s="2142">
        <v>1104675</v>
      </c>
      <c r="H3568" s="2143">
        <v>42003</v>
      </c>
      <c r="I3568" s="2142">
        <v>224675</v>
      </c>
    </row>
    <row r="3569" spans="1:9" s="2139" customFormat="1" hidden="1">
      <c r="A3569" s="2140" t="s">
        <v>6377</v>
      </c>
      <c r="B3569" s="2141">
        <v>9</v>
      </c>
      <c r="C3569" s="2141" t="s">
        <v>3151</v>
      </c>
      <c r="D3569" s="2141">
        <v>15</v>
      </c>
      <c r="E3569" s="2142">
        <v>75</v>
      </c>
      <c r="F3569" s="2142">
        <v>14729</v>
      </c>
      <c r="G3569" s="2142">
        <v>1104675</v>
      </c>
      <c r="H3569" s="2143">
        <v>42003</v>
      </c>
      <c r="I3569" s="2142">
        <v>224675</v>
      </c>
    </row>
    <row r="3570" spans="1:9" s="2139" customFormat="1" hidden="1">
      <c r="A3570" s="2140" t="s">
        <v>6389</v>
      </c>
      <c r="B3570" s="2141">
        <v>9</v>
      </c>
      <c r="C3570" s="2141" t="s">
        <v>3151</v>
      </c>
      <c r="D3570" s="2141">
        <v>52</v>
      </c>
      <c r="E3570" s="2142">
        <v>30.25</v>
      </c>
      <c r="F3570" s="2142">
        <v>11021</v>
      </c>
      <c r="G3570" s="2142">
        <v>333385.25</v>
      </c>
      <c r="H3570" s="2143">
        <v>42003</v>
      </c>
      <c r="I3570" s="2142">
        <v>73385</v>
      </c>
    </row>
    <row r="3571" spans="1:9" s="2139" customFormat="1" hidden="1">
      <c r="A3571" s="2140" t="s">
        <v>6390</v>
      </c>
      <c r="B3571" s="2141">
        <v>9</v>
      </c>
      <c r="C3571" s="2141" t="s">
        <v>3151</v>
      </c>
      <c r="D3571" s="2141">
        <v>53</v>
      </c>
      <c r="E3571" s="2142">
        <v>42.92</v>
      </c>
      <c r="F3571" s="2142">
        <v>11021</v>
      </c>
      <c r="G3571" s="2142">
        <v>473021.32</v>
      </c>
      <c r="H3571" s="2143">
        <v>42003</v>
      </c>
      <c r="I3571" s="2142">
        <v>103021</v>
      </c>
    </row>
    <row r="3572" spans="1:9" s="2139" customFormat="1" hidden="1">
      <c r="A3572" s="2140" t="s">
        <v>5647</v>
      </c>
      <c r="B3572" s="2141" t="s">
        <v>3056</v>
      </c>
      <c r="C3572" s="2141" t="s">
        <v>3151</v>
      </c>
      <c r="D3572" s="2141">
        <v>280</v>
      </c>
      <c r="E3572" s="2142">
        <v>62.09</v>
      </c>
      <c r="F3572" s="2142">
        <v>18260</v>
      </c>
      <c r="G3572" s="2142">
        <v>1133763.4000000001</v>
      </c>
      <c r="H3572" s="2143">
        <v>41998</v>
      </c>
      <c r="I3572" s="2142">
        <v>573763</v>
      </c>
    </row>
    <row r="3573" spans="1:9" s="2139" customFormat="1" hidden="1">
      <c r="A3573" s="2140" t="s">
        <v>5636</v>
      </c>
      <c r="B3573" s="2141" t="s">
        <v>3056</v>
      </c>
      <c r="C3573" s="2141" t="s">
        <v>3151</v>
      </c>
      <c r="D3573" s="2141">
        <v>262</v>
      </c>
      <c r="E3573" s="2142">
        <v>124.46</v>
      </c>
      <c r="F3573" s="2142">
        <v>18800</v>
      </c>
      <c r="G3573" s="2142">
        <v>2339848</v>
      </c>
      <c r="H3573" s="2143">
        <v>41993</v>
      </c>
      <c r="I3573" s="2142">
        <v>1170224</v>
      </c>
    </row>
    <row r="3574" spans="1:9" s="2139" customFormat="1" hidden="1">
      <c r="A3574" s="2140" t="s">
        <v>5637</v>
      </c>
      <c r="B3574" s="2141" t="s">
        <v>3056</v>
      </c>
      <c r="C3574" s="2141" t="s">
        <v>3151</v>
      </c>
      <c r="D3574" s="2141">
        <v>263</v>
      </c>
      <c r="E3574" s="2142">
        <v>97.34</v>
      </c>
      <c r="F3574" s="2142">
        <v>16800</v>
      </c>
      <c r="G3574" s="2142">
        <v>1635312</v>
      </c>
      <c r="H3574" s="2143">
        <v>41993</v>
      </c>
      <c r="I3574" s="2142">
        <v>823376</v>
      </c>
    </row>
    <row r="3575" spans="1:9" s="2139" customFormat="1" hidden="1">
      <c r="A3575" s="2140" t="s">
        <v>5640</v>
      </c>
      <c r="B3575" s="2141" t="s">
        <v>3056</v>
      </c>
      <c r="C3575" s="2141" t="s">
        <v>3151</v>
      </c>
      <c r="D3575" s="2141">
        <v>267</v>
      </c>
      <c r="E3575" s="2142">
        <v>69.22</v>
      </c>
      <c r="F3575" s="2142">
        <v>17994.47</v>
      </c>
      <c r="G3575" s="2142">
        <v>1245577.2134</v>
      </c>
      <c r="H3575" s="2143">
        <v>41991</v>
      </c>
      <c r="I3575" s="2142">
        <v>1245577</v>
      </c>
    </row>
    <row r="3576" spans="1:9" s="2139" customFormat="1" hidden="1">
      <c r="A3576" s="2140" t="s">
        <v>5657</v>
      </c>
      <c r="B3576" s="2141" t="s">
        <v>3056</v>
      </c>
      <c r="C3576" s="2141" t="s">
        <v>3151</v>
      </c>
      <c r="D3576" s="2141">
        <v>297</v>
      </c>
      <c r="E3576" s="2142">
        <v>59.54</v>
      </c>
      <c r="F3576" s="2142">
        <v>14080</v>
      </c>
      <c r="G3576" s="2142">
        <v>838323.19999999995</v>
      </c>
      <c r="H3576" s="2143">
        <v>41990</v>
      </c>
      <c r="I3576" s="2142">
        <v>268323</v>
      </c>
    </row>
    <row r="3577" spans="1:9" s="2139" customFormat="1" hidden="1">
      <c r="A3577" s="2140" t="s">
        <v>5670</v>
      </c>
      <c r="B3577" s="2141" t="s">
        <v>3056</v>
      </c>
      <c r="C3577" s="2141" t="s">
        <v>3151</v>
      </c>
      <c r="D3577" s="2141">
        <v>338</v>
      </c>
      <c r="E3577" s="2142">
        <v>84.3</v>
      </c>
      <c r="F3577" s="2142">
        <v>17160</v>
      </c>
      <c r="G3577" s="2142">
        <v>1446588</v>
      </c>
      <c r="H3577" s="2143">
        <v>41990</v>
      </c>
      <c r="I3577" s="2142">
        <v>446588</v>
      </c>
    </row>
    <row r="3578" spans="1:9" s="2139" customFormat="1" hidden="1">
      <c r="A3578" s="2140" t="s">
        <v>4416</v>
      </c>
      <c r="B3578" s="2141" t="s">
        <v>3055</v>
      </c>
      <c r="C3578" s="2141" t="s">
        <v>3261</v>
      </c>
      <c r="D3578" s="3396">
        <v>142</v>
      </c>
      <c r="E3578" s="2142">
        <v>42.09</v>
      </c>
      <c r="F3578" s="2142">
        <v>26300</v>
      </c>
      <c r="G3578" s="2142">
        <v>1106967</v>
      </c>
      <c r="H3578" s="3557"/>
      <c r="I3578" s="2142">
        <v>145097</v>
      </c>
    </row>
    <row r="3579" spans="1:9" s="2139" customFormat="1" hidden="1">
      <c r="A3579" s="2140" t="s">
        <v>4418</v>
      </c>
      <c r="B3579" s="2141" t="s">
        <v>3055</v>
      </c>
      <c r="C3579" s="2141" t="s">
        <v>3261</v>
      </c>
      <c r="D3579" s="3396">
        <v>146</v>
      </c>
      <c r="E3579" s="2142">
        <v>133.79</v>
      </c>
      <c r="F3579" s="2142">
        <v>35800</v>
      </c>
      <c r="G3579" s="2142">
        <v>4789682</v>
      </c>
      <c r="H3579" s="3557"/>
      <c r="I3579" s="2142">
        <v>160000</v>
      </c>
    </row>
    <row r="3580" spans="1:9" s="2139" customFormat="1" hidden="1">
      <c r="A3580" s="2140" t="s">
        <v>4426</v>
      </c>
      <c r="B3580" s="2141" t="s">
        <v>3055</v>
      </c>
      <c r="C3580" s="2141" t="s">
        <v>3261</v>
      </c>
      <c r="D3580" s="3396">
        <v>155</v>
      </c>
      <c r="E3580" s="2142">
        <v>125.94</v>
      </c>
      <c r="F3580" s="2142">
        <v>36300</v>
      </c>
      <c r="G3580" s="2142">
        <v>4571622</v>
      </c>
      <c r="H3580" s="3557"/>
      <c r="I3580" s="2142">
        <v>167575</v>
      </c>
    </row>
    <row r="3581" spans="1:9" s="2139" customFormat="1" hidden="1">
      <c r="A3581" s="2140" t="s">
        <v>5022</v>
      </c>
      <c r="B3581" s="2141" t="s">
        <v>3056</v>
      </c>
      <c r="C3581" s="2141" t="s">
        <v>3261</v>
      </c>
      <c r="D3581" s="2141">
        <v>1</v>
      </c>
      <c r="E3581" s="2142">
        <v>143.87</v>
      </c>
      <c r="F3581" s="2142">
        <v>10000</v>
      </c>
      <c r="G3581" s="2142">
        <v>1438700</v>
      </c>
      <c r="H3581" s="2143"/>
      <c r="I3581" s="2142">
        <v>0</v>
      </c>
    </row>
    <row r="3582" spans="1:9" s="2139" customFormat="1" hidden="1">
      <c r="A3582" s="2140" t="s">
        <v>5030</v>
      </c>
      <c r="B3582" s="2141" t="s">
        <v>3056</v>
      </c>
      <c r="C3582" s="2141" t="s">
        <v>3261</v>
      </c>
      <c r="D3582" s="2141">
        <v>10</v>
      </c>
      <c r="E3582" s="2142">
        <v>172.32</v>
      </c>
      <c r="F3582" s="2142">
        <v>35800</v>
      </c>
      <c r="G3582" s="2142">
        <v>6169056</v>
      </c>
      <c r="H3582" s="2143"/>
      <c r="I3582" s="2142">
        <v>50000</v>
      </c>
    </row>
    <row r="3583" spans="1:9" s="2139" customFormat="1" hidden="1">
      <c r="A3583" s="2140" t="s">
        <v>5090</v>
      </c>
      <c r="B3583" s="2141" t="s">
        <v>3056</v>
      </c>
      <c r="C3583" s="2141" t="s">
        <v>3261</v>
      </c>
      <c r="D3583" s="2141">
        <v>143</v>
      </c>
      <c r="E3583" s="2142">
        <v>110.88</v>
      </c>
      <c r="F3583" s="2142">
        <v>45500</v>
      </c>
      <c r="G3583" s="2142">
        <v>5045040</v>
      </c>
      <c r="H3583" s="2143"/>
      <c r="I3583" s="2142">
        <v>40000</v>
      </c>
    </row>
    <row r="3584" spans="1:9" s="2139" customFormat="1" hidden="1">
      <c r="A3584" s="2140" t="s">
        <v>5092</v>
      </c>
      <c r="B3584" s="2141" t="s">
        <v>3056</v>
      </c>
      <c r="C3584" s="2141" t="s">
        <v>3261</v>
      </c>
      <c r="D3584" s="2141">
        <v>146</v>
      </c>
      <c r="E3584" s="2142">
        <v>104.8</v>
      </c>
      <c r="F3584" s="2142">
        <v>45500</v>
      </c>
      <c r="G3584" s="2142">
        <v>4768400</v>
      </c>
      <c r="H3584" s="2143"/>
      <c r="I3584" s="2142">
        <v>40000</v>
      </c>
    </row>
    <row r="3585" spans="1:9" s="2139" customFormat="1" hidden="1">
      <c r="A3585" s="2140" t="s">
        <v>5093</v>
      </c>
      <c r="B3585" s="2141" t="s">
        <v>3056</v>
      </c>
      <c r="C3585" s="2141" t="s">
        <v>3261</v>
      </c>
      <c r="D3585" s="2141">
        <v>147</v>
      </c>
      <c r="E3585" s="2142">
        <v>126.81</v>
      </c>
      <c r="F3585" s="2142">
        <v>45500</v>
      </c>
      <c r="G3585" s="2142">
        <v>5769855</v>
      </c>
      <c r="H3585" s="2143"/>
      <c r="I3585" s="2142">
        <v>40000</v>
      </c>
    </row>
    <row r="3586" spans="1:9" s="2139" customFormat="1" hidden="1">
      <c r="A3586" s="2140" t="s">
        <v>5094</v>
      </c>
      <c r="B3586" s="2141" t="s">
        <v>3056</v>
      </c>
      <c r="C3586" s="2141" t="s">
        <v>3261</v>
      </c>
      <c r="D3586" s="2141">
        <v>148</v>
      </c>
      <c r="E3586" s="2142">
        <v>116.83</v>
      </c>
      <c r="F3586" s="2142">
        <v>45500</v>
      </c>
      <c r="G3586" s="2142">
        <v>5315765</v>
      </c>
      <c r="H3586" s="2143"/>
      <c r="I3586" s="2142">
        <v>40000</v>
      </c>
    </row>
    <row r="3587" spans="1:9" s="2139" customFormat="1" hidden="1">
      <c r="A3587" s="2140" t="s">
        <v>5095</v>
      </c>
      <c r="B3587" s="2141" t="s">
        <v>3056</v>
      </c>
      <c r="C3587" s="2141" t="s">
        <v>3261</v>
      </c>
      <c r="D3587" s="2141">
        <v>149</v>
      </c>
      <c r="E3587" s="2142">
        <v>107.53</v>
      </c>
      <c r="F3587" s="2142">
        <v>45500</v>
      </c>
      <c r="G3587" s="2142">
        <v>4892615</v>
      </c>
      <c r="H3587" s="2143"/>
      <c r="I3587" s="2142">
        <v>40000</v>
      </c>
    </row>
    <row r="3588" spans="1:9" s="2139" customFormat="1" hidden="1">
      <c r="A3588" s="2140" t="s">
        <v>5096</v>
      </c>
      <c r="B3588" s="2141" t="s">
        <v>3056</v>
      </c>
      <c r="C3588" s="2141" t="s">
        <v>3261</v>
      </c>
      <c r="D3588" s="2141">
        <v>150</v>
      </c>
      <c r="E3588" s="2142">
        <v>138.28</v>
      </c>
      <c r="F3588" s="2142">
        <v>45500</v>
      </c>
      <c r="G3588" s="2142">
        <v>6291740</v>
      </c>
      <c r="H3588" s="2143"/>
      <c r="I3588" s="2142">
        <v>50000</v>
      </c>
    </row>
    <row r="3589" spans="1:9" s="2139" customFormat="1" hidden="1">
      <c r="A3589" s="2140" t="s">
        <v>5713</v>
      </c>
      <c r="B3589" s="2141" t="s">
        <v>3057</v>
      </c>
      <c r="C3589" s="2141" t="s">
        <v>3261</v>
      </c>
      <c r="D3589" s="2141">
        <v>105</v>
      </c>
      <c r="E3589" s="2142">
        <v>68.08</v>
      </c>
      <c r="F3589" s="2142">
        <v>27300</v>
      </c>
      <c r="G3589" s="2142">
        <v>1858584</v>
      </c>
      <c r="H3589" s="2143"/>
      <c r="I3589" s="2142">
        <v>244007</v>
      </c>
    </row>
    <row r="3590" spans="1:9" s="2139" customFormat="1" hidden="1">
      <c r="A3590" s="2140" t="s">
        <v>5718</v>
      </c>
      <c r="B3590" s="2141" t="s">
        <v>3057</v>
      </c>
      <c r="C3590" s="2141" t="s">
        <v>3261</v>
      </c>
      <c r="D3590" s="2141">
        <v>112</v>
      </c>
      <c r="E3590" s="2142">
        <v>91.86</v>
      </c>
      <c r="F3590" s="2142">
        <v>34440</v>
      </c>
      <c r="G3590" s="2142">
        <v>3163658</v>
      </c>
      <c r="H3590" s="2143"/>
      <c r="I3590" s="2142">
        <v>0</v>
      </c>
    </row>
    <row r="3591" spans="1:9" s="2139" customFormat="1" hidden="1">
      <c r="A3591" s="2140" t="s">
        <v>5719</v>
      </c>
      <c r="B3591" s="2141" t="s">
        <v>3057</v>
      </c>
      <c r="C3591" s="2141" t="s">
        <v>3261</v>
      </c>
      <c r="D3591" s="2141">
        <v>113</v>
      </c>
      <c r="E3591" s="2142">
        <v>169.43</v>
      </c>
      <c r="F3591" s="2142">
        <v>34965</v>
      </c>
      <c r="G3591" s="2142">
        <v>5924120</v>
      </c>
      <c r="H3591" s="2143"/>
      <c r="I3591" s="2142">
        <v>0</v>
      </c>
    </row>
    <row r="3592" spans="1:9" s="2139" customFormat="1" hidden="1">
      <c r="A3592" s="2140" t="s">
        <v>5720</v>
      </c>
      <c r="B3592" s="2141" t="s">
        <v>3057</v>
      </c>
      <c r="C3592" s="2141" t="s">
        <v>3261</v>
      </c>
      <c r="D3592" s="2141">
        <v>115</v>
      </c>
      <c r="E3592" s="2142">
        <v>64.010000000000005</v>
      </c>
      <c r="F3592" s="2142">
        <v>28140</v>
      </c>
      <c r="G3592" s="2142">
        <v>1801241</v>
      </c>
      <c r="H3592" s="2143"/>
      <c r="I3592" s="2142">
        <v>0</v>
      </c>
    </row>
    <row r="3593" spans="1:9" s="2139" customFormat="1" hidden="1">
      <c r="A3593" s="2140" t="s">
        <v>5721</v>
      </c>
      <c r="B3593" s="2141" t="s">
        <v>3057</v>
      </c>
      <c r="C3593" s="2141" t="s">
        <v>3261</v>
      </c>
      <c r="D3593" s="2141">
        <v>116</v>
      </c>
      <c r="E3593" s="2142">
        <v>87.89</v>
      </c>
      <c r="F3593" s="2142">
        <v>28665</v>
      </c>
      <c r="G3593" s="2142">
        <v>2519367</v>
      </c>
      <c r="H3593" s="2143"/>
      <c r="I3593" s="2142">
        <v>0</v>
      </c>
    </row>
    <row r="3594" spans="1:9" s="2139" customFormat="1" hidden="1">
      <c r="A3594" s="2140" t="s">
        <v>5722</v>
      </c>
      <c r="B3594" s="2141" t="s">
        <v>3057</v>
      </c>
      <c r="C3594" s="2141" t="s">
        <v>3261</v>
      </c>
      <c r="D3594" s="2141">
        <v>117</v>
      </c>
      <c r="E3594" s="2142">
        <v>42.52</v>
      </c>
      <c r="F3594" s="2142">
        <v>28140</v>
      </c>
      <c r="G3594" s="2142">
        <v>1196513</v>
      </c>
      <c r="H3594" s="2143"/>
      <c r="I3594" s="2142">
        <v>0</v>
      </c>
    </row>
    <row r="3595" spans="1:9" s="2139" customFormat="1" hidden="1">
      <c r="A3595" s="2140" t="s">
        <v>5723</v>
      </c>
      <c r="B3595" s="2141" t="s">
        <v>3057</v>
      </c>
      <c r="C3595" s="2141" t="s">
        <v>3261</v>
      </c>
      <c r="D3595" s="2141">
        <v>118</v>
      </c>
      <c r="E3595" s="2142">
        <v>45.24</v>
      </c>
      <c r="F3595" s="2142">
        <v>28665</v>
      </c>
      <c r="G3595" s="2142">
        <v>1296805</v>
      </c>
      <c r="H3595" s="2143"/>
      <c r="I3595" s="2142">
        <v>0</v>
      </c>
    </row>
    <row r="3596" spans="1:9" s="2139" customFormat="1" hidden="1">
      <c r="A3596" s="2140" t="s">
        <v>5724</v>
      </c>
      <c r="B3596" s="2141" t="s">
        <v>3057</v>
      </c>
      <c r="C3596" s="2141" t="s">
        <v>3261</v>
      </c>
      <c r="D3596" s="2141">
        <v>123</v>
      </c>
      <c r="E3596" s="2142">
        <v>70.489999999999995</v>
      </c>
      <c r="F3596" s="2142">
        <v>25800</v>
      </c>
      <c r="G3596" s="2142">
        <v>1818641.9999999998</v>
      </c>
      <c r="H3596" s="2143"/>
      <c r="I3596" s="2142">
        <v>250054</v>
      </c>
    </row>
    <row r="3597" spans="1:9" s="2139" customFormat="1" hidden="1">
      <c r="A3597" s="2140" t="s">
        <v>5730</v>
      </c>
      <c r="B3597" s="2141" t="s">
        <v>3057</v>
      </c>
      <c r="C3597" s="2141" t="s">
        <v>3261</v>
      </c>
      <c r="D3597" s="2141">
        <v>137</v>
      </c>
      <c r="E3597" s="2142">
        <v>90.13</v>
      </c>
      <c r="F3597" s="2142">
        <v>28665</v>
      </c>
      <c r="G3597" s="2142">
        <v>2573576</v>
      </c>
      <c r="H3597" s="2143"/>
      <c r="I3597" s="2142">
        <v>0</v>
      </c>
    </row>
    <row r="3598" spans="1:9" s="2139" customFormat="1" hidden="1">
      <c r="A3598" s="2140" t="s">
        <v>5731</v>
      </c>
      <c r="B3598" s="2141" t="s">
        <v>3057</v>
      </c>
      <c r="C3598" s="2141" t="s">
        <v>3261</v>
      </c>
      <c r="D3598" s="2141">
        <v>138</v>
      </c>
      <c r="E3598" s="2142">
        <v>130.28</v>
      </c>
      <c r="F3598" s="2142">
        <v>34965</v>
      </c>
      <c r="G3598" s="2142">
        <v>4555240</v>
      </c>
      <c r="H3598" s="2143"/>
      <c r="I3598" s="2142">
        <v>0</v>
      </c>
    </row>
    <row r="3599" spans="1:9" s="2139" customFormat="1" hidden="1">
      <c r="A3599" s="2140" t="s">
        <v>5732</v>
      </c>
      <c r="B3599" s="2141" t="s">
        <v>3057</v>
      </c>
      <c r="C3599" s="2141" t="s">
        <v>3261</v>
      </c>
      <c r="D3599" s="2141">
        <v>139</v>
      </c>
      <c r="E3599" s="2142">
        <v>84.06</v>
      </c>
      <c r="F3599" s="2142">
        <v>34440</v>
      </c>
      <c r="G3599" s="2142">
        <v>2895026</v>
      </c>
      <c r="H3599" s="2143"/>
      <c r="I3599" s="2142">
        <v>0</v>
      </c>
    </row>
    <row r="3600" spans="1:9" s="2139" customFormat="1" hidden="1">
      <c r="A3600" s="2140" t="s">
        <v>6544</v>
      </c>
      <c r="B3600" s="2141">
        <v>11</v>
      </c>
      <c r="C3600" s="2141" t="s">
        <v>3261</v>
      </c>
      <c r="D3600" s="2141">
        <v>1</v>
      </c>
      <c r="E3600" s="2142">
        <v>45.34</v>
      </c>
      <c r="F3600" s="2142">
        <v>39859.995589999999</v>
      </c>
      <c r="G3600" s="2142">
        <v>1807252.2000506001</v>
      </c>
      <c r="H3600" s="2143"/>
      <c r="I3600" s="2142">
        <v>50000</v>
      </c>
    </row>
    <row r="3601" spans="1:9" s="2139" customFormat="1" hidden="1">
      <c r="A3601" s="2140" t="s">
        <v>6550</v>
      </c>
      <c r="B3601" s="2141">
        <v>11</v>
      </c>
      <c r="C3601" s="2141" t="s">
        <v>3261</v>
      </c>
      <c r="D3601" s="2141">
        <v>35</v>
      </c>
      <c r="E3601" s="2142">
        <v>44.44</v>
      </c>
      <c r="F3601" s="2142">
        <v>39360.004500000003</v>
      </c>
      <c r="G3601" s="2142">
        <v>1749158.5999799999</v>
      </c>
      <c r="H3601" s="2143"/>
      <c r="I3601" s="2142">
        <v>50000</v>
      </c>
    </row>
    <row r="3602" spans="1:9" s="2139" customFormat="1" hidden="1">
      <c r="A3602" s="2140" t="s">
        <v>6555</v>
      </c>
      <c r="B3602" s="2141">
        <v>11</v>
      </c>
      <c r="C3602" s="2141" t="s">
        <v>3261</v>
      </c>
      <c r="D3602" s="2141">
        <v>46</v>
      </c>
      <c r="E3602" s="2142">
        <v>44.65</v>
      </c>
      <c r="F3602" s="2142">
        <v>42860</v>
      </c>
      <c r="G3602" s="2142">
        <v>1913699</v>
      </c>
      <c r="H3602" s="2143"/>
      <c r="I3602" s="2142">
        <v>209243</v>
      </c>
    </row>
    <row r="3603" spans="1:9" s="2139" customFormat="1" hidden="1">
      <c r="A3603" s="2140" t="s">
        <v>6556</v>
      </c>
      <c r="B3603" s="2141">
        <v>11</v>
      </c>
      <c r="C3603" s="2141" t="s">
        <v>3261</v>
      </c>
      <c r="D3603" s="2141">
        <v>47</v>
      </c>
      <c r="E3603" s="2142">
        <v>44.65</v>
      </c>
      <c r="F3603" s="2142">
        <v>42860</v>
      </c>
      <c r="G3603" s="2142">
        <v>1913699</v>
      </c>
      <c r="H3603" s="2143"/>
      <c r="I3603" s="2142">
        <v>209243</v>
      </c>
    </row>
    <row r="3604" spans="1:9" s="2139" customFormat="1" hidden="1">
      <c r="A3604" s="2140" t="s">
        <v>6562</v>
      </c>
      <c r="B3604" s="2141">
        <v>11</v>
      </c>
      <c r="C3604" s="2141" t="s">
        <v>3261</v>
      </c>
      <c r="D3604" s="2141">
        <v>100</v>
      </c>
      <c r="E3604" s="2142">
        <v>72.5</v>
      </c>
      <c r="F3604" s="2142">
        <v>42360</v>
      </c>
      <c r="G3604" s="2142">
        <v>3071100</v>
      </c>
      <c r="H3604" s="2143"/>
      <c r="I3604" s="2142">
        <v>344175</v>
      </c>
    </row>
    <row r="3605" spans="1:9" s="2139" customFormat="1" hidden="1">
      <c r="A3605" s="2140" t="s">
        <v>6572</v>
      </c>
      <c r="B3605" s="2141">
        <v>11</v>
      </c>
      <c r="C3605" s="2141" t="s">
        <v>3261</v>
      </c>
      <c r="D3605" s="2141">
        <v>120</v>
      </c>
      <c r="E3605" s="2142">
        <v>41.05</v>
      </c>
      <c r="F3605" s="2142">
        <v>42860</v>
      </c>
      <c r="G3605" s="2142">
        <v>1759402.9999999998</v>
      </c>
      <c r="H3605" s="2143"/>
      <c r="I3605" s="2142">
        <v>192399</v>
      </c>
    </row>
    <row r="3606" spans="1:9" s="2139" customFormat="1" hidden="1">
      <c r="A3606" s="2140" t="s">
        <v>6576</v>
      </c>
      <c r="B3606" s="2141">
        <v>11</v>
      </c>
      <c r="C3606" s="2141" t="s">
        <v>3261</v>
      </c>
      <c r="D3606" s="2141">
        <v>142</v>
      </c>
      <c r="E3606" s="2142">
        <v>44.03</v>
      </c>
      <c r="F3606" s="2142">
        <v>32300</v>
      </c>
      <c r="G3606" s="2142">
        <v>1422169</v>
      </c>
      <c r="H3606" s="2143"/>
      <c r="I3606" s="2142">
        <v>155525</v>
      </c>
    </row>
    <row r="3607" spans="1:9" s="2139" customFormat="1" hidden="1">
      <c r="A3607" s="2140" t="s">
        <v>6724</v>
      </c>
      <c r="B3607" s="2141">
        <v>12</v>
      </c>
      <c r="C3607" s="2141" t="s">
        <v>3261</v>
      </c>
      <c r="D3607" s="2141">
        <v>1</v>
      </c>
      <c r="E3607" s="2142">
        <v>84.98</v>
      </c>
      <c r="F3607" s="2142">
        <v>39860</v>
      </c>
      <c r="G3607" s="2142">
        <v>3387302.8000000003</v>
      </c>
      <c r="H3607" s="2143"/>
      <c r="I3607" s="2142">
        <v>384091</v>
      </c>
    </row>
    <row r="3608" spans="1:9" s="2139" customFormat="1" hidden="1">
      <c r="A3608" s="2140" t="s">
        <v>6725</v>
      </c>
      <c r="B3608" s="2141">
        <v>12</v>
      </c>
      <c r="C3608" s="2141" t="s">
        <v>3261</v>
      </c>
      <c r="D3608" s="2141">
        <v>2</v>
      </c>
      <c r="E3608" s="2142">
        <v>84.48</v>
      </c>
      <c r="F3608" s="2142">
        <v>38860</v>
      </c>
      <c r="G3608" s="2142">
        <v>3282892.8000000003</v>
      </c>
      <c r="H3608" s="2143"/>
      <c r="I3608" s="2142">
        <v>374455</v>
      </c>
    </row>
    <row r="3609" spans="1:9" s="2139" customFormat="1" hidden="1">
      <c r="A3609" s="2140" t="s">
        <v>6726</v>
      </c>
      <c r="B3609" s="2141">
        <v>12</v>
      </c>
      <c r="C3609" s="2141" t="s">
        <v>3261</v>
      </c>
      <c r="D3609" s="2141">
        <v>3</v>
      </c>
      <c r="E3609" s="2142">
        <v>72.88</v>
      </c>
      <c r="F3609" s="2142">
        <v>39360</v>
      </c>
      <c r="G3609" s="2142">
        <v>2868556.8</v>
      </c>
      <c r="H3609" s="2143"/>
      <c r="I3609" s="2142">
        <v>322752</v>
      </c>
    </row>
    <row r="3610" spans="1:9" s="2139" customFormat="1" hidden="1">
      <c r="A3610" s="2140" t="s">
        <v>6730</v>
      </c>
      <c r="B3610" s="2141">
        <v>12</v>
      </c>
      <c r="C3610" s="2141" t="s">
        <v>3261</v>
      </c>
      <c r="D3610" s="2141">
        <v>13</v>
      </c>
      <c r="E3610" s="2142">
        <v>123.8</v>
      </c>
      <c r="F3610" s="2142">
        <v>38860</v>
      </c>
      <c r="G3610" s="2142">
        <v>4810868</v>
      </c>
      <c r="H3610" s="2143"/>
      <c r="I3610" s="2142">
        <v>50000</v>
      </c>
    </row>
    <row r="3611" spans="1:9" s="2139" customFormat="1" hidden="1">
      <c r="A3611" s="2140" t="s">
        <v>6731</v>
      </c>
      <c r="B3611" s="2141">
        <v>12</v>
      </c>
      <c r="C3611" s="2141" t="s">
        <v>3261</v>
      </c>
      <c r="D3611" s="2141">
        <v>16</v>
      </c>
      <c r="E3611" s="2142">
        <v>129.83000000000001</v>
      </c>
      <c r="F3611" s="2142">
        <v>39360</v>
      </c>
      <c r="G3611" s="2142">
        <v>5110108.8000000007</v>
      </c>
      <c r="H3611" s="2143"/>
      <c r="I3611" s="2142">
        <v>50000</v>
      </c>
    </row>
    <row r="3612" spans="1:9" s="2139" customFormat="1" hidden="1">
      <c r="A3612" s="2140" t="s">
        <v>6736</v>
      </c>
      <c r="B3612" s="2141">
        <v>12</v>
      </c>
      <c r="C3612" s="2141" t="s">
        <v>3261</v>
      </c>
      <c r="D3612" s="2141">
        <v>29</v>
      </c>
      <c r="E3612" s="2142">
        <v>62.15</v>
      </c>
      <c r="F3612" s="2142">
        <v>36360</v>
      </c>
      <c r="G3612" s="2142">
        <v>2259774</v>
      </c>
      <c r="H3612" s="2143"/>
      <c r="I3612" s="2142">
        <v>50000</v>
      </c>
    </row>
    <row r="3613" spans="1:9" s="2139" customFormat="1" hidden="1">
      <c r="A3613" s="2140" t="s">
        <v>6743</v>
      </c>
      <c r="B3613" s="2141">
        <v>12</v>
      </c>
      <c r="C3613" s="2141" t="s">
        <v>3261</v>
      </c>
      <c r="D3613" s="2141">
        <v>42</v>
      </c>
      <c r="E3613" s="2142">
        <v>50.77</v>
      </c>
      <c r="F3613" s="2142">
        <v>27830</v>
      </c>
      <c r="G3613" s="2142">
        <v>1412929.1</v>
      </c>
      <c r="H3613" s="2143"/>
      <c r="I3613" s="2142">
        <v>160412</v>
      </c>
    </row>
    <row r="3614" spans="1:9" s="2139" customFormat="1" hidden="1">
      <c r="A3614" s="2140" t="s">
        <v>6745</v>
      </c>
      <c r="B3614" s="2141">
        <v>12</v>
      </c>
      <c r="C3614" s="2141" t="s">
        <v>3261</v>
      </c>
      <c r="D3614" s="2141">
        <v>47</v>
      </c>
      <c r="E3614" s="2142">
        <v>39.42</v>
      </c>
      <c r="F3614" s="2142">
        <v>29310</v>
      </c>
      <c r="G3614" s="2142">
        <v>1155400.2</v>
      </c>
      <c r="H3614" s="2143"/>
      <c r="I3614" s="2142">
        <v>150595</v>
      </c>
    </row>
    <row r="3615" spans="1:9" s="2139" customFormat="1" hidden="1">
      <c r="A3615" s="2140" t="s">
        <v>6746</v>
      </c>
      <c r="B3615" s="2141">
        <v>12</v>
      </c>
      <c r="C3615" s="2141" t="s">
        <v>3261</v>
      </c>
      <c r="D3615" s="2141">
        <v>50</v>
      </c>
      <c r="E3615" s="2142">
        <v>35.520000000000003</v>
      </c>
      <c r="F3615" s="2142">
        <v>34810</v>
      </c>
      <c r="G3615" s="2142">
        <v>1236451.2000000002</v>
      </c>
      <c r="H3615" s="2143"/>
      <c r="I3615" s="2142">
        <v>50000</v>
      </c>
    </row>
    <row r="3616" spans="1:9" s="2139" customFormat="1" hidden="1">
      <c r="A3616" s="2140" t="s">
        <v>6749</v>
      </c>
      <c r="B3616" s="2141">
        <v>12</v>
      </c>
      <c r="C3616" s="2141" t="s">
        <v>3261</v>
      </c>
      <c r="D3616" s="2141">
        <v>55</v>
      </c>
      <c r="E3616" s="2142">
        <v>77.319999999999993</v>
      </c>
      <c r="F3616" s="2142">
        <v>37330</v>
      </c>
      <c r="G3616" s="2142">
        <v>2886355.5999999996</v>
      </c>
      <c r="H3616" s="2143"/>
      <c r="I3616" s="2142">
        <v>50000</v>
      </c>
    </row>
    <row r="3617" spans="1:9" s="2139" customFormat="1" hidden="1">
      <c r="A3617" s="2140" t="s">
        <v>6750</v>
      </c>
      <c r="B3617" s="2141">
        <v>12</v>
      </c>
      <c r="C3617" s="2141" t="s">
        <v>3261</v>
      </c>
      <c r="D3617" s="2141">
        <v>59</v>
      </c>
      <c r="E3617" s="2142">
        <v>55.84</v>
      </c>
      <c r="F3617" s="2142">
        <v>27860</v>
      </c>
      <c r="G3617" s="2142">
        <v>1555702.4000000001</v>
      </c>
      <c r="H3617" s="2143"/>
      <c r="I3617" s="2142">
        <v>50000</v>
      </c>
    </row>
    <row r="3618" spans="1:9" s="2139" customFormat="1" hidden="1">
      <c r="A3618" s="2140" t="s">
        <v>6752</v>
      </c>
      <c r="B3618" s="2141">
        <v>12</v>
      </c>
      <c r="C3618" s="2141" t="s">
        <v>3261</v>
      </c>
      <c r="D3618" s="2141">
        <v>61</v>
      </c>
      <c r="E3618" s="2142">
        <v>40.22</v>
      </c>
      <c r="F3618" s="2142">
        <v>33360</v>
      </c>
      <c r="G3618" s="2142">
        <v>1341739.2</v>
      </c>
      <c r="H3618" s="2143"/>
      <c r="I3618" s="2142">
        <v>50000</v>
      </c>
    </row>
    <row r="3619" spans="1:9" s="2139" customFormat="1" hidden="1">
      <c r="A3619" s="2140" t="s">
        <v>6753</v>
      </c>
      <c r="B3619" s="2141">
        <v>12</v>
      </c>
      <c r="C3619" s="2141" t="s">
        <v>3261</v>
      </c>
      <c r="D3619" s="2141">
        <v>63</v>
      </c>
      <c r="E3619" s="2142">
        <v>43.99</v>
      </c>
      <c r="F3619" s="2142">
        <v>29860</v>
      </c>
      <c r="G3619" s="2142">
        <v>1313541.4000000001</v>
      </c>
      <c r="H3619" s="2143"/>
      <c r="I3619" s="2142">
        <v>150942</v>
      </c>
    </row>
    <row r="3620" spans="1:9" s="2139" customFormat="1" hidden="1">
      <c r="A3620" s="2140" t="s">
        <v>6757</v>
      </c>
      <c r="B3620" s="2141">
        <v>12</v>
      </c>
      <c r="C3620" s="2141" t="s">
        <v>3261</v>
      </c>
      <c r="D3620" s="2141">
        <v>75</v>
      </c>
      <c r="E3620" s="2142">
        <v>41.58</v>
      </c>
      <c r="F3620" s="2142">
        <v>25860</v>
      </c>
      <c r="G3620" s="2142">
        <v>1075258.8</v>
      </c>
      <c r="H3620" s="2143"/>
      <c r="I3620" s="2142">
        <v>120921</v>
      </c>
    </row>
    <row r="3621" spans="1:9" s="2139" customFormat="1" hidden="1">
      <c r="A3621" s="2140" t="s">
        <v>6758</v>
      </c>
      <c r="B3621" s="2141">
        <v>12</v>
      </c>
      <c r="C3621" s="2141" t="s">
        <v>3261</v>
      </c>
      <c r="D3621" s="2141">
        <v>76</v>
      </c>
      <c r="E3621" s="2142">
        <v>41.57</v>
      </c>
      <c r="F3621" s="2142">
        <v>25860</v>
      </c>
      <c r="G3621" s="2142">
        <v>1075000.2</v>
      </c>
      <c r="H3621" s="2143"/>
      <c r="I3621" s="2142">
        <v>120921</v>
      </c>
    </row>
    <row r="3622" spans="1:9" s="2139" customFormat="1" hidden="1">
      <c r="A3622" s="2140" t="s">
        <v>6759</v>
      </c>
      <c r="B3622" s="2141">
        <v>12</v>
      </c>
      <c r="C3622" s="2141" t="s">
        <v>3261</v>
      </c>
      <c r="D3622" s="2141">
        <v>77</v>
      </c>
      <c r="E3622" s="2142">
        <v>43.55</v>
      </c>
      <c r="F3622" s="2142">
        <v>32860</v>
      </c>
      <c r="G3622" s="2142">
        <v>1431053</v>
      </c>
      <c r="H3622" s="2143"/>
      <c r="I3622" s="2142">
        <v>162460</v>
      </c>
    </row>
    <row r="3623" spans="1:9" s="2139" customFormat="1" hidden="1">
      <c r="A3623" s="2140" t="s">
        <v>6760</v>
      </c>
      <c r="B3623" s="2141">
        <v>12</v>
      </c>
      <c r="C3623" s="2141" t="s">
        <v>3261</v>
      </c>
      <c r="D3623" s="2141">
        <v>78</v>
      </c>
      <c r="E3623" s="2142">
        <v>33.909999999999997</v>
      </c>
      <c r="F3623" s="2142">
        <v>32860</v>
      </c>
      <c r="G3623" s="2142">
        <v>1114282.5999999999</v>
      </c>
      <c r="H3623" s="2143"/>
      <c r="I3623" s="2142">
        <v>50000</v>
      </c>
    </row>
    <row r="3624" spans="1:9" s="2139" customFormat="1" hidden="1">
      <c r="A3624" s="2140" t="s">
        <v>6769</v>
      </c>
      <c r="B3624" s="2141">
        <v>12</v>
      </c>
      <c r="C3624" s="2141" t="s">
        <v>3261</v>
      </c>
      <c r="D3624" s="2141">
        <v>89</v>
      </c>
      <c r="E3624" s="2142">
        <v>105.52</v>
      </c>
      <c r="F3624" s="2142">
        <v>39360</v>
      </c>
      <c r="G3624" s="2142">
        <v>4153267.1999999997</v>
      </c>
      <c r="H3624" s="2143"/>
      <c r="I3624" s="2142">
        <v>50000</v>
      </c>
    </row>
    <row r="3625" spans="1:9" s="2139" customFormat="1" hidden="1">
      <c r="A3625" s="2140" t="s">
        <v>6770</v>
      </c>
      <c r="B3625" s="2141">
        <v>12</v>
      </c>
      <c r="C3625" s="2141" t="s">
        <v>3261</v>
      </c>
      <c r="D3625" s="2141">
        <v>91</v>
      </c>
      <c r="E3625" s="2142">
        <v>78.819999999999993</v>
      </c>
      <c r="F3625" s="2142">
        <v>39860</v>
      </c>
      <c r="G3625" s="2142">
        <v>3141765.1999999997</v>
      </c>
      <c r="H3625" s="2143"/>
      <c r="I3625" s="2142">
        <v>50000</v>
      </c>
    </row>
    <row r="3626" spans="1:9" s="2139" customFormat="1" hidden="1">
      <c r="A3626" s="2140" t="s">
        <v>6771</v>
      </c>
      <c r="B3626" s="2141">
        <v>12</v>
      </c>
      <c r="C3626" s="2141" t="s">
        <v>3261</v>
      </c>
      <c r="D3626" s="2141">
        <v>92</v>
      </c>
      <c r="E3626" s="2142">
        <v>105.1</v>
      </c>
      <c r="F3626" s="2142">
        <v>38860</v>
      </c>
      <c r="G3626" s="2142">
        <v>4084186</v>
      </c>
      <c r="H3626" s="2143"/>
      <c r="I3626" s="2142">
        <v>50000</v>
      </c>
    </row>
    <row r="3627" spans="1:9" s="2139" customFormat="1" hidden="1">
      <c r="A3627" s="2140" t="s">
        <v>6773</v>
      </c>
      <c r="B3627" s="2141">
        <v>12</v>
      </c>
      <c r="C3627" s="2141" t="s">
        <v>3261</v>
      </c>
      <c r="D3627" s="2141">
        <v>95</v>
      </c>
      <c r="E3627" s="2142">
        <v>134.43</v>
      </c>
      <c r="F3627" s="2142">
        <v>39860</v>
      </c>
      <c r="G3627" s="2142">
        <v>5358379.8</v>
      </c>
      <c r="H3627" s="2143"/>
      <c r="I3627" s="2142">
        <v>654581</v>
      </c>
    </row>
    <row r="3628" spans="1:9" s="2139" customFormat="1" hidden="1">
      <c r="A3628" s="2140" t="s">
        <v>6774</v>
      </c>
      <c r="B3628" s="2141">
        <v>12</v>
      </c>
      <c r="C3628" s="2141" t="s">
        <v>3261</v>
      </c>
      <c r="D3628" s="2141">
        <v>96</v>
      </c>
      <c r="E3628" s="2142">
        <v>90.04</v>
      </c>
      <c r="F3628" s="2142">
        <v>35860</v>
      </c>
      <c r="G3628" s="2142">
        <v>3228834.4000000004</v>
      </c>
      <c r="H3628" s="2143"/>
      <c r="I3628" s="2142">
        <v>356054</v>
      </c>
    </row>
    <row r="3629" spans="1:9" s="2139" customFormat="1" hidden="1">
      <c r="A3629" s="2140" t="s">
        <v>6775</v>
      </c>
      <c r="B3629" s="2141">
        <v>12</v>
      </c>
      <c r="C3629" s="2141" t="s">
        <v>3261</v>
      </c>
      <c r="D3629" s="2141">
        <v>97</v>
      </c>
      <c r="E3629" s="2142">
        <v>76.12</v>
      </c>
      <c r="F3629" s="2142">
        <v>39970</v>
      </c>
      <c r="G3629" s="2142">
        <v>3042516.4000000004</v>
      </c>
      <c r="H3629" s="2143"/>
      <c r="I3629" s="2142">
        <v>171511</v>
      </c>
    </row>
    <row r="3630" spans="1:9" s="2139" customFormat="1" hidden="1">
      <c r="A3630" s="2140" t="s">
        <v>5948</v>
      </c>
      <c r="B3630" s="2141" t="s">
        <v>3057</v>
      </c>
      <c r="C3630" s="2141" t="s">
        <v>3142</v>
      </c>
      <c r="D3630" s="2141">
        <v>136</v>
      </c>
      <c r="E3630" s="2142">
        <v>47.86</v>
      </c>
      <c r="F3630" s="2142">
        <v>17990</v>
      </c>
      <c r="G3630" s="2142">
        <v>861001.4</v>
      </c>
      <c r="H3630" s="2143"/>
      <c r="I3630" s="2142">
        <v>861001</v>
      </c>
    </row>
    <row r="3631" spans="1:9" s="2139" customFormat="1" hidden="1">
      <c r="A3631" s="2140" t="s">
        <v>5949</v>
      </c>
      <c r="B3631" s="2141" t="s">
        <v>3057</v>
      </c>
      <c r="C3631" s="2141" t="s">
        <v>3142</v>
      </c>
      <c r="D3631" s="2141">
        <v>138</v>
      </c>
      <c r="E3631" s="2142">
        <v>75.900000000000006</v>
      </c>
      <c r="F3631" s="2142">
        <v>18290</v>
      </c>
      <c r="G3631" s="2142">
        <v>1388211</v>
      </c>
      <c r="H3631" s="2143"/>
      <c r="I3631" s="2142">
        <v>1388211</v>
      </c>
    </row>
    <row r="3632" spans="1:9" s="2139" customFormat="1" hidden="1">
      <c r="A3632" s="2140" t="s">
        <v>5950</v>
      </c>
      <c r="B3632" s="2141" t="s">
        <v>3057</v>
      </c>
      <c r="C3632" s="2141" t="s">
        <v>3142</v>
      </c>
      <c r="D3632" s="2141">
        <v>139</v>
      </c>
      <c r="E3632" s="2142">
        <v>64.25</v>
      </c>
      <c r="F3632" s="2142">
        <v>18290</v>
      </c>
      <c r="G3632" s="2142">
        <v>1175133</v>
      </c>
      <c r="H3632" s="2143"/>
      <c r="I3632" s="2142">
        <v>1171292</v>
      </c>
    </row>
    <row r="3633" spans="1:9" s="2139" customFormat="1" hidden="1">
      <c r="A3633" s="2140" t="s">
        <v>5951</v>
      </c>
      <c r="B3633" s="2141" t="s">
        <v>3057</v>
      </c>
      <c r="C3633" s="2141" t="s">
        <v>3142</v>
      </c>
      <c r="D3633" s="2141">
        <v>140</v>
      </c>
      <c r="E3633" s="2142">
        <v>48.18</v>
      </c>
      <c r="F3633" s="2142">
        <v>17990</v>
      </c>
      <c r="G3633" s="2142">
        <v>866758.2</v>
      </c>
      <c r="H3633" s="2143"/>
      <c r="I3633" s="2142">
        <v>866758</v>
      </c>
    </row>
    <row r="3634" spans="1:9" s="2139" customFormat="1" hidden="1">
      <c r="A3634" s="2140" t="s">
        <v>5952</v>
      </c>
      <c r="B3634" s="2141" t="s">
        <v>3057</v>
      </c>
      <c r="C3634" s="2141" t="s">
        <v>3142</v>
      </c>
      <c r="D3634" s="2141">
        <v>141</v>
      </c>
      <c r="E3634" s="2142">
        <v>47.86</v>
      </c>
      <c r="F3634" s="2142">
        <v>17990</v>
      </c>
      <c r="G3634" s="2142">
        <v>861001.4</v>
      </c>
      <c r="H3634" s="2143"/>
      <c r="I3634" s="2142">
        <v>861001</v>
      </c>
    </row>
    <row r="3635" spans="1:9" s="2139" customFormat="1" hidden="1">
      <c r="A3635" s="2140" t="s">
        <v>5953</v>
      </c>
      <c r="B3635" s="2141" t="s">
        <v>3057</v>
      </c>
      <c r="C3635" s="2141" t="s">
        <v>3142</v>
      </c>
      <c r="D3635" s="2141">
        <v>143</v>
      </c>
      <c r="E3635" s="2142">
        <v>33.03</v>
      </c>
      <c r="F3635" s="2142">
        <v>18290</v>
      </c>
      <c r="G3635" s="2142">
        <v>604118.70000000007</v>
      </c>
      <c r="H3635" s="2143"/>
      <c r="I3635" s="2142">
        <v>604119</v>
      </c>
    </row>
    <row r="3636" spans="1:9" s="2139" customFormat="1" hidden="1">
      <c r="A3636" s="2140" t="s">
        <v>5954</v>
      </c>
      <c r="B3636" s="2141" t="s">
        <v>3057</v>
      </c>
      <c r="C3636" s="2141" t="s">
        <v>3142</v>
      </c>
      <c r="D3636" s="2141">
        <v>145</v>
      </c>
      <c r="E3636" s="2142">
        <v>107.28</v>
      </c>
      <c r="F3636" s="2142">
        <v>19790</v>
      </c>
      <c r="G3636" s="2142">
        <v>2123071.2000000002</v>
      </c>
      <c r="H3636" s="2143"/>
      <c r="I3636" s="2142">
        <v>2123071</v>
      </c>
    </row>
    <row r="3637" spans="1:9" s="2139" customFormat="1" hidden="1">
      <c r="A3637" s="2140" t="s">
        <v>5955</v>
      </c>
      <c r="B3637" s="2141" t="s">
        <v>3057</v>
      </c>
      <c r="C3637" s="2141" t="s">
        <v>3142</v>
      </c>
      <c r="D3637" s="2141">
        <v>146</v>
      </c>
      <c r="E3637" s="2142">
        <v>70.959999999999994</v>
      </c>
      <c r="F3637" s="2142">
        <v>19300</v>
      </c>
      <c r="G3637" s="2142">
        <v>1369527.9999999998</v>
      </c>
      <c r="H3637" s="2143"/>
      <c r="I3637" s="2142">
        <v>1369528</v>
      </c>
    </row>
    <row r="3638" spans="1:9" s="2139" customFormat="1" hidden="1">
      <c r="A3638" s="2140" t="s">
        <v>5956</v>
      </c>
      <c r="B3638" s="2141" t="s">
        <v>3057</v>
      </c>
      <c r="C3638" s="2141" t="s">
        <v>3142</v>
      </c>
      <c r="D3638" s="2141">
        <v>147</v>
      </c>
      <c r="E3638" s="2142">
        <v>70.959999999999994</v>
      </c>
      <c r="F3638" s="2142">
        <v>19300</v>
      </c>
      <c r="G3638" s="2142">
        <v>1369527.9999999998</v>
      </c>
      <c r="H3638" s="2143"/>
      <c r="I3638" s="2142">
        <v>1369528</v>
      </c>
    </row>
    <row r="3639" spans="1:9" s="2139" customFormat="1" hidden="1">
      <c r="A3639" s="2140" t="s">
        <v>5957</v>
      </c>
      <c r="B3639" s="2141" t="s">
        <v>3057</v>
      </c>
      <c r="C3639" s="2141" t="s">
        <v>3142</v>
      </c>
      <c r="D3639" s="2141">
        <v>149</v>
      </c>
      <c r="E3639" s="2142">
        <v>75.16</v>
      </c>
      <c r="F3639" s="2142">
        <v>19300</v>
      </c>
      <c r="G3639" s="2142">
        <v>1450588</v>
      </c>
      <c r="H3639" s="2143"/>
      <c r="I3639" s="2142">
        <v>1450588</v>
      </c>
    </row>
    <row r="3640" spans="1:9" s="2139" customFormat="1" hidden="1">
      <c r="A3640" s="2140" t="s">
        <v>5958</v>
      </c>
      <c r="B3640" s="2141" t="s">
        <v>3057</v>
      </c>
      <c r="C3640" s="2141" t="s">
        <v>3142</v>
      </c>
      <c r="D3640" s="2141">
        <v>150</v>
      </c>
      <c r="E3640" s="2142">
        <v>49.87</v>
      </c>
      <c r="F3640" s="2142">
        <v>19300</v>
      </c>
      <c r="G3640" s="2142">
        <v>962491</v>
      </c>
      <c r="H3640" s="2143"/>
      <c r="I3640" s="2142">
        <v>962491</v>
      </c>
    </row>
    <row r="3641" spans="1:9" s="2139" customFormat="1" hidden="1">
      <c r="A3641" s="2140" t="s">
        <v>5959</v>
      </c>
      <c r="B3641" s="2141" t="s">
        <v>3057</v>
      </c>
      <c r="C3641" s="2141" t="s">
        <v>3142</v>
      </c>
      <c r="D3641" s="2141">
        <v>151</v>
      </c>
      <c r="E3641" s="2142">
        <v>70.849999999999994</v>
      </c>
      <c r="F3641" s="2142">
        <v>19300</v>
      </c>
      <c r="G3641" s="2142">
        <v>1367405</v>
      </c>
      <c r="H3641" s="2143"/>
      <c r="I3641" s="2142">
        <v>1367405</v>
      </c>
    </row>
    <row r="3642" spans="1:9" s="2139" customFormat="1" hidden="1">
      <c r="A3642" s="2140" t="s">
        <v>5960</v>
      </c>
      <c r="B3642" s="2141" t="s">
        <v>3057</v>
      </c>
      <c r="C3642" s="2141" t="s">
        <v>3142</v>
      </c>
      <c r="D3642" s="2141">
        <v>152</v>
      </c>
      <c r="E3642" s="2142">
        <v>70.64</v>
      </c>
      <c r="F3642" s="2142">
        <v>19300</v>
      </c>
      <c r="G3642" s="2142">
        <v>1363352</v>
      </c>
      <c r="H3642" s="2143"/>
      <c r="I3642" s="2142">
        <v>1363352</v>
      </c>
    </row>
    <row r="3643" spans="1:9" s="2139" customFormat="1" hidden="1">
      <c r="A3643" s="2140" t="s">
        <v>5961</v>
      </c>
      <c r="B3643" s="2141" t="s">
        <v>3057</v>
      </c>
      <c r="C3643" s="2141" t="s">
        <v>3142</v>
      </c>
      <c r="D3643" s="2141">
        <v>153</v>
      </c>
      <c r="E3643" s="2142">
        <v>67.13</v>
      </c>
      <c r="F3643" s="2142">
        <v>19300</v>
      </c>
      <c r="G3643" s="2142">
        <v>1295609</v>
      </c>
      <c r="H3643" s="2143"/>
      <c r="I3643" s="2142">
        <v>1295609</v>
      </c>
    </row>
    <row r="3644" spans="1:9" s="2139" customFormat="1" hidden="1">
      <c r="A3644" s="2140" t="s">
        <v>5963</v>
      </c>
      <c r="B3644" s="2141" t="s">
        <v>3057</v>
      </c>
      <c r="C3644" s="2141" t="s">
        <v>3142</v>
      </c>
      <c r="D3644" s="2141">
        <v>156</v>
      </c>
      <c r="E3644" s="2142">
        <v>72.61</v>
      </c>
      <c r="F3644" s="2142">
        <v>19300</v>
      </c>
      <c r="G3644" s="2142">
        <v>1401373</v>
      </c>
      <c r="H3644" s="2143"/>
      <c r="I3644" s="2142">
        <v>1401373</v>
      </c>
    </row>
    <row r="3645" spans="1:9" s="2139" customFormat="1" hidden="1">
      <c r="A3645" s="2140" t="s">
        <v>5964</v>
      </c>
      <c r="B3645" s="2141" t="s">
        <v>3057</v>
      </c>
      <c r="C3645" s="2141" t="s">
        <v>3142</v>
      </c>
      <c r="D3645" s="2141">
        <v>157</v>
      </c>
      <c r="E3645" s="2142">
        <v>75.209999999999994</v>
      </c>
      <c r="F3645" s="2142">
        <v>19790</v>
      </c>
      <c r="G3645" s="2142">
        <v>1488405.9</v>
      </c>
      <c r="H3645" s="2143"/>
      <c r="I3645" s="2142">
        <v>1488406</v>
      </c>
    </row>
    <row r="3646" spans="1:9" s="2139" customFormat="1" hidden="1">
      <c r="A3646" s="2140" t="s">
        <v>5965</v>
      </c>
      <c r="B3646" s="2141" t="s">
        <v>3057</v>
      </c>
      <c r="C3646" s="2141" t="s">
        <v>3142</v>
      </c>
      <c r="D3646" s="2141">
        <v>158</v>
      </c>
      <c r="E3646" s="2142">
        <v>58.32</v>
      </c>
      <c r="F3646" s="2142">
        <v>16100</v>
      </c>
      <c r="G3646" s="2142">
        <v>938952</v>
      </c>
      <c r="H3646" s="2143"/>
      <c r="I3646" s="2142">
        <v>938952</v>
      </c>
    </row>
    <row r="3647" spans="1:9" s="2139" customFormat="1" hidden="1">
      <c r="A3647" s="2140" t="s">
        <v>5967</v>
      </c>
      <c r="B3647" s="2141" t="s">
        <v>3057</v>
      </c>
      <c r="C3647" s="2141" t="s">
        <v>3142</v>
      </c>
      <c r="D3647" s="2141">
        <v>161</v>
      </c>
      <c r="E3647" s="2142">
        <v>43.97</v>
      </c>
      <c r="F3647" s="2142">
        <v>14590</v>
      </c>
      <c r="G3647" s="2142">
        <v>641522.29999999993</v>
      </c>
      <c r="H3647" s="2143"/>
      <c r="I3647" s="2142">
        <v>641522</v>
      </c>
    </row>
    <row r="3648" spans="1:9" s="2139" customFormat="1" hidden="1">
      <c r="A3648" s="2140" t="s">
        <v>5968</v>
      </c>
      <c r="B3648" s="2141" t="s">
        <v>3057</v>
      </c>
      <c r="C3648" s="2141" t="s">
        <v>3142</v>
      </c>
      <c r="D3648" s="2141">
        <v>162</v>
      </c>
      <c r="E3648" s="2142">
        <v>33</v>
      </c>
      <c r="F3648" s="2142">
        <v>14590</v>
      </c>
      <c r="G3648" s="2142">
        <v>481470</v>
      </c>
      <c r="H3648" s="2143"/>
      <c r="I3648" s="2142">
        <v>481470</v>
      </c>
    </row>
    <row r="3649" spans="1:9" s="2139" customFormat="1" hidden="1">
      <c r="A3649" s="2140" t="s">
        <v>5969</v>
      </c>
      <c r="B3649" s="2141" t="s">
        <v>3057</v>
      </c>
      <c r="C3649" s="2141" t="s">
        <v>3142</v>
      </c>
      <c r="D3649" s="2141">
        <v>163</v>
      </c>
      <c r="E3649" s="2142">
        <v>50.22</v>
      </c>
      <c r="F3649" s="2142">
        <v>14590</v>
      </c>
      <c r="G3649" s="2142">
        <v>732709.79999999993</v>
      </c>
      <c r="H3649" s="2143"/>
      <c r="I3649" s="2142">
        <v>732710</v>
      </c>
    </row>
    <row r="3650" spans="1:9" s="2139" customFormat="1" hidden="1">
      <c r="A3650" s="2140" t="s">
        <v>5970</v>
      </c>
      <c r="B3650" s="2141" t="s">
        <v>3057</v>
      </c>
      <c r="C3650" s="2141" t="s">
        <v>3142</v>
      </c>
      <c r="D3650" s="2141">
        <v>166</v>
      </c>
      <c r="E3650" s="2142">
        <v>46.86</v>
      </c>
      <c r="F3650" s="2142">
        <v>14590</v>
      </c>
      <c r="G3650" s="2142">
        <v>683687.4</v>
      </c>
      <c r="H3650" s="2143"/>
      <c r="I3650" s="2142">
        <v>683687</v>
      </c>
    </row>
    <row r="3651" spans="1:9" s="2139" customFormat="1" hidden="1">
      <c r="A3651" s="2140" t="s">
        <v>5971</v>
      </c>
      <c r="B3651" s="2141" t="s">
        <v>3057</v>
      </c>
      <c r="C3651" s="2141" t="s">
        <v>3142</v>
      </c>
      <c r="D3651" s="2141">
        <v>167</v>
      </c>
      <c r="E3651" s="2142">
        <v>43.09</v>
      </c>
      <c r="F3651" s="2142">
        <v>14590</v>
      </c>
      <c r="G3651" s="2142">
        <v>628683.10000000009</v>
      </c>
      <c r="H3651" s="2143"/>
      <c r="I3651" s="2142">
        <v>628683</v>
      </c>
    </row>
    <row r="3652" spans="1:9" s="2139" customFormat="1" hidden="1">
      <c r="A3652" s="2140" t="s">
        <v>5973</v>
      </c>
      <c r="B3652" s="2141" t="s">
        <v>3057</v>
      </c>
      <c r="C3652" s="2141" t="s">
        <v>3142</v>
      </c>
      <c r="D3652" s="2141">
        <v>169</v>
      </c>
      <c r="E3652" s="2142">
        <v>59.7</v>
      </c>
      <c r="F3652" s="2142">
        <v>18290</v>
      </c>
      <c r="G3652" s="2142">
        <v>1091913</v>
      </c>
      <c r="H3652" s="2143"/>
      <c r="I3652" s="2142">
        <v>1091913</v>
      </c>
    </row>
    <row r="3653" spans="1:9" s="2139" customFormat="1" hidden="1">
      <c r="A3653" s="2140" t="s">
        <v>5974</v>
      </c>
      <c r="B3653" s="2141" t="s">
        <v>3057</v>
      </c>
      <c r="C3653" s="2141" t="s">
        <v>3142</v>
      </c>
      <c r="D3653" s="2141">
        <v>170</v>
      </c>
      <c r="E3653" s="2142">
        <v>55</v>
      </c>
      <c r="F3653" s="2142">
        <v>17990</v>
      </c>
      <c r="G3653" s="2142">
        <v>989450</v>
      </c>
      <c r="H3653" s="2143"/>
      <c r="I3653" s="2142">
        <v>989450</v>
      </c>
    </row>
    <row r="3654" spans="1:9" s="2139" customFormat="1" hidden="1">
      <c r="A3654" s="2140" t="s">
        <v>5975</v>
      </c>
      <c r="B3654" s="2141" t="s">
        <v>3057</v>
      </c>
      <c r="C3654" s="2141" t="s">
        <v>3142</v>
      </c>
      <c r="D3654" s="2141">
        <v>171</v>
      </c>
      <c r="E3654" s="2142">
        <v>55.02</v>
      </c>
      <c r="F3654" s="2142">
        <v>17990</v>
      </c>
      <c r="G3654" s="2142">
        <v>989809.8</v>
      </c>
      <c r="H3654" s="2143"/>
      <c r="I3654" s="2142">
        <v>989810</v>
      </c>
    </row>
    <row r="3655" spans="1:9" s="2139" customFormat="1" hidden="1">
      <c r="A3655" s="2140" t="s">
        <v>5976</v>
      </c>
      <c r="B3655" s="2141" t="s">
        <v>3057</v>
      </c>
      <c r="C3655" s="2141" t="s">
        <v>3142</v>
      </c>
      <c r="D3655" s="2141">
        <v>172</v>
      </c>
      <c r="E3655" s="2142">
        <v>54.99</v>
      </c>
      <c r="F3655" s="2142">
        <v>17990</v>
      </c>
      <c r="G3655" s="2142">
        <v>989270.10000000009</v>
      </c>
      <c r="H3655" s="2143"/>
      <c r="I3655" s="2142">
        <v>989270</v>
      </c>
    </row>
    <row r="3656" spans="1:9" s="2139" customFormat="1" hidden="1">
      <c r="A3656" s="2140" t="s">
        <v>5977</v>
      </c>
      <c r="B3656" s="2141" t="s">
        <v>3057</v>
      </c>
      <c r="C3656" s="2141" t="s">
        <v>3142</v>
      </c>
      <c r="D3656" s="2141">
        <v>173</v>
      </c>
      <c r="E3656" s="2142">
        <v>58.3</v>
      </c>
      <c r="F3656" s="2142">
        <v>17990</v>
      </c>
      <c r="G3656" s="2142">
        <v>1048817</v>
      </c>
      <c r="H3656" s="2143"/>
      <c r="I3656" s="2142">
        <v>1048817</v>
      </c>
    </row>
    <row r="3657" spans="1:9" s="2139" customFormat="1" hidden="1">
      <c r="A3657" s="2140" t="s">
        <v>5978</v>
      </c>
      <c r="B3657" s="2141" t="s">
        <v>3057</v>
      </c>
      <c r="C3657" s="2141" t="s">
        <v>3142</v>
      </c>
      <c r="D3657" s="2141">
        <v>175</v>
      </c>
      <c r="E3657" s="2142">
        <v>58.33</v>
      </c>
      <c r="F3657" s="2142">
        <v>17990</v>
      </c>
      <c r="G3657" s="2142">
        <v>1049356.7</v>
      </c>
      <c r="H3657" s="2143"/>
      <c r="I3657" s="2142">
        <v>1049357</v>
      </c>
    </row>
    <row r="3658" spans="1:9" s="2139" customFormat="1" hidden="1">
      <c r="A3658" s="2140" t="s">
        <v>5979</v>
      </c>
      <c r="B3658" s="2141" t="s">
        <v>3057</v>
      </c>
      <c r="C3658" s="2141" t="s">
        <v>3142</v>
      </c>
      <c r="D3658" s="2141">
        <v>176</v>
      </c>
      <c r="E3658" s="2142">
        <v>84.95</v>
      </c>
      <c r="F3658" s="2142">
        <v>18290</v>
      </c>
      <c r="G3658" s="2142">
        <v>1553736</v>
      </c>
      <c r="H3658" s="2143"/>
      <c r="I3658" s="2142">
        <v>1553553</v>
      </c>
    </row>
    <row r="3659" spans="1:9" s="2139" customFormat="1" hidden="1">
      <c r="A3659" s="2140" t="s">
        <v>5980</v>
      </c>
      <c r="B3659" s="2141" t="s">
        <v>3057</v>
      </c>
      <c r="C3659" s="2141" t="s">
        <v>3142</v>
      </c>
      <c r="D3659" s="2141">
        <v>177</v>
      </c>
      <c r="E3659" s="2142">
        <v>57.57</v>
      </c>
      <c r="F3659" s="2142">
        <v>18289.994999999999</v>
      </c>
      <c r="G3659" s="2142">
        <v>1052955.0121499998</v>
      </c>
      <c r="H3659" s="2143"/>
      <c r="I3659" s="2142">
        <v>1052955</v>
      </c>
    </row>
    <row r="3660" spans="1:9" s="2139" customFormat="1" hidden="1">
      <c r="A3660" s="2140" t="s">
        <v>5981</v>
      </c>
      <c r="B3660" s="2141" t="s">
        <v>3057</v>
      </c>
      <c r="C3660" s="2141" t="s">
        <v>3142</v>
      </c>
      <c r="D3660" s="2141">
        <v>178</v>
      </c>
      <c r="E3660" s="2142">
        <v>58.31</v>
      </c>
      <c r="F3660" s="2142">
        <v>17990</v>
      </c>
      <c r="G3660" s="2142">
        <v>1048996.9000000001</v>
      </c>
      <c r="H3660" s="2143"/>
      <c r="I3660" s="2142">
        <v>1048997</v>
      </c>
    </row>
    <row r="3661" spans="1:9" s="2139" customFormat="1" hidden="1">
      <c r="A3661" s="2140" t="s">
        <v>5982</v>
      </c>
      <c r="B3661" s="2141" t="s">
        <v>3057</v>
      </c>
      <c r="C3661" s="2141" t="s">
        <v>3142</v>
      </c>
      <c r="D3661" s="2141">
        <v>179</v>
      </c>
      <c r="E3661" s="2142">
        <v>58.33</v>
      </c>
      <c r="F3661" s="2142">
        <v>17990</v>
      </c>
      <c r="G3661" s="2142">
        <v>1049356.7</v>
      </c>
      <c r="H3661" s="2143"/>
      <c r="I3661" s="2142">
        <v>1049357</v>
      </c>
    </row>
    <row r="3662" spans="1:9" s="2139" customFormat="1" hidden="1">
      <c r="A3662" s="2140" t="s">
        <v>5983</v>
      </c>
      <c r="B3662" s="2141" t="s">
        <v>3057</v>
      </c>
      <c r="C3662" s="2141" t="s">
        <v>3142</v>
      </c>
      <c r="D3662" s="2141">
        <v>180</v>
      </c>
      <c r="E3662" s="2142">
        <v>56.09</v>
      </c>
      <c r="F3662" s="2142">
        <v>17989.998200000002</v>
      </c>
      <c r="G3662" s="2142">
        <v>1009058.9990380001</v>
      </c>
      <c r="H3662" s="2143"/>
      <c r="I3662" s="2142">
        <v>1009059</v>
      </c>
    </row>
    <row r="3663" spans="1:9" s="2139" customFormat="1" hidden="1">
      <c r="A3663" s="2140" t="s">
        <v>5993</v>
      </c>
      <c r="B3663" s="2141" t="s">
        <v>3057</v>
      </c>
      <c r="C3663" s="2141" t="s">
        <v>3142</v>
      </c>
      <c r="D3663" s="2141">
        <v>205</v>
      </c>
      <c r="E3663" s="2142">
        <v>74.739999999999995</v>
      </c>
      <c r="F3663" s="2142">
        <v>15800</v>
      </c>
      <c r="G3663" s="2142">
        <v>1180892</v>
      </c>
      <c r="H3663" s="2143"/>
      <c r="I3663" s="2142">
        <v>1180892</v>
      </c>
    </row>
    <row r="3664" spans="1:9" s="2139" customFormat="1" hidden="1">
      <c r="A3664" s="2140" t="s">
        <v>5994</v>
      </c>
      <c r="B3664" s="2141" t="s">
        <v>3057</v>
      </c>
      <c r="C3664" s="2141" t="s">
        <v>3142</v>
      </c>
      <c r="D3664" s="2141">
        <v>206</v>
      </c>
      <c r="E3664" s="2142">
        <v>53.5</v>
      </c>
      <c r="F3664" s="2142">
        <v>16100</v>
      </c>
      <c r="G3664" s="2142">
        <v>861350</v>
      </c>
      <c r="H3664" s="2143"/>
      <c r="I3664" s="2142">
        <v>861350</v>
      </c>
    </row>
    <row r="3665" spans="1:9" s="2139" customFormat="1" hidden="1">
      <c r="A3665" s="2140" t="s">
        <v>5995</v>
      </c>
      <c r="B3665" s="2141" t="s">
        <v>3057</v>
      </c>
      <c r="C3665" s="2141" t="s">
        <v>3142</v>
      </c>
      <c r="D3665" s="2141">
        <v>210</v>
      </c>
      <c r="E3665" s="2142">
        <v>102.3</v>
      </c>
      <c r="F3665" s="2142">
        <v>15100</v>
      </c>
      <c r="G3665" s="2142">
        <v>1544730</v>
      </c>
      <c r="H3665" s="2143"/>
      <c r="I3665" s="2142">
        <v>1544730</v>
      </c>
    </row>
    <row r="3666" spans="1:9" s="2139" customFormat="1" hidden="1">
      <c r="A3666" s="2140" t="s">
        <v>5996</v>
      </c>
      <c r="B3666" s="2141" t="s">
        <v>3057</v>
      </c>
      <c r="C3666" s="2141" t="s">
        <v>3142</v>
      </c>
      <c r="D3666" s="2141">
        <v>216</v>
      </c>
      <c r="E3666" s="2142">
        <v>75.89</v>
      </c>
      <c r="F3666" s="2142">
        <v>16100</v>
      </c>
      <c r="G3666" s="2142">
        <v>1221829</v>
      </c>
      <c r="H3666" s="2143"/>
      <c r="I3666" s="2142">
        <v>1221829</v>
      </c>
    </row>
    <row r="3667" spans="1:9" s="2139" customFormat="1" hidden="1">
      <c r="A3667" s="2140" t="s">
        <v>5997</v>
      </c>
      <c r="B3667" s="2141" t="s">
        <v>3057</v>
      </c>
      <c r="C3667" s="2141" t="s">
        <v>3142</v>
      </c>
      <c r="D3667" s="2141">
        <v>217</v>
      </c>
      <c r="E3667" s="2142">
        <v>71.78</v>
      </c>
      <c r="F3667" s="2142">
        <v>15800</v>
      </c>
      <c r="G3667" s="2142">
        <v>1134124</v>
      </c>
      <c r="H3667" s="2143"/>
      <c r="I3667" s="2142">
        <v>1134124</v>
      </c>
    </row>
    <row r="3668" spans="1:9" s="2139" customFormat="1" hidden="1">
      <c r="A3668" s="2140" t="s">
        <v>5998</v>
      </c>
      <c r="B3668" s="2141" t="s">
        <v>3057</v>
      </c>
      <c r="C3668" s="2141" t="s">
        <v>3142</v>
      </c>
      <c r="D3668" s="2141">
        <v>218</v>
      </c>
      <c r="E3668" s="2142">
        <v>68.03</v>
      </c>
      <c r="F3668" s="2142">
        <v>19500</v>
      </c>
      <c r="G3668" s="2142">
        <v>1326585</v>
      </c>
      <c r="H3668" s="2143"/>
      <c r="I3668" s="2142">
        <v>1326585</v>
      </c>
    </row>
    <row r="3669" spans="1:9" s="2139" customFormat="1" hidden="1">
      <c r="A3669" s="2140" t="s">
        <v>5999</v>
      </c>
      <c r="B3669" s="2141" t="s">
        <v>3057</v>
      </c>
      <c r="C3669" s="2141" t="s">
        <v>3142</v>
      </c>
      <c r="D3669" s="2141">
        <v>219</v>
      </c>
      <c r="E3669" s="2142">
        <v>75.55</v>
      </c>
      <c r="F3669" s="2142">
        <v>19500</v>
      </c>
      <c r="G3669" s="2142">
        <v>1473225</v>
      </c>
      <c r="H3669" s="2143"/>
      <c r="I3669" s="2142">
        <v>1473225</v>
      </c>
    </row>
    <row r="3670" spans="1:9" s="2139" customFormat="1" hidden="1">
      <c r="A3670" s="2140" t="s">
        <v>6000</v>
      </c>
      <c r="B3670" s="2141" t="s">
        <v>3057</v>
      </c>
      <c r="C3670" s="2141" t="s">
        <v>3142</v>
      </c>
      <c r="D3670" s="2141">
        <v>220</v>
      </c>
      <c r="E3670" s="2142">
        <v>69.06</v>
      </c>
      <c r="F3670" s="2142">
        <v>19500</v>
      </c>
      <c r="G3670" s="2142">
        <v>1346670</v>
      </c>
      <c r="H3670" s="2143"/>
      <c r="I3670" s="2142">
        <v>1346670</v>
      </c>
    </row>
    <row r="3671" spans="1:9" s="2139" customFormat="1" hidden="1">
      <c r="A3671" s="2140" t="s">
        <v>6001</v>
      </c>
      <c r="B3671" s="2141" t="s">
        <v>3057</v>
      </c>
      <c r="C3671" s="2141" t="s">
        <v>3142</v>
      </c>
      <c r="D3671" s="2141">
        <v>226</v>
      </c>
      <c r="E3671" s="2142">
        <v>102.3</v>
      </c>
      <c r="F3671" s="2142">
        <v>16100</v>
      </c>
      <c r="G3671" s="2142">
        <v>1647030</v>
      </c>
      <c r="H3671" s="2143"/>
      <c r="I3671" s="2142">
        <v>1647030</v>
      </c>
    </row>
    <row r="3672" spans="1:9" s="2139" customFormat="1" hidden="1">
      <c r="A3672" s="2140" t="s">
        <v>6002</v>
      </c>
      <c r="B3672" s="2141" t="s">
        <v>3057</v>
      </c>
      <c r="C3672" s="2141" t="s">
        <v>3142</v>
      </c>
      <c r="D3672" s="2141">
        <v>227</v>
      </c>
      <c r="E3672" s="2142">
        <v>86.84</v>
      </c>
      <c r="F3672" s="2142">
        <v>16100</v>
      </c>
      <c r="G3672" s="2142">
        <v>1398124</v>
      </c>
      <c r="H3672" s="2143"/>
      <c r="I3672" s="2142">
        <v>1398124</v>
      </c>
    </row>
    <row r="3673" spans="1:9" s="2139" customFormat="1" hidden="1">
      <c r="A3673" s="2140" t="s">
        <v>6003</v>
      </c>
      <c r="B3673" s="2141" t="s">
        <v>3057</v>
      </c>
      <c r="C3673" s="2141" t="s">
        <v>3142</v>
      </c>
      <c r="D3673" s="2141">
        <v>228</v>
      </c>
      <c r="E3673" s="2142">
        <v>70.959999999999994</v>
      </c>
      <c r="F3673" s="2142">
        <v>15800</v>
      </c>
      <c r="G3673" s="2142">
        <v>1121168</v>
      </c>
      <c r="H3673" s="2143"/>
      <c r="I3673" s="2142">
        <v>1121168</v>
      </c>
    </row>
    <row r="3674" spans="1:9" s="2139" customFormat="1" hidden="1">
      <c r="A3674" s="2140" t="s">
        <v>6004</v>
      </c>
      <c r="B3674" s="2141" t="s">
        <v>3057</v>
      </c>
      <c r="C3674" s="2141" t="s">
        <v>3142</v>
      </c>
      <c r="D3674" s="2141">
        <v>232</v>
      </c>
      <c r="E3674" s="2142">
        <v>147</v>
      </c>
      <c r="F3674" s="2142">
        <v>19500</v>
      </c>
      <c r="G3674" s="2142">
        <v>2866500</v>
      </c>
      <c r="H3674" s="2143"/>
      <c r="I3674" s="2142">
        <v>2866500</v>
      </c>
    </row>
    <row r="3675" spans="1:9" s="2139" customFormat="1" hidden="1">
      <c r="A3675" s="2140" t="s">
        <v>6313</v>
      </c>
      <c r="B3675" s="2141">
        <v>9</v>
      </c>
      <c r="C3675" s="2141" t="s">
        <v>3142</v>
      </c>
      <c r="D3675" s="2141">
        <v>8</v>
      </c>
      <c r="E3675" s="2142">
        <v>79.75</v>
      </c>
      <c r="F3675" s="2142">
        <v>18540</v>
      </c>
      <c r="G3675" s="2142">
        <v>1478565</v>
      </c>
      <c r="H3675" s="2143"/>
      <c r="I3675" s="2142">
        <v>153066</v>
      </c>
    </row>
    <row r="3676" spans="1:9" s="2139" customFormat="1" hidden="1">
      <c r="A3676" s="2140" t="s">
        <v>6314</v>
      </c>
      <c r="B3676" s="2141">
        <v>9</v>
      </c>
      <c r="C3676" s="2141" t="s">
        <v>3142</v>
      </c>
      <c r="D3676" s="2141">
        <v>9</v>
      </c>
      <c r="E3676" s="2142">
        <v>100.65</v>
      </c>
      <c r="F3676" s="2142">
        <v>19570</v>
      </c>
      <c r="G3676" s="2142">
        <v>1969720.5</v>
      </c>
      <c r="H3676" s="2143"/>
      <c r="I3676" s="2142">
        <v>190142</v>
      </c>
    </row>
    <row r="3677" spans="1:9" s="2139" customFormat="1" hidden="1">
      <c r="A3677" s="2140" t="s">
        <v>6315</v>
      </c>
      <c r="B3677" s="2141">
        <v>9</v>
      </c>
      <c r="C3677" s="2141" t="s">
        <v>3142</v>
      </c>
      <c r="D3677" s="2141">
        <v>10</v>
      </c>
      <c r="E3677" s="2142">
        <v>83.55</v>
      </c>
      <c r="F3677" s="2142">
        <v>19570</v>
      </c>
      <c r="G3677" s="2142">
        <v>1635073.5</v>
      </c>
      <c r="H3677" s="2143"/>
      <c r="I3677" s="2142">
        <v>167735</v>
      </c>
    </row>
    <row r="3678" spans="1:9" s="2139" customFormat="1" hidden="1">
      <c r="A3678" s="2140" t="s">
        <v>6317</v>
      </c>
      <c r="B3678" s="2141">
        <v>9</v>
      </c>
      <c r="C3678" s="2141" t="s">
        <v>3142</v>
      </c>
      <c r="D3678" s="2141">
        <v>13</v>
      </c>
      <c r="E3678" s="2142">
        <v>79.75</v>
      </c>
      <c r="F3678" s="2142">
        <v>18540</v>
      </c>
      <c r="G3678" s="2142">
        <v>1478565</v>
      </c>
      <c r="H3678" s="2143"/>
      <c r="I3678" s="2142">
        <v>153066</v>
      </c>
    </row>
    <row r="3679" spans="1:9" s="2139" customFormat="1" hidden="1">
      <c r="A3679" s="2140" t="s">
        <v>6318</v>
      </c>
      <c r="B3679" s="2141">
        <v>9</v>
      </c>
      <c r="C3679" s="2141" t="s">
        <v>3142</v>
      </c>
      <c r="D3679" s="2141">
        <v>17</v>
      </c>
      <c r="E3679" s="2142">
        <v>76.709999999999994</v>
      </c>
      <c r="F3679" s="2142">
        <v>19570</v>
      </c>
      <c r="G3679" s="2142">
        <v>1501214.7</v>
      </c>
      <c r="H3679" s="2143"/>
      <c r="I3679" s="2142">
        <v>150826</v>
      </c>
    </row>
    <row r="3680" spans="1:9" s="2139" customFormat="1" hidden="1">
      <c r="A3680" s="2140" t="s">
        <v>6319</v>
      </c>
      <c r="B3680" s="2141">
        <v>9</v>
      </c>
      <c r="C3680" s="2141" t="s">
        <v>3142</v>
      </c>
      <c r="D3680" s="2141">
        <v>19</v>
      </c>
      <c r="E3680" s="2142">
        <v>79.75</v>
      </c>
      <c r="F3680" s="2142">
        <v>18540</v>
      </c>
      <c r="G3680" s="2142">
        <v>1478565</v>
      </c>
      <c r="H3680" s="2143"/>
      <c r="I3680" s="2142">
        <v>153066</v>
      </c>
    </row>
    <row r="3681" spans="1:9" s="2139" customFormat="1" hidden="1">
      <c r="A3681" s="2140" t="s">
        <v>6321</v>
      </c>
      <c r="B3681" s="2141">
        <v>9</v>
      </c>
      <c r="C3681" s="2141" t="s">
        <v>3142</v>
      </c>
      <c r="D3681" s="2141">
        <v>23</v>
      </c>
      <c r="E3681" s="2142">
        <v>83.55</v>
      </c>
      <c r="F3681" s="2142">
        <v>19570</v>
      </c>
      <c r="G3681" s="2142">
        <v>1635073.5</v>
      </c>
      <c r="H3681" s="2143"/>
      <c r="I3681" s="2142">
        <v>167735</v>
      </c>
    </row>
    <row r="3682" spans="1:9" s="2139" customFormat="1" hidden="1">
      <c r="A3682" s="2140" t="s">
        <v>6324</v>
      </c>
      <c r="B3682" s="2141">
        <v>9</v>
      </c>
      <c r="C3682" s="2141" t="s">
        <v>3142</v>
      </c>
      <c r="D3682" s="2141">
        <v>40</v>
      </c>
      <c r="E3682" s="2142">
        <v>47.81</v>
      </c>
      <c r="F3682" s="2142">
        <v>14729</v>
      </c>
      <c r="G3682" s="2142">
        <v>704193.49</v>
      </c>
      <c r="H3682" s="2143"/>
      <c r="I3682" s="2142">
        <v>74131</v>
      </c>
    </row>
    <row r="3683" spans="1:9" s="2139" customFormat="1" hidden="1">
      <c r="A3683" s="2140" t="s">
        <v>6325</v>
      </c>
      <c r="B3683" s="2141">
        <v>9</v>
      </c>
      <c r="C3683" s="2141" t="s">
        <v>3142</v>
      </c>
      <c r="D3683" s="2141">
        <v>41</v>
      </c>
      <c r="E3683" s="2142">
        <v>45.64</v>
      </c>
      <c r="F3683" s="2142">
        <v>13905</v>
      </c>
      <c r="G3683" s="2142">
        <v>634624.19999999995</v>
      </c>
      <c r="H3683" s="2143"/>
      <c r="I3683" s="2142">
        <v>65020</v>
      </c>
    </row>
    <row r="3684" spans="1:9" s="2139" customFormat="1" hidden="1">
      <c r="A3684" s="2140" t="s">
        <v>6328</v>
      </c>
      <c r="B3684" s="2141">
        <v>9</v>
      </c>
      <c r="C3684" s="2141" t="s">
        <v>3142</v>
      </c>
      <c r="D3684" s="2141">
        <v>45</v>
      </c>
      <c r="E3684" s="2142">
        <v>45.64</v>
      </c>
      <c r="F3684" s="2142">
        <v>13905</v>
      </c>
      <c r="G3684" s="2142">
        <v>634624.19999999995</v>
      </c>
      <c r="H3684" s="2143"/>
      <c r="I3684" s="2142">
        <v>63810</v>
      </c>
    </row>
    <row r="3685" spans="1:9" s="2139" customFormat="1" hidden="1">
      <c r="A3685" s="2140" t="s">
        <v>6329</v>
      </c>
      <c r="B3685" s="2141">
        <v>9</v>
      </c>
      <c r="C3685" s="2141" t="s">
        <v>3142</v>
      </c>
      <c r="D3685" s="2141">
        <v>46</v>
      </c>
      <c r="E3685" s="2142">
        <v>47.81</v>
      </c>
      <c r="F3685" s="2142">
        <v>17510</v>
      </c>
      <c r="G3685" s="2142">
        <v>837153.10000000009</v>
      </c>
      <c r="H3685" s="2143"/>
      <c r="I3685" s="2142">
        <v>88128</v>
      </c>
    </row>
    <row r="3686" spans="1:9" s="2139" customFormat="1" hidden="1">
      <c r="A3686" s="2140" t="s">
        <v>6330</v>
      </c>
      <c r="B3686" s="2141">
        <v>9</v>
      </c>
      <c r="C3686" s="2141" t="s">
        <v>3142</v>
      </c>
      <c r="D3686" s="2141">
        <v>48</v>
      </c>
      <c r="E3686" s="2142">
        <v>31.81</v>
      </c>
      <c r="F3686" s="2142">
        <v>13905</v>
      </c>
      <c r="G3686" s="2142">
        <v>442318.05</v>
      </c>
      <c r="H3686" s="2143"/>
      <c r="I3686" s="2142">
        <v>130096</v>
      </c>
    </row>
    <row r="3687" spans="1:9" s="2139" customFormat="1" hidden="1">
      <c r="A3687" s="2140" t="s">
        <v>6332</v>
      </c>
      <c r="B3687" s="2141">
        <v>9</v>
      </c>
      <c r="C3687" s="2141" t="s">
        <v>3142</v>
      </c>
      <c r="D3687" s="2141">
        <v>50</v>
      </c>
      <c r="E3687" s="2142">
        <v>47.81</v>
      </c>
      <c r="F3687" s="2142">
        <v>14729</v>
      </c>
      <c r="G3687" s="2142">
        <v>704193.49</v>
      </c>
      <c r="H3687" s="2143"/>
      <c r="I3687" s="2142">
        <v>68902</v>
      </c>
    </row>
    <row r="3688" spans="1:9" s="2139" customFormat="1" hidden="1">
      <c r="A3688" s="2140" t="s">
        <v>6333</v>
      </c>
      <c r="B3688" s="2141">
        <v>9</v>
      </c>
      <c r="C3688" s="2141" t="s">
        <v>3142</v>
      </c>
      <c r="D3688" s="2141">
        <v>53</v>
      </c>
      <c r="E3688" s="2142">
        <v>39.549999999999997</v>
      </c>
      <c r="F3688" s="2142">
        <v>13905</v>
      </c>
      <c r="G3688" s="2142">
        <v>549942.75</v>
      </c>
      <c r="H3688" s="2143"/>
      <c r="I3688" s="2142">
        <v>59416</v>
      </c>
    </row>
    <row r="3689" spans="1:9" s="2139" customFormat="1" hidden="1">
      <c r="A3689" s="2140" t="s">
        <v>6334</v>
      </c>
      <c r="B3689" s="2141">
        <v>9</v>
      </c>
      <c r="C3689" s="2141" t="s">
        <v>3142</v>
      </c>
      <c r="D3689" s="2141">
        <v>55</v>
      </c>
      <c r="E3689" s="2142">
        <v>40.86</v>
      </c>
      <c r="F3689" s="2142">
        <v>13905</v>
      </c>
      <c r="G3689" s="2142">
        <v>568158.30000000005</v>
      </c>
      <c r="H3689" s="2143"/>
      <c r="I3689" s="2142">
        <v>59416</v>
      </c>
    </row>
    <row r="3690" spans="1:9" s="2139" customFormat="1" hidden="1">
      <c r="A3690" s="2140" t="s">
        <v>6337</v>
      </c>
      <c r="B3690" s="2141">
        <v>9</v>
      </c>
      <c r="C3690" s="2141" t="s">
        <v>3142</v>
      </c>
      <c r="D3690" s="2141">
        <v>59</v>
      </c>
      <c r="E3690" s="2142">
        <v>178.29</v>
      </c>
      <c r="F3690" s="2142">
        <v>20085</v>
      </c>
      <c r="G3690" s="2142">
        <v>3580954.65</v>
      </c>
      <c r="H3690" s="2143"/>
      <c r="I3690" s="2142">
        <v>340421</v>
      </c>
    </row>
    <row r="3691" spans="1:9" s="2139" customFormat="1" hidden="1">
      <c r="A3691" s="2140" t="s">
        <v>6339</v>
      </c>
      <c r="B3691" s="2141">
        <v>9</v>
      </c>
      <c r="C3691" s="2141" t="s">
        <v>3142</v>
      </c>
      <c r="D3691" s="2141">
        <v>63</v>
      </c>
      <c r="E3691" s="2142">
        <v>26.64</v>
      </c>
      <c r="F3691" s="2142">
        <v>13905</v>
      </c>
      <c r="G3691" s="2142">
        <v>370429.2</v>
      </c>
      <c r="H3691" s="2143"/>
      <c r="I3691" s="2142">
        <v>106986</v>
      </c>
    </row>
    <row r="3692" spans="1:9" s="2139" customFormat="1" hidden="1">
      <c r="A3692" s="2140" t="s">
        <v>6340</v>
      </c>
      <c r="B3692" s="2141">
        <v>9</v>
      </c>
      <c r="C3692" s="2141" t="s">
        <v>3142</v>
      </c>
      <c r="D3692" s="2141">
        <v>67</v>
      </c>
      <c r="E3692" s="2142">
        <v>83.55</v>
      </c>
      <c r="F3692" s="2142">
        <v>14729</v>
      </c>
      <c r="G3692" s="2142">
        <v>1230607.95</v>
      </c>
      <c r="H3692" s="2143"/>
      <c r="I3692" s="2142">
        <v>69595</v>
      </c>
    </row>
    <row r="3693" spans="1:9" s="2139" customFormat="1" hidden="1">
      <c r="A3693" s="2140" t="s">
        <v>6341</v>
      </c>
      <c r="B3693" s="2141">
        <v>9</v>
      </c>
      <c r="C3693" s="2141" t="s">
        <v>3142</v>
      </c>
      <c r="D3693" s="2141">
        <v>68</v>
      </c>
      <c r="E3693" s="2142">
        <v>79.75</v>
      </c>
      <c r="F3693" s="2142">
        <v>13905</v>
      </c>
      <c r="G3693" s="2142">
        <v>1108923.75</v>
      </c>
      <c r="H3693" s="2143"/>
      <c r="I3693" s="2142">
        <v>122114</v>
      </c>
    </row>
    <row r="3694" spans="1:9" s="2139" customFormat="1" hidden="1">
      <c r="A3694" s="2140" t="s">
        <v>6342</v>
      </c>
      <c r="B3694" s="2141">
        <v>9</v>
      </c>
      <c r="C3694" s="2141" t="s">
        <v>3142</v>
      </c>
      <c r="D3694" s="2141">
        <v>69</v>
      </c>
      <c r="E3694" s="2142">
        <v>79.75</v>
      </c>
      <c r="F3694" s="2142">
        <v>13905</v>
      </c>
      <c r="G3694" s="2142">
        <v>1108923.75</v>
      </c>
      <c r="H3694" s="2143"/>
      <c r="I3694" s="2142">
        <v>122114</v>
      </c>
    </row>
    <row r="3695" spans="1:9" s="2139" customFormat="1" hidden="1">
      <c r="A3695" s="2140" t="s">
        <v>6344</v>
      </c>
      <c r="B3695" s="2141">
        <v>9</v>
      </c>
      <c r="C3695" s="2141" t="s">
        <v>3142</v>
      </c>
      <c r="D3695" s="2141">
        <v>77</v>
      </c>
      <c r="E3695" s="2142">
        <v>41.42</v>
      </c>
      <c r="F3695" s="2142">
        <v>13905</v>
      </c>
      <c r="G3695" s="2142">
        <v>575945.1</v>
      </c>
      <c r="H3695" s="2143"/>
      <c r="I3695" s="2142">
        <v>61057</v>
      </c>
    </row>
    <row r="3696" spans="1:9" s="2139" customFormat="1" hidden="1">
      <c r="A3696" s="2140" t="s">
        <v>6345</v>
      </c>
      <c r="B3696" s="2141">
        <v>9</v>
      </c>
      <c r="C3696" s="2141" t="s">
        <v>3142</v>
      </c>
      <c r="D3696" s="2141">
        <v>78</v>
      </c>
      <c r="E3696" s="2142">
        <v>83.16</v>
      </c>
      <c r="F3696" s="2142">
        <v>14729</v>
      </c>
      <c r="G3696" s="2142">
        <v>1224863.6399999999</v>
      </c>
      <c r="H3696" s="2143"/>
      <c r="I3696" s="2142">
        <v>69595</v>
      </c>
    </row>
    <row r="3697" spans="1:9" s="2139" customFormat="1" hidden="1">
      <c r="A3697" s="2140" t="s">
        <v>6347</v>
      </c>
      <c r="B3697" s="2141">
        <v>9</v>
      </c>
      <c r="C3697" s="2141" t="s">
        <v>3142</v>
      </c>
      <c r="D3697" s="2141">
        <v>97</v>
      </c>
      <c r="E3697" s="2142">
        <v>62.3</v>
      </c>
      <c r="F3697" s="2142">
        <v>18540</v>
      </c>
      <c r="G3697" s="2142">
        <v>1155042</v>
      </c>
      <c r="H3697" s="2143"/>
      <c r="I3697" s="2142">
        <v>203773</v>
      </c>
    </row>
    <row r="3698" spans="1:9" s="2139" customFormat="1" hidden="1">
      <c r="A3698" s="2140" t="s">
        <v>6348</v>
      </c>
      <c r="B3698" s="2141">
        <v>9</v>
      </c>
      <c r="C3698" s="2141" t="s">
        <v>3142</v>
      </c>
      <c r="D3698" s="2141">
        <v>98</v>
      </c>
      <c r="E3698" s="2142">
        <v>59.47</v>
      </c>
      <c r="F3698" s="2142">
        <v>17510</v>
      </c>
      <c r="G3698" s="2142">
        <v>1041319.7</v>
      </c>
      <c r="H3698" s="2143"/>
      <c r="I3698" s="2142">
        <v>178830</v>
      </c>
    </row>
    <row r="3699" spans="1:9" s="2139" customFormat="1" hidden="1">
      <c r="A3699" s="2140" t="s">
        <v>6350</v>
      </c>
      <c r="B3699" s="2141">
        <v>9</v>
      </c>
      <c r="C3699" s="2141" t="s">
        <v>3142</v>
      </c>
      <c r="D3699" s="2141">
        <v>102</v>
      </c>
      <c r="E3699" s="2142">
        <v>62.29</v>
      </c>
      <c r="F3699" s="2142">
        <v>18540</v>
      </c>
      <c r="G3699" s="2142">
        <v>1154856.6000000001</v>
      </c>
      <c r="H3699" s="2143"/>
      <c r="I3699" s="2142">
        <v>203773</v>
      </c>
    </row>
    <row r="3700" spans="1:9" s="2139" customFormat="1" hidden="1">
      <c r="A3700" s="2140" t="s">
        <v>6352</v>
      </c>
      <c r="B3700" s="2141">
        <v>9</v>
      </c>
      <c r="C3700" s="2141" t="s">
        <v>3142</v>
      </c>
      <c r="D3700" s="2141">
        <v>108</v>
      </c>
      <c r="E3700" s="2142">
        <v>59.47</v>
      </c>
      <c r="F3700" s="2142">
        <v>17510</v>
      </c>
      <c r="G3700" s="2142">
        <v>1041319.7</v>
      </c>
      <c r="H3700" s="2143"/>
      <c r="I3700" s="2142">
        <v>178865</v>
      </c>
    </row>
    <row r="3701" spans="1:9" s="2139" customFormat="1" hidden="1">
      <c r="A3701" s="2140" t="s">
        <v>6356</v>
      </c>
      <c r="B3701" s="2141">
        <v>9</v>
      </c>
      <c r="C3701" s="2141" t="s">
        <v>3142</v>
      </c>
      <c r="D3701" s="2141">
        <v>133</v>
      </c>
      <c r="E3701" s="2142">
        <v>71.34</v>
      </c>
      <c r="F3701" s="2142">
        <v>22433</v>
      </c>
      <c r="G3701" s="2142">
        <v>1600370.22</v>
      </c>
      <c r="H3701" s="2143"/>
      <c r="I3701" s="2142">
        <v>315184</v>
      </c>
    </row>
    <row r="3702" spans="1:9" s="2139" customFormat="1" hidden="1">
      <c r="A3702" s="2140" t="s">
        <v>6369</v>
      </c>
      <c r="B3702" s="2141">
        <v>9</v>
      </c>
      <c r="C3702" s="2141" t="s">
        <v>3142</v>
      </c>
      <c r="D3702" s="2141">
        <v>212</v>
      </c>
      <c r="E3702" s="2142">
        <v>124.93</v>
      </c>
      <c r="F3702" s="2142">
        <v>20085</v>
      </c>
      <c r="G3702" s="2142">
        <v>2509219.0500000003</v>
      </c>
      <c r="H3702" s="2143"/>
      <c r="I3702" s="2142">
        <v>517590</v>
      </c>
    </row>
    <row r="3703" spans="1:9" s="2139" customFormat="1" hidden="1">
      <c r="A3703" s="2140" t="s">
        <v>6584</v>
      </c>
      <c r="B3703" s="2141">
        <v>11</v>
      </c>
      <c r="C3703" s="2141" t="s">
        <v>3142</v>
      </c>
      <c r="D3703" s="2141">
        <v>7</v>
      </c>
      <c r="E3703" s="2142">
        <v>106.14</v>
      </c>
      <c r="F3703" s="2142">
        <v>19570</v>
      </c>
      <c r="G3703" s="2142">
        <v>2077159.8</v>
      </c>
      <c r="H3703" s="2143"/>
      <c r="I3703" s="2142">
        <v>196835</v>
      </c>
    </row>
    <row r="3704" spans="1:9" s="2139" customFormat="1" hidden="1">
      <c r="A3704" s="2140" t="s">
        <v>6585</v>
      </c>
      <c r="B3704" s="2141">
        <v>11</v>
      </c>
      <c r="C3704" s="2141" t="s">
        <v>3142</v>
      </c>
      <c r="D3704" s="2141">
        <v>8</v>
      </c>
      <c r="E3704" s="2142">
        <v>101.31</v>
      </c>
      <c r="F3704" s="2142">
        <v>18539.998027199999</v>
      </c>
      <c r="G3704" s="2142">
        <v>1878287.200135632</v>
      </c>
      <c r="H3704" s="2143"/>
      <c r="I3704" s="2142">
        <v>179634</v>
      </c>
    </row>
    <row r="3705" spans="1:9" s="2139" customFormat="1" hidden="1">
      <c r="A3705" s="2140" t="s">
        <v>6588</v>
      </c>
      <c r="B3705" s="2141">
        <v>11</v>
      </c>
      <c r="C3705" s="2141" t="s">
        <v>3142</v>
      </c>
      <c r="D3705" s="2141">
        <v>15</v>
      </c>
      <c r="E3705" s="2142">
        <v>49.22</v>
      </c>
      <c r="F3705" s="2142">
        <v>19570.010152999999</v>
      </c>
      <c r="G3705" s="2142">
        <v>963235.8997306599</v>
      </c>
      <c r="H3705" s="2143"/>
      <c r="I3705" s="2142">
        <v>176991</v>
      </c>
    </row>
    <row r="3706" spans="1:9" s="2139" customFormat="1" hidden="1">
      <c r="A3706" s="2140" t="s">
        <v>6589</v>
      </c>
      <c r="B3706" s="2141">
        <v>11</v>
      </c>
      <c r="C3706" s="2141" t="s">
        <v>3142</v>
      </c>
      <c r="D3706" s="2141">
        <v>18</v>
      </c>
      <c r="E3706" s="2142">
        <v>101.31</v>
      </c>
      <c r="F3706" s="2142">
        <v>18539.998027199999</v>
      </c>
      <c r="G3706" s="2142">
        <v>1878287.200135632</v>
      </c>
      <c r="H3706" s="2143"/>
      <c r="I3706" s="2142">
        <v>359268</v>
      </c>
    </row>
    <row r="3707" spans="1:9" s="2139" customFormat="1" hidden="1">
      <c r="A3707" s="2140" t="s">
        <v>6598</v>
      </c>
      <c r="B3707" s="2141">
        <v>11</v>
      </c>
      <c r="C3707" s="2141" t="s">
        <v>3142</v>
      </c>
      <c r="D3707" s="2141">
        <v>58</v>
      </c>
      <c r="E3707" s="2142">
        <v>36.950000000000003</v>
      </c>
      <c r="F3707" s="2142">
        <v>18540</v>
      </c>
      <c r="G3707" s="2142">
        <v>685053</v>
      </c>
      <c r="H3707" s="2143"/>
      <c r="I3707" s="2142">
        <v>345424</v>
      </c>
    </row>
    <row r="3708" spans="1:9" s="2139" customFormat="1" hidden="1">
      <c r="A3708" s="2140" t="s">
        <v>6599</v>
      </c>
      <c r="B3708" s="2141">
        <v>11</v>
      </c>
      <c r="C3708" s="2141" t="s">
        <v>3142</v>
      </c>
      <c r="D3708" s="2141">
        <v>59</v>
      </c>
      <c r="E3708" s="2142">
        <v>48.85</v>
      </c>
      <c r="F3708" s="2142">
        <v>19570</v>
      </c>
      <c r="G3708" s="2142">
        <v>955995</v>
      </c>
      <c r="H3708" s="2143"/>
      <c r="I3708" s="2142">
        <v>956582</v>
      </c>
    </row>
    <row r="3709" spans="1:9" s="2139" customFormat="1" hidden="1">
      <c r="A3709" s="2140" t="s">
        <v>6606</v>
      </c>
      <c r="B3709" s="2141">
        <v>11</v>
      </c>
      <c r="C3709" s="2141" t="s">
        <v>3142</v>
      </c>
      <c r="D3709" s="2141">
        <v>89</v>
      </c>
      <c r="E3709" s="2142">
        <v>80.239999999999995</v>
      </c>
      <c r="F3709" s="2142">
        <v>19570</v>
      </c>
      <c r="G3709" s="2142">
        <v>1570296.7999999998</v>
      </c>
      <c r="H3709" s="2143"/>
      <c r="I3709" s="2142">
        <v>1571275</v>
      </c>
    </row>
    <row r="3710" spans="1:9" s="2139" customFormat="1" hidden="1">
      <c r="A3710" s="2140" t="s">
        <v>6607</v>
      </c>
      <c r="B3710" s="2141">
        <v>11</v>
      </c>
      <c r="C3710" s="2141" t="s">
        <v>3142</v>
      </c>
      <c r="D3710" s="2141">
        <v>90</v>
      </c>
      <c r="E3710" s="2142">
        <v>91.91</v>
      </c>
      <c r="F3710" s="2142">
        <v>18540</v>
      </c>
      <c r="G3710" s="2142">
        <v>1704011.4</v>
      </c>
      <c r="H3710" s="2143"/>
      <c r="I3710" s="2142">
        <v>1705124</v>
      </c>
    </row>
    <row r="3711" spans="1:9" s="2139" customFormat="1" hidden="1">
      <c r="A3711" s="2140" t="s">
        <v>6608</v>
      </c>
      <c r="B3711" s="2141">
        <v>11</v>
      </c>
      <c r="C3711" s="2141" t="s">
        <v>3142</v>
      </c>
      <c r="D3711" s="2141">
        <v>91</v>
      </c>
      <c r="E3711" s="2142">
        <v>86.8</v>
      </c>
      <c r="F3711" s="2142">
        <v>18540</v>
      </c>
      <c r="G3711" s="2142">
        <v>1609272</v>
      </c>
      <c r="H3711" s="2143"/>
      <c r="I3711" s="2142">
        <v>1610384</v>
      </c>
    </row>
    <row r="3712" spans="1:9" s="2139" customFormat="1" hidden="1">
      <c r="A3712" s="2140" t="s">
        <v>6609</v>
      </c>
      <c r="B3712" s="2141">
        <v>11</v>
      </c>
      <c r="C3712" s="2141" t="s">
        <v>3142</v>
      </c>
      <c r="D3712" s="2141">
        <v>92</v>
      </c>
      <c r="E3712" s="2142">
        <v>78.040000000000006</v>
      </c>
      <c r="F3712" s="2142">
        <v>18540</v>
      </c>
      <c r="G3712" s="2142">
        <v>1446861.6</v>
      </c>
      <c r="H3712" s="2143"/>
      <c r="I3712" s="2142">
        <v>1447789</v>
      </c>
    </row>
    <row r="3713" spans="1:9" s="2139" customFormat="1" hidden="1">
      <c r="A3713" s="2140" t="s">
        <v>6610</v>
      </c>
      <c r="B3713" s="2141">
        <v>11</v>
      </c>
      <c r="C3713" s="2141" t="s">
        <v>3142</v>
      </c>
      <c r="D3713" s="2141">
        <v>97</v>
      </c>
      <c r="E3713" s="2142">
        <v>78.040000000000006</v>
      </c>
      <c r="F3713" s="2142">
        <v>14420</v>
      </c>
      <c r="G3713" s="2142">
        <v>1125336.8</v>
      </c>
      <c r="H3713" s="2143"/>
      <c r="I3713" s="2142">
        <v>1126058</v>
      </c>
    </row>
    <row r="3714" spans="1:9" s="2139" customFormat="1" hidden="1">
      <c r="A3714" s="2140" t="s">
        <v>6611</v>
      </c>
      <c r="B3714" s="2141">
        <v>11</v>
      </c>
      <c r="C3714" s="2141" t="s">
        <v>3142</v>
      </c>
      <c r="D3714" s="2141">
        <v>98</v>
      </c>
      <c r="E3714" s="2142">
        <v>87.48</v>
      </c>
      <c r="F3714" s="2142">
        <v>14420</v>
      </c>
      <c r="G3714" s="2142">
        <v>1261461.6000000001</v>
      </c>
      <c r="H3714" s="2143"/>
      <c r="I3714" s="2142">
        <v>1262327</v>
      </c>
    </row>
    <row r="3715" spans="1:9" s="2139" customFormat="1" hidden="1">
      <c r="A3715" s="2140" t="s">
        <v>6616</v>
      </c>
      <c r="B3715" s="2141">
        <v>11</v>
      </c>
      <c r="C3715" s="2141" t="s">
        <v>3142</v>
      </c>
      <c r="D3715" s="2141">
        <v>110</v>
      </c>
      <c r="E3715" s="2142">
        <v>85.13</v>
      </c>
      <c r="F3715" s="2142">
        <v>18540</v>
      </c>
      <c r="G3715" s="2142">
        <v>1578310.2</v>
      </c>
      <c r="H3715" s="2143"/>
      <c r="I3715" s="2142">
        <v>1579237</v>
      </c>
    </row>
    <row r="3716" spans="1:9" s="2139" customFormat="1" hidden="1">
      <c r="A3716" s="2140" t="s">
        <v>6619</v>
      </c>
      <c r="B3716" s="2141">
        <v>11</v>
      </c>
      <c r="C3716" s="2141" t="s">
        <v>3142</v>
      </c>
      <c r="D3716" s="2141">
        <v>128</v>
      </c>
      <c r="E3716" s="2142">
        <v>50.15</v>
      </c>
      <c r="F3716" s="2142">
        <v>14420</v>
      </c>
      <c r="G3716" s="2142">
        <v>723163</v>
      </c>
      <c r="H3716" s="2143"/>
      <c r="I3716" s="2142">
        <v>723596</v>
      </c>
    </row>
    <row r="3717" spans="1:9" s="2139" customFormat="1" hidden="1">
      <c r="A3717" s="2140" t="s">
        <v>6620</v>
      </c>
      <c r="B3717" s="2141">
        <v>11</v>
      </c>
      <c r="C3717" s="2141" t="s">
        <v>3142</v>
      </c>
      <c r="D3717" s="2141">
        <v>129</v>
      </c>
      <c r="E3717" s="2142">
        <v>50.15</v>
      </c>
      <c r="F3717" s="2142">
        <v>14420</v>
      </c>
      <c r="G3717" s="2142">
        <v>723163</v>
      </c>
      <c r="H3717" s="2143"/>
      <c r="I3717" s="2142">
        <v>723596</v>
      </c>
    </row>
    <row r="3718" spans="1:9" s="2139" customFormat="1" hidden="1">
      <c r="A3718" s="2140" t="s">
        <v>6621</v>
      </c>
      <c r="B3718" s="2141">
        <v>11</v>
      </c>
      <c r="C3718" s="2141" t="s">
        <v>3142</v>
      </c>
      <c r="D3718" s="2141">
        <v>130</v>
      </c>
      <c r="E3718" s="2142">
        <v>50.15</v>
      </c>
      <c r="F3718" s="2142">
        <v>14420</v>
      </c>
      <c r="G3718" s="2142">
        <v>723163</v>
      </c>
      <c r="H3718" s="2143"/>
      <c r="I3718" s="2142">
        <v>723596</v>
      </c>
    </row>
    <row r="3719" spans="1:9" s="2139" customFormat="1" hidden="1">
      <c r="A3719" s="2140" t="s">
        <v>6622</v>
      </c>
      <c r="B3719" s="2141">
        <v>11</v>
      </c>
      <c r="C3719" s="2141" t="s">
        <v>3142</v>
      </c>
      <c r="D3719" s="2141">
        <v>131</v>
      </c>
      <c r="E3719" s="2142">
        <v>45.16</v>
      </c>
      <c r="F3719" s="2142">
        <v>17510</v>
      </c>
      <c r="G3719" s="2142">
        <v>790751.6</v>
      </c>
      <c r="H3719" s="2143"/>
      <c r="I3719" s="2142">
        <v>791102</v>
      </c>
    </row>
    <row r="3720" spans="1:9" s="2139" customFormat="1" hidden="1">
      <c r="A3720" s="2140" t="s">
        <v>6625</v>
      </c>
      <c r="B3720" s="2141">
        <v>11</v>
      </c>
      <c r="C3720" s="2141" t="s">
        <v>3142</v>
      </c>
      <c r="D3720" s="2141">
        <v>135</v>
      </c>
      <c r="E3720" s="2142">
        <v>52.54</v>
      </c>
      <c r="F3720" s="2142">
        <v>17510</v>
      </c>
      <c r="G3720" s="2142">
        <v>919975.4</v>
      </c>
      <c r="H3720" s="2143"/>
      <c r="I3720" s="2142">
        <v>920501</v>
      </c>
    </row>
    <row r="3721" spans="1:9" s="2139" customFormat="1" hidden="1">
      <c r="A3721" s="2140" t="s">
        <v>6627</v>
      </c>
      <c r="B3721" s="2141">
        <v>11</v>
      </c>
      <c r="C3721" s="2141" t="s">
        <v>3142</v>
      </c>
      <c r="D3721" s="2141">
        <v>138</v>
      </c>
      <c r="E3721" s="2142">
        <v>50.15</v>
      </c>
      <c r="F3721" s="2142">
        <v>14420</v>
      </c>
      <c r="G3721" s="2142">
        <v>723163</v>
      </c>
      <c r="H3721" s="2143"/>
      <c r="I3721" s="2142">
        <v>723596</v>
      </c>
    </row>
    <row r="3722" spans="1:9" s="2139" customFormat="1" hidden="1">
      <c r="A3722" s="2140" t="s">
        <v>6629</v>
      </c>
      <c r="B3722" s="2141">
        <v>11</v>
      </c>
      <c r="C3722" s="2141" t="s">
        <v>3142</v>
      </c>
      <c r="D3722" s="2141">
        <v>141</v>
      </c>
      <c r="E3722" s="2142">
        <v>97.93</v>
      </c>
      <c r="F3722" s="2142">
        <v>20909</v>
      </c>
      <c r="G3722" s="2142">
        <v>2047618.37</v>
      </c>
      <c r="H3722" s="2143"/>
      <c r="I3722" s="2142">
        <v>2048873</v>
      </c>
    </row>
    <row r="3723" spans="1:9" s="2139" customFormat="1" hidden="1">
      <c r="A3723" s="2140" t="s">
        <v>6631</v>
      </c>
      <c r="B3723" s="2141">
        <v>11</v>
      </c>
      <c r="C3723" s="2141" t="s">
        <v>3142</v>
      </c>
      <c r="D3723" s="2141">
        <v>143</v>
      </c>
      <c r="E3723" s="2142">
        <v>78.459999999999994</v>
      </c>
      <c r="F3723" s="2142">
        <v>18540</v>
      </c>
      <c r="G3723" s="2142">
        <v>1454648.4</v>
      </c>
      <c r="H3723" s="2143"/>
      <c r="I3723" s="2142">
        <v>1455390</v>
      </c>
    </row>
    <row r="3724" spans="1:9" s="2139" customFormat="1" hidden="1">
      <c r="A3724" s="2140" t="s">
        <v>6633</v>
      </c>
      <c r="B3724" s="2141">
        <v>11</v>
      </c>
      <c r="C3724" s="2141" t="s">
        <v>3142</v>
      </c>
      <c r="D3724" s="2141">
        <v>147</v>
      </c>
      <c r="E3724" s="2142">
        <v>87.64</v>
      </c>
      <c r="F3724" s="2142">
        <v>18540</v>
      </c>
      <c r="G3724" s="2142">
        <v>1624845.6</v>
      </c>
      <c r="H3724" s="2143"/>
      <c r="I3724" s="2142">
        <v>1625773</v>
      </c>
    </row>
    <row r="3725" spans="1:9" s="2139" customFormat="1" hidden="1">
      <c r="A3725" s="2140" t="s">
        <v>6638</v>
      </c>
      <c r="B3725" s="2141">
        <v>11</v>
      </c>
      <c r="C3725" s="2141" t="s">
        <v>3142</v>
      </c>
      <c r="D3725" s="2141">
        <v>152</v>
      </c>
      <c r="E3725" s="2142">
        <v>87.64</v>
      </c>
      <c r="F3725" s="2142">
        <v>18540</v>
      </c>
      <c r="G3725" s="2142">
        <v>1624845.6</v>
      </c>
      <c r="H3725" s="2143"/>
      <c r="I3725" s="2142">
        <v>1625773</v>
      </c>
    </row>
    <row r="3726" spans="1:9" s="2139" customFormat="1" hidden="1">
      <c r="A3726" s="2140" t="s">
        <v>6639</v>
      </c>
      <c r="B3726" s="2141">
        <v>11</v>
      </c>
      <c r="C3726" s="2141" t="s">
        <v>3142</v>
      </c>
      <c r="D3726" s="2141">
        <v>153</v>
      </c>
      <c r="E3726" s="2142">
        <v>90.07</v>
      </c>
      <c r="F3726" s="2142">
        <v>18540</v>
      </c>
      <c r="G3726" s="2142">
        <v>1669897.7999999998</v>
      </c>
      <c r="H3726" s="2143"/>
      <c r="I3726" s="2142">
        <v>1671010</v>
      </c>
    </row>
    <row r="3727" spans="1:9" s="2139" customFormat="1" hidden="1">
      <c r="A3727" s="2140" t="s">
        <v>6640</v>
      </c>
      <c r="B3727" s="2141">
        <v>11</v>
      </c>
      <c r="C3727" s="2141" t="s">
        <v>3142</v>
      </c>
      <c r="D3727" s="2141">
        <v>155</v>
      </c>
      <c r="E3727" s="2142">
        <v>90.1</v>
      </c>
      <c r="F3727" s="2142">
        <v>18540</v>
      </c>
      <c r="G3727" s="2142">
        <v>1670454</v>
      </c>
      <c r="H3727" s="2143"/>
      <c r="I3727" s="2142">
        <v>1670454</v>
      </c>
    </row>
    <row r="3728" spans="1:9" s="2139" customFormat="1" hidden="1">
      <c r="A3728" s="2140" t="s">
        <v>6641</v>
      </c>
      <c r="B3728" s="2141">
        <v>11</v>
      </c>
      <c r="C3728" s="2141" t="s">
        <v>3142</v>
      </c>
      <c r="D3728" s="2141">
        <v>156</v>
      </c>
      <c r="E3728" s="2142">
        <v>84.3</v>
      </c>
      <c r="F3728" s="2142">
        <v>19570</v>
      </c>
      <c r="G3728" s="2142">
        <v>1649751</v>
      </c>
      <c r="H3728" s="2143"/>
      <c r="I3728" s="2142">
        <v>830730</v>
      </c>
    </row>
    <row r="3729" spans="1:9" s="2139" customFormat="1" hidden="1">
      <c r="A3729" s="2140" t="s">
        <v>6643</v>
      </c>
      <c r="B3729" s="2141">
        <v>11</v>
      </c>
      <c r="C3729" s="2141" t="s">
        <v>3142</v>
      </c>
      <c r="D3729" s="2141">
        <v>159</v>
      </c>
      <c r="E3729" s="2142">
        <v>87.64</v>
      </c>
      <c r="F3729" s="2142">
        <v>18540</v>
      </c>
      <c r="G3729" s="2142">
        <v>1624845.6</v>
      </c>
      <c r="H3729" s="2143"/>
      <c r="I3729" s="2142">
        <v>1625773</v>
      </c>
    </row>
    <row r="3730" spans="1:9" s="2139" customFormat="1" hidden="1">
      <c r="A3730" s="2140" t="s">
        <v>6644</v>
      </c>
      <c r="B3730" s="2141">
        <v>11</v>
      </c>
      <c r="C3730" s="2141" t="s">
        <v>3142</v>
      </c>
      <c r="D3730" s="2141">
        <v>160</v>
      </c>
      <c r="E3730" s="2142">
        <v>87.64</v>
      </c>
      <c r="F3730" s="2142">
        <v>18540</v>
      </c>
      <c r="G3730" s="2142">
        <v>1624845.6</v>
      </c>
      <c r="H3730" s="2143"/>
      <c r="I3730" s="2142">
        <v>1625773</v>
      </c>
    </row>
    <row r="3731" spans="1:9" s="2139" customFormat="1" hidden="1">
      <c r="A3731" s="2140" t="s">
        <v>6645</v>
      </c>
      <c r="B3731" s="2141">
        <v>11</v>
      </c>
      <c r="C3731" s="2141" t="s">
        <v>3142</v>
      </c>
      <c r="D3731" s="2141">
        <v>161</v>
      </c>
      <c r="E3731" s="2142">
        <v>87.64</v>
      </c>
      <c r="F3731" s="2142">
        <v>18540</v>
      </c>
      <c r="G3731" s="2142">
        <v>1624845.6</v>
      </c>
      <c r="H3731" s="2143"/>
      <c r="I3731" s="2142">
        <v>1625773</v>
      </c>
    </row>
    <row r="3732" spans="1:9" s="2139" customFormat="1" hidden="1">
      <c r="A3732" s="2140" t="s">
        <v>6646</v>
      </c>
      <c r="B3732" s="2141">
        <v>11</v>
      </c>
      <c r="C3732" s="2141" t="s">
        <v>3142</v>
      </c>
      <c r="D3732" s="2141">
        <v>162</v>
      </c>
      <c r="E3732" s="2142">
        <v>91.81</v>
      </c>
      <c r="F3732" s="2142">
        <v>19570</v>
      </c>
      <c r="G3732" s="2142">
        <v>1796721.7</v>
      </c>
      <c r="H3732" s="2143"/>
      <c r="I3732" s="2142">
        <v>1797896</v>
      </c>
    </row>
    <row r="3733" spans="1:9" s="2139" customFormat="1" hidden="1">
      <c r="A3733" s="2140" t="s">
        <v>6779</v>
      </c>
      <c r="B3733" s="2141">
        <v>12</v>
      </c>
      <c r="C3733" s="2141" t="s">
        <v>3142</v>
      </c>
      <c r="D3733" s="2141">
        <v>16</v>
      </c>
      <c r="E3733" s="2142">
        <v>60.01</v>
      </c>
      <c r="F3733" s="2142">
        <v>15880</v>
      </c>
      <c r="G3733" s="2142">
        <v>952958.79999999993</v>
      </c>
      <c r="H3733" s="2143"/>
      <c r="I3733" s="2142">
        <v>190972</v>
      </c>
    </row>
    <row r="3734" spans="1:9" s="2139" customFormat="1" hidden="1">
      <c r="A3734" s="2140" t="s">
        <v>6792</v>
      </c>
      <c r="B3734" s="2141">
        <v>12</v>
      </c>
      <c r="C3734" s="2141" t="s">
        <v>3142</v>
      </c>
      <c r="D3734" s="2141">
        <v>55</v>
      </c>
      <c r="E3734" s="2142">
        <v>87.28</v>
      </c>
      <c r="F3734" s="2142">
        <v>18190</v>
      </c>
      <c r="G3734" s="2142">
        <v>1587623.2</v>
      </c>
      <c r="H3734" s="2143"/>
      <c r="I3734" s="2142">
        <v>182337</v>
      </c>
    </row>
    <row r="3735" spans="1:9" s="2139" customFormat="1" hidden="1">
      <c r="A3735" s="2140" t="s">
        <v>6803</v>
      </c>
      <c r="B3735" s="2141">
        <v>12</v>
      </c>
      <c r="C3735" s="2141" t="s">
        <v>3142</v>
      </c>
      <c r="D3735" s="2141">
        <v>75</v>
      </c>
      <c r="E3735" s="2142">
        <v>79.02</v>
      </c>
      <c r="F3735" s="2142">
        <v>18190</v>
      </c>
      <c r="G3735" s="2142">
        <v>1437373.7999999998</v>
      </c>
      <c r="H3735" s="2143"/>
      <c r="I3735" s="2142">
        <v>406074</v>
      </c>
    </row>
    <row r="3736" spans="1:9" s="2139" customFormat="1" hidden="1">
      <c r="A3736" s="2140" t="s">
        <v>6804</v>
      </c>
      <c r="B3736" s="2141">
        <v>12</v>
      </c>
      <c r="C3736" s="2141" t="s">
        <v>3142</v>
      </c>
      <c r="D3736" s="2141">
        <v>76</v>
      </c>
      <c r="E3736" s="2142">
        <v>79.87</v>
      </c>
      <c r="F3736" s="2142">
        <v>18190</v>
      </c>
      <c r="G3736" s="2142">
        <v>1452835.3</v>
      </c>
      <c r="H3736" s="2143"/>
      <c r="I3736" s="2142">
        <v>406474</v>
      </c>
    </row>
    <row r="3737" spans="1:9" s="2139" customFormat="1" hidden="1">
      <c r="A3737" s="2140" t="s">
        <v>6807</v>
      </c>
      <c r="B3737" s="2141">
        <v>12</v>
      </c>
      <c r="C3737" s="2141" t="s">
        <v>3142</v>
      </c>
      <c r="D3737" s="2141">
        <v>79</v>
      </c>
      <c r="E3737" s="2142">
        <v>47.53</v>
      </c>
      <c r="F3737" s="2142">
        <v>19030</v>
      </c>
      <c r="G3737" s="2142">
        <v>904495.9</v>
      </c>
      <c r="H3737" s="2143"/>
      <c r="I3737" s="2142">
        <v>224706</v>
      </c>
    </row>
    <row r="3738" spans="1:9" s="2139" customFormat="1" hidden="1">
      <c r="A3738" s="2140" t="s">
        <v>6822</v>
      </c>
      <c r="B3738" s="2141">
        <v>12</v>
      </c>
      <c r="C3738" s="2141" t="s">
        <v>3142</v>
      </c>
      <c r="D3738" s="2141">
        <v>121</v>
      </c>
      <c r="E3738" s="2142">
        <v>113.97</v>
      </c>
      <c r="F3738" s="2142">
        <v>19080</v>
      </c>
      <c r="G3738" s="2142">
        <v>2174547.6</v>
      </c>
      <c r="H3738" s="2143"/>
      <c r="I3738" s="2142">
        <v>50000</v>
      </c>
    </row>
    <row r="3739" spans="1:9" s="2139" customFormat="1" hidden="1">
      <c r="A3739" s="2140" t="s">
        <v>6823</v>
      </c>
      <c r="B3739" s="2141">
        <v>12</v>
      </c>
      <c r="C3739" s="2141" t="s">
        <v>3142</v>
      </c>
      <c r="D3739" s="2141">
        <v>122</v>
      </c>
      <c r="E3739" s="2142">
        <v>134.07</v>
      </c>
      <c r="F3739" s="2142">
        <v>20080</v>
      </c>
      <c r="G3739" s="2142">
        <v>2692125.6</v>
      </c>
      <c r="H3739" s="2143"/>
      <c r="I3739" s="2142">
        <v>100000</v>
      </c>
    </row>
    <row r="3740" spans="1:9" s="2139" customFormat="1" hidden="1">
      <c r="A3740" s="2140" t="s">
        <v>6824</v>
      </c>
      <c r="B3740" s="2141">
        <v>12</v>
      </c>
      <c r="C3740" s="2141" t="s">
        <v>3142</v>
      </c>
      <c r="D3740" s="2141">
        <v>126</v>
      </c>
      <c r="E3740" s="2142">
        <v>70.53</v>
      </c>
      <c r="F3740" s="2142">
        <v>21130</v>
      </c>
      <c r="G3740" s="2142">
        <v>1490298.9000000001</v>
      </c>
      <c r="H3740" s="2143"/>
      <c r="I3740" s="2142">
        <v>149262</v>
      </c>
    </row>
    <row r="3741" spans="1:9" s="2139" customFormat="1" hidden="1">
      <c r="A3741" s="2140" t="s">
        <v>6847</v>
      </c>
      <c r="B3741" s="2141">
        <v>12</v>
      </c>
      <c r="C3741" s="2141" t="s">
        <v>3142</v>
      </c>
      <c r="D3741" s="2141">
        <v>162</v>
      </c>
      <c r="E3741" s="2142">
        <v>52.38</v>
      </c>
      <c r="F3741" s="2142">
        <v>20130</v>
      </c>
      <c r="G3741" s="2142">
        <v>1054409.4000000001</v>
      </c>
      <c r="H3741" s="2143"/>
      <c r="I3741" s="2142">
        <v>104676</v>
      </c>
    </row>
    <row r="3742" spans="1:9" s="2139" customFormat="1" hidden="1">
      <c r="A3742" s="2140" t="s">
        <v>6857</v>
      </c>
      <c r="B3742" s="2141">
        <v>12</v>
      </c>
      <c r="C3742" s="2141" t="s">
        <v>3142</v>
      </c>
      <c r="D3742" s="2141">
        <v>178</v>
      </c>
      <c r="E3742" s="2142">
        <v>28.03</v>
      </c>
      <c r="F3742" s="2142">
        <v>17770</v>
      </c>
      <c r="G3742" s="2142">
        <v>498093.10000000003</v>
      </c>
      <c r="H3742" s="2143"/>
      <c r="I3742" s="2142">
        <v>66140</v>
      </c>
    </row>
    <row r="3743" spans="1:9" s="2139" customFormat="1" hidden="1">
      <c r="A3743" s="2140" t="s">
        <v>6870</v>
      </c>
      <c r="B3743" s="2141">
        <v>12</v>
      </c>
      <c r="C3743" s="2141" t="s">
        <v>3142</v>
      </c>
      <c r="D3743" s="2141">
        <v>217</v>
      </c>
      <c r="E3743" s="2142">
        <v>47.61</v>
      </c>
      <c r="F3743" s="2142">
        <v>14830</v>
      </c>
      <c r="G3743" s="2142">
        <v>706056.3</v>
      </c>
      <c r="H3743" s="2143"/>
      <c r="I3743" s="2142">
        <v>138750</v>
      </c>
    </row>
    <row r="3744" spans="1:9" s="2139" customFormat="1" hidden="1">
      <c r="A3744" s="2140" t="s">
        <v>6873</v>
      </c>
      <c r="B3744" s="2141">
        <v>12</v>
      </c>
      <c r="C3744" s="2141" t="s">
        <v>3142</v>
      </c>
      <c r="D3744" s="2141">
        <v>220</v>
      </c>
      <c r="E3744" s="2142">
        <v>49.87</v>
      </c>
      <c r="F3744" s="2142">
        <v>16338.92</v>
      </c>
      <c r="G3744" s="2142">
        <v>814821.94039999996</v>
      </c>
      <c r="H3744" s="2143"/>
      <c r="I3744" s="2142">
        <v>50000</v>
      </c>
    </row>
    <row r="3745" spans="1:9" s="2139" customFormat="1" hidden="1">
      <c r="A3745" s="2140" t="s">
        <v>6882</v>
      </c>
      <c r="B3745" s="2141">
        <v>12</v>
      </c>
      <c r="C3745" s="2141" t="s">
        <v>3142</v>
      </c>
      <c r="D3745" s="2141">
        <v>233</v>
      </c>
      <c r="E3745" s="2142">
        <v>83.19</v>
      </c>
      <c r="F3745" s="2142">
        <v>17980</v>
      </c>
      <c r="G3745" s="2142">
        <v>1495756.2</v>
      </c>
      <c r="H3745" s="2143"/>
      <c r="I3745" s="2142">
        <v>148443</v>
      </c>
    </row>
    <row r="3746" spans="1:9" s="2139" customFormat="1" hidden="1">
      <c r="A3746" s="2140" t="s">
        <v>6884</v>
      </c>
      <c r="B3746" s="2141">
        <v>12</v>
      </c>
      <c r="C3746" s="2141" t="s">
        <v>3142</v>
      </c>
      <c r="D3746" s="2141">
        <v>240</v>
      </c>
      <c r="E3746" s="2142">
        <v>83.19</v>
      </c>
      <c r="F3746" s="2142">
        <v>19030</v>
      </c>
      <c r="G3746" s="2142">
        <v>1583105.7</v>
      </c>
      <c r="H3746" s="2143"/>
      <c r="I3746" s="2142">
        <v>50000</v>
      </c>
    </row>
    <row r="3747" spans="1:9" s="2139" customFormat="1" hidden="1">
      <c r="A3747" s="2140" t="s">
        <v>6885</v>
      </c>
      <c r="B3747" s="2141">
        <v>12</v>
      </c>
      <c r="C3747" s="2141" t="s">
        <v>3142</v>
      </c>
      <c r="D3747" s="2141">
        <v>241</v>
      </c>
      <c r="E3747" s="2142">
        <v>83.19</v>
      </c>
      <c r="F3747" s="2142">
        <v>19030</v>
      </c>
      <c r="G3747" s="2142">
        <v>1583105.7</v>
      </c>
      <c r="H3747" s="2143"/>
      <c r="I3747" s="2142">
        <v>314224</v>
      </c>
    </row>
    <row r="3748" spans="1:9" s="2139" customFormat="1" hidden="1">
      <c r="A3748" s="2140" t="s">
        <v>6886</v>
      </c>
      <c r="B3748" s="2141">
        <v>12</v>
      </c>
      <c r="C3748" s="2141" t="s">
        <v>3142</v>
      </c>
      <c r="D3748" s="2141">
        <v>243</v>
      </c>
      <c r="E3748" s="2142">
        <v>68.510000000000005</v>
      </c>
      <c r="F3748" s="2142">
        <v>20080</v>
      </c>
      <c r="G3748" s="2142">
        <v>1375680.8</v>
      </c>
      <c r="H3748" s="2143"/>
      <c r="I3748" s="2142">
        <v>50000</v>
      </c>
    </row>
    <row r="3749" spans="1:9" s="2139" customFormat="1" hidden="1">
      <c r="A3749" s="2140" t="s">
        <v>6893</v>
      </c>
      <c r="B3749" s="2141">
        <v>12</v>
      </c>
      <c r="C3749" s="2141" t="s">
        <v>3142</v>
      </c>
      <c r="D3749" s="2141">
        <v>252</v>
      </c>
      <c r="E3749" s="2142">
        <v>103.11</v>
      </c>
      <c r="F3749" s="2142">
        <v>19080</v>
      </c>
      <c r="G3749" s="2142">
        <v>1967338.8</v>
      </c>
      <c r="H3749" s="2143"/>
      <c r="I3749" s="2142">
        <v>94427</v>
      </c>
    </row>
    <row r="3750" spans="1:9" s="2139" customFormat="1" hidden="1">
      <c r="A3750" s="2140" t="s">
        <v>6896</v>
      </c>
      <c r="B3750" s="2141">
        <v>12</v>
      </c>
      <c r="C3750" s="2141" t="s">
        <v>3142</v>
      </c>
      <c r="D3750" s="2141">
        <v>257</v>
      </c>
      <c r="E3750" s="2142">
        <v>50.56</v>
      </c>
      <c r="F3750" s="2142">
        <v>20980</v>
      </c>
      <c r="G3750" s="2142">
        <v>1060748.8</v>
      </c>
      <c r="H3750" s="2143"/>
      <c r="I3750" s="2142">
        <v>105550</v>
      </c>
    </row>
    <row r="3751" spans="1:9" s="2139" customFormat="1" hidden="1">
      <c r="A3751" s="2140" t="s">
        <v>6059</v>
      </c>
      <c r="B3751" s="2141" t="s">
        <v>3057</v>
      </c>
      <c r="C3751" s="2141" t="s">
        <v>3151</v>
      </c>
      <c r="D3751" s="2141">
        <v>169</v>
      </c>
      <c r="E3751" s="2142">
        <v>76.72</v>
      </c>
      <c r="F3751" s="2142">
        <v>17600</v>
      </c>
      <c r="G3751" s="2142">
        <v>1350272</v>
      </c>
      <c r="H3751" s="2143">
        <v>41988</v>
      </c>
      <c r="I3751" s="2142">
        <v>1350272</v>
      </c>
    </row>
    <row r="3752" spans="1:9" s="2139" customFormat="1" hidden="1">
      <c r="A3752" s="2140" t="s">
        <v>6060</v>
      </c>
      <c r="B3752" s="2141" t="s">
        <v>3057</v>
      </c>
      <c r="C3752" s="2141" t="s">
        <v>3151</v>
      </c>
      <c r="D3752" s="2141">
        <v>170</v>
      </c>
      <c r="E3752" s="2142">
        <v>58.13</v>
      </c>
      <c r="F3752" s="2142">
        <v>16800</v>
      </c>
      <c r="G3752" s="2142">
        <v>976584</v>
      </c>
      <c r="H3752" s="2143">
        <v>41988</v>
      </c>
      <c r="I3752" s="2142">
        <v>976584</v>
      </c>
    </row>
    <row r="3753" spans="1:9" s="2139" customFormat="1" hidden="1">
      <c r="A3753" s="2140" t="s">
        <v>5562</v>
      </c>
      <c r="B3753" s="2141" t="s">
        <v>3056</v>
      </c>
      <c r="C3753" s="2141" t="s">
        <v>3151</v>
      </c>
      <c r="D3753" s="2141">
        <v>51</v>
      </c>
      <c r="E3753" s="2142">
        <v>29.89</v>
      </c>
      <c r="F3753" s="2142">
        <v>14800</v>
      </c>
      <c r="G3753" s="2142">
        <v>442372</v>
      </c>
      <c r="H3753" s="2143">
        <v>41987</v>
      </c>
      <c r="I3753" s="2142">
        <v>144444</v>
      </c>
    </row>
    <row r="3754" spans="1:9" s="2139" customFormat="1" hidden="1">
      <c r="A3754" s="2140" t="s">
        <v>5565</v>
      </c>
      <c r="B3754" s="2141" t="s">
        <v>3056</v>
      </c>
      <c r="C3754" s="2141" t="s">
        <v>3151</v>
      </c>
      <c r="D3754" s="2141">
        <v>55</v>
      </c>
      <c r="E3754" s="2142">
        <v>36.229999999999997</v>
      </c>
      <c r="F3754" s="2142">
        <v>11000</v>
      </c>
      <c r="G3754" s="2142">
        <v>398529.99999999994</v>
      </c>
      <c r="H3754" s="2143">
        <v>41987</v>
      </c>
      <c r="I3754" s="2142">
        <v>120400</v>
      </c>
    </row>
    <row r="3755" spans="1:9" s="2139" customFormat="1" hidden="1">
      <c r="A3755" s="2140" t="s">
        <v>6102</v>
      </c>
      <c r="B3755" s="2141" t="s">
        <v>3057</v>
      </c>
      <c r="C3755" s="2141" t="s">
        <v>3151</v>
      </c>
      <c r="D3755" s="2141">
        <v>396</v>
      </c>
      <c r="E3755" s="2142">
        <v>68.36</v>
      </c>
      <c r="F3755" s="2142">
        <v>13800</v>
      </c>
      <c r="G3755" s="2142">
        <v>943368</v>
      </c>
      <c r="H3755" s="2143">
        <v>41983</v>
      </c>
      <c r="I3755" s="2142">
        <v>943368</v>
      </c>
    </row>
    <row r="3756" spans="1:9" s="2139" customFormat="1" hidden="1">
      <c r="A3756" s="2140" t="s">
        <v>6103</v>
      </c>
      <c r="B3756" s="2141" t="s">
        <v>3057</v>
      </c>
      <c r="C3756" s="2141" t="s">
        <v>3151</v>
      </c>
      <c r="D3756" s="2141">
        <v>397</v>
      </c>
      <c r="E3756" s="2142">
        <v>68.39</v>
      </c>
      <c r="F3756" s="2142">
        <v>16800</v>
      </c>
      <c r="G3756" s="2142">
        <v>1148952</v>
      </c>
      <c r="H3756" s="2143">
        <v>41983</v>
      </c>
      <c r="I3756" s="2142">
        <v>1148952</v>
      </c>
    </row>
    <row r="3757" spans="1:9" s="2139" customFormat="1" hidden="1">
      <c r="A3757" s="2140" t="s">
        <v>6104</v>
      </c>
      <c r="B3757" s="2141" t="s">
        <v>3057</v>
      </c>
      <c r="C3757" s="2141" t="s">
        <v>3151</v>
      </c>
      <c r="D3757" s="2141">
        <v>398</v>
      </c>
      <c r="E3757" s="2142">
        <v>45.52</v>
      </c>
      <c r="F3757" s="2142">
        <v>19000</v>
      </c>
      <c r="G3757" s="2142">
        <v>864880.00000000012</v>
      </c>
      <c r="H3757" s="2143">
        <v>41981</v>
      </c>
      <c r="I3757" s="2142">
        <v>864880</v>
      </c>
    </row>
    <row r="3758" spans="1:9" s="2139" customFormat="1" hidden="1">
      <c r="A3758" s="2140" t="s">
        <v>6105</v>
      </c>
      <c r="B3758" s="2141" t="s">
        <v>3057</v>
      </c>
      <c r="C3758" s="2141" t="s">
        <v>3151</v>
      </c>
      <c r="D3758" s="2141">
        <v>399</v>
      </c>
      <c r="E3758" s="2142">
        <v>49.64</v>
      </c>
      <c r="F3758" s="2142">
        <v>19000</v>
      </c>
      <c r="G3758" s="2142">
        <v>943160</v>
      </c>
      <c r="H3758" s="2143">
        <v>41981</v>
      </c>
      <c r="I3758" s="2142">
        <v>943160</v>
      </c>
    </row>
    <row r="3759" spans="1:9" s="2139" customFormat="1" hidden="1">
      <c r="A3759" s="2140" t="s">
        <v>6050</v>
      </c>
      <c r="B3759" s="2141" t="s">
        <v>3057</v>
      </c>
      <c r="C3759" s="2141" t="s">
        <v>3151</v>
      </c>
      <c r="D3759" s="2141">
        <v>156</v>
      </c>
      <c r="E3759" s="2142">
        <v>78.36</v>
      </c>
      <c r="F3759" s="2142">
        <v>17600</v>
      </c>
      <c r="G3759" s="2142">
        <v>1379136</v>
      </c>
      <c r="H3759" s="2143">
        <v>41980</v>
      </c>
      <c r="I3759" s="2142">
        <v>1379136</v>
      </c>
    </row>
    <row r="3760" spans="1:9" s="2139" customFormat="1" hidden="1">
      <c r="A3760" s="2140" t="s">
        <v>6065</v>
      </c>
      <c r="B3760" s="2141" t="s">
        <v>3057</v>
      </c>
      <c r="C3760" s="2141" t="s">
        <v>3151</v>
      </c>
      <c r="D3760" s="2141">
        <v>181</v>
      </c>
      <c r="E3760" s="2142">
        <v>52.3</v>
      </c>
      <c r="F3760" s="2142">
        <v>15800</v>
      </c>
      <c r="G3760" s="2142">
        <v>826340</v>
      </c>
      <c r="H3760" s="2143">
        <v>41980</v>
      </c>
      <c r="I3760" s="2142">
        <v>826340</v>
      </c>
    </row>
    <row r="3761" spans="1:9" s="2139" customFormat="1" hidden="1">
      <c r="A3761" s="2140" t="s">
        <v>6069</v>
      </c>
      <c r="B3761" s="2141" t="s">
        <v>3057</v>
      </c>
      <c r="C3761" s="2141" t="s">
        <v>3151</v>
      </c>
      <c r="D3761" s="2141">
        <v>187</v>
      </c>
      <c r="E3761" s="2142">
        <v>68.099999999999994</v>
      </c>
      <c r="F3761" s="2142">
        <v>12800</v>
      </c>
      <c r="G3761" s="2142">
        <v>871679.99999999988</v>
      </c>
      <c r="H3761" s="2143">
        <v>41979</v>
      </c>
      <c r="I3761" s="2142">
        <v>871680</v>
      </c>
    </row>
    <row r="3762" spans="1:9" s="2139" customFormat="1" hidden="1">
      <c r="A3762" s="2140" t="s">
        <v>6136</v>
      </c>
      <c r="B3762" s="2141" t="s">
        <v>3057</v>
      </c>
      <c r="C3762" s="2141" t="s">
        <v>3151</v>
      </c>
      <c r="D3762" s="2141">
        <v>480</v>
      </c>
      <c r="E3762" s="2142">
        <v>113.7</v>
      </c>
      <c r="F3762" s="2142">
        <v>19000</v>
      </c>
      <c r="G3762" s="2142">
        <v>2160300</v>
      </c>
      <c r="H3762" s="2143">
        <v>41979</v>
      </c>
      <c r="I3762" s="2142">
        <v>2160300</v>
      </c>
    </row>
    <row r="3763" spans="1:9" s="2139" customFormat="1" hidden="1">
      <c r="A3763" s="2140" t="s">
        <v>6137</v>
      </c>
      <c r="B3763" s="2141" t="s">
        <v>3057</v>
      </c>
      <c r="C3763" s="2141" t="s">
        <v>3151</v>
      </c>
      <c r="D3763" s="2141">
        <v>481</v>
      </c>
      <c r="E3763" s="2142">
        <v>84.67</v>
      </c>
      <c r="F3763" s="2142">
        <v>17800</v>
      </c>
      <c r="G3763" s="2142">
        <v>1507126</v>
      </c>
      <c r="H3763" s="2143">
        <v>41979</v>
      </c>
      <c r="I3763" s="2142">
        <v>1507126</v>
      </c>
    </row>
    <row r="3764" spans="1:9" s="2139" customFormat="1" hidden="1">
      <c r="A3764" s="2140" t="s">
        <v>6053</v>
      </c>
      <c r="B3764" s="2141" t="s">
        <v>3057</v>
      </c>
      <c r="C3764" s="2141" t="s">
        <v>3151</v>
      </c>
      <c r="D3764" s="2141">
        <v>159</v>
      </c>
      <c r="E3764" s="2142">
        <v>70.02</v>
      </c>
      <c r="F3764" s="2142">
        <v>16600</v>
      </c>
      <c r="G3764" s="2142">
        <v>1162332</v>
      </c>
      <c r="H3764" s="2143">
        <v>41976</v>
      </c>
      <c r="I3764" s="2142">
        <v>1162332</v>
      </c>
    </row>
    <row r="3765" spans="1:9" s="2139" customFormat="1" hidden="1">
      <c r="A3765" s="2140" t="s">
        <v>6062</v>
      </c>
      <c r="B3765" s="2141" t="s">
        <v>3057</v>
      </c>
      <c r="C3765" s="2141" t="s">
        <v>3151</v>
      </c>
      <c r="D3765" s="2141">
        <v>178</v>
      </c>
      <c r="E3765" s="2142">
        <v>46.25</v>
      </c>
      <c r="F3765" s="2142">
        <v>12800</v>
      </c>
      <c r="G3765" s="2142">
        <v>592000</v>
      </c>
      <c r="H3765" s="2143">
        <v>41976</v>
      </c>
      <c r="I3765" s="2142">
        <v>592000</v>
      </c>
    </row>
    <row r="3766" spans="1:9" s="2139" customFormat="1" hidden="1">
      <c r="A3766" s="2140" t="s">
        <v>5628</v>
      </c>
      <c r="B3766" s="2141" t="s">
        <v>3056</v>
      </c>
      <c r="C3766" s="2141" t="s">
        <v>3151</v>
      </c>
      <c r="D3766" s="2141">
        <v>182</v>
      </c>
      <c r="E3766" s="2142">
        <v>25.93</v>
      </c>
      <c r="F3766" s="2142">
        <v>21296</v>
      </c>
      <c r="G3766" s="2142">
        <v>552205.28</v>
      </c>
      <c r="H3766" s="2143">
        <v>41975</v>
      </c>
      <c r="I3766" s="2142">
        <v>552205</v>
      </c>
    </row>
    <row r="3767" spans="1:9" s="2139" customFormat="1" hidden="1">
      <c r="A3767" s="2140" t="s">
        <v>6068</v>
      </c>
      <c r="B3767" s="2141" t="s">
        <v>3057</v>
      </c>
      <c r="C3767" s="2141" t="s">
        <v>3151</v>
      </c>
      <c r="D3767" s="2141">
        <v>186</v>
      </c>
      <c r="E3767" s="2142">
        <v>68.08</v>
      </c>
      <c r="F3767" s="2142">
        <v>12800</v>
      </c>
      <c r="G3767" s="2142">
        <v>871424</v>
      </c>
      <c r="H3767" s="2143">
        <v>41975</v>
      </c>
      <c r="I3767" s="2142">
        <v>871424</v>
      </c>
    </row>
    <row r="3768" spans="1:9" s="2139" customFormat="1" hidden="1">
      <c r="A3768" s="2140" t="s">
        <v>6073</v>
      </c>
      <c r="B3768" s="2141" t="s">
        <v>3057</v>
      </c>
      <c r="C3768" s="2141" t="s">
        <v>3151</v>
      </c>
      <c r="D3768" s="2141">
        <v>217</v>
      </c>
      <c r="E3768" s="2142">
        <v>72.61</v>
      </c>
      <c r="F3768" s="2142">
        <v>13800</v>
      </c>
      <c r="G3768" s="2142">
        <v>1002018</v>
      </c>
      <c r="H3768" s="2143">
        <v>41975</v>
      </c>
      <c r="I3768" s="2142">
        <v>1002018</v>
      </c>
    </row>
    <row r="3769" spans="1:9" s="2139" customFormat="1" hidden="1">
      <c r="A3769" s="2140" t="s">
        <v>6113</v>
      </c>
      <c r="B3769" s="2141" t="s">
        <v>3057</v>
      </c>
      <c r="C3769" s="2141" t="s">
        <v>3151</v>
      </c>
      <c r="D3769" s="2141">
        <v>415</v>
      </c>
      <c r="E3769" s="2142">
        <v>36.619999999999997</v>
      </c>
      <c r="F3769" s="2142">
        <v>12800</v>
      </c>
      <c r="G3769" s="2142">
        <v>468735.99999999994</v>
      </c>
      <c r="H3769" s="2143">
        <v>41975</v>
      </c>
      <c r="I3769" s="2142">
        <v>468736</v>
      </c>
    </row>
    <row r="3770" spans="1:9" s="2139" customFormat="1" hidden="1">
      <c r="A3770" s="2140" t="s">
        <v>6129</v>
      </c>
      <c r="B3770" s="2141" t="s">
        <v>3057</v>
      </c>
      <c r="C3770" s="2141" t="s">
        <v>3151</v>
      </c>
      <c r="D3770" s="2141">
        <v>440</v>
      </c>
      <c r="E3770" s="2142">
        <v>70.02</v>
      </c>
      <c r="F3770" s="2142">
        <v>16600</v>
      </c>
      <c r="G3770" s="2142">
        <v>1162332</v>
      </c>
      <c r="H3770" s="2143">
        <v>41975</v>
      </c>
      <c r="I3770" s="2142">
        <v>1162332</v>
      </c>
    </row>
    <row r="3771" spans="1:9" s="2139" customFormat="1" hidden="1">
      <c r="A3771" s="2140" t="s">
        <v>5629</v>
      </c>
      <c r="B3771" s="2141" t="s">
        <v>3056</v>
      </c>
      <c r="C3771" s="2141" t="s">
        <v>3151</v>
      </c>
      <c r="D3771" s="2141">
        <v>183</v>
      </c>
      <c r="E3771" s="2142">
        <v>94.58</v>
      </c>
      <c r="F3771" s="2142">
        <v>20086</v>
      </c>
      <c r="G3771" s="2142">
        <v>1899733.88</v>
      </c>
      <c r="H3771" s="2143">
        <v>41974</v>
      </c>
      <c r="I3771" s="2142">
        <v>959734</v>
      </c>
    </row>
    <row r="3772" spans="1:9" s="2139" customFormat="1" hidden="1">
      <c r="A3772" s="2140" t="s">
        <v>5645</v>
      </c>
      <c r="B3772" s="2141" t="s">
        <v>3056</v>
      </c>
      <c r="C3772" s="2141" t="s">
        <v>3151</v>
      </c>
      <c r="D3772" s="2141">
        <v>278</v>
      </c>
      <c r="E3772" s="2142">
        <v>25.07</v>
      </c>
      <c r="F3772" s="2142">
        <v>15800</v>
      </c>
      <c r="G3772" s="2142">
        <v>396106</v>
      </c>
      <c r="H3772" s="2143">
        <v>41974</v>
      </c>
      <c r="I3772" s="2142">
        <v>98002</v>
      </c>
    </row>
    <row r="3773" spans="1:9" s="2139" customFormat="1" hidden="1">
      <c r="A3773" s="2140" t="s">
        <v>5650</v>
      </c>
      <c r="B3773" s="2141" t="s">
        <v>3056</v>
      </c>
      <c r="C3773" s="2141" t="s">
        <v>3151</v>
      </c>
      <c r="D3773" s="2141">
        <v>286</v>
      </c>
      <c r="E3773" s="2142">
        <v>53.24</v>
      </c>
      <c r="F3773" s="2142">
        <v>15600</v>
      </c>
      <c r="G3773" s="2142">
        <v>830544</v>
      </c>
      <c r="H3773" s="2143">
        <v>41974</v>
      </c>
      <c r="I3773" s="2142">
        <v>166116</v>
      </c>
    </row>
    <row r="3774" spans="1:9" s="2139" customFormat="1" hidden="1">
      <c r="A3774" s="2140" t="s">
        <v>6055</v>
      </c>
      <c r="B3774" s="2141" t="s">
        <v>3057</v>
      </c>
      <c r="C3774" s="2141" t="s">
        <v>3151</v>
      </c>
      <c r="D3774" s="2141">
        <v>165</v>
      </c>
      <c r="E3774" s="2142">
        <v>74.150000000000006</v>
      </c>
      <c r="F3774" s="2142">
        <v>16600</v>
      </c>
      <c r="G3774" s="2142">
        <v>1230890</v>
      </c>
      <c r="H3774" s="2143">
        <v>41974</v>
      </c>
      <c r="I3774" s="2142">
        <v>1230890</v>
      </c>
    </row>
    <row r="3775" spans="1:9" s="2139" customFormat="1" hidden="1">
      <c r="A3775" s="2140" t="s">
        <v>6056</v>
      </c>
      <c r="B3775" s="2141" t="s">
        <v>3057</v>
      </c>
      <c r="C3775" s="2141" t="s">
        <v>3151</v>
      </c>
      <c r="D3775" s="2141">
        <v>166</v>
      </c>
      <c r="E3775" s="2142">
        <v>65.5</v>
      </c>
      <c r="F3775" s="2142">
        <v>16600</v>
      </c>
      <c r="G3775" s="2142">
        <v>1087300</v>
      </c>
      <c r="H3775" s="2143">
        <v>41974</v>
      </c>
      <c r="I3775" s="2142">
        <v>1087300</v>
      </c>
    </row>
    <row r="3776" spans="1:9" s="2139" customFormat="1" hidden="1">
      <c r="A3776" s="2140" t="s">
        <v>6057</v>
      </c>
      <c r="B3776" s="2141" t="s">
        <v>3057</v>
      </c>
      <c r="C3776" s="2141" t="s">
        <v>3151</v>
      </c>
      <c r="D3776" s="2141">
        <v>167</v>
      </c>
      <c r="E3776" s="2142">
        <v>69.5</v>
      </c>
      <c r="F3776" s="2142">
        <v>16600</v>
      </c>
      <c r="G3776" s="2142">
        <v>1153700</v>
      </c>
      <c r="H3776" s="2143">
        <v>41974</v>
      </c>
      <c r="I3776" s="2142">
        <v>1153700</v>
      </c>
    </row>
    <row r="3777" spans="1:9" s="2139" customFormat="1" hidden="1">
      <c r="A3777" s="2140" t="s">
        <v>6067</v>
      </c>
      <c r="B3777" s="2141" t="s">
        <v>3057</v>
      </c>
      <c r="C3777" s="2141" t="s">
        <v>3151</v>
      </c>
      <c r="D3777" s="2141">
        <v>185</v>
      </c>
      <c r="E3777" s="2142">
        <v>60.72</v>
      </c>
      <c r="F3777" s="2142">
        <v>12800</v>
      </c>
      <c r="G3777" s="2142">
        <v>777216</v>
      </c>
      <c r="H3777" s="2143">
        <v>41974</v>
      </c>
      <c r="I3777" s="2142">
        <v>777216</v>
      </c>
    </row>
    <row r="3778" spans="1:9" s="2139" customFormat="1" hidden="1">
      <c r="A3778" s="2140" t="s">
        <v>6075</v>
      </c>
      <c r="B3778" s="2141" t="s">
        <v>3057</v>
      </c>
      <c r="C3778" s="2141" t="s">
        <v>3151</v>
      </c>
      <c r="D3778" s="2141">
        <v>223</v>
      </c>
      <c r="E3778" s="2142">
        <v>85.98</v>
      </c>
      <c r="F3778" s="2142">
        <v>13800</v>
      </c>
      <c r="G3778" s="2142">
        <v>1186524</v>
      </c>
      <c r="H3778" s="2143">
        <v>41974</v>
      </c>
      <c r="I3778" s="2142">
        <v>597352</v>
      </c>
    </row>
    <row r="3779" spans="1:9" s="2139" customFormat="1" hidden="1">
      <c r="A3779" s="2140" t="s">
        <v>6076</v>
      </c>
      <c r="B3779" s="2141" t="s">
        <v>3057</v>
      </c>
      <c r="C3779" s="2141" t="s">
        <v>3151</v>
      </c>
      <c r="D3779" s="2141">
        <v>225</v>
      </c>
      <c r="E3779" s="2142">
        <v>85.98</v>
      </c>
      <c r="F3779" s="2142">
        <v>13800</v>
      </c>
      <c r="G3779" s="2142">
        <v>1186524</v>
      </c>
      <c r="H3779" s="2143">
        <v>41974</v>
      </c>
      <c r="I3779" s="2142">
        <v>597352</v>
      </c>
    </row>
    <row r="3780" spans="1:9" s="2139" customFormat="1" hidden="1">
      <c r="A3780" s="2140" t="s">
        <v>5570</v>
      </c>
      <c r="B3780" s="2141" t="s">
        <v>3056</v>
      </c>
      <c r="C3780" s="2141" t="s">
        <v>3151</v>
      </c>
      <c r="D3780" s="2141">
        <v>60</v>
      </c>
      <c r="E3780" s="2142">
        <v>38.11</v>
      </c>
      <c r="F3780" s="2142">
        <v>13800</v>
      </c>
      <c r="G3780" s="2142">
        <v>525918</v>
      </c>
      <c r="H3780" s="2143">
        <v>41973</v>
      </c>
      <c r="I3780" s="2142">
        <v>168402</v>
      </c>
    </row>
    <row r="3781" spans="1:9" s="2139" customFormat="1" hidden="1">
      <c r="A3781" s="2140" t="s">
        <v>5576</v>
      </c>
      <c r="B3781" s="2141" t="s">
        <v>3056</v>
      </c>
      <c r="C3781" s="2141" t="s">
        <v>3151</v>
      </c>
      <c r="D3781" s="2141">
        <v>71</v>
      </c>
      <c r="E3781" s="2142">
        <v>32.78</v>
      </c>
      <c r="F3781" s="2142">
        <v>14080</v>
      </c>
      <c r="G3781" s="2142">
        <v>461542.40000000002</v>
      </c>
      <c r="H3781" s="2143">
        <v>41973</v>
      </c>
      <c r="I3781" s="2142">
        <v>461542</v>
      </c>
    </row>
    <row r="3782" spans="1:9" s="2139" customFormat="1" hidden="1">
      <c r="A3782" s="2140" t="s">
        <v>5580</v>
      </c>
      <c r="B3782" s="2141" t="s">
        <v>3056</v>
      </c>
      <c r="C3782" s="2141" t="s">
        <v>3151</v>
      </c>
      <c r="D3782" s="2141">
        <v>77</v>
      </c>
      <c r="E3782" s="2142">
        <v>42.52</v>
      </c>
      <c r="F3782" s="2142">
        <v>18260</v>
      </c>
      <c r="G3782" s="2142">
        <v>776415.20000000007</v>
      </c>
      <c r="H3782" s="2143">
        <v>41973</v>
      </c>
      <c r="I3782" s="2142">
        <v>776415</v>
      </c>
    </row>
    <row r="3783" spans="1:9" s="2139" customFormat="1" hidden="1">
      <c r="A3783" s="2140" t="s">
        <v>5598</v>
      </c>
      <c r="B3783" s="2141" t="s">
        <v>3056</v>
      </c>
      <c r="C3783" s="2141" t="s">
        <v>3151</v>
      </c>
      <c r="D3783" s="2141">
        <v>112</v>
      </c>
      <c r="E3783" s="2142">
        <v>15.84</v>
      </c>
      <c r="F3783" s="2142">
        <v>12800</v>
      </c>
      <c r="G3783" s="2142">
        <v>202752</v>
      </c>
      <c r="H3783" s="2143">
        <v>41973</v>
      </c>
      <c r="I3783" s="2142">
        <v>202752</v>
      </c>
    </row>
    <row r="3784" spans="1:9" s="2139" customFormat="1" hidden="1">
      <c r="A3784" s="2140" t="s">
        <v>6081</v>
      </c>
      <c r="B3784" s="2141" t="s">
        <v>3057</v>
      </c>
      <c r="C3784" s="2141" t="s">
        <v>3151</v>
      </c>
      <c r="D3784" s="2141">
        <v>230</v>
      </c>
      <c r="E3784" s="2142">
        <v>70.83</v>
      </c>
      <c r="F3784" s="2142">
        <v>18600</v>
      </c>
      <c r="G3784" s="2142">
        <v>1317438</v>
      </c>
      <c r="H3784" s="2143">
        <v>41973</v>
      </c>
      <c r="I3784" s="2142">
        <v>1317438</v>
      </c>
    </row>
    <row r="3785" spans="1:9" s="2139" customFormat="1" hidden="1">
      <c r="A3785" s="2140" t="s">
        <v>6082</v>
      </c>
      <c r="B3785" s="2141" t="s">
        <v>3057</v>
      </c>
      <c r="C3785" s="2141" t="s">
        <v>3151</v>
      </c>
      <c r="D3785" s="2141">
        <v>231</v>
      </c>
      <c r="E3785" s="2142">
        <v>70.83</v>
      </c>
      <c r="F3785" s="2142">
        <v>18600</v>
      </c>
      <c r="G3785" s="2142">
        <v>1317438</v>
      </c>
      <c r="H3785" s="2143">
        <v>41973</v>
      </c>
      <c r="I3785" s="2142">
        <v>1317438</v>
      </c>
    </row>
    <row r="3786" spans="1:9" s="2139" customFormat="1" hidden="1">
      <c r="A3786" s="2140" t="s">
        <v>6083</v>
      </c>
      <c r="B3786" s="2141" t="s">
        <v>3057</v>
      </c>
      <c r="C3786" s="2141" t="s">
        <v>3151</v>
      </c>
      <c r="D3786" s="2141">
        <v>232</v>
      </c>
      <c r="E3786" s="2142">
        <v>69.099999999999994</v>
      </c>
      <c r="F3786" s="2142">
        <v>18600</v>
      </c>
      <c r="G3786" s="2142">
        <v>1285260</v>
      </c>
      <c r="H3786" s="2143">
        <v>41973</v>
      </c>
      <c r="I3786" s="2142">
        <v>1285260</v>
      </c>
    </row>
    <row r="3787" spans="1:9" s="2139" customFormat="1" hidden="1">
      <c r="A3787" s="2140" t="s">
        <v>5555</v>
      </c>
      <c r="B3787" s="2141" t="s">
        <v>3056</v>
      </c>
      <c r="C3787" s="2141" t="s">
        <v>3151</v>
      </c>
      <c r="D3787" s="2141">
        <v>43</v>
      </c>
      <c r="E3787" s="2142">
        <v>76.66</v>
      </c>
      <c r="F3787" s="2142">
        <v>14800</v>
      </c>
      <c r="G3787" s="2142">
        <v>1134568</v>
      </c>
      <c r="H3787" s="2143">
        <v>41972</v>
      </c>
      <c r="I3787" s="2142">
        <v>249748</v>
      </c>
    </row>
    <row r="3788" spans="1:9" s="2139" customFormat="1" hidden="1">
      <c r="A3788" s="2140" t="s">
        <v>5587</v>
      </c>
      <c r="B3788" s="2141" t="s">
        <v>3056</v>
      </c>
      <c r="C3788" s="2141" t="s">
        <v>3151</v>
      </c>
      <c r="D3788" s="2141">
        <v>90</v>
      </c>
      <c r="E3788" s="2142">
        <v>103.12</v>
      </c>
      <c r="F3788" s="2142">
        <v>17600</v>
      </c>
      <c r="G3788" s="2142">
        <v>1814912</v>
      </c>
      <c r="H3788" s="2143">
        <v>41972</v>
      </c>
      <c r="I3788" s="2142">
        <v>1814912</v>
      </c>
    </row>
    <row r="3789" spans="1:9" s="2139" customFormat="1" hidden="1">
      <c r="A3789" s="2140" t="s">
        <v>5588</v>
      </c>
      <c r="B3789" s="2141" t="s">
        <v>3056</v>
      </c>
      <c r="C3789" s="2141" t="s">
        <v>3151</v>
      </c>
      <c r="D3789" s="2141">
        <v>91</v>
      </c>
      <c r="E3789" s="2142">
        <v>46.85</v>
      </c>
      <c r="F3789" s="2142">
        <v>15800</v>
      </c>
      <c r="G3789" s="2142">
        <v>740230</v>
      </c>
      <c r="H3789" s="2143">
        <v>41972</v>
      </c>
      <c r="I3789" s="2142">
        <v>740230</v>
      </c>
    </row>
    <row r="3790" spans="1:9" s="2139" customFormat="1" hidden="1">
      <c r="A3790" s="2140" t="s">
        <v>5601</v>
      </c>
      <c r="B3790" s="2141" t="s">
        <v>3056</v>
      </c>
      <c r="C3790" s="2141" t="s">
        <v>3151</v>
      </c>
      <c r="D3790" s="2141">
        <v>120</v>
      </c>
      <c r="E3790" s="2142">
        <v>86.77</v>
      </c>
      <c r="F3790" s="2142">
        <v>19118</v>
      </c>
      <c r="G3790" s="2142">
        <v>1658868.8599999999</v>
      </c>
      <c r="H3790" s="2143">
        <v>41972</v>
      </c>
      <c r="I3790" s="2142">
        <v>506516</v>
      </c>
    </row>
    <row r="3791" spans="1:9" s="2139" customFormat="1" hidden="1">
      <c r="A3791" s="2140" t="s">
        <v>5602</v>
      </c>
      <c r="B3791" s="2141" t="s">
        <v>3056</v>
      </c>
      <c r="C3791" s="2141" t="s">
        <v>3151</v>
      </c>
      <c r="D3791" s="2141">
        <v>121</v>
      </c>
      <c r="E3791" s="2142">
        <v>84.74</v>
      </c>
      <c r="F3791" s="2142">
        <v>15488</v>
      </c>
      <c r="G3791" s="2142">
        <v>1312453.1199999999</v>
      </c>
      <c r="H3791" s="2143">
        <v>41972</v>
      </c>
      <c r="I3791" s="2142">
        <v>408493</v>
      </c>
    </row>
    <row r="3792" spans="1:9" s="2139" customFormat="1" hidden="1">
      <c r="A3792" s="2140" t="s">
        <v>5635</v>
      </c>
      <c r="B3792" s="2141" t="s">
        <v>3056</v>
      </c>
      <c r="C3792" s="2141" t="s">
        <v>3151</v>
      </c>
      <c r="D3792" s="2141">
        <v>247</v>
      </c>
      <c r="E3792" s="2142">
        <v>144.12</v>
      </c>
      <c r="F3792" s="2142">
        <v>19118</v>
      </c>
      <c r="G3792" s="2142">
        <v>2755286.16</v>
      </c>
      <c r="H3792" s="2143">
        <v>41972</v>
      </c>
      <c r="I3792" s="2142">
        <v>1385286</v>
      </c>
    </row>
    <row r="3793" spans="1:9" s="2139" customFormat="1" hidden="1">
      <c r="A3793" s="2140" t="s">
        <v>5655</v>
      </c>
      <c r="B3793" s="2141" t="s">
        <v>3056</v>
      </c>
      <c r="C3793" s="2141" t="s">
        <v>3151</v>
      </c>
      <c r="D3793" s="2141">
        <v>293</v>
      </c>
      <c r="E3793" s="2142">
        <v>44.02</v>
      </c>
      <c r="F3793" s="2142">
        <v>14080</v>
      </c>
      <c r="G3793" s="2142">
        <v>619801.60000000009</v>
      </c>
      <c r="H3793" s="2143">
        <v>41972</v>
      </c>
      <c r="I3793" s="2142">
        <v>619802</v>
      </c>
    </row>
    <row r="3794" spans="1:9" s="2139" customFormat="1" hidden="1">
      <c r="A3794" s="2140" t="s">
        <v>6070</v>
      </c>
      <c r="B3794" s="2141" t="s">
        <v>3057</v>
      </c>
      <c r="C3794" s="2141" t="s">
        <v>3151</v>
      </c>
      <c r="D3794" s="2141">
        <v>188</v>
      </c>
      <c r="E3794" s="2142">
        <v>68.12</v>
      </c>
      <c r="F3794" s="2142">
        <v>12800</v>
      </c>
      <c r="G3794" s="2142">
        <v>871936</v>
      </c>
      <c r="H3794" s="2143">
        <v>41972</v>
      </c>
      <c r="I3794" s="2142">
        <v>871936</v>
      </c>
    </row>
    <row r="3795" spans="1:9" s="2139" customFormat="1" hidden="1">
      <c r="A3795" s="2140" t="s">
        <v>6072</v>
      </c>
      <c r="B3795" s="2141" t="s">
        <v>3057</v>
      </c>
      <c r="C3795" s="2141" t="s">
        <v>3151</v>
      </c>
      <c r="D3795" s="2141">
        <v>216</v>
      </c>
      <c r="E3795" s="2142">
        <v>90.07</v>
      </c>
      <c r="F3795" s="2142">
        <v>13800</v>
      </c>
      <c r="G3795" s="2142">
        <v>1242966</v>
      </c>
      <c r="H3795" s="2143">
        <v>41972</v>
      </c>
      <c r="I3795" s="2142">
        <v>1242966</v>
      </c>
    </row>
    <row r="3796" spans="1:9" s="2139" customFormat="1" hidden="1">
      <c r="A3796" s="2140" t="s">
        <v>5591</v>
      </c>
      <c r="B3796" s="2141" t="s">
        <v>3056</v>
      </c>
      <c r="C3796" s="2141" t="s">
        <v>3151</v>
      </c>
      <c r="D3796" s="2141">
        <v>100</v>
      </c>
      <c r="E3796" s="2142">
        <v>73.5</v>
      </c>
      <c r="F3796" s="2142">
        <v>15800</v>
      </c>
      <c r="G3796" s="2142">
        <v>1161300</v>
      </c>
      <c r="H3796" s="2143">
        <v>41971</v>
      </c>
      <c r="I3796" s="2142">
        <v>256672</v>
      </c>
    </row>
    <row r="3797" spans="1:9" s="2139" customFormat="1" hidden="1">
      <c r="A3797" s="2140" t="s">
        <v>5608</v>
      </c>
      <c r="B3797" s="2141" t="s">
        <v>3056</v>
      </c>
      <c r="C3797" s="2141" t="s">
        <v>3151</v>
      </c>
      <c r="D3797" s="2141">
        <v>128</v>
      </c>
      <c r="E3797" s="2142">
        <v>48.19</v>
      </c>
      <c r="F3797" s="2142">
        <v>16800</v>
      </c>
      <c r="G3797" s="2142">
        <v>809592</v>
      </c>
      <c r="H3797" s="2143">
        <v>41971</v>
      </c>
      <c r="I3797" s="2142">
        <v>809592</v>
      </c>
    </row>
    <row r="3798" spans="1:9" s="2139" customFormat="1" hidden="1">
      <c r="A3798" s="2140" t="s">
        <v>5624</v>
      </c>
      <c r="B3798" s="2141" t="s">
        <v>3056</v>
      </c>
      <c r="C3798" s="2141" t="s">
        <v>3151</v>
      </c>
      <c r="D3798" s="2141">
        <v>165</v>
      </c>
      <c r="E3798" s="2142">
        <v>160.97</v>
      </c>
      <c r="F3798" s="2142">
        <v>22748</v>
      </c>
      <c r="G3798" s="2142">
        <v>3661745.56</v>
      </c>
      <c r="H3798" s="2143">
        <v>41971</v>
      </c>
      <c r="I3798" s="2142">
        <v>3661746</v>
      </c>
    </row>
    <row r="3799" spans="1:9" s="2139" customFormat="1" hidden="1">
      <c r="A3799" s="2140" t="s">
        <v>6051</v>
      </c>
      <c r="B3799" s="2141" t="s">
        <v>3057</v>
      </c>
      <c r="C3799" s="2141" t="s">
        <v>3151</v>
      </c>
      <c r="D3799" s="2141">
        <v>157</v>
      </c>
      <c r="E3799" s="2142">
        <v>70.02</v>
      </c>
      <c r="F3799" s="2142">
        <v>16600</v>
      </c>
      <c r="G3799" s="2142">
        <v>1162332</v>
      </c>
      <c r="H3799" s="2143">
        <v>41971</v>
      </c>
      <c r="I3799" s="2142">
        <v>1162332</v>
      </c>
    </row>
    <row r="3800" spans="1:9" s="2139" customFormat="1" hidden="1">
      <c r="A3800" s="2140" t="s">
        <v>6052</v>
      </c>
      <c r="B3800" s="2141" t="s">
        <v>3057</v>
      </c>
      <c r="C3800" s="2141" t="s">
        <v>3151</v>
      </c>
      <c r="D3800" s="2141">
        <v>158</v>
      </c>
      <c r="E3800" s="2142">
        <v>70.02</v>
      </c>
      <c r="F3800" s="2142">
        <v>16600</v>
      </c>
      <c r="G3800" s="2142">
        <v>1162332</v>
      </c>
      <c r="H3800" s="2143">
        <v>41971</v>
      </c>
      <c r="I3800" s="2142">
        <v>1162332</v>
      </c>
    </row>
    <row r="3801" spans="1:9" s="2139" customFormat="1" hidden="1">
      <c r="A3801" s="2140" t="s">
        <v>6063</v>
      </c>
      <c r="B3801" s="2141" t="s">
        <v>3057</v>
      </c>
      <c r="C3801" s="2141" t="s">
        <v>3151</v>
      </c>
      <c r="D3801" s="2141">
        <v>179</v>
      </c>
      <c r="E3801" s="2142">
        <v>42</v>
      </c>
      <c r="F3801" s="2142">
        <v>12800</v>
      </c>
      <c r="G3801" s="2142">
        <v>537600</v>
      </c>
      <c r="H3801" s="2143">
        <v>41971</v>
      </c>
      <c r="I3801" s="2142">
        <v>537600</v>
      </c>
    </row>
    <row r="3802" spans="1:9" s="2139" customFormat="1" hidden="1">
      <c r="A3802" s="2140" t="s">
        <v>6064</v>
      </c>
      <c r="B3802" s="2141" t="s">
        <v>3057</v>
      </c>
      <c r="C3802" s="2141" t="s">
        <v>3151</v>
      </c>
      <c r="D3802" s="2141">
        <v>180</v>
      </c>
      <c r="E3802" s="2142">
        <v>46.24</v>
      </c>
      <c r="F3802" s="2142">
        <v>12800</v>
      </c>
      <c r="G3802" s="2142">
        <v>591872</v>
      </c>
      <c r="H3802" s="2143">
        <v>41971</v>
      </c>
      <c r="I3802" s="2142">
        <v>591872</v>
      </c>
    </row>
    <row r="3803" spans="1:9" s="2139" customFormat="1" hidden="1">
      <c r="A3803" s="2140" t="s">
        <v>5532</v>
      </c>
      <c r="B3803" s="2141" t="s">
        <v>3056</v>
      </c>
      <c r="C3803" s="2141" t="s">
        <v>3151</v>
      </c>
      <c r="D3803" s="2141">
        <v>5</v>
      </c>
      <c r="E3803" s="2142">
        <v>70.260000000000005</v>
      </c>
      <c r="F3803" s="2142">
        <v>17200</v>
      </c>
      <c r="G3803" s="2142">
        <v>1208472</v>
      </c>
      <c r="H3803" s="2143">
        <v>41970</v>
      </c>
      <c r="I3803" s="2142">
        <v>274148</v>
      </c>
    </row>
    <row r="3804" spans="1:9" s="2139" customFormat="1" hidden="1">
      <c r="A3804" s="2140" t="s">
        <v>5533</v>
      </c>
      <c r="B3804" s="2141" t="s">
        <v>3056</v>
      </c>
      <c r="C3804" s="2141" t="s">
        <v>3151</v>
      </c>
      <c r="D3804" s="2141">
        <v>6</v>
      </c>
      <c r="E3804" s="2142">
        <v>64.650000000000006</v>
      </c>
      <c r="F3804" s="2142">
        <v>16200</v>
      </c>
      <c r="G3804" s="2142">
        <v>1047330.0000000001</v>
      </c>
      <c r="H3804" s="2143">
        <v>41970</v>
      </c>
      <c r="I3804" s="2142">
        <v>232190</v>
      </c>
    </row>
    <row r="3805" spans="1:9" s="2139" customFormat="1" hidden="1">
      <c r="A3805" s="2140" t="s">
        <v>5534</v>
      </c>
      <c r="B3805" s="2141" t="s">
        <v>3056</v>
      </c>
      <c r="C3805" s="2141" t="s">
        <v>3151</v>
      </c>
      <c r="D3805" s="2141">
        <v>7</v>
      </c>
      <c r="E3805" s="2142">
        <v>73.23</v>
      </c>
      <c r="F3805" s="2142">
        <v>16200</v>
      </c>
      <c r="G3805" s="2142">
        <v>1186326</v>
      </c>
      <c r="H3805" s="2143">
        <v>41970</v>
      </c>
      <c r="I3805" s="2142">
        <v>261834</v>
      </c>
    </row>
    <row r="3806" spans="1:9" s="2139" customFormat="1" hidden="1">
      <c r="A3806" s="2140" t="s">
        <v>5535</v>
      </c>
      <c r="B3806" s="2141" t="s">
        <v>3056</v>
      </c>
      <c r="C3806" s="2141" t="s">
        <v>3151</v>
      </c>
      <c r="D3806" s="2141">
        <v>8</v>
      </c>
      <c r="E3806" s="2142">
        <v>73.23</v>
      </c>
      <c r="F3806" s="2142">
        <v>16200</v>
      </c>
      <c r="G3806" s="2142">
        <v>1186326</v>
      </c>
      <c r="H3806" s="2143">
        <v>41970</v>
      </c>
      <c r="I3806" s="2142">
        <v>261834</v>
      </c>
    </row>
    <row r="3807" spans="1:9" s="2139" customFormat="1" hidden="1">
      <c r="A3807" s="2140" t="s">
        <v>5536</v>
      </c>
      <c r="B3807" s="2141" t="s">
        <v>3056</v>
      </c>
      <c r="C3807" s="2141" t="s">
        <v>3151</v>
      </c>
      <c r="D3807" s="2141">
        <v>9</v>
      </c>
      <c r="E3807" s="2142">
        <v>73.23</v>
      </c>
      <c r="F3807" s="2142">
        <v>16200</v>
      </c>
      <c r="G3807" s="2142">
        <v>1186326</v>
      </c>
      <c r="H3807" s="2143">
        <v>41970</v>
      </c>
      <c r="I3807" s="2142">
        <v>261834</v>
      </c>
    </row>
    <row r="3808" spans="1:9" s="2139" customFormat="1" hidden="1">
      <c r="A3808" s="2140" t="s">
        <v>5537</v>
      </c>
      <c r="B3808" s="2141" t="s">
        <v>3056</v>
      </c>
      <c r="C3808" s="2141" t="s">
        <v>3151</v>
      </c>
      <c r="D3808" s="2141">
        <v>10</v>
      </c>
      <c r="E3808" s="2142">
        <v>73.23</v>
      </c>
      <c r="F3808" s="2142">
        <v>16200</v>
      </c>
      <c r="G3808" s="2142">
        <v>1186326</v>
      </c>
      <c r="H3808" s="2143">
        <v>41970</v>
      </c>
      <c r="I3808" s="2142">
        <v>261672</v>
      </c>
    </row>
    <row r="3809" spans="1:9" s="2139" customFormat="1" hidden="1">
      <c r="A3809" s="2140" t="s">
        <v>5538</v>
      </c>
      <c r="B3809" s="2141" t="s">
        <v>3056</v>
      </c>
      <c r="C3809" s="2141" t="s">
        <v>3151</v>
      </c>
      <c r="D3809" s="2141">
        <v>11</v>
      </c>
      <c r="E3809" s="2142">
        <v>73.23</v>
      </c>
      <c r="F3809" s="2142">
        <v>16200</v>
      </c>
      <c r="G3809" s="2142">
        <v>1186326</v>
      </c>
      <c r="H3809" s="2143">
        <v>41970</v>
      </c>
      <c r="I3809" s="2142">
        <v>261834</v>
      </c>
    </row>
    <row r="3810" spans="1:9" s="2139" customFormat="1" hidden="1">
      <c r="A3810" s="2140" t="s">
        <v>5539</v>
      </c>
      <c r="B3810" s="2141" t="s">
        <v>3056</v>
      </c>
      <c r="C3810" s="2141" t="s">
        <v>3151</v>
      </c>
      <c r="D3810" s="2141">
        <v>12</v>
      </c>
      <c r="E3810" s="2142">
        <v>64.87</v>
      </c>
      <c r="F3810" s="2142">
        <v>16200</v>
      </c>
      <c r="G3810" s="2142">
        <v>1050894</v>
      </c>
      <c r="H3810" s="2143">
        <v>41970</v>
      </c>
      <c r="I3810" s="2142">
        <v>235754</v>
      </c>
    </row>
    <row r="3811" spans="1:9" s="2139" customFormat="1" hidden="1">
      <c r="A3811" s="2140" t="s">
        <v>5542</v>
      </c>
      <c r="B3811" s="2141" t="s">
        <v>3056</v>
      </c>
      <c r="C3811" s="2141" t="s">
        <v>3151</v>
      </c>
      <c r="D3811" s="2141">
        <v>16</v>
      </c>
      <c r="E3811" s="2142">
        <v>40.54</v>
      </c>
      <c r="F3811" s="2142">
        <v>12800</v>
      </c>
      <c r="G3811" s="2142">
        <v>518912</v>
      </c>
      <c r="H3811" s="2143">
        <v>41970</v>
      </c>
      <c r="I3811" s="2142">
        <v>121344</v>
      </c>
    </row>
    <row r="3812" spans="1:9" s="2139" customFormat="1" hidden="1">
      <c r="A3812" s="2140" t="s">
        <v>5543</v>
      </c>
      <c r="B3812" s="2141" t="s">
        <v>3056</v>
      </c>
      <c r="C3812" s="2141" t="s">
        <v>3151</v>
      </c>
      <c r="D3812" s="2141">
        <v>17</v>
      </c>
      <c r="E3812" s="2142">
        <v>45.77</v>
      </c>
      <c r="F3812" s="2142">
        <v>12800</v>
      </c>
      <c r="G3812" s="2142">
        <v>585856</v>
      </c>
      <c r="H3812" s="2143">
        <v>41970</v>
      </c>
      <c r="I3812" s="2142">
        <v>128544</v>
      </c>
    </row>
    <row r="3813" spans="1:9" s="2139" customFormat="1" hidden="1">
      <c r="A3813" s="2140" t="s">
        <v>5544</v>
      </c>
      <c r="B3813" s="2141" t="s">
        <v>3056</v>
      </c>
      <c r="C3813" s="2141" t="s">
        <v>3151</v>
      </c>
      <c r="D3813" s="2141">
        <v>18</v>
      </c>
      <c r="E3813" s="2142">
        <v>45.77</v>
      </c>
      <c r="F3813" s="2142">
        <v>12800</v>
      </c>
      <c r="G3813" s="2142">
        <v>585856</v>
      </c>
      <c r="H3813" s="2143">
        <v>41970</v>
      </c>
      <c r="I3813" s="2142">
        <v>128544</v>
      </c>
    </row>
    <row r="3814" spans="1:9" s="2139" customFormat="1" hidden="1">
      <c r="A3814" s="2140" t="s">
        <v>5545</v>
      </c>
      <c r="B3814" s="2141" t="s">
        <v>3056</v>
      </c>
      <c r="C3814" s="2141" t="s">
        <v>3151</v>
      </c>
      <c r="D3814" s="2141">
        <v>19</v>
      </c>
      <c r="E3814" s="2142">
        <v>45.77</v>
      </c>
      <c r="F3814" s="2142">
        <v>12800</v>
      </c>
      <c r="G3814" s="2142">
        <v>585856</v>
      </c>
      <c r="H3814" s="2143">
        <v>41970</v>
      </c>
      <c r="I3814" s="2142">
        <v>128544</v>
      </c>
    </row>
    <row r="3815" spans="1:9" s="2139" customFormat="1" hidden="1">
      <c r="A3815" s="2140" t="s">
        <v>5546</v>
      </c>
      <c r="B3815" s="2141" t="s">
        <v>3056</v>
      </c>
      <c r="C3815" s="2141" t="s">
        <v>3151</v>
      </c>
      <c r="D3815" s="2141">
        <v>20</v>
      </c>
      <c r="E3815" s="2142">
        <v>45.86</v>
      </c>
      <c r="F3815" s="2142">
        <v>12800</v>
      </c>
      <c r="G3815" s="2142">
        <v>587008</v>
      </c>
      <c r="H3815" s="2143">
        <v>41970</v>
      </c>
      <c r="I3815" s="2142">
        <v>129696</v>
      </c>
    </row>
    <row r="3816" spans="1:9" s="2139" customFormat="1" hidden="1">
      <c r="A3816" s="2140" t="s">
        <v>5547</v>
      </c>
      <c r="B3816" s="2141" t="s">
        <v>3056</v>
      </c>
      <c r="C3816" s="2141" t="s">
        <v>3151</v>
      </c>
      <c r="D3816" s="2141">
        <v>21</v>
      </c>
      <c r="E3816" s="2142">
        <v>45.68</v>
      </c>
      <c r="F3816" s="2142">
        <v>12800</v>
      </c>
      <c r="G3816" s="2142">
        <v>584704</v>
      </c>
      <c r="H3816" s="2143">
        <v>41970</v>
      </c>
      <c r="I3816" s="2142">
        <v>127392</v>
      </c>
    </row>
    <row r="3817" spans="1:9" s="2139" customFormat="1" hidden="1">
      <c r="A3817" s="2140" t="s">
        <v>5548</v>
      </c>
      <c r="B3817" s="2141" t="s">
        <v>3056</v>
      </c>
      <c r="C3817" s="2141" t="s">
        <v>3151</v>
      </c>
      <c r="D3817" s="2141">
        <v>22</v>
      </c>
      <c r="E3817" s="2142">
        <v>45.86</v>
      </c>
      <c r="F3817" s="2142">
        <v>12800</v>
      </c>
      <c r="G3817" s="2142">
        <v>587008</v>
      </c>
      <c r="H3817" s="2143">
        <v>41970</v>
      </c>
      <c r="I3817" s="2142">
        <v>129696</v>
      </c>
    </row>
    <row r="3818" spans="1:9" s="2139" customFormat="1" hidden="1">
      <c r="A3818" s="2140" t="s">
        <v>5549</v>
      </c>
      <c r="B3818" s="2141" t="s">
        <v>3056</v>
      </c>
      <c r="C3818" s="2141" t="s">
        <v>3151</v>
      </c>
      <c r="D3818" s="2141">
        <v>23</v>
      </c>
      <c r="E3818" s="2142">
        <v>44.37</v>
      </c>
      <c r="F3818" s="2142">
        <v>14800</v>
      </c>
      <c r="G3818" s="2142">
        <v>656676</v>
      </c>
      <c r="H3818" s="2143">
        <v>41970</v>
      </c>
      <c r="I3818" s="2142">
        <v>149784</v>
      </c>
    </row>
    <row r="3819" spans="1:9" s="2139" customFormat="1" hidden="1">
      <c r="A3819" s="2140" t="s">
        <v>5586</v>
      </c>
      <c r="B3819" s="2141" t="s">
        <v>3056</v>
      </c>
      <c r="C3819" s="2141" t="s">
        <v>3151</v>
      </c>
      <c r="D3819" s="2141">
        <v>89</v>
      </c>
      <c r="E3819" s="2142">
        <v>66.02</v>
      </c>
      <c r="F3819" s="2142">
        <v>16600</v>
      </c>
      <c r="G3819" s="2142">
        <v>1095932</v>
      </c>
      <c r="H3819" s="2143">
        <v>41969</v>
      </c>
      <c r="I3819" s="2142">
        <v>1095932</v>
      </c>
    </row>
    <row r="3820" spans="1:9" s="2139" customFormat="1" hidden="1">
      <c r="A3820" s="2140" t="s">
        <v>5594</v>
      </c>
      <c r="B3820" s="2141" t="s">
        <v>3056</v>
      </c>
      <c r="C3820" s="2141" t="s">
        <v>3151</v>
      </c>
      <c r="D3820" s="2141">
        <v>105</v>
      </c>
      <c r="E3820" s="2142">
        <v>54.7</v>
      </c>
      <c r="F3820" s="2142">
        <v>14300</v>
      </c>
      <c r="G3820" s="2142">
        <v>782210</v>
      </c>
      <c r="H3820" s="2143">
        <v>41969</v>
      </c>
      <c r="I3820" s="2142">
        <v>782210</v>
      </c>
    </row>
    <row r="3821" spans="1:9" s="2139" customFormat="1" hidden="1">
      <c r="A3821" s="2140" t="s">
        <v>5605</v>
      </c>
      <c r="B3821" s="2141" t="s">
        <v>3056</v>
      </c>
      <c r="C3821" s="2141" t="s">
        <v>3151</v>
      </c>
      <c r="D3821" s="2141">
        <v>125</v>
      </c>
      <c r="E3821" s="2142">
        <v>88.42</v>
      </c>
      <c r="F3821" s="2142">
        <v>12000</v>
      </c>
      <c r="G3821" s="2142">
        <v>1061040</v>
      </c>
      <c r="H3821" s="2143">
        <v>41969</v>
      </c>
      <c r="I3821" s="2142">
        <v>1061040</v>
      </c>
    </row>
    <row r="3822" spans="1:9" s="2139" customFormat="1" hidden="1">
      <c r="A3822" s="2140" t="s">
        <v>5606</v>
      </c>
      <c r="B3822" s="2141" t="s">
        <v>3056</v>
      </c>
      <c r="C3822" s="2141" t="s">
        <v>3151</v>
      </c>
      <c r="D3822" s="2141">
        <v>126</v>
      </c>
      <c r="E3822" s="2142">
        <v>51.75</v>
      </c>
      <c r="F3822" s="2142">
        <v>12000</v>
      </c>
      <c r="G3822" s="2142">
        <v>621000</v>
      </c>
      <c r="H3822" s="2143">
        <v>41969</v>
      </c>
      <c r="I3822" s="2142">
        <v>621000</v>
      </c>
    </row>
    <row r="3823" spans="1:9" s="2139" customFormat="1" hidden="1">
      <c r="A3823" s="2140" t="s">
        <v>5627</v>
      </c>
      <c r="B3823" s="2141" t="s">
        <v>3056</v>
      </c>
      <c r="C3823" s="2141" t="s">
        <v>3151</v>
      </c>
      <c r="D3823" s="2141">
        <v>169</v>
      </c>
      <c r="E3823" s="2142">
        <v>58.97</v>
      </c>
      <c r="F3823" s="2142">
        <v>14080</v>
      </c>
      <c r="G3823" s="2142">
        <v>830297.59999999998</v>
      </c>
      <c r="H3823" s="2143">
        <v>41969</v>
      </c>
      <c r="I3823" s="2142">
        <v>830298</v>
      </c>
    </row>
    <row r="3824" spans="1:9" s="2139" customFormat="1" hidden="1">
      <c r="A3824" s="2140" t="s">
        <v>5642</v>
      </c>
      <c r="B3824" s="2141" t="s">
        <v>3056</v>
      </c>
      <c r="C3824" s="2141" t="s">
        <v>3151</v>
      </c>
      <c r="D3824" s="2141">
        <v>272</v>
      </c>
      <c r="E3824" s="2142">
        <v>44.39</v>
      </c>
      <c r="F3824" s="2142">
        <v>14080</v>
      </c>
      <c r="G3824" s="2142">
        <v>625011.19999999995</v>
      </c>
      <c r="H3824" s="2143">
        <v>41969</v>
      </c>
      <c r="I3824" s="2142">
        <v>137827</v>
      </c>
    </row>
    <row r="3825" spans="1:9" s="2139" customFormat="1" hidden="1">
      <c r="A3825" s="2140" t="s">
        <v>5649</v>
      </c>
      <c r="B3825" s="2141" t="s">
        <v>3056</v>
      </c>
      <c r="C3825" s="2141" t="s">
        <v>3151</v>
      </c>
      <c r="D3825" s="2141">
        <v>285</v>
      </c>
      <c r="E3825" s="2142">
        <v>80.39</v>
      </c>
      <c r="F3825" s="2142">
        <v>18260</v>
      </c>
      <c r="G3825" s="2142">
        <v>1467921.4</v>
      </c>
      <c r="H3825" s="2143">
        <v>41969</v>
      </c>
      <c r="I3825" s="2142">
        <v>324678</v>
      </c>
    </row>
    <row r="3826" spans="1:9" s="2139" customFormat="1" hidden="1">
      <c r="A3826" s="2140" t="s">
        <v>5651</v>
      </c>
      <c r="B3826" s="2141" t="s">
        <v>3056</v>
      </c>
      <c r="C3826" s="2141" t="s">
        <v>3151</v>
      </c>
      <c r="D3826" s="2141">
        <v>288</v>
      </c>
      <c r="E3826" s="2142">
        <v>80.7</v>
      </c>
      <c r="F3826" s="2142">
        <v>15600</v>
      </c>
      <c r="G3826" s="2142">
        <v>1258920</v>
      </c>
      <c r="H3826" s="2143">
        <v>41969</v>
      </c>
      <c r="I3826" s="2142">
        <v>1258920</v>
      </c>
    </row>
    <row r="3827" spans="1:9" s="2139" customFormat="1" hidden="1">
      <c r="A3827" s="2140" t="s">
        <v>5566</v>
      </c>
      <c r="B3827" s="2141" t="s">
        <v>3056</v>
      </c>
      <c r="C3827" s="2141" t="s">
        <v>3151</v>
      </c>
      <c r="D3827" s="2141">
        <v>56</v>
      </c>
      <c r="E3827" s="2142">
        <v>44.01</v>
      </c>
      <c r="F3827" s="2142">
        <v>13800</v>
      </c>
      <c r="G3827" s="2142">
        <v>607338</v>
      </c>
      <c r="H3827" s="2143">
        <v>41968</v>
      </c>
      <c r="I3827" s="2142">
        <v>607338</v>
      </c>
    </row>
    <row r="3828" spans="1:9" s="2139" customFormat="1" hidden="1">
      <c r="A3828" s="2140" t="s">
        <v>5603</v>
      </c>
      <c r="B3828" s="2141" t="s">
        <v>3056</v>
      </c>
      <c r="C3828" s="2141" t="s">
        <v>3151</v>
      </c>
      <c r="D3828" s="2141">
        <v>122</v>
      </c>
      <c r="E3828" s="2142">
        <v>65.959999999999994</v>
      </c>
      <c r="F3828" s="2142">
        <v>14520</v>
      </c>
      <c r="G3828" s="2142">
        <v>957739.2</v>
      </c>
      <c r="H3828" s="2143">
        <v>41968</v>
      </c>
      <c r="I3828" s="2142">
        <v>957739</v>
      </c>
    </row>
    <row r="3829" spans="1:9" s="2139" customFormat="1" hidden="1">
      <c r="A3829" s="2140" t="s">
        <v>5616</v>
      </c>
      <c r="B3829" s="2141" t="s">
        <v>3056</v>
      </c>
      <c r="C3829" s="2141" t="s">
        <v>3151</v>
      </c>
      <c r="D3829" s="2141">
        <v>148</v>
      </c>
      <c r="E3829" s="2142">
        <v>75.319999999999993</v>
      </c>
      <c r="F3829" s="2142">
        <v>16579</v>
      </c>
      <c r="G3829" s="2142">
        <v>1248730.2799999998</v>
      </c>
      <c r="H3829" s="2143">
        <v>41968</v>
      </c>
      <c r="I3829" s="2142">
        <v>1248730</v>
      </c>
    </row>
    <row r="3830" spans="1:9" s="2139" customFormat="1" hidden="1">
      <c r="A3830" s="2140" t="s">
        <v>5619</v>
      </c>
      <c r="B3830" s="2141" t="s">
        <v>3056</v>
      </c>
      <c r="C3830" s="2141" t="s">
        <v>3151</v>
      </c>
      <c r="D3830" s="2141">
        <v>158</v>
      </c>
      <c r="E3830" s="2142">
        <v>63.57</v>
      </c>
      <c r="F3830" s="2142">
        <v>15488</v>
      </c>
      <c r="G3830" s="2142">
        <v>984572.16</v>
      </c>
      <c r="H3830" s="2143">
        <v>41968</v>
      </c>
      <c r="I3830" s="2142">
        <v>984572</v>
      </c>
    </row>
    <row r="3831" spans="1:9" s="2139" customFormat="1" hidden="1">
      <c r="A3831" s="2140" t="s">
        <v>5620</v>
      </c>
      <c r="B3831" s="2141" t="s">
        <v>3056</v>
      </c>
      <c r="C3831" s="2141" t="s">
        <v>3151</v>
      </c>
      <c r="D3831" s="2141">
        <v>159</v>
      </c>
      <c r="E3831" s="2142">
        <v>63.56</v>
      </c>
      <c r="F3831" s="2142">
        <v>15488</v>
      </c>
      <c r="G3831" s="2142">
        <v>984417.28000000003</v>
      </c>
      <c r="H3831" s="2143">
        <v>41968</v>
      </c>
      <c r="I3831" s="2142">
        <v>984417</v>
      </c>
    </row>
    <row r="3832" spans="1:9" s="2139" customFormat="1" hidden="1">
      <c r="A3832" s="2140" t="s">
        <v>5625</v>
      </c>
      <c r="B3832" s="2141" t="s">
        <v>3056</v>
      </c>
      <c r="C3832" s="2141" t="s">
        <v>3151</v>
      </c>
      <c r="D3832" s="2141">
        <v>167</v>
      </c>
      <c r="E3832" s="2142">
        <v>52.68</v>
      </c>
      <c r="F3832" s="2142">
        <v>17380</v>
      </c>
      <c r="G3832" s="2142">
        <v>915578.4</v>
      </c>
      <c r="H3832" s="2143">
        <v>41968</v>
      </c>
      <c r="I3832" s="2142">
        <v>915578</v>
      </c>
    </row>
    <row r="3833" spans="1:9" s="2139" customFormat="1" hidden="1">
      <c r="A3833" s="2140" t="s">
        <v>5626</v>
      </c>
      <c r="B3833" s="2141" t="s">
        <v>3056</v>
      </c>
      <c r="C3833" s="2141" t="s">
        <v>3151</v>
      </c>
      <c r="D3833" s="2141">
        <v>168</v>
      </c>
      <c r="E3833" s="2142">
        <v>48.82</v>
      </c>
      <c r="F3833" s="2142">
        <v>14080</v>
      </c>
      <c r="G3833" s="2142">
        <v>687385.59999999998</v>
      </c>
      <c r="H3833" s="2143">
        <v>41968</v>
      </c>
      <c r="I3833" s="2142">
        <v>687386</v>
      </c>
    </row>
    <row r="3834" spans="1:9" s="2139" customFormat="1" hidden="1">
      <c r="A3834" s="2140" t="s">
        <v>5653</v>
      </c>
      <c r="B3834" s="2141" t="s">
        <v>3056</v>
      </c>
      <c r="C3834" s="2141" t="s">
        <v>3151</v>
      </c>
      <c r="D3834" s="2141">
        <v>290</v>
      </c>
      <c r="E3834" s="2142">
        <v>42.65</v>
      </c>
      <c r="F3834" s="2142">
        <v>19082</v>
      </c>
      <c r="G3834" s="2142">
        <v>813847.29999999993</v>
      </c>
      <c r="H3834" s="2143">
        <v>41968</v>
      </c>
      <c r="I3834" s="2142">
        <v>813847</v>
      </c>
    </row>
    <row r="3835" spans="1:9" s="2139" customFormat="1" hidden="1">
      <c r="A3835" s="2140" t="s">
        <v>5540</v>
      </c>
      <c r="B3835" s="2141" t="s">
        <v>3056</v>
      </c>
      <c r="C3835" s="2141" t="s">
        <v>3151</v>
      </c>
      <c r="D3835" s="2141">
        <v>13</v>
      </c>
      <c r="E3835" s="2142">
        <v>125.54</v>
      </c>
      <c r="F3835" s="2142">
        <v>17200</v>
      </c>
      <c r="G3835" s="2142">
        <v>2159288</v>
      </c>
      <c r="H3835" s="2143">
        <v>41967</v>
      </c>
      <c r="I3835" s="2142">
        <v>2159288</v>
      </c>
    </row>
    <row r="3836" spans="1:9" s="2139" customFormat="1" hidden="1">
      <c r="A3836" s="2140" t="s">
        <v>5541</v>
      </c>
      <c r="B3836" s="2141" t="s">
        <v>3056</v>
      </c>
      <c r="C3836" s="2141" t="s">
        <v>3151</v>
      </c>
      <c r="D3836" s="2141">
        <v>15</v>
      </c>
      <c r="E3836" s="2142">
        <v>77.72</v>
      </c>
      <c r="F3836" s="2142">
        <v>17600</v>
      </c>
      <c r="G3836" s="2142">
        <v>1367872</v>
      </c>
      <c r="H3836" s="2143">
        <v>41967</v>
      </c>
      <c r="I3836" s="2142">
        <v>1367872</v>
      </c>
    </row>
    <row r="3837" spans="1:9" s="2139" customFormat="1" hidden="1">
      <c r="A3837" s="2140" t="s">
        <v>5550</v>
      </c>
      <c r="B3837" s="2141" t="s">
        <v>3056</v>
      </c>
      <c r="C3837" s="2141" t="s">
        <v>3151</v>
      </c>
      <c r="D3837" s="2141">
        <v>25</v>
      </c>
      <c r="E3837" s="2142">
        <v>83.98</v>
      </c>
      <c r="F3837" s="2142">
        <v>14200</v>
      </c>
      <c r="G3837" s="2142">
        <v>1192516</v>
      </c>
      <c r="H3837" s="2143">
        <v>41967</v>
      </c>
      <c r="I3837" s="2142">
        <v>1192516</v>
      </c>
    </row>
    <row r="3838" spans="1:9" s="2139" customFormat="1" hidden="1">
      <c r="A3838" s="2140" t="s">
        <v>5597</v>
      </c>
      <c r="B3838" s="2141" t="s">
        <v>3056</v>
      </c>
      <c r="C3838" s="2141" t="s">
        <v>3151</v>
      </c>
      <c r="D3838" s="2141">
        <v>111</v>
      </c>
      <c r="E3838" s="2142">
        <v>48.24</v>
      </c>
      <c r="F3838" s="2142">
        <v>12800</v>
      </c>
      <c r="G3838" s="2142">
        <v>617472</v>
      </c>
      <c r="H3838" s="2143">
        <v>41967</v>
      </c>
      <c r="I3838" s="2142">
        <v>617472</v>
      </c>
    </row>
    <row r="3839" spans="1:9" s="2139" customFormat="1" hidden="1">
      <c r="A3839" s="2140" t="s">
        <v>6123</v>
      </c>
      <c r="B3839" s="2141" t="s">
        <v>3057</v>
      </c>
      <c r="C3839" s="2141" t="s">
        <v>3151</v>
      </c>
      <c r="D3839" s="2141">
        <v>432</v>
      </c>
      <c r="E3839" s="2142">
        <v>70.02</v>
      </c>
      <c r="F3839" s="2142">
        <v>16600</v>
      </c>
      <c r="G3839" s="2142">
        <v>1162332</v>
      </c>
      <c r="H3839" s="2143">
        <v>41967</v>
      </c>
      <c r="I3839" s="2142">
        <v>1162332</v>
      </c>
    </row>
    <row r="3840" spans="1:9" s="2139" customFormat="1" hidden="1">
      <c r="A3840" s="2140" t="s">
        <v>5639</v>
      </c>
      <c r="B3840" s="2141" t="s">
        <v>3056</v>
      </c>
      <c r="C3840" s="2141" t="s">
        <v>3151</v>
      </c>
      <c r="D3840" s="2141">
        <v>266</v>
      </c>
      <c r="E3840" s="2142">
        <v>85.83</v>
      </c>
      <c r="F3840" s="2142">
        <v>14800</v>
      </c>
      <c r="G3840" s="2142">
        <v>1270284</v>
      </c>
      <c r="H3840" s="2143">
        <v>41966</v>
      </c>
      <c r="I3840" s="2142">
        <v>1270284</v>
      </c>
    </row>
    <row r="3841" spans="1:9" s="2139" customFormat="1" hidden="1">
      <c r="A3841" s="2140" t="s">
        <v>6122</v>
      </c>
      <c r="B3841" s="2141" t="s">
        <v>3057</v>
      </c>
      <c r="C3841" s="2141" t="s">
        <v>3151</v>
      </c>
      <c r="D3841" s="2141">
        <v>431</v>
      </c>
      <c r="E3841" s="2142">
        <v>69.510000000000005</v>
      </c>
      <c r="F3841" s="2142">
        <v>16600</v>
      </c>
      <c r="G3841" s="2142">
        <v>1153866</v>
      </c>
      <c r="H3841" s="2143">
        <v>41966</v>
      </c>
      <c r="I3841" s="2142">
        <v>1153866</v>
      </c>
    </row>
    <row r="3842" spans="1:9" s="2139" customFormat="1" hidden="1">
      <c r="A3842" s="2140" t="s">
        <v>5574</v>
      </c>
      <c r="B3842" s="2141" t="s">
        <v>3056</v>
      </c>
      <c r="C3842" s="2141" t="s">
        <v>3151</v>
      </c>
      <c r="D3842" s="2141">
        <v>69</v>
      </c>
      <c r="E3842" s="2142">
        <v>34.520000000000003</v>
      </c>
      <c r="F3842" s="2142">
        <v>14080</v>
      </c>
      <c r="G3842" s="2142">
        <v>486041.60000000003</v>
      </c>
      <c r="H3842" s="2143">
        <v>41965</v>
      </c>
      <c r="I3842" s="2142">
        <v>108294</v>
      </c>
    </row>
    <row r="3843" spans="1:9" s="2139" customFormat="1" hidden="1">
      <c r="A3843" s="2140" t="s">
        <v>5575</v>
      </c>
      <c r="B3843" s="2141" t="s">
        <v>3056</v>
      </c>
      <c r="C3843" s="2141" t="s">
        <v>3151</v>
      </c>
      <c r="D3843" s="2141">
        <v>70</v>
      </c>
      <c r="E3843" s="2142">
        <v>32.78</v>
      </c>
      <c r="F3843" s="2142">
        <v>14080</v>
      </c>
      <c r="G3843" s="2142">
        <v>461542.40000000002</v>
      </c>
      <c r="H3843" s="2143">
        <v>41965</v>
      </c>
      <c r="I3843" s="2142">
        <v>103654</v>
      </c>
    </row>
    <row r="3844" spans="1:9" s="2139" customFormat="1" hidden="1">
      <c r="A3844" s="2140" t="s">
        <v>5581</v>
      </c>
      <c r="B3844" s="2141" t="s">
        <v>3056</v>
      </c>
      <c r="C3844" s="2141" t="s">
        <v>3151</v>
      </c>
      <c r="D3844" s="2141">
        <v>78</v>
      </c>
      <c r="E3844" s="2142">
        <v>78.34</v>
      </c>
      <c r="F3844" s="2142">
        <v>18260</v>
      </c>
      <c r="G3844" s="2142">
        <v>1430488.4000000001</v>
      </c>
      <c r="H3844" s="2143">
        <v>41965</v>
      </c>
      <c r="I3844" s="2142">
        <v>420488</v>
      </c>
    </row>
    <row r="3845" spans="1:9" s="2139" customFormat="1" hidden="1">
      <c r="A3845" s="2140" t="s">
        <v>5582</v>
      </c>
      <c r="B3845" s="2141" t="s">
        <v>3056</v>
      </c>
      <c r="C3845" s="2141" t="s">
        <v>3151</v>
      </c>
      <c r="D3845" s="2141">
        <v>79</v>
      </c>
      <c r="E3845" s="2142">
        <v>62.76</v>
      </c>
      <c r="F3845" s="2142">
        <v>18260</v>
      </c>
      <c r="G3845" s="2142">
        <v>1145997.5999999999</v>
      </c>
      <c r="H3845" s="2143">
        <v>41965</v>
      </c>
      <c r="I3845" s="2142">
        <v>251293</v>
      </c>
    </row>
    <row r="3846" spans="1:9" s="2139" customFormat="1" hidden="1">
      <c r="A3846" s="2140" t="s">
        <v>5583</v>
      </c>
      <c r="B3846" s="2141" t="s">
        <v>3056</v>
      </c>
      <c r="C3846" s="2141" t="s">
        <v>3151</v>
      </c>
      <c r="D3846" s="2141">
        <v>80</v>
      </c>
      <c r="E3846" s="2142">
        <v>62.58</v>
      </c>
      <c r="F3846" s="2142">
        <v>22095</v>
      </c>
      <c r="G3846" s="2142">
        <v>1382705.0999999999</v>
      </c>
      <c r="H3846" s="2143">
        <v>41964</v>
      </c>
      <c r="I3846" s="2142">
        <v>1382705</v>
      </c>
    </row>
    <row r="3847" spans="1:9" s="2139" customFormat="1" hidden="1">
      <c r="A3847" s="2140" t="s">
        <v>5531</v>
      </c>
      <c r="B3847" s="2141" t="s">
        <v>3056</v>
      </c>
      <c r="C3847" s="2141" t="s">
        <v>3151</v>
      </c>
      <c r="D3847" s="2141">
        <v>3</v>
      </c>
      <c r="E3847" s="2142">
        <v>76.72</v>
      </c>
      <c r="F3847" s="2142">
        <v>17200</v>
      </c>
      <c r="G3847" s="2142">
        <v>1319584</v>
      </c>
      <c r="H3847" s="2143">
        <v>41963</v>
      </c>
      <c r="I3847" s="2142">
        <v>1319584</v>
      </c>
    </row>
    <row r="3848" spans="1:9" s="2139" customFormat="1" hidden="1">
      <c r="A3848" s="2140" t="s">
        <v>5557</v>
      </c>
      <c r="B3848" s="2141" t="s">
        <v>3056</v>
      </c>
      <c r="C3848" s="2141" t="s">
        <v>3151</v>
      </c>
      <c r="D3848" s="2141">
        <v>46</v>
      </c>
      <c r="E3848" s="2142">
        <v>49.88</v>
      </c>
      <c r="F3848" s="2142">
        <v>12800</v>
      </c>
      <c r="G3848" s="2142">
        <v>638464</v>
      </c>
      <c r="H3848" s="2143">
        <v>41963</v>
      </c>
      <c r="I3848" s="2142">
        <v>638464</v>
      </c>
    </row>
    <row r="3849" spans="1:9" s="2139" customFormat="1" hidden="1">
      <c r="A3849" s="2140" t="s">
        <v>5556</v>
      </c>
      <c r="B3849" s="2141" t="s">
        <v>3056</v>
      </c>
      <c r="C3849" s="2141" t="s">
        <v>3151</v>
      </c>
      <c r="D3849" s="2141">
        <v>45</v>
      </c>
      <c r="E3849" s="2142">
        <v>77.64</v>
      </c>
      <c r="F3849" s="2142">
        <v>14800</v>
      </c>
      <c r="G3849" s="2142">
        <v>1149072</v>
      </c>
      <c r="H3849" s="2143"/>
      <c r="I3849" s="2142">
        <v>190476</v>
      </c>
    </row>
    <row r="3850" spans="1:9" s="2139" customFormat="1" hidden="1">
      <c r="A3850" s="2140" t="s">
        <v>5577</v>
      </c>
      <c r="B3850" s="2141" t="s">
        <v>3056</v>
      </c>
      <c r="C3850" s="2141" t="s">
        <v>3151</v>
      </c>
      <c r="D3850" s="2141">
        <v>73</v>
      </c>
      <c r="E3850" s="2142">
        <v>36.479999999999997</v>
      </c>
      <c r="F3850" s="2142">
        <v>14800</v>
      </c>
      <c r="G3850" s="2142">
        <v>539904</v>
      </c>
      <c r="H3850" s="2143"/>
      <c r="I3850" s="2142">
        <v>101883</v>
      </c>
    </row>
    <row r="3851" spans="1:9" s="2139" customFormat="1" hidden="1">
      <c r="A3851" s="2140" t="s">
        <v>5578</v>
      </c>
      <c r="B3851" s="2141" t="s">
        <v>3056</v>
      </c>
      <c r="C3851" s="2141" t="s">
        <v>3151</v>
      </c>
      <c r="D3851" s="2141">
        <v>75</v>
      </c>
      <c r="E3851" s="2142">
        <v>66.510000000000005</v>
      </c>
      <c r="F3851" s="2142">
        <v>17600</v>
      </c>
      <c r="G3851" s="2142">
        <v>1170576</v>
      </c>
      <c r="H3851" s="2143"/>
      <c r="I3851" s="2142">
        <v>156327</v>
      </c>
    </row>
    <row r="3852" spans="1:9" s="2139" customFormat="1" hidden="1">
      <c r="A3852" s="2140" t="s">
        <v>5579</v>
      </c>
      <c r="B3852" s="2141" t="s">
        <v>3056</v>
      </c>
      <c r="C3852" s="2141" t="s">
        <v>3151</v>
      </c>
      <c r="D3852" s="2141">
        <v>76</v>
      </c>
      <c r="E3852" s="2142">
        <v>64.52</v>
      </c>
      <c r="F3852" s="2142">
        <v>16600</v>
      </c>
      <c r="G3852" s="2142">
        <v>1071032</v>
      </c>
      <c r="H3852" s="2143"/>
      <c r="I3852" s="2142">
        <v>11416</v>
      </c>
    </row>
    <row r="3853" spans="1:9" s="2139" customFormat="1" hidden="1">
      <c r="A3853" s="2140" t="s">
        <v>5638</v>
      </c>
      <c r="B3853" s="2141" t="s">
        <v>3056</v>
      </c>
      <c r="C3853" s="2141" t="s">
        <v>3151</v>
      </c>
      <c r="D3853" s="2141">
        <v>265</v>
      </c>
      <c r="E3853" s="2142">
        <v>74.12</v>
      </c>
      <c r="F3853" s="2142">
        <v>16800</v>
      </c>
      <c r="G3853" s="2142">
        <v>1245216</v>
      </c>
      <c r="H3853" s="2143"/>
      <c r="I3853" s="2142">
        <v>268733</v>
      </c>
    </row>
    <row r="3854" spans="1:9" s="2139" customFormat="1" hidden="1">
      <c r="A3854" s="2140" t="s">
        <v>5643</v>
      </c>
      <c r="B3854" s="2141" t="s">
        <v>3056</v>
      </c>
      <c r="C3854" s="2141" t="s">
        <v>3151</v>
      </c>
      <c r="D3854" s="2141">
        <v>275</v>
      </c>
      <c r="E3854" s="2142">
        <v>34.520000000000003</v>
      </c>
      <c r="F3854" s="2142">
        <v>14080</v>
      </c>
      <c r="G3854" s="2142">
        <v>486041.60000000003</v>
      </c>
      <c r="H3854" s="2143"/>
      <c r="I3854" s="2142">
        <v>50000</v>
      </c>
    </row>
    <row r="3855" spans="1:9" s="2139" customFormat="1" hidden="1">
      <c r="A3855" s="2140" t="s">
        <v>5648</v>
      </c>
      <c r="B3855" s="2141" t="s">
        <v>3056</v>
      </c>
      <c r="C3855" s="2141" t="s">
        <v>3151</v>
      </c>
      <c r="D3855" s="2141">
        <v>282</v>
      </c>
      <c r="E3855" s="2142">
        <v>62.77</v>
      </c>
      <c r="F3855" s="2142">
        <v>18260</v>
      </c>
      <c r="G3855" s="2142">
        <v>1146180.2</v>
      </c>
      <c r="H3855" s="2143"/>
      <c r="I3855" s="2142">
        <v>50000</v>
      </c>
    </row>
    <row r="3856" spans="1:9" s="2139" customFormat="1" hidden="1">
      <c r="A3856" s="2140" t="s">
        <v>5658</v>
      </c>
      <c r="B3856" s="2141" t="s">
        <v>3056</v>
      </c>
      <c r="C3856" s="2141" t="s">
        <v>3151</v>
      </c>
      <c r="D3856" s="2141">
        <v>298</v>
      </c>
      <c r="E3856" s="2142">
        <v>46.54</v>
      </c>
      <c r="F3856" s="2142">
        <v>12800</v>
      </c>
      <c r="G3856" s="2142">
        <v>595712</v>
      </c>
      <c r="H3856" s="2143"/>
      <c r="I3856" s="2142">
        <v>128000</v>
      </c>
    </row>
    <row r="3857" spans="1:9" s="2139" customFormat="1" hidden="1">
      <c r="A3857" s="2140" t="s">
        <v>5659</v>
      </c>
      <c r="B3857" s="2141" t="s">
        <v>3056</v>
      </c>
      <c r="C3857" s="2141" t="s">
        <v>3151</v>
      </c>
      <c r="D3857" s="2141">
        <v>299</v>
      </c>
      <c r="E3857" s="2142">
        <v>44.03</v>
      </c>
      <c r="F3857" s="2142">
        <v>11800</v>
      </c>
      <c r="G3857" s="2142">
        <v>519554</v>
      </c>
      <c r="H3857" s="2143"/>
      <c r="I3857" s="2142">
        <v>112643</v>
      </c>
    </row>
    <row r="3858" spans="1:9" s="2139" customFormat="1" hidden="1">
      <c r="A3858" s="2140" t="s">
        <v>5660</v>
      </c>
      <c r="B3858" s="2141" t="s">
        <v>3056</v>
      </c>
      <c r="C3858" s="2141" t="s">
        <v>3151</v>
      </c>
      <c r="D3858" s="2141">
        <v>300</v>
      </c>
      <c r="E3858" s="2142">
        <v>44.03</v>
      </c>
      <c r="F3858" s="2142">
        <v>12800</v>
      </c>
      <c r="G3858" s="2142">
        <v>563584</v>
      </c>
      <c r="H3858" s="2143"/>
      <c r="I3858" s="2142">
        <v>122189</v>
      </c>
    </row>
    <row r="3859" spans="1:9" s="2139" customFormat="1" hidden="1">
      <c r="A3859" s="2140" t="s">
        <v>5661</v>
      </c>
      <c r="B3859" s="2141" t="s">
        <v>3056</v>
      </c>
      <c r="C3859" s="2141" t="s">
        <v>3151</v>
      </c>
      <c r="D3859" s="2141">
        <v>301</v>
      </c>
      <c r="E3859" s="2142">
        <v>44.03</v>
      </c>
      <c r="F3859" s="2142">
        <v>12800</v>
      </c>
      <c r="G3859" s="2142">
        <v>563584</v>
      </c>
      <c r="H3859" s="2143"/>
      <c r="I3859" s="2142">
        <v>122189</v>
      </c>
    </row>
    <row r="3860" spans="1:9" s="2139" customFormat="1" hidden="1">
      <c r="A3860" s="2140" t="s">
        <v>5662</v>
      </c>
      <c r="B3860" s="2141" t="s">
        <v>3056</v>
      </c>
      <c r="C3860" s="2141" t="s">
        <v>3151</v>
      </c>
      <c r="D3860" s="2141">
        <v>302</v>
      </c>
      <c r="E3860" s="2142">
        <v>44.03</v>
      </c>
      <c r="F3860" s="2142">
        <v>12800</v>
      </c>
      <c r="G3860" s="2142">
        <v>563584</v>
      </c>
      <c r="H3860" s="2143"/>
      <c r="I3860" s="2142">
        <v>122189</v>
      </c>
    </row>
    <row r="3861" spans="1:9" s="2139" customFormat="1" hidden="1">
      <c r="A3861" s="2140" t="s">
        <v>5663</v>
      </c>
      <c r="B3861" s="2141" t="s">
        <v>3056</v>
      </c>
      <c r="C3861" s="2141" t="s">
        <v>3151</v>
      </c>
      <c r="D3861" s="2141">
        <v>303</v>
      </c>
      <c r="E3861" s="2142">
        <v>46.55</v>
      </c>
      <c r="F3861" s="2142">
        <v>15800</v>
      </c>
      <c r="G3861" s="2142">
        <v>735490</v>
      </c>
      <c r="H3861" s="2143"/>
      <c r="I3861" s="2142">
        <v>158000</v>
      </c>
    </row>
    <row r="3862" spans="1:9" s="2139" customFormat="1" hidden="1">
      <c r="A3862" s="2140" t="s">
        <v>5664</v>
      </c>
      <c r="B3862" s="2141" t="s">
        <v>3056</v>
      </c>
      <c r="C3862" s="2141" t="s">
        <v>3151</v>
      </c>
      <c r="D3862" s="2141">
        <v>331</v>
      </c>
      <c r="E3862" s="2142">
        <v>65.75</v>
      </c>
      <c r="F3862" s="2142">
        <v>17600</v>
      </c>
      <c r="G3862" s="2142">
        <v>1157200</v>
      </c>
      <c r="H3862" s="2143"/>
      <c r="I3862" s="2142">
        <v>253440</v>
      </c>
    </row>
    <row r="3863" spans="1:9" s="2139" customFormat="1" hidden="1">
      <c r="A3863" s="2140" t="s">
        <v>5665</v>
      </c>
      <c r="B3863" s="2141" t="s">
        <v>3056</v>
      </c>
      <c r="C3863" s="2141" t="s">
        <v>3151</v>
      </c>
      <c r="D3863" s="2141">
        <v>332</v>
      </c>
      <c r="E3863" s="2142">
        <v>62.77</v>
      </c>
      <c r="F3863" s="2142">
        <v>16600</v>
      </c>
      <c r="G3863" s="2142">
        <v>1041982</v>
      </c>
      <c r="H3863" s="2143"/>
      <c r="I3863" s="2142">
        <v>228184</v>
      </c>
    </row>
    <row r="3864" spans="1:9" s="2139" customFormat="1" hidden="1">
      <c r="A3864" s="2140" t="s">
        <v>5666</v>
      </c>
      <c r="B3864" s="2141" t="s">
        <v>3056</v>
      </c>
      <c r="C3864" s="2141" t="s">
        <v>3151</v>
      </c>
      <c r="D3864" s="2141">
        <v>333</v>
      </c>
      <c r="E3864" s="2142">
        <v>62.77</v>
      </c>
      <c r="F3864" s="2142">
        <v>16600</v>
      </c>
      <c r="G3864" s="2142">
        <v>1041982</v>
      </c>
      <c r="H3864" s="2143"/>
      <c r="I3864" s="2142">
        <v>228184</v>
      </c>
    </row>
    <row r="3865" spans="1:9" s="2139" customFormat="1" hidden="1">
      <c r="A3865" s="2140" t="s">
        <v>5667</v>
      </c>
      <c r="B3865" s="2141" t="s">
        <v>3056</v>
      </c>
      <c r="C3865" s="2141" t="s">
        <v>3151</v>
      </c>
      <c r="D3865" s="2141">
        <v>335</v>
      </c>
      <c r="E3865" s="2142">
        <v>62.77</v>
      </c>
      <c r="F3865" s="2142">
        <v>16600</v>
      </c>
      <c r="G3865" s="2142">
        <v>1041982</v>
      </c>
      <c r="H3865" s="2143"/>
      <c r="I3865" s="2142">
        <v>228184</v>
      </c>
    </row>
    <row r="3866" spans="1:9" s="2139" customFormat="1" hidden="1">
      <c r="A3866" s="2140" t="s">
        <v>5668</v>
      </c>
      <c r="B3866" s="2141" t="s">
        <v>3056</v>
      </c>
      <c r="C3866" s="2141" t="s">
        <v>3151</v>
      </c>
      <c r="D3866" s="2141">
        <v>336</v>
      </c>
      <c r="E3866" s="2142">
        <v>62.77</v>
      </c>
      <c r="F3866" s="2142">
        <v>14600</v>
      </c>
      <c r="G3866" s="2142">
        <v>916442</v>
      </c>
      <c r="H3866" s="2143"/>
      <c r="I3866" s="2142">
        <v>200692</v>
      </c>
    </row>
    <row r="3867" spans="1:9" s="2139" customFormat="1" hidden="1">
      <c r="A3867" s="2140" t="s">
        <v>5669</v>
      </c>
      <c r="B3867" s="2141" t="s">
        <v>3056</v>
      </c>
      <c r="C3867" s="2141" t="s">
        <v>3151</v>
      </c>
      <c r="D3867" s="2141">
        <v>337</v>
      </c>
      <c r="E3867" s="2142">
        <v>65.760000000000005</v>
      </c>
      <c r="F3867" s="2142">
        <v>15600</v>
      </c>
      <c r="G3867" s="2142">
        <v>1025856.0000000001</v>
      </c>
      <c r="H3867" s="2143"/>
      <c r="I3867" s="2142">
        <v>224640</v>
      </c>
    </row>
    <row r="3868" spans="1:9" s="2139" customFormat="1" hidden="1">
      <c r="A3868" s="2140" t="s">
        <v>6378</v>
      </c>
      <c r="B3868" s="2141">
        <v>9</v>
      </c>
      <c r="C3868" s="2141" t="s">
        <v>3151</v>
      </c>
      <c r="D3868" s="2141">
        <v>23</v>
      </c>
      <c r="E3868" s="2142">
        <v>75</v>
      </c>
      <c r="F3868" s="2142">
        <v>14729</v>
      </c>
      <c r="G3868" s="2142">
        <v>1104675</v>
      </c>
      <c r="H3868" s="2143"/>
      <c r="I3868" s="2142">
        <v>121603</v>
      </c>
    </row>
    <row r="3869" spans="1:9" s="2139" customFormat="1" hidden="1">
      <c r="A3869" s="2140" t="s">
        <v>6379</v>
      </c>
      <c r="B3869" s="2141">
        <v>9</v>
      </c>
      <c r="C3869" s="2141" t="s">
        <v>3151</v>
      </c>
      <c r="D3869" s="2141">
        <v>25</v>
      </c>
      <c r="E3869" s="2142">
        <v>75</v>
      </c>
      <c r="F3869" s="2142">
        <v>14729</v>
      </c>
      <c r="G3869" s="2142">
        <v>1104675</v>
      </c>
      <c r="H3869" s="2143"/>
      <c r="I3869" s="2142">
        <v>121603</v>
      </c>
    </row>
    <row r="3870" spans="1:9" s="2139" customFormat="1" hidden="1">
      <c r="A3870" s="2140" t="s">
        <v>6404</v>
      </c>
      <c r="B3870" s="2141">
        <v>9</v>
      </c>
      <c r="C3870" s="2141" t="s">
        <v>3151</v>
      </c>
      <c r="D3870" s="2141">
        <v>95</v>
      </c>
      <c r="E3870" s="2142">
        <v>95.22</v>
      </c>
      <c r="F3870" s="2142">
        <v>11845</v>
      </c>
      <c r="G3870" s="2142">
        <v>1127880.8999999999</v>
      </c>
      <c r="H3870" s="2143"/>
      <c r="I3870" s="2142">
        <v>165830</v>
      </c>
    </row>
    <row r="3871" spans="1:9" s="2139" customFormat="1" hidden="1">
      <c r="A3871" s="2140" t="s">
        <v>6405</v>
      </c>
      <c r="B3871" s="2141">
        <v>9</v>
      </c>
      <c r="C3871" s="2141" t="s">
        <v>3151</v>
      </c>
      <c r="D3871" s="2141">
        <v>96</v>
      </c>
      <c r="E3871" s="2142">
        <v>41.46</v>
      </c>
      <c r="F3871" s="2142">
        <v>13390</v>
      </c>
      <c r="G3871" s="2142">
        <v>555149.4</v>
      </c>
      <c r="H3871" s="2143"/>
      <c r="I3871" s="2142">
        <v>208750</v>
      </c>
    </row>
    <row r="3872" spans="1:9" s="2139" customFormat="1" hidden="1">
      <c r="A3872" s="2140" t="s">
        <v>6655</v>
      </c>
      <c r="B3872" s="2141">
        <v>11</v>
      </c>
      <c r="C3872" s="2141" t="s">
        <v>3151</v>
      </c>
      <c r="D3872" s="2141">
        <v>21</v>
      </c>
      <c r="E3872" s="2142">
        <v>49.85</v>
      </c>
      <c r="F3872" s="2142">
        <v>15553</v>
      </c>
      <c r="G3872" s="2142">
        <v>775317.05</v>
      </c>
      <c r="H3872" s="2143"/>
      <c r="I3872" s="2142">
        <v>155654</v>
      </c>
    </row>
    <row r="3873" spans="1:9" s="2139" customFormat="1" hidden="1">
      <c r="A3873" s="2140" t="s">
        <v>6669</v>
      </c>
      <c r="B3873" s="2141">
        <v>11</v>
      </c>
      <c r="C3873" s="2141" t="s">
        <v>3151</v>
      </c>
      <c r="D3873" s="2141">
        <v>39</v>
      </c>
      <c r="E3873" s="2142">
        <v>48.86</v>
      </c>
      <c r="F3873" s="2142">
        <v>12154</v>
      </c>
      <c r="G3873" s="2142">
        <v>593844.43999999994</v>
      </c>
      <c r="H3873" s="2143"/>
      <c r="I3873" s="2142">
        <v>122342</v>
      </c>
    </row>
    <row r="3874" spans="1:9" s="2139" customFormat="1" hidden="1">
      <c r="A3874" s="2140" t="s">
        <v>6670</v>
      </c>
      <c r="B3874" s="2141">
        <v>11</v>
      </c>
      <c r="C3874" s="2141" t="s">
        <v>3151</v>
      </c>
      <c r="D3874" s="2141">
        <v>40</v>
      </c>
      <c r="E3874" s="2142">
        <v>46.64</v>
      </c>
      <c r="F3874" s="2142">
        <v>11330</v>
      </c>
      <c r="G3874" s="2142">
        <v>528431.19999999995</v>
      </c>
      <c r="H3874" s="2143"/>
      <c r="I3874" s="2142">
        <v>103942</v>
      </c>
    </row>
    <row r="3875" spans="1:9" s="2139" customFormat="1" hidden="1">
      <c r="A3875" s="2140" t="s">
        <v>6681</v>
      </c>
      <c r="B3875" s="2141">
        <v>11</v>
      </c>
      <c r="C3875" s="2141" t="s">
        <v>3151</v>
      </c>
      <c r="D3875" s="2141">
        <v>82</v>
      </c>
      <c r="E3875" s="2142">
        <v>81.03</v>
      </c>
      <c r="F3875" s="2142">
        <v>12154</v>
      </c>
      <c r="G3875" s="2142">
        <v>984838.62</v>
      </c>
      <c r="H3875" s="2143"/>
      <c r="I3875" s="2142">
        <v>207152</v>
      </c>
    </row>
    <row r="3876" spans="1:9" s="2139" customFormat="1" hidden="1">
      <c r="A3876" s="2140" t="s">
        <v>6713</v>
      </c>
      <c r="B3876" s="2141">
        <v>11</v>
      </c>
      <c r="C3876" s="2141" t="s">
        <v>3151</v>
      </c>
      <c r="D3876" s="2141">
        <v>168</v>
      </c>
      <c r="E3876" s="2142">
        <v>46.64</v>
      </c>
      <c r="F3876" s="2142">
        <v>12463</v>
      </c>
      <c r="G3876" s="2142">
        <v>581274.32000000007</v>
      </c>
      <c r="H3876" s="2143"/>
      <c r="I3876" s="2142">
        <v>116604</v>
      </c>
    </row>
    <row r="3877" spans="1:9" s="2139" customFormat="1" hidden="1">
      <c r="A3877" s="2140" t="s">
        <v>6907</v>
      </c>
      <c r="B3877" s="2141">
        <v>12</v>
      </c>
      <c r="C3877" s="2141" t="s">
        <v>3151</v>
      </c>
      <c r="D3877" s="2141">
        <v>62</v>
      </c>
      <c r="E3877" s="2142">
        <v>89.75</v>
      </c>
      <c r="F3877" s="2142">
        <v>16955</v>
      </c>
      <c r="G3877" s="2142">
        <v>1521711.25</v>
      </c>
      <c r="H3877" s="2143"/>
      <c r="I3877" s="2142">
        <v>50000</v>
      </c>
    </row>
    <row r="3878" spans="1:9" s="2139" customFormat="1" hidden="1">
      <c r="A3878" s="2140" t="s">
        <v>6908</v>
      </c>
      <c r="B3878" s="2141">
        <v>12</v>
      </c>
      <c r="C3878" s="2141" t="s">
        <v>3151</v>
      </c>
      <c r="D3878" s="2141">
        <v>63</v>
      </c>
      <c r="E3878" s="2142">
        <v>88.95</v>
      </c>
      <c r="F3878" s="2142">
        <v>18955</v>
      </c>
      <c r="G3878" s="2142">
        <v>1686047.25</v>
      </c>
      <c r="H3878" s="2143"/>
      <c r="I3878" s="2142">
        <v>50000</v>
      </c>
    </row>
    <row r="3879" spans="1:9" s="2139" customFormat="1" hidden="1">
      <c r="A3879" s="2140" t="s">
        <v>6926</v>
      </c>
      <c r="B3879" s="2141">
        <v>12</v>
      </c>
      <c r="C3879" s="2141" t="s">
        <v>3151</v>
      </c>
      <c r="D3879" s="2141">
        <v>101</v>
      </c>
      <c r="E3879" s="2142">
        <v>90.06</v>
      </c>
      <c r="F3879" s="2142">
        <v>11235</v>
      </c>
      <c r="G3879" s="2142">
        <v>1011824.1</v>
      </c>
      <c r="H3879" s="2143"/>
      <c r="I3879" s="2142">
        <v>225240</v>
      </c>
    </row>
    <row r="3880" spans="1:9" s="2139" customFormat="1" hidden="1">
      <c r="A3880" s="2140" t="s">
        <v>6935</v>
      </c>
      <c r="B3880" s="2141">
        <v>12</v>
      </c>
      <c r="C3880" s="2141" t="s">
        <v>3151</v>
      </c>
      <c r="D3880" s="2141">
        <v>112</v>
      </c>
      <c r="E3880" s="2142">
        <v>75.790000000000006</v>
      </c>
      <c r="F3880" s="2142">
        <v>11760</v>
      </c>
      <c r="G3880" s="2142">
        <v>891290.4</v>
      </c>
      <c r="H3880" s="2143"/>
      <c r="I3880" s="2142">
        <v>53708</v>
      </c>
    </row>
    <row r="3881" spans="1:9" s="2139" customFormat="1" hidden="1">
      <c r="A3881" s="2140" t="s">
        <v>6939</v>
      </c>
      <c r="B3881" s="2141">
        <v>12</v>
      </c>
      <c r="C3881" s="2141" t="s">
        <v>3151</v>
      </c>
      <c r="D3881" s="2141">
        <v>118</v>
      </c>
      <c r="E3881" s="2142">
        <v>100.91</v>
      </c>
      <c r="F3881" s="2142">
        <v>11760</v>
      </c>
      <c r="G3881" s="2142">
        <v>1186701.5999999999</v>
      </c>
      <c r="H3881" s="2143"/>
      <c r="I3881" s="2142">
        <v>179810</v>
      </c>
    </row>
    <row r="3882" spans="1:9" s="2139" customFormat="1" hidden="1">
      <c r="A3882" s="2140" t="s">
        <v>6941</v>
      </c>
      <c r="B3882" s="2141">
        <v>12</v>
      </c>
      <c r="C3882" s="2141" t="s">
        <v>3151</v>
      </c>
      <c r="D3882" s="2141">
        <v>121</v>
      </c>
      <c r="E3882" s="2142">
        <v>113.37</v>
      </c>
      <c r="F3882" s="2142">
        <v>12600</v>
      </c>
      <c r="G3882" s="2142">
        <v>1428462</v>
      </c>
      <c r="H3882" s="2143"/>
      <c r="I3882" s="2142">
        <v>50000</v>
      </c>
    </row>
    <row r="3883" spans="1:9" s="2139" customFormat="1" hidden="1">
      <c r="A3883" s="2140" t="s">
        <v>6946</v>
      </c>
      <c r="B3883" s="2141">
        <v>12</v>
      </c>
      <c r="C3883" s="2141" t="s">
        <v>3151</v>
      </c>
      <c r="D3883" s="2141">
        <v>127</v>
      </c>
      <c r="E3883" s="2142">
        <v>85.74</v>
      </c>
      <c r="F3883" s="2142">
        <v>15695</v>
      </c>
      <c r="G3883" s="2142">
        <v>1345689.2999999998</v>
      </c>
      <c r="H3883" s="2143"/>
      <c r="I3883" s="2142">
        <v>144567</v>
      </c>
    </row>
    <row r="3884" spans="1:9" s="2139" customFormat="1" hidden="1">
      <c r="A3884" s="2140" t="s">
        <v>6977</v>
      </c>
      <c r="B3884" s="2141">
        <v>12</v>
      </c>
      <c r="C3884" s="2141" t="s">
        <v>3151</v>
      </c>
      <c r="D3884" s="2141">
        <v>156</v>
      </c>
      <c r="E3884" s="2142">
        <v>61.01</v>
      </c>
      <c r="F3884" s="2142">
        <v>12600</v>
      </c>
      <c r="G3884" s="2142">
        <v>768726</v>
      </c>
      <c r="H3884" s="2143"/>
      <c r="I3884" s="2142">
        <v>73193</v>
      </c>
    </row>
    <row r="3885" spans="1:9" s="2139" customFormat="1" hidden="1">
      <c r="A3885" s="2140" t="s">
        <v>6978</v>
      </c>
      <c r="B3885" s="2141">
        <v>12</v>
      </c>
      <c r="C3885" s="2141" t="s">
        <v>3151</v>
      </c>
      <c r="D3885" s="2141">
        <v>157</v>
      </c>
      <c r="E3885" s="2142">
        <v>50.2</v>
      </c>
      <c r="F3885" s="2142">
        <v>13650</v>
      </c>
      <c r="G3885" s="2142">
        <v>685230</v>
      </c>
      <c r="H3885" s="2143"/>
      <c r="I3885" s="2142">
        <v>84575</v>
      </c>
    </row>
    <row r="3886" spans="1:9" s="2139" customFormat="1" hidden="1">
      <c r="A3886" s="2140" t="s">
        <v>6988</v>
      </c>
      <c r="B3886" s="2141">
        <v>12</v>
      </c>
      <c r="C3886" s="2141" t="s">
        <v>3151</v>
      </c>
      <c r="D3886" s="2141">
        <v>170</v>
      </c>
      <c r="E3886" s="2142">
        <v>77.78</v>
      </c>
      <c r="F3886" s="2142">
        <v>16065</v>
      </c>
      <c r="G3886" s="2142">
        <v>1249535.7</v>
      </c>
      <c r="H3886" s="2143"/>
      <c r="I3886" s="2142">
        <v>134801</v>
      </c>
    </row>
    <row r="3887" spans="1:9" s="2139" customFormat="1" hidden="1">
      <c r="A3887" s="2140" t="s">
        <v>6993</v>
      </c>
      <c r="B3887" s="2141">
        <v>12</v>
      </c>
      <c r="C3887" s="2141" t="s">
        <v>3151</v>
      </c>
      <c r="D3887" s="2141">
        <v>175</v>
      </c>
      <c r="E3887" s="2142">
        <v>52.09</v>
      </c>
      <c r="F3887" s="2142">
        <v>17955</v>
      </c>
      <c r="G3887" s="2142">
        <v>935275.95000000007</v>
      </c>
      <c r="H3887" s="2143"/>
      <c r="I3887" s="2142">
        <v>50000</v>
      </c>
    </row>
    <row r="3888" spans="1:9" s="2139" customFormat="1" hidden="1">
      <c r="A3888" s="2140" t="s">
        <v>7003</v>
      </c>
      <c r="B3888" s="2141">
        <v>12</v>
      </c>
      <c r="C3888" s="2141" t="s">
        <v>3151</v>
      </c>
      <c r="D3888" s="2141">
        <v>186</v>
      </c>
      <c r="E3888" s="2142">
        <v>75.58</v>
      </c>
      <c r="F3888" s="2142">
        <v>16090</v>
      </c>
      <c r="G3888" s="2142">
        <v>1216082.2</v>
      </c>
      <c r="H3888" s="2143"/>
      <c r="I3888" s="2142">
        <v>25000</v>
      </c>
    </row>
    <row r="3889" spans="1:9" s="2139" customFormat="1" hidden="1">
      <c r="A3889" s="2140" t="s">
        <v>7004</v>
      </c>
      <c r="B3889" s="2141">
        <v>12</v>
      </c>
      <c r="C3889" s="2141" t="s">
        <v>3151</v>
      </c>
      <c r="D3889" s="2141">
        <v>187</v>
      </c>
      <c r="E3889" s="2142">
        <v>77.66</v>
      </c>
      <c r="F3889" s="2142">
        <v>17090</v>
      </c>
      <c r="G3889" s="2142">
        <v>1327209.3999999999</v>
      </c>
      <c r="H3889" s="2143"/>
      <c r="I3889" s="2142">
        <v>25000</v>
      </c>
    </row>
    <row r="3890" spans="1:9" s="2139" customFormat="1" hidden="1">
      <c r="A3890" s="2140" t="s">
        <v>7030</v>
      </c>
      <c r="B3890" s="2141">
        <v>12</v>
      </c>
      <c r="C3890" s="2141" t="s">
        <v>3151</v>
      </c>
      <c r="D3890" s="2141">
        <v>221</v>
      </c>
      <c r="E3890" s="2142">
        <v>78.53</v>
      </c>
      <c r="F3890" s="2142">
        <v>17325</v>
      </c>
      <c r="G3890" s="2142">
        <v>1360532.25</v>
      </c>
      <c r="H3890" s="2143"/>
      <c r="I3890" s="2142">
        <v>50000</v>
      </c>
    </row>
    <row r="3891" spans="1:9" s="2139" customFormat="1" hidden="1">
      <c r="A3891" s="2140" t="s">
        <v>7039</v>
      </c>
      <c r="B3891" s="2141">
        <v>12</v>
      </c>
      <c r="C3891" s="2141" t="s">
        <v>3151</v>
      </c>
      <c r="D3891" s="2141">
        <v>229</v>
      </c>
      <c r="E3891" s="2142">
        <v>45.22</v>
      </c>
      <c r="F3891" s="2142" t="s">
        <v>7040</v>
      </c>
      <c r="G3891" s="2142">
        <v>607756.79999999993</v>
      </c>
      <c r="H3891" s="2143"/>
      <c r="I3891" s="2142">
        <v>50000</v>
      </c>
    </row>
    <row r="3892" spans="1:9" s="2139" customFormat="1" hidden="1">
      <c r="A3892" s="2140" t="s">
        <v>7041</v>
      </c>
      <c r="B3892" s="2141">
        <v>12</v>
      </c>
      <c r="C3892" s="2141" t="s">
        <v>3151</v>
      </c>
      <c r="D3892" s="2141">
        <v>230</v>
      </c>
      <c r="E3892" s="2142">
        <v>43.16</v>
      </c>
      <c r="F3892" s="2142">
        <v>11760</v>
      </c>
      <c r="G3892" s="2142">
        <v>507561.6</v>
      </c>
      <c r="H3892" s="2143"/>
      <c r="I3892" s="2142">
        <v>55013</v>
      </c>
    </row>
    <row r="3893" spans="1:9" s="2139" customFormat="1" hidden="1">
      <c r="A3893" s="2140" t="s">
        <v>7042</v>
      </c>
      <c r="B3893" s="2141">
        <v>12</v>
      </c>
      <c r="C3893" s="2141" t="s">
        <v>3151</v>
      </c>
      <c r="D3893" s="2141">
        <v>231</v>
      </c>
      <c r="E3893" s="2142">
        <v>43.16</v>
      </c>
      <c r="F3893" s="2142">
        <v>11760</v>
      </c>
      <c r="G3893" s="2142">
        <v>507561.6</v>
      </c>
      <c r="H3893" s="2143"/>
      <c r="I3893" s="2142">
        <v>55013</v>
      </c>
    </row>
    <row r="3894" spans="1:9" s="2139" customFormat="1" hidden="1">
      <c r="A3894" s="2140" t="s">
        <v>7043</v>
      </c>
      <c r="B3894" s="2141">
        <v>12</v>
      </c>
      <c r="C3894" s="2141" t="s">
        <v>3151</v>
      </c>
      <c r="D3894" s="2141">
        <v>232</v>
      </c>
      <c r="E3894" s="2142">
        <v>43.16</v>
      </c>
      <c r="F3894" s="2142">
        <v>11760</v>
      </c>
      <c r="G3894" s="2142">
        <v>507561.6</v>
      </c>
      <c r="H3894" s="2143"/>
      <c r="I3894" s="2142">
        <v>50000</v>
      </c>
    </row>
    <row r="3895" spans="1:9" s="2139" customFormat="1" hidden="1">
      <c r="A3895" s="2140" t="s">
        <v>7044</v>
      </c>
      <c r="B3895" s="2141">
        <v>12</v>
      </c>
      <c r="C3895" s="2141" t="s">
        <v>3151</v>
      </c>
      <c r="D3895" s="2141">
        <v>233</v>
      </c>
      <c r="E3895" s="2142">
        <v>43.16</v>
      </c>
      <c r="F3895" s="2142">
        <v>11760</v>
      </c>
      <c r="G3895" s="2142">
        <v>507561.6</v>
      </c>
      <c r="H3895" s="2143"/>
      <c r="I3895" s="2142">
        <v>54990</v>
      </c>
    </row>
    <row r="3896" spans="1:9" s="2139" customFormat="1" hidden="1">
      <c r="A3896" s="2140" t="s">
        <v>7045</v>
      </c>
      <c r="B3896" s="2141">
        <v>12</v>
      </c>
      <c r="C3896" s="2141" t="s">
        <v>3151</v>
      </c>
      <c r="D3896" s="2141">
        <v>235</v>
      </c>
      <c r="E3896" s="2142">
        <v>45.22</v>
      </c>
      <c r="F3896" s="2142">
        <v>12600</v>
      </c>
      <c r="G3896" s="2142">
        <v>569772</v>
      </c>
      <c r="H3896" s="2143"/>
      <c r="I3896" s="2142">
        <v>50000</v>
      </c>
    </row>
    <row r="3897" spans="1:9" s="2139" customFormat="1" hidden="1">
      <c r="A3897" s="2140" t="s">
        <v>7048</v>
      </c>
      <c r="B3897" s="2141">
        <v>12</v>
      </c>
      <c r="C3897" s="2141" t="s">
        <v>3151</v>
      </c>
      <c r="D3897" s="2141">
        <v>238</v>
      </c>
      <c r="E3897" s="2142">
        <v>43.16</v>
      </c>
      <c r="F3897" s="2142">
        <v>11235</v>
      </c>
      <c r="G3897" s="2142">
        <v>484902.6</v>
      </c>
      <c r="H3897" s="2143"/>
      <c r="I3897" s="2142">
        <v>52557</v>
      </c>
    </row>
    <row r="3898" spans="1:9" s="2139" customFormat="1" hidden="1">
      <c r="A3898" s="2140" t="s">
        <v>7055</v>
      </c>
      <c r="B3898" s="2141">
        <v>12</v>
      </c>
      <c r="C3898" s="2141" t="s">
        <v>3151</v>
      </c>
      <c r="D3898" s="2141">
        <v>247</v>
      </c>
      <c r="E3898" s="2142">
        <v>75.42</v>
      </c>
      <c r="F3898" s="2142">
        <v>13965</v>
      </c>
      <c r="G3898" s="2142">
        <v>1053240.3</v>
      </c>
      <c r="H3898" s="2143"/>
      <c r="I3898" s="2142">
        <v>115295</v>
      </c>
    </row>
    <row r="3899" spans="1:9" s="2139" customFormat="1" hidden="1">
      <c r="A3899" s="2140" t="s">
        <v>7056</v>
      </c>
      <c r="B3899" s="2141">
        <v>12</v>
      </c>
      <c r="C3899" s="2141" t="s">
        <v>3151</v>
      </c>
      <c r="D3899" s="2141">
        <v>248</v>
      </c>
      <c r="E3899" s="2142">
        <v>75.42</v>
      </c>
      <c r="F3899" s="2142">
        <v>13965</v>
      </c>
      <c r="G3899" s="2142">
        <v>1053240.3</v>
      </c>
      <c r="H3899" s="2143"/>
      <c r="I3899" s="2142">
        <v>50000</v>
      </c>
    </row>
    <row r="3900" spans="1:9" s="2139" customFormat="1" hidden="1">
      <c r="A3900" s="2140" t="s">
        <v>7058</v>
      </c>
      <c r="B3900" s="2141">
        <v>12</v>
      </c>
      <c r="C3900" s="2141" t="s">
        <v>3151</v>
      </c>
      <c r="D3900" s="2141">
        <v>250</v>
      </c>
      <c r="E3900" s="2142">
        <v>75.42</v>
      </c>
      <c r="F3900" s="2142">
        <v>13965</v>
      </c>
      <c r="G3900" s="2142">
        <v>1053240.3</v>
      </c>
      <c r="H3900" s="2143"/>
      <c r="I3900" s="2142">
        <v>50000</v>
      </c>
    </row>
    <row r="3901" spans="1:9" s="2139" customFormat="1" hidden="1">
      <c r="A3901" s="2140" t="s">
        <v>7061</v>
      </c>
      <c r="B3901" s="2141">
        <v>12</v>
      </c>
      <c r="C3901" s="2141" t="s">
        <v>3151</v>
      </c>
      <c r="D3901" s="2141">
        <v>253</v>
      </c>
      <c r="E3901" s="2142">
        <v>79.010000000000005</v>
      </c>
      <c r="F3901" s="2142">
        <v>15855</v>
      </c>
      <c r="G3901" s="2142">
        <v>1252703.55</v>
      </c>
      <c r="H3901" s="2143"/>
      <c r="I3901" s="2142">
        <v>50000</v>
      </c>
    </row>
    <row r="3902" spans="1:9" s="2139" customFormat="1" hidden="1">
      <c r="A3902" s="2140" t="s">
        <v>7062</v>
      </c>
      <c r="B3902" s="2141">
        <v>12</v>
      </c>
      <c r="C3902" s="2141" t="s">
        <v>3151</v>
      </c>
      <c r="D3902" s="2141">
        <v>255</v>
      </c>
      <c r="E3902" s="2142">
        <v>75.42</v>
      </c>
      <c r="F3902" s="2142">
        <v>15015</v>
      </c>
      <c r="G3902" s="2142">
        <v>1132431.3</v>
      </c>
      <c r="H3902" s="2143"/>
      <c r="I3902" s="2142">
        <v>123964</v>
      </c>
    </row>
    <row r="3903" spans="1:9" s="2139" customFormat="1" hidden="1">
      <c r="A3903" s="2140" t="s">
        <v>7063</v>
      </c>
      <c r="B3903" s="2141">
        <v>12</v>
      </c>
      <c r="C3903" s="2141" t="s">
        <v>3151</v>
      </c>
      <c r="D3903" s="2141">
        <v>256</v>
      </c>
      <c r="E3903" s="2142">
        <v>75.42</v>
      </c>
      <c r="F3903" s="2142">
        <v>15015</v>
      </c>
      <c r="G3903" s="2142">
        <v>1132431.3</v>
      </c>
      <c r="H3903" s="2143"/>
      <c r="I3903" s="2142">
        <v>123964</v>
      </c>
    </row>
    <row r="3904" spans="1:9" s="2139" customFormat="1" hidden="1">
      <c r="A3904" s="2140" t="s">
        <v>7064</v>
      </c>
      <c r="B3904" s="2141">
        <v>12</v>
      </c>
      <c r="C3904" s="2141" t="s">
        <v>3151</v>
      </c>
      <c r="D3904" s="2141">
        <v>257</v>
      </c>
      <c r="E3904" s="2142">
        <v>75.42</v>
      </c>
      <c r="F3904" s="2142">
        <v>15015</v>
      </c>
      <c r="G3904" s="2142">
        <v>1132431.3</v>
      </c>
      <c r="H3904" s="2143"/>
      <c r="I3904" s="2142">
        <v>123964</v>
      </c>
    </row>
    <row r="3905" spans="1:9" s="2139" customFormat="1" hidden="1">
      <c r="A3905" s="2140" t="s">
        <v>7065</v>
      </c>
      <c r="B3905" s="2141">
        <v>12</v>
      </c>
      <c r="C3905" s="2141" t="s">
        <v>3151</v>
      </c>
      <c r="D3905" s="2141">
        <v>258</v>
      </c>
      <c r="E3905" s="2142">
        <v>72.81</v>
      </c>
      <c r="F3905" s="2142">
        <v>15015</v>
      </c>
      <c r="G3905" s="2142">
        <v>1093242.1500000001</v>
      </c>
      <c r="H3905" s="2143"/>
      <c r="I3905" s="2142">
        <v>123964</v>
      </c>
    </row>
    <row r="3906" spans="1:9" s="2139" customFormat="1" hidden="1">
      <c r="A3906" s="2140" t="s">
        <v>7066</v>
      </c>
      <c r="B3906" s="2141">
        <v>12</v>
      </c>
      <c r="C3906" s="2141" t="s">
        <v>3151</v>
      </c>
      <c r="D3906" s="2141">
        <v>259</v>
      </c>
      <c r="E3906" s="2142">
        <v>62.11</v>
      </c>
      <c r="F3906" s="2142">
        <v>15855</v>
      </c>
      <c r="G3906" s="2142">
        <v>984754.05</v>
      </c>
      <c r="H3906" s="2143"/>
      <c r="I3906" s="2142">
        <v>50000</v>
      </c>
    </row>
    <row r="3907" spans="1:9" s="2139" customFormat="1" hidden="1">
      <c r="A3907" s="2140" t="s">
        <v>7067</v>
      </c>
      <c r="B3907" s="2141">
        <v>12</v>
      </c>
      <c r="C3907" s="2141" t="s">
        <v>3151</v>
      </c>
      <c r="D3907" s="2141">
        <v>263</v>
      </c>
      <c r="E3907" s="2142">
        <v>75.42</v>
      </c>
      <c r="F3907" s="2142">
        <v>15015</v>
      </c>
      <c r="G3907" s="2142">
        <v>1132431.3</v>
      </c>
      <c r="H3907" s="2143"/>
      <c r="I3907" s="2142">
        <v>50000</v>
      </c>
    </row>
    <row r="3908" spans="1:9" s="2139" customFormat="1" hidden="1">
      <c r="A3908" s="2140" t="s">
        <v>7068</v>
      </c>
      <c r="B3908" s="2141">
        <v>12</v>
      </c>
      <c r="C3908" s="2141" t="s">
        <v>3151</v>
      </c>
      <c r="D3908" s="2141">
        <v>265</v>
      </c>
      <c r="E3908" s="2142">
        <v>75.42</v>
      </c>
      <c r="F3908" s="2142">
        <v>15015</v>
      </c>
      <c r="G3908" s="2142">
        <v>1132431.3</v>
      </c>
      <c r="H3908" s="2143"/>
      <c r="I3908" s="2142">
        <v>50000</v>
      </c>
    </row>
    <row r="3909" spans="1:9" s="2139" customFormat="1" hidden="1">
      <c r="A3909" s="2140" t="s">
        <v>7071</v>
      </c>
      <c r="B3909" s="2141">
        <v>12</v>
      </c>
      <c r="C3909" s="2141" t="s">
        <v>3151</v>
      </c>
      <c r="D3909" s="2141">
        <v>267</v>
      </c>
      <c r="E3909" s="2142">
        <v>93.47</v>
      </c>
      <c r="F3909" s="2142">
        <v>17355</v>
      </c>
      <c r="G3909" s="2142">
        <v>1622171.85</v>
      </c>
      <c r="H3909" s="2143"/>
      <c r="I3909" s="2142">
        <v>121043</v>
      </c>
    </row>
    <row r="3910" spans="1:9" s="2139" customFormat="1" hidden="1">
      <c r="A3910" s="2140" t="s">
        <v>7073</v>
      </c>
      <c r="B3910" s="2141">
        <v>12</v>
      </c>
      <c r="C3910" s="2141" t="s">
        <v>3151</v>
      </c>
      <c r="D3910" s="2141">
        <v>269</v>
      </c>
      <c r="E3910" s="2142">
        <v>75.23</v>
      </c>
      <c r="F3910" s="2142">
        <v>15015</v>
      </c>
      <c r="G3910" s="2142">
        <v>1129578.45</v>
      </c>
      <c r="H3910" s="2143"/>
      <c r="I3910" s="2142">
        <v>119685</v>
      </c>
    </row>
  </sheetData>
  <autoFilter ref="A1:I3910">
    <filterColumn colId="1">
      <filters>
        <filter val="7B"/>
      </filters>
    </filterColumn>
    <filterColumn colId="2">
      <filters>
        <filter val="1F"/>
      </filters>
    </filterColumn>
    <filterColumn colId="7">
      <filters>
        <dateGroupItem year="2017" dateTimeGrouping="year"/>
      </filters>
    </filterColumn>
    <sortState ref="A816:I875">
      <sortCondition descending="1" ref="F1"/>
    </sortState>
  </autoFilter>
  <phoneticPr fontId="143" type="noConversion"/>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I169"/>
  <sheetViews>
    <sheetView workbookViewId="0">
      <selection sqref="A1:XFD1048576"/>
    </sheetView>
  </sheetViews>
  <sheetFormatPr defaultRowHeight="13.5"/>
  <cols>
    <col min="1" max="3" width="9" style="3386"/>
    <col min="4" max="5" width="9.125" style="3386" bestFit="1" customWidth="1"/>
    <col min="6" max="6" width="10.5" style="3386" bestFit="1" customWidth="1"/>
    <col min="7" max="7" width="12.75" style="3386" bestFit="1" customWidth="1"/>
    <col min="8" max="8" width="16.5" style="3386" customWidth="1"/>
    <col min="9" max="9" width="12.75" style="3386" bestFit="1" customWidth="1"/>
    <col min="10" max="16384" width="9" style="3386"/>
  </cols>
  <sheetData>
    <row r="1" spans="1:9">
      <c r="A1" s="3386" t="s">
        <v>3132</v>
      </c>
      <c r="B1" s="3386" t="s">
        <v>3133</v>
      </c>
      <c r="C1" s="3386" t="s">
        <v>3134</v>
      </c>
      <c r="D1" s="3386" t="s">
        <v>3132</v>
      </c>
      <c r="E1" s="3386" t="s">
        <v>7075</v>
      </c>
      <c r="F1" s="3386" t="s">
        <v>3137</v>
      </c>
      <c r="G1" s="3386" t="s">
        <v>7076</v>
      </c>
      <c r="H1" s="3386" t="s">
        <v>7077</v>
      </c>
      <c r="I1" s="3386" t="s">
        <v>7078</v>
      </c>
    </row>
    <row r="2" spans="1:9" customFormat="1" hidden="1">
      <c r="A2" t="s">
        <v>6766</v>
      </c>
      <c r="B2">
        <v>12</v>
      </c>
      <c r="C2" t="s">
        <v>3261</v>
      </c>
      <c r="D2">
        <v>85</v>
      </c>
      <c r="E2">
        <v>36.43</v>
      </c>
      <c r="F2">
        <v>35860</v>
      </c>
      <c r="G2">
        <v>1306380</v>
      </c>
      <c r="H2" s="2144">
        <v>43006</v>
      </c>
      <c r="I2">
        <v>1306380</v>
      </c>
    </row>
    <row r="3" spans="1:9" customFormat="1" hidden="1">
      <c r="A3" t="s">
        <v>4367</v>
      </c>
      <c r="B3" t="s">
        <v>3055</v>
      </c>
      <c r="C3" t="s">
        <v>3261</v>
      </c>
      <c r="D3">
        <v>59</v>
      </c>
      <c r="E3">
        <v>34.89</v>
      </c>
      <c r="F3">
        <v>25800</v>
      </c>
      <c r="G3">
        <v>900162</v>
      </c>
      <c r="H3" s="2144">
        <v>43003</v>
      </c>
      <c r="I3">
        <v>900162</v>
      </c>
    </row>
    <row r="4" spans="1:9" customFormat="1" hidden="1">
      <c r="A4" t="s">
        <v>4368</v>
      </c>
      <c r="B4" t="s">
        <v>3055</v>
      </c>
      <c r="C4" t="s">
        <v>3261</v>
      </c>
      <c r="D4">
        <v>60</v>
      </c>
      <c r="E4">
        <v>34.89</v>
      </c>
      <c r="F4">
        <v>25800</v>
      </c>
      <c r="G4">
        <v>900162</v>
      </c>
      <c r="H4" s="2144">
        <v>43003</v>
      </c>
      <c r="I4">
        <v>900162</v>
      </c>
    </row>
    <row r="5" spans="1:9">
      <c r="A5" s="3386" t="s">
        <v>5028</v>
      </c>
      <c r="B5" s="3386" t="s">
        <v>3056</v>
      </c>
      <c r="C5" s="3386" t="s">
        <v>3261</v>
      </c>
      <c r="D5" s="3386">
        <v>8</v>
      </c>
      <c r="E5" s="3386">
        <v>57.35</v>
      </c>
      <c r="F5" s="3386">
        <v>35800</v>
      </c>
      <c r="G5" s="3386">
        <v>2053130</v>
      </c>
      <c r="H5" s="3386">
        <v>43003</v>
      </c>
      <c r="I5" s="3386">
        <v>2053130</v>
      </c>
    </row>
    <row r="6" spans="1:9">
      <c r="A6" s="3386" t="s">
        <v>5040</v>
      </c>
      <c r="B6" s="3386" t="s">
        <v>3056</v>
      </c>
      <c r="C6" s="3386" t="s">
        <v>3261</v>
      </c>
      <c r="D6" s="3386">
        <v>26</v>
      </c>
      <c r="E6" s="3386">
        <v>35.479999999999997</v>
      </c>
      <c r="F6" s="3386">
        <v>25025.99</v>
      </c>
      <c r="G6" s="3386">
        <v>887922</v>
      </c>
      <c r="H6" s="3386">
        <v>43003</v>
      </c>
      <c r="I6" s="3386">
        <v>887922</v>
      </c>
    </row>
    <row r="7" spans="1:9" customFormat="1" hidden="1">
      <c r="A7" t="s">
        <v>3748</v>
      </c>
      <c r="B7" t="s">
        <v>3054</v>
      </c>
      <c r="C7" t="s">
        <v>3261</v>
      </c>
      <c r="D7">
        <v>29</v>
      </c>
      <c r="E7">
        <v>30.37</v>
      </c>
      <c r="F7">
        <v>25800</v>
      </c>
      <c r="G7">
        <v>783546</v>
      </c>
      <c r="H7" s="2144">
        <v>43002</v>
      </c>
      <c r="I7">
        <v>783546</v>
      </c>
    </row>
    <row r="8" spans="1:9" customFormat="1" hidden="1">
      <c r="A8" t="s">
        <v>3766</v>
      </c>
      <c r="B8" t="s">
        <v>3054</v>
      </c>
      <c r="C8" t="s">
        <v>3261</v>
      </c>
      <c r="D8">
        <v>50</v>
      </c>
      <c r="E8">
        <v>52.82</v>
      </c>
      <c r="F8">
        <v>25800</v>
      </c>
      <c r="G8">
        <v>1362756</v>
      </c>
      <c r="H8" s="2144">
        <v>43002</v>
      </c>
      <c r="I8">
        <v>1362756</v>
      </c>
    </row>
    <row r="9" spans="1:9" customFormat="1" hidden="1">
      <c r="A9" t="s">
        <v>3767</v>
      </c>
      <c r="B9" t="s">
        <v>3054</v>
      </c>
      <c r="C9" t="s">
        <v>3261</v>
      </c>
      <c r="D9">
        <v>51</v>
      </c>
      <c r="E9">
        <v>53.04</v>
      </c>
      <c r="F9">
        <v>25800</v>
      </c>
      <c r="G9">
        <v>1368432</v>
      </c>
      <c r="H9" s="2144">
        <v>43002</v>
      </c>
      <c r="I9">
        <v>1368432</v>
      </c>
    </row>
    <row r="10" spans="1:9" customFormat="1" hidden="1">
      <c r="A10" t="s">
        <v>4392</v>
      </c>
      <c r="B10" t="s">
        <v>3055</v>
      </c>
      <c r="C10" t="s">
        <v>3261</v>
      </c>
      <c r="D10">
        <v>98</v>
      </c>
      <c r="E10">
        <v>42.47</v>
      </c>
      <c r="F10">
        <v>25800</v>
      </c>
      <c r="G10">
        <v>1095726</v>
      </c>
      <c r="H10" s="2144">
        <v>43002</v>
      </c>
      <c r="I10">
        <v>1095726</v>
      </c>
    </row>
    <row r="11" spans="1:9" customFormat="1" hidden="1">
      <c r="A11" t="s">
        <v>6768</v>
      </c>
      <c r="B11">
        <v>12</v>
      </c>
      <c r="C11" t="s">
        <v>3261</v>
      </c>
      <c r="D11">
        <v>88</v>
      </c>
      <c r="E11">
        <v>41.99</v>
      </c>
      <c r="F11">
        <v>35860</v>
      </c>
      <c r="G11">
        <v>1505761</v>
      </c>
      <c r="H11" s="2144">
        <v>43002</v>
      </c>
      <c r="I11">
        <v>1505761</v>
      </c>
    </row>
    <row r="12" spans="1:9" customFormat="1" hidden="1">
      <c r="A12" t="s">
        <v>6545</v>
      </c>
      <c r="B12">
        <v>11</v>
      </c>
      <c r="C12" t="s">
        <v>3261</v>
      </c>
      <c r="D12">
        <v>11</v>
      </c>
      <c r="E12">
        <v>46.39</v>
      </c>
      <c r="F12">
        <v>42544.2</v>
      </c>
      <c r="G12">
        <v>1973625</v>
      </c>
      <c r="H12" s="2144">
        <v>43001</v>
      </c>
      <c r="I12">
        <v>1973616</v>
      </c>
    </row>
    <row r="13" spans="1:9" customFormat="1" hidden="1">
      <c r="A13" t="s">
        <v>6573</v>
      </c>
      <c r="B13">
        <v>11</v>
      </c>
      <c r="C13" t="s">
        <v>3261</v>
      </c>
      <c r="D13">
        <v>137</v>
      </c>
      <c r="E13">
        <v>43.21</v>
      </c>
      <c r="F13">
        <v>31800</v>
      </c>
      <c r="G13">
        <v>1374078</v>
      </c>
      <c r="H13" s="2144">
        <v>43001</v>
      </c>
      <c r="I13">
        <v>1374078</v>
      </c>
    </row>
    <row r="14" spans="1:9" customFormat="1" hidden="1">
      <c r="A14" t="s">
        <v>4347</v>
      </c>
      <c r="B14" t="s">
        <v>3055</v>
      </c>
      <c r="C14" t="s">
        <v>3261</v>
      </c>
      <c r="D14">
        <v>35</v>
      </c>
      <c r="E14">
        <v>34.89</v>
      </c>
      <c r="F14">
        <v>25800</v>
      </c>
      <c r="G14">
        <v>900162</v>
      </c>
      <c r="H14" s="2144">
        <v>43000</v>
      </c>
      <c r="I14">
        <v>900162</v>
      </c>
    </row>
    <row r="15" spans="1:9" customFormat="1" hidden="1">
      <c r="A15" t="s">
        <v>3800</v>
      </c>
      <c r="B15" t="s">
        <v>3054</v>
      </c>
      <c r="C15" t="s">
        <v>3261</v>
      </c>
      <c r="D15">
        <v>172</v>
      </c>
      <c r="E15">
        <v>45.42</v>
      </c>
      <c r="F15">
        <v>26300</v>
      </c>
      <c r="G15">
        <v>1194546</v>
      </c>
      <c r="H15" s="2144">
        <v>42999</v>
      </c>
      <c r="I15">
        <v>1194546</v>
      </c>
    </row>
    <row r="16" spans="1:9" customFormat="1" hidden="1">
      <c r="A16" t="s">
        <v>4326</v>
      </c>
      <c r="B16" t="s">
        <v>3055</v>
      </c>
      <c r="C16" t="s">
        <v>3261</v>
      </c>
      <c r="D16">
        <v>10</v>
      </c>
      <c r="E16">
        <v>158.46</v>
      </c>
      <c r="F16">
        <v>35211</v>
      </c>
      <c r="G16">
        <v>5579535</v>
      </c>
      <c r="H16" s="2144">
        <v>42999</v>
      </c>
      <c r="I16">
        <v>5579535</v>
      </c>
    </row>
    <row r="17" spans="1:9" customFormat="1" hidden="1">
      <c r="A17" t="s">
        <v>4328</v>
      </c>
      <c r="B17" t="s">
        <v>3055</v>
      </c>
      <c r="C17" t="s">
        <v>3261</v>
      </c>
      <c r="D17">
        <v>12</v>
      </c>
      <c r="E17">
        <v>94.75</v>
      </c>
      <c r="F17">
        <v>35211</v>
      </c>
      <c r="G17">
        <v>3336242</v>
      </c>
      <c r="H17" s="2144">
        <v>42999</v>
      </c>
      <c r="I17">
        <v>3336242</v>
      </c>
    </row>
    <row r="18" spans="1:9" customFormat="1" hidden="1">
      <c r="A18" t="s">
        <v>4335</v>
      </c>
      <c r="B18" t="s">
        <v>3055</v>
      </c>
      <c r="C18" t="s">
        <v>3261</v>
      </c>
      <c r="D18">
        <v>21</v>
      </c>
      <c r="E18">
        <v>132.79</v>
      </c>
      <c r="F18">
        <v>34726</v>
      </c>
      <c r="G18">
        <v>4611266</v>
      </c>
      <c r="H18" s="2144">
        <v>42999</v>
      </c>
      <c r="I18">
        <v>4611266</v>
      </c>
    </row>
    <row r="19" spans="1:9" customFormat="1" hidden="1">
      <c r="A19" t="s">
        <v>5688</v>
      </c>
      <c r="B19" t="s">
        <v>3057</v>
      </c>
      <c r="C19" t="s">
        <v>3261</v>
      </c>
      <c r="D19">
        <v>31</v>
      </c>
      <c r="E19">
        <v>38.86</v>
      </c>
      <c r="F19">
        <v>25800</v>
      </c>
      <c r="G19">
        <v>1002588</v>
      </c>
      <c r="H19" s="2144">
        <v>42998</v>
      </c>
      <c r="I19">
        <v>1002588</v>
      </c>
    </row>
    <row r="20" spans="1:9" customFormat="1" hidden="1">
      <c r="A20" t="s">
        <v>5690</v>
      </c>
      <c r="B20" t="s">
        <v>3057</v>
      </c>
      <c r="C20" t="s">
        <v>3261</v>
      </c>
      <c r="D20">
        <v>35</v>
      </c>
      <c r="E20">
        <v>53.61</v>
      </c>
      <c r="F20">
        <v>25800</v>
      </c>
      <c r="G20">
        <v>1383138</v>
      </c>
      <c r="H20" s="2144">
        <v>42998</v>
      </c>
      <c r="I20">
        <v>1383138</v>
      </c>
    </row>
    <row r="21" spans="1:9" customFormat="1" hidden="1">
      <c r="A21" t="s">
        <v>5691</v>
      </c>
      <c r="B21" t="s">
        <v>3057</v>
      </c>
      <c r="C21" t="s">
        <v>3261</v>
      </c>
      <c r="D21">
        <v>36</v>
      </c>
      <c r="E21">
        <v>42.49</v>
      </c>
      <c r="F21">
        <v>26300</v>
      </c>
      <c r="G21">
        <v>1117487</v>
      </c>
      <c r="H21" s="2144">
        <v>42998</v>
      </c>
      <c r="I21">
        <v>1117487</v>
      </c>
    </row>
    <row r="22" spans="1:9" customFormat="1" hidden="1">
      <c r="A22" t="s">
        <v>5706</v>
      </c>
      <c r="B22" t="s">
        <v>3057</v>
      </c>
      <c r="C22" t="s">
        <v>3261</v>
      </c>
      <c r="D22">
        <v>72</v>
      </c>
      <c r="E22">
        <v>118.73</v>
      </c>
      <c r="F22">
        <v>31816</v>
      </c>
      <c r="G22">
        <v>3777514</v>
      </c>
      <c r="H22" s="2144">
        <v>42998</v>
      </c>
      <c r="I22">
        <v>3777514</v>
      </c>
    </row>
    <row r="23" spans="1:9" customFormat="1" hidden="1">
      <c r="A23" t="s">
        <v>6551</v>
      </c>
      <c r="B23">
        <v>11</v>
      </c>
      <c r="C23" t="s">
        <v>3261</v>
      </c>
      <c r="D23">
        <v>40</v>
      </c>
      <c r="E23">
        <v>45.46</v>
      </c>
      <c r="F23">
        <v>48285.63</v>
      </c>
      <c r="G23">
        <v>2195065</v>
      </c>
      <c r="H23" s="2144">
        <v>42998</v>
      </c>
      <c r="I23">
        <v>2195065</v>
      </c>
    </row>
    <row r="24" spans="1:9" customFormat="1" hidden="1">
      <c r="A24" t="s">
        <v>6742</v>
      </c>
      <c r="B24">
        <v>12</v>
      </c>
      <c r="C24" t="s">
        <v>3261</v>
      </c>
      <c r="D24">
        <v>41</v>
      </c>
      <c r="E24">
        <v>30.67</v>
      </c>
      <c r="F24">
        <v>34060</v>
      </c>
      <c r="G24">
        <v>1044620</v>
      </c>
      <c r="H24" s="2144">
        <v>42998</v>
      </c>
      <c r="I24">
        <v>1044620</v>
      </c>
    </row>
    <row r="25" spans="1:9" customFormat="1" hidden="1">
      <c r="A25" t="s">
        <v>5710</v>
      </c>
      <c r="B25" t="s">
        <v>3057</v>
      </c>
      <c r="C25" t="s">
        <v>3261</v>
      </c>
      <c r="D25">
        <v>87</v>
      </c>
      <c r="E25">
        <v>59.47</v>
      </c>
      <c r="F25">
        <v>26300</v>
      </c>
      <c r="G25">
        <v>1564061</v>
      </c>
      <c r="H25" s="2144">
        <v>42995</v>
      </c>
      <c r="I25">
        <v>1564061</v>
      </c>
    </row>
    <row r="26" spans="1:9" customFormat="1" hidden="1">
      <c r="A26" t="s">
        <v>3787</v>
      </c>
      <c r="B26" t="s">
        <v>3054</v>
      </c>
      <c r="C26" t="s">
        <v>3261</v>
      </c>
      <c r="D26">
        <v>131</v>
      </c>
      <c r="E26">
        <v>36.44</v>
      </c>
      <c r="F26">
        <v>35744.53</v>
      </c>
      <c r="G26">
        <v>1302530</v>
      </c>
      <c r="H26" s="2144">
        <v>42994</v>
      </c>
      <c r="I26">
        <v>1302530</v>
      </c>
    </row>
    <row r="27" spans="1:9" customFormat="1" hidden="1">
      <c r="A27" t="s">
        <v>5709</v>
      </c>
      <c r="B27" t="s">
        <v>3057</v>
      </c>
      <c r="C27" t="s">
        <v>3261</v>
      </c>
      <c r="D27">
        <v>82</v>
      </c>
      <c r="E27">
        <v>76.91</v>
      </c>
      <c r="F27">
        <v>26300</v>
      </c>
      <c r="G27">
        <v>2022733</v>
      </c>
      <c r="H27" s="2144">
        <v>42993</v>
      </c>
      <c r="I27">
        <v>2022733</v>
      </c>
    </row>
    <row r="28" spans="1:9" customFormat="1" hidden="1">
      <c r="A28" t="s">
        <v>5727</v>
      </c>
      <c r="B28" t="s">
        <v>3057</v>
      </c>
      <c r="C28" t="s">
        <v>3261</v>
      </c>
      <c r="D28">
        <v>127</v>
      </c>
      <c r="E28">
        <v>57.63</v>
      </c>
      <c r="F28">
        <v>26300</v>
      </c>
      <c r="G28">
        <v>1515669</v>
      </c>
      <c r="H28" s="2144">
        <v>42993</v>
      </c>
      <c r="I28">
        <v>1515669</v>
      </c>
    </row>
    <row r="29" spans="1:9" customFormat="1" hidden="1">
      <c r="A29" t="s">
        <v>6560</v>
      </c>
      <c r="B29">
        <v>11</v>
      </c>
      <c r="C29" t="s">
        <v>3261</v>
      </c>
      <c r="D29">
        <v>62</v>
      </c>
      <c r="E29">
        <v>41.38</v>
      </c>
      <c r="F29">
        <v>37570</v>
      </c>
      <c r="G29">
        <v>1554647</v>
      </c>
      <c r="H29" s="2144">
        <v>42993</v>
      </c>
      <c r="I29">
        <v>1554647</v>
      </c>
    </row>
    <row r="30" spans="1:9" customFormat="1" hidden="1">
      <c r="A30" t="s">
        <v>6747</v>
      </c>
      <c r="B30">
        <v>12</v>
      </c>
      <c r="C30" t="s">
        <v>3261</v>
      </c>
      <c r="D30">
        <v>51</v>
      </c>
      <c r="E30">
        <v>35.94</v>
      </c>
      <c r="F30">
        <v>37860</v>
      </c>
      <c r="G30">
        <v>1360688</v>
      </c>
      <c r="H30" s="2144">
        <v>42993</v>
      </c>
      <c r="I30">
        <v>1360688</v>
      </c>
    </row>
    <row r="31" spans="1:9" customFormat="1" hidden="1">
      <c r="A31" t="s">
        <v>4330</v>
      </c>
      <c r="B31" t="s">
        <v>3055</v>
      </c>
      <c r="C31" t="s">
        <v>3261</v>
      </c>
      <c r="D31">
        <v>16</v>
      </c>
      <c r="E31">
        <v>62.45</v>
      </c>
      <c r="F31">
        <v>25800</v>
      </c>
      <c r="G31">
        <v>1611210</v>
      </c>
      <c r="H31" s="2144">
        <v>42992</v>
      </c>
      <c r="I31">
        <v>1611210</v>
      </c>
    </row>
    <row r="32" spans="1:9" customFormat="1" hidden="1">
      <c r="A32" t="s">
        <v>6739</v>
      </c>
      <c r="B32">
        <v>12</v>
      </c>
      <c r="C32" t="s">
        <v>3261</v>
      </c>
      <c r="D32">
        <v>37</v>
      </c>
      <c r="E32">
        <v>51.88</v>
      </c>
      <c r="F32">
        <v>32167.02</v>
      </c>
      <c r="G32">
        <v>1668825</v>
      </c>
      <c r="H32" s="2144">
        <v>42992</v>
      </c>
      <c r="I32">
        <v>1668825</v>
      </c>
    </row>
    <row r="33" spans="1:9" customFormat="1" hidden="1">
      <c r="A33" t="s">
        <v>3782</v>
      </c>
      <c r="B33" t="s">
        <v>3054</v>
      </c>
      <c r="C33" t="s">
        <v>3261</v>
      </c>
      <c r="D33">
        <v>120</v>
      </c>
      <c r="E33">
        <v>43.06</v>
      </c>
      <c r="F33">
        <v>26000</v>
      </c>
      <c r="G33">
        <v>1119560</v>
      </c>
      <c r="H33" s="2144">
        <v>42991</v>
      </c>
      <c r="I33">
        <v>1119560</v>
      </c>
    </row>
    <row r="34" spans="1:9" customFormat="1" hidden="1">
      <c r="A34" t="s">
        <v>3783</v>
      </c>
      <c r="B34" t="s">
        <v>3054</v>
      </c>
      <c r="C34" t="s">
        <v>3261</v>
      </c>
      <c r="D34">
        <v>121</v>
      </c>
      <c r="E34">
        <v>43.53</v>
      </c>
      <c r="F34">
        <v>26000</v>
      </c>
      <c r="G34">
        <v>1131780</v>
      </c>
      <c r="H34" s="2144">
        <v>42991</v>
      </c>
      <c r="I34">
        <v>1131780</v>
      </c>
    </row>
    <row r="35" spans="1:9" customFormat="1" hidden="1">
      <c r="A35" t="s">
        <v>4376</v>
      </c>
      <c r="B35" t="s">
        <v>3055</v>
      </c>
      <c r="C35" t="s">
        <v>3261</v>
      </c>
      <c r="D35">
        <v>69</v>
      </c>
      <c r="E35">
        <v>59.78</v>
      </c>
      <c r="F35">
        <v>33300</v>
      </c>
      <c r="G35">
        <v>1990674</v>
      </c>
      <c r="H35" s="2144">
        <v>42991</v>
      </c>
      <c r="I35">
        <v>1990674</v>
      </c>
    </row>
    <row r="36" spans="1:9" customFormat="1" hidden="1">
      <c r="A36" t="s">
        <v>3760</v>
      </c>
      <c r="B36" t="s">
        <v>3054</v>
      </c>
      <c r="C36" t="s">
        <v>3261</v>
      </c>
      <c r="D36">
        <v>42</v>
      </c>
      <c r="E36">
        <v>52.78</v>
      </c>
      <c r="F36">
        <v>25800</v>
      </c>
      <c r="G36">
        <v>1361724</v>
      </c>
      <c r="H36" s="2144">
        <v>42990</v>
      </c>
      <c r="I36">
        <v>1361724</v>
      </c>
    </row>
    <row r="37" spans="1:9" customFormat="1" hidden="1">
      <c r="A37" t="s">
        <v>3761</v>
      </c>
      <c r="B37" t="s">
        <v>3054</v>
      </c>
      <c r="C37" t="s">
        <v>3261</v>
      </c>
      <c r="D37">
        <v>43</v>
      </c>
      <c r="E37">
        <v>53.25</v>
      </c>
      <c r="F37">
        <v>25800</v>
      </c>
      <c r="G37">
        <v>1373850</v>
      </c>
      <c r="H37" s="2144">
        <v>42990</v>
      </c>
      <c r="I37">
        <v>1373850</v>
      </c>
    </row>
    <row r="38" spans="1:9" customFormat="1" hidden="1">
      <c r="A38" t="s">
        <v>3770</v>
      </c>
      <c r="B38" t="s">
        <v>3054</v>
      </c>
      <c r="C38" t="s">
        <v>3261</v>
      </c>
      <c r="D38">
        <v>58</v>
      </c>
      <c r="E38">
        <v>59.78</v>
      </c>
      <c r="F38">
        <v>25996</v>
      </c>
      <c r="G38">
        <v>1554041</v>
      </c>
      <c r="H38" s="2144">
        <v>42990</v>
      </c>
      <c r="I38">
        <v>1554041</v>
      </c>
    </row>
    <row r="39" spans="1:9" customFormat="1" hidden="1">
      <c r="A39" t="s">
        <v>4357</v>
      </c>
      <c r="B39" t="s">
        <v>3055</v>
      </c>
      <c r="C39" t="s">
        <v>3261</v>
      </c>
      <c r="D39">
        <v>47</v>
      </c>
      <c r="E39">
        <v>99.48</v>
      </c>
      <c r="F39">
        <v>33300</v>
      </c>
      <c r="G39">
        <v>3312684</v>
      </c>
      <c r="H39" s="2144">
        <v>42989</v>
      </c>
      <c r="I39">
        <v>3312684</v>
      </c>
    </row>
    <row r="40" spans="1:9" customFormat="1" hidden="1">
      <c r="A40" t="s">
        <v>5726</v>
      </c>
      <c r="B40" t="s">
        <v>3057</v>
      </c>
      <c r="C40" t="s">
        <v>3261</v>
      </c>
      <c r="D40">
        <v>126</v>
      </c>
      <c r="E40">
        <v>32.47</v>
      </c>
      <c r="F40">
        <v>25511</v>
      </c>
      <c r="G40">
        <v>828342</v>
      </c>
      <c r="H40" s="2144">
        <v>42989</v>
      </c>
      <c r="I40">
        <v>828342</v>
      </c>
    </row>
    <row r="41" spans="1:9" customFormat="1" hidden="1">
      <c r="A41" t="s">
        <v>5729</v>
      </c>
      <c r="B41" t="s">
        <v>3057</v>
      </c>
      <c r="C41" t="s">
        <v>3261</v>
      </c>
      <c r="D41">
        <v>136</v>
      </c>
      <c r="E41">
        <v>8.3000000000000007</v>
      </c>
      <c r="F41">
        <v>28380</v>
      </c>
      <c r="G41">
        <v>235554.00000000003</v>
      </c>
      <c r="H41" s="2144">
        <v>42989</v>
      </c>
      <c r="I41">
        <v>235554</v>
      </c>
    </row>
    <row r="42" spans="1:9" customFormat="1" hidden="1">
      <c r="A42" t="s">
        <v>4400</v>
      </c>
      <c r="B42" t="s">
        <v>3055</v>
      </c>
      <c r="C42" t="s">
        <v>3261</v>
      </c>
      <c r="D42">
        <v>113</v>
      </c>
      <c r="E42">
        <v>33.869999999999997</v>
      </c>
      <c r="F42">
        <v>25800</v>
      </c>
      <c r="G42">
        <v>873845.99999999988</v>
      </c>
      <c r="H42" s="2144">
        <v>42988</v>
      </c>
      <c r="I42">
        <v>873846</v>
      </c>
    </row>
    <row r="43" spans="1:9" customFormat="1" hidden="1">
      <c r="A43" t="s">
        <v>6547</v>
      </c>
      <c r="B43">
        <v>11</v>
      </c>
      <c r="C43" t="s">
        <v>3261</v>
      </c>
      <c r="D43">
        <v>19</v>
      </c>
      <c r="E43">
        <v>44.09</v>
      </c>
      <c r="F43">
        <v>36590.879999999997</v>
      </c>
      <c r="G43">
        <v>1613292</v>
      </c>
      <c r="H43" s="2144">
        <v>42987</v>
      </c>
      <c r="I43">
        <v>1613292</v>
      </c>
    </row>
    <row r="44" spans="1:9" customFormat="1" hidden="1">
      <c r="A44" t="s">
        <v>6548</v>
      </c>
      <c r="B44">
        <v>11</v>
      </c>
      <c r="C44" t="s">
        <v>3261</v>
      </c>
      <c r="D44">
        <v>20</v>
      </c>
      <c r="E44">
        <v>46.18</v>
      </c>
      <c r="F44">
        <v>37193.629999999997</v>
      </c>
      <c r="G44">
        <v>1717602</v>
      </c>
      <c r="H44" s="2144">
        <v>42987</v>
      </c>
      <c r="I44">
        <v>1717602</v>
      </c>
    </row>
    <row r="45" spans="1:9" customFormat="1" hidden="1">
      <c r="A45" t="s">
        <v>6549</v>
      </c>
      <c r="B45">
        <v>11</v>
      </c>
      <c r="C45" t="s">
        <v>3261</v>
      </c>
      <c r="D45">
        <v>22</v>
      </c>
      <c r="E45">
        <v>45.27</v>
      </c>
      <c r="F45">
        <v>37860</v>
      </c>
      <c r="G45">
        <v>1713922</v>
      </c>
      <c r="H45" s="2144">
        <v>42987</v>
      </c>
      <c r="I45">
        <v>1713922</v>
      </c>
    </row>
    <row r="46" spans="1:9" customFormat="1" hidden="1">
      <c r="A46" t="s">
        <v>4346</v>
      </c>
      <c r="B46" t="s">
        <v>3055</v>
      </c>
      <c r="C46" t="s">
        <v>3261</v>
      </c>
      <c r="D46">
        <v>33</v>
      </c>
      <c r="E46">
        <v>34.89</v>
      </c>
      <c r="F46">
        <v>25800</v>
      </c>
      <c r="G46">
        <v>900162</v>
      </c>
      <c r="H46" s="2144">
        <v>42986</v>
      </c>
      <c r="I46">
        <v>900162</v>
      </c>
    </row>
    <row r="47" spans="1:9" customFormat="1" hidden="1">
      <c r="A47" t="s">
        <v>5703</v>
      </c>
      <c r="B47" t="s">
        <v>3057</v>
      </c>
      <c r="C47" t="s">
        <v>3261</v>
      </c>
      <c r="D47">
        <v>68</v>
      </c>
      <c r="E47">
        <v>54.79</v>
      </c>
      <c r="F47">
        <v>25800</v>
      </c>
      <c r="G47">
        <v>1413582</v>
      </c>
      <c r="H47" s="2144">
        <v>42986</v>
      </c>
      <c r="I47">
        <v>1413582</v>
      </c>
    </row>
    <row r="48" spans="1:9">
      <c r="A48" s="3386" t="s">
        <v>5061</v>
      </c>
      <c r="B48" s="3386" t="s">
        <v>3056</v>
      </c>
      <c r="C48" s="3386" t="s">
        <v>3261</v>
      </c>
      <c r="D48" s="3386">
        <v>75</v>
      </c>
      <c r="E48" s="3386">
        <v>40.15</v>
      </c>
      <c r="F48" s="3386">
        <v>35910</v>
      </c>
      <c r="G48" s="3386">
        <v>1441787</v>
      </c>
      <c r="H48" s="3386">
        <v>42985</v>
      </c>
      <c r="I48" s="3386">
        <v>1441787</v>
      </c>
    </row>
    <row r="49" spans="1:9" customFormat="1" hidden="1">
      <c r="A49" t="s">
        <v>5716</v>
      </c>
      <c r="B49" t="s">
        <v>3057</v>
      </c>
      <c r="C49" t="s">
        <v>3261</v>
      </c>
      <c r="D49">
        <v>108</v>
      </c>
      <c r="E49">
        <v>66.569999999999993</v>
      </c>
      <c r="F49">
        <v>25996.01</v>
      </c>
      <c r="G49">
        <v>1730554</v>
      </c>
      <c r="H49" s="2144">
        <v>42985</v>
      </c>
      <c r="I49">
        <v>1730554</v>
      </c>
    </row>
    <row r="50" spans="1:9" customFormat="1" hidden="1">
      <c r="A50" t="s">
        <v>5717</v>
      </c>
      <c r="B50" t="s">
        <v>3057</v>
      </c>
      <c r="C50" t="s">
        <v>3261</v>
      </c>
      <c r="D50">
        <v>109</v>
      </c>
      <c r="E50">
        <v>40.54</v>
      </c>
      <c r="F50">
        <v>25996.01</v>
      </c>
      <c r="G50">
        <v>1053878</v>
      </c>
      <c r="H50" s="2144">
        <v>42985</v>
      </c>
      <c r="I50">
        <v>1053878</v>
      </c>
    </row>
    <row r="51" spans="1:9">
      <c r="A51" s="3386" t="s">
        <v>5050</v>
      </c>
      <c r="B51" s="3386" t="s">
        <v>3056</v>
      </c>
      <c r="C51" s="3386" t="s">
        <v>3261</v>
      </c>
      <c r="D51" s="3386">
        <v>45</v>
      </c>
      <c r="E51" s="3386">
        <v>79.45</v>
      </c>
      <c r="F51" s="3386">
        <v>33300</v>
      </c>
      <c r="G51" s="3386">
        <v>2645685</v>
      </c>
      <c r="H51" s="3386">
        <v>42984</v>
      </c>
      <c r="I51" s="3386">
        <v>2645685</v>
      </c>
    </row>
    <row r="52" spans="1:9" customFormat="1" hidden="1">
      <c r="A52" t="s">
        <v>6748</v>
      </c>
      <c r="B52">
        <v>12</v>
      </c>
      <c r="C52" t="s">
        <v>3261</v>
      </c>
      <c r="D52">
        <v>53</v>
      </c>
      <c r="E52">
        <v>62.76</v>
      </c>
      <c r="F52">
        <v>35890</v>
      </c>
      <c r="G52">
        <v>2252456</v>
      </c>
      <c r="H52" s="2144">
        <v>42984</v>
      </c>
      <c r="I52">
        <v>2252456</v>
      </c>
    </row>
    <row r="53" spans="1:9" customFormat="1" hidden="1">
      <c r="A53" t="s">
        <v>3776</v>
      </c>
      <c r="B53" t="s">
        <v>3054</v>
      </c>
      <c r="C53" t="s">
        <v>3261</v>
      </c>
      <c r="D53">
        <v>81</v>
      </c>
      <c r="E53">
        <v>99.64</v>
      </c>
      <c r="F53">
        <v>33300</v>
      </c>
      <c r="G53">
        <v>3318012</v>
      </c>
      <c r="H53" s="2144">
        <v>42982</v>
      </c>
      <c r="I53">
        <v>3318012</v>
      </c>
    </row>
    <row r="54" spans="1:9" customFormat="1" hidden="1">
      <c r="A54" t="s">
        <v>3804</v>
      </c>
      <c r="B54" t="s">
        <v>3054</v>
      </c>
      <c r="C54" t="s">
        <v>3261</v>
      </c>
      <c r="D54">
        <v>177</v>
      </c>
      <c r="E54">
        <v>63.29</v>
      </c>
      <c r="F54">
        <v>32800</v>
      </c>
      <c r="G54">
        <v>2075912</v>
      </c>
      <c r="H54" s="2144">
        <v>42982</v>
      </c>
      <c r="I54">
        <v>2075912</v>
      </c>
    </row>
    <row r="55" spans="1:9" customFormat="1" hidden="1">
      <c r="A55" t="s">
        <v>3805</v>
      </c>
      <c r="B55" t="s">
        <v>3054</v>
      </c>
      <c r="C55" t="s">
        <v>3261</v>
      </c>
      <c r="D55">
        <v>178</v>
      </c>
      <c r="E55">
        <v>83.71</v>
      </c>
      <c r="F55">
        <v>32800</v>
      </c>
      <c r="G55">
        <v>2745688</v>
      </c>
      <c r="H55" s="2144">
        <v>42982</v>
      </c>
      <c r="I55">
        <v>2745688</v>
      </c>
    </row>
    <row r="56" spans="1:9" customFormat="1" hidden="1">
      <c r="A56" t="s">
        <v>3784</v>
      </c>
      <c r="B56" t="s">
        <v>3054</v>
      </c>
      <c r="C56" t="s">
        <v>3261</v>
      </c>
      <c r="D56">
        <v>126</v>
      </c>
      <c r="E56">
        <v>22.96</v>
      </c>
      <c r="F56">
        <v>36300</v>
      </c>
      <c r="G56">
        <v>833448</v>
      </c>
      <c r="H56" s="2144">
        <v>42980</v>
      </c>
      <c r="I56">
        <v>833448</v>
      </c>
    </row>
    <row r="57" spans="1:9">
      <c r="A57" s="3386" t="s">
        <v>5051</v>
      </c>
      <c r="B57" s="3386" t="s">
        <v>3056</v>
      </c>
      <c r="C57" s="3386" t="s">
        <v>3261</v>
      </c>
      <c r="D57" s="3386">
        <v>46</v>
      </c>
      <c r="E57" s="3386">
        <v>62.96</v>
      </c>
      <c r="F57" s="3386">
        <v>26800</v>
      </c>
      <c r="G57" s="3386">
        <v>1687328</v>
      </c>
      <c r="H57" s="3386">
        <v>42980</v>
      </c>
      <c r="I57" s="3386">
        <v>1687328</v>
      </c>
    </row>
    <row r="58" spans="1:9">
      <c r="A58" s="3386" t="s">
        <v>5088</v>
      </c>
      <c r="B58" s="3386" t="s">
        <v>3056</v>
      </c>
      <c r="C58" s="3386" t="s">
        <v>3261</v>
      </c>
      <c r="D58" s="3386">
        <v>140</v>
      </c>
      <c r="E58" s="3386">
        <v>118</v>
      </c>
      <c r="F58" s="3386">
        <v>35800</v>
      </c>
      <c r="G58" s="3386">
        <v>4224400</v>
      </c>
      <c r="H58" s="3386">
        <v>42980</v>
      </c>
      <c r="I58" s="3386">
        <v>4224400</v>
      </c>
    </row>
    <row r="59" spans="1:9">
      <c r="A59" s="3386" t="s">
        <v>5089</v>
      </c>
      <c r="B59" s="3386" t="s">
        <v>3056</v>
      </c>
      <c r="C59" s="3386" t="s">
        <v>3261</v>
      </c>
      <c r="D59" s="3386">
        <v>141</v>
      </c>
      <c r="E59" s="3386">
        <v>51.55</v>
      </c>
      <c r="F59" s="3386">
        <v>36300</v>
      </c>
      <c r="G59" s="3386">
        <v>1871265</v>
      </c>
      <c r="H59" s="3386">
        <v>42980</v>
      </c>
      <c r="I59" s="3386">
        <v>1871265</v>
      </c>
    </row>
    <row r="60" spans="1:9" customFormat="1" hidden="1">
      <c r="A60" t="s">
        <v>5682</v>
      </c>
      <c r="B60" t="s">
        <v>3057</v>
      </c>
      <c r="C60" t="s">
        <v>3261</v>
      </c>
      <c r="D60">
        <v>12</v>
      </c>
      <c r="E60">
        <v>131.61000000000001</v>
      </c>
      <c r="F60">
        <v>37934</v>
      </c>
      <c r="G60">
        <v>4992494</v>
      </c>
      <c r="H60" s="2144">
        <v>42980</v>
      </c>
      <c r="I60">
        <v>4992494</v>
      </c>
    </row>
    <row r="61" spans="1:9" customFormat="1" hidden="1">
      <c r="A61" t="s">
        <v>5712</v>
      </c>
      <c r="B61" t="s">
        <v>3057</v>
      </c>
      <c r="C61" t="s">
        <v>3261</v>
      </c>
      <c r="D61">
        <v>103</v>
      </c>
      <c r="E61">
        <v>96.91</v>
      </c>
      <c r="F61">
        <v>27300</v>
      </c>
      <c r="G61">
        <v>2645643</v>
      </c>
      <c r="H61" s="2144">
        <v>42980</v>
      </c>
      <c r="I61">
        <v>2645643</v>
      </c>
    </row>
    <row r="62" spans="1:9" customFormat="1" hidden="1">
      <c r="A62" t="s">
        <v>5728</v>
      </c>
      <c r="B62" t="s">
        <v>3057</v>
      </c>
      <c r="C62" t="s">
        <v>3261</v>
      </c>
      <c r="D62">
        <v>135</v>
      </c>
      <c r="E62">
        <v>8.3000000000000007</v>
      </c>
      <c r="F62">
        <v>28380</v>
      </c>
      <c r="G62">
        <v>235554.00000000003</v>
      </c>
      <c r="H62" s="2144">
        <v>42980</v>
      </c>
      <c r="I62">
        <v>235554</v>
      </c>
    </row>
    <row r="63" spans="1:9" customFormat="1" hidden="1">
      <c r="A63" t="s">
        <v>4386</v>
      </c>
      <c r="B63" t="s">
        <v>3055</v>
      </c>
      <c r="C63" t="s">
        <v>3261</v>
      </c>
      <c r="D63">
        <v>87</v>
      </c>
      <c r="E63">
        <v>136.09</v>
      </c>
      <c r="F63">
        <v>37682.870000000003</v>
      </c>
      <c r="G63">
        <v>5128262</v>
      </c>
      <c r="H63" s="2144">
        <v>42979</v>
      </c>
      <c r="I63">
        <v>5128262</v>
      </c>
    </row>
    <row r="64" spans="1:9" customFormat="1" hidden="1">
      <c r="A64" t="s">
        <v>3806</v>
      </c>
      <c r="B64" t="s">
        <v>3054</v>
      </c>
      <c r="C64" t="s">
        <v>3261</v>
      </c>
      <c r="D64">
        <v>182</v>
      </c>
      <c r="E64">
        <v>16.18</v>
      </c>
      <c r="F64">
        <v>32495.031055900618</v>
      </c>
      <c r="G64">
        <v>525770</v>
      </c>
      <c r="H64" s="2144">
        <v>42978</v>
      </c>
      <c r="I64">
        <v>525770</v>
      </c>
    </row>
    <row r="65" spans="1:9" customFormat="1" hidden="1">
      <c r="A65" t="s">
        <v>4333</v>
      </c>
      <c r="B65" t="s">
        <v>3055</v>
      </c>
      <c r="C65" t="s">
        <v>3261</v>
      </c>
      <c r="D65">
        <v>19</v>
      </c>
      <c r="E65">
        <v>29.56</v>
      </c>
      <c r="F65">
        <v>35210.986394557825</v>
      </c>
      <c r="G65">
        <v>1040837</v>
      </c>
      <c r="H65" s="2144">
        <v>42978</v>
      </c>
      <c r="I65">
        <v>1040837</v>
      </c>
    </row>
    <row r="66" spans="1:9">
      <c r="A66" s="3386" t="s">
        <v>5080</v>
      </c>
      <c r="B66" s="3386" t="s">
        <v>3056</v>
      </c>
      <c r="C66" s="3386" t="s">
        <v>3261</v>
      </c>
      <c r="D66" s="3386">
        <v>127</v>
      </c>
      <c r="E66" s="3386">
        <v>57.12</v>
      </c>
      <c r="F66" s="3386">
        <v>29900</v>
      </c>
      <c r="G66" s="3386">
        <v>1707888</v>
      </c>
      <c r="H66" s="3386">
        <v>42978</v>
      </c>
      <c r="I66" s="3386">
        <v>1707888</v>
      </c>
    </row>
    <row r="67" spans="1:9">
      <c r="A67" s="3386" t="s">
        <v>5085</v>
      </c>
      <c r="B67" s="3386" t="s">
        <v>3056</v>
      </c>
      <c r="C67" s="3386" t="s">
        <v>3261</v>
      </c>
      <c r="D67" s="3386">
        <v>137</v>
      </c>
      <c r="E67" s="3386">
        <v>88.73</v>
      </c>
      <c r="F67" s="3386">
        <v>27300</v>
      </c>
      <c r="G67" s="3386">
        <v>2422329</v>
      </c>
      <c r="H67" s="3386">
        <v>42963</v>
      </c>
      <c r="I67" s="3386">
        <v>1212329</v>
      </c>
    </row>
    <row r="68" spans="1:9" customFormat="1" hidden="1">
      <c r="A68" t="s">
        <v>4336</v>
      </c>
      <c r="B68" t="s">
        <v>3055</v>
      </c>
      <c r="C68" t="s">
        <v>3261</v>
      </c>
      <c r="D68">
        <v>22</v>
      </c>
      <c r="E68">
        <v>175.76</v>
      </c>
      <c r="F68">
        <v>36300</v>
      </c>
      <c r="G68">
        <v>6380088</v>
      </c>
      <c r="H68" s="2144">
        <v>42954</v>
      </c>
      <c r="I68">
        <v>3190088</v>
      </c>
    </row>
    <row r="69" spans="1:9" customFormat="1" hidden="1">
      <c r="A69" t="s">
        <v>6558</v>
      </c>
      <c r="B69">
        <v>11</v>
      </c>
      <c r="C69" t="s">
        <v>3261</v>
      </c>
      <c r="D69">
        <v>51</v>
      </c>
      <c r="E69">
        <v>39.5</v>
      </c>
      <c r="F69">
        <v>30728</v>
      </c>
      <c r="G69">
        <v>1213756</v>
      </c>
      <c r="H69" s="2144">
        <v>42937</v>
      </c>
      <c r="I69">
        <v>613756</v>
      </c>
    </row>
    <row r="70" spans="1:9" customFormat="1" hidden="1">
      <c r="A70" t="s">
        <v>4337</v>
      </c>
      <c r="B70" t="s">
        <v>3055</v>
      </c>
      <c r="C70" t="s">
        <v>3261</v>
      </c>
      <c r="D70">
        <v>23</v>
      </c>
      <c r="E70">
        <v>27.48</v>
      </c>
      <c r="F70">
        <v>30800</v>
      </c>
      <c r="G70">
        <v>846384</v>
      </c>
      <c r="H70" s="2144">
        <v>42930</v>
      </c>
      <c r="I70">
        <v>426384</v>
      </c>
    </row>
    <row r="71" spans="1:9">
      <c r="A71" s="3386" t="s">
        <v>5065</v>
      </c>
      <c r="B71" s="3386" t="s">
        <v>3056</v>
      </c>
      <c r="C71" s="3386" t="s">
        <v>3261</v>
      </c>
      <c r="D71" s="3386">
        <v>79</v>
      </c>
      <c r="E71" s="3386">
        <v>31.65</v>
      </c>
      <c r="F71" s="3386">
        <v>37800</v>
      </c>
      <c r="G71" s="3386">
        <v>1196370</v>
      </c>
      <c r="H71" s="3386">
        <v>42905</v>
      </c>
      <c r="I71" s="3386">
        <v>606370</v>
      </c>
    </row>
    <row r="72" spans="1:9" customFormat="1" hidden="1">
      <c r="A72" t="s">
        <v>5678</v>
      </c>
      <c r="B72" t="s">
        <v>3057</v>
      </c>
      <c r="C72" t="s">
        <v>3261</v>
      </c>
      <c r="D72">
        <v>6</v>
      </c>
      <c r="E72">
        <v>73.2</v>
      </c>
      <c r="F72">
        <v>31815.99727</v>
      </c>
      <c r="G72">
        <v>2328931.0001639999</v>
      </c>
      <c r="H72" s="2144">
        <v>42905</v>
      </c>
      <c r="I72">
        <v>2328931</v>
      </c>
    </row>
    <row r="73" spans="1:9" customFormat="1" hidden="1">
      <c r="A73" t="s">
        <v>4325</v>
      </c>
      <c r="B73" t="s">
        <v>3055</v>
      </c>
      <c r="C73" t="s">
        <v>3261</v>
      </c>
      <c r="D73">
        <v>9</v>
      </c>
      <c r="E73">
        <v>140.37</v>
      </c>
      <c r="F73">
        <v>38000</v>
      </c>
      <c r="G73">
        <v>5334060</v>
      </c>
      <c r="H73" s="2144">
        <v>42901</v>
      </c>
      <c r="I73">
        <v>2674060</v>
      </c>
    </row>
    <row r="74" spans="1:9" customFormat="1" hidden="1">
      <c r="A74" t="s">
        <v>4327</v>
      </c>
      <c r="B74" t="s">
        <v>3055</v>
      </c>
      <c r="C74" t="s">
        <v>3261</v>
      </c>
      <c r="D74">
        <v>11</v>
      </c>
      <c r="E74">
        <v>111.19</v>
      </c>
      <c r="F74">
        <v>36500</v>
      </c>
      <c r="G74">
        <v>4058435</v>
      </c>
      <c r="H74" s="2144">
        <v>42899</v>
      </c>
      <c r="I74">
        <v>1000000</v>
      </c>
    </row>
    <row r="75" spans="1:9" customFormat="1" hidden="1">
      <c r="A75" t="s">
        <v>4390</v>
      </c>
      <c r="B75" t="s">
        <v>3055</v>
      </c>
      <c r="C75" t="s">
        <v>3261</v>
      </c>
      <c r="D75">
        <v>95</v>
      </c>
      <c r="E75">
        <v>41.29</v>
      </c>
      <c r="F75">
        <v>25800</v>
      </c>
      <c r="G75">
        <v>1065282</v>
      </c>
      <c r="H75" s="2144">
        <v>42898</v>
      </c>
      <c r="I75">
        <v>535282</v>
      </c>
    </row>
    <row r="76" spans="1:9" customFormat="1" hidden="1">
      <c r="A76" t="s">
        <v>5681</v>
      </c>
      <c r="B76" t="s">
        <v>3057</v>
      </c>
      <c r="C76" t="s">
        <v>3261</v>
      </c>
      <c r="D76">
        <v>10</v>
      </c>
      <c r="E76">
        <v>82.84</v>
      </c>
      <c r="F76">
        <v>34009.995199999998</v>
      </c>
      <c r="G76">
        <v>2817388.0023679999</v>
      </c>
      <c r="H76" s="2144">
        <v>42895</v>
      </c>
      <c r="I76">
        <v>2817388</v>
      </c>
    </row>
    <row r="77" spans="1:9" customFormat="1" hidden="1">
      <c r="A77" t="s">
        <v>4421</v>
      </c>
      <c r="B77" t="s">
        <v>3055</v>
      </c>
      <c r="C77" t="s">
        <v>3261</v>
      </c>
      <c r="D77">
        <v>149</v>
      </c>
      <c r="E77">
        <v>119.73</v>
      </c>
      <c r="F77">
        <v>36800</v>
      </c>
      <c r="G77">
        <v>4406064</v>
      </c>
      <c r="H77" s="2144">
        <v>42893</v>
      </c>
      <c r="I77">
        <v>2466064</v>
      </c>
    </row>
    <row r="78" spans="1:9">
      <c r="A78" s="3386" t="s">
        <v>5042</v>
      </c>
      <c r="B78" s="3386" t="s">
        <v>3056</v>
      </c>
      <c r="C78" s="3386" t="s">
        <v>3261</v>
      </c>
      <c r="D78" s="3386">
        <v>29</v>
      </c>
      <c r="E78" s="3386">
        <v>137.59</v>
      </c>
      <c r="F78" s="3386">
        <v>36300</v>
      </c>
      <c r="G78" s="3386">
        <v>4994517</v>
      </c>
      <c r="H78" s="3386">
        <v>42891</v>
      </c>
      <c r="I78" s="3386">
        <v>1880406</v>
      </c>
    </row>
    <row r="79" spans="1:9" customFormat="1" hidden="1">
      <c r="A79" t="s">
        <v>5674</v>
      </c>
      <c r="B79" t="s">
        <v>3057</v>
      </c>
      <c r="C79" t="s">
        <v>3261</v>
      </c>
      <c r="D79">
        <v>1</v>
      </c>
      <c r="E79">
        <v>96.29</v>
      </c>
      <c r="F79">
        <v>30503.998339999998</v>
      </c>
      <c r="G79">
        <v>2937230.0001586</v>
      </c>
      <c r="H79" s="2144">
        <v>42886</v>
      </c>
      <c r="I79">
        <v>2937230</v>
      </c>
    </row>
    <row r="80" spans="1:9" customFormat="1" hidden="1">
      <c r="A80" t="s">
        <v>5675</v>
      </c>
      <c r="B80" t="s">
        <v>3057</v>
      </c>
      <c r="C80" t="s">
        <v>3261</v>
      </c>
      <c r="D80">
        <v>2</v>
      </c>
      <c r="E80">
        <v>91.92</v>
      </c>
      <c r="F80">
        <v>30504.003479999999</v>
      </c>
      <c r="G80">
        <v>2803927.9998816</v>
      </c>
      <c r="H80" s="2144">
        <v>42886</v>
      </c>
      <c r="I80">
        <v>2803928</v>
      </c>
    </row>
    <row r="81" spans="1:9" customFormat="1" hidden="1">
      <c r="A81" t="s">
        <v>5676</v>
      </c>
      <c r="B81" t="s">
        <v>3057</v>
      </c>
      <c r="C81" t="s">
        <v>3261</v>
      </c>
      <c r="D81">
        <v>3</v>
      </c>
      <c r="E81">
        <v>88.16</v>
      </c>
      <c r="F81">
        <v>30504.004079999999</v>
      </c>
      <c r="G81">
        <v>2689232.9996928</v>
      </c>
      <c r="H81" s="2144">
        <v>42886</v>
      </c>
      <c r="I81">
        <v>2689233</v>
      </c>
    </row>
    <row r="82" spans="1:9" customFormat="1" hidden="1">
      <c r="A82" t="s">
        <v>5677</v>
      </c>
      <c r="B82" t="s">
        <v>3057</v>
      </c>
      <c r="C82" t="s">
        <v>3261</v>
      </c>
      <c r="D82">
        <v>5</v>
      </c>
      <c r="E82">
        <v>96.29</v>
      </c>
      <c r="F82">
        <v>30503.998339999998</v>
      </c>
      <c r="G82">
        <v>2937230.0001586</v>
      </c>
      <c r="H82" s="2144">
        <v>42886</v>
      </c>
      <c r="I82">
        <v>2937230</v>
      </c>
    </row>
    <row r="83" spans="1:9" customFormat="1" hidden="1">
      <c r="A83" t="s">
        <v>5685</v>
      </c>
      <c r="B83" t="s">
        <v>3057</v>
      </c>
      <c r="C83" t="s">
        <v>3261</v>
      </c>
      <c r="D83">
        <v>23</v>
      </c>
      <c r="E83">
        <v>37.200000000000003</v>
      </c>
      <c r="F83">
        <v>23994.005379999999</v>
      </c>
      <c r="G83">
        <v>892577.00013599999</v>
      </c>
      <c r="H83" s="2144">
        <v>42886</v>
      </c>
      <c r="I83">
        <v>892577</v>
      </c>
    </row>
    <row r="84" spans="1:9" customFormat="1" hidden="1">
      <c r="A84" t="s">
        <v>5689</v>
      </c>
      <c r="B84" t="s">
        <v>3057</v>
      </c>
      <c r="C84" t="s">
        <v>3261</v>
      </c>
      <c r="D84">
        <v>32</v>
      </c>
      <c r="E84">
        <v>10.75</v>
      </c>
      <c r="F84">
        <v>27528.558140000001</v>
      </c>
      <c r="G84">
        <v>295932.00000500004</v>
      </c>
      <c r="H84" s="2144">
        <v>42873</v>
      </c>
      <c r="I84">
        <v>295932</v>
      </c>
    </row>
    <row r="85" spans="1:9" customFormat="1" hidden="1">
      <c r="A85" t="s">
        <v>3786</v>
      </c>
      <c r="B85" t="s">
        <v>3054</v>
      </c>
      <c r="C85" t="s">
        <v>3261</v>
      </c>
      <c r="D85">
        <v>130</v>
      </c>
      <c r="E85">
        <v>38.659999999999997</v>
      </c>
      <c r="F85">
        <v>35210.998440000003</v>
      </c>
      <c r="G85">
        <v>1361257.1996903999</v>
      </c>
      <c r="H85" s="2144">
        <v>42840</v>
      </c>
      <c r="I85">
        <v>1361257</v>
      </c>
    </row>
    <row r="86" spans="1:9" customFormat="1" hidden="1">
      <c r="A86" t="s">
        <v>5704</v>
      </c>
      <c r="B86" t="s">
        <v>3057</v>
      </c>
      <c r="C86" t="s">
        <v>3261</v>
      </c>
      <c r="D86">
        <v>69</v>
      </c>
      <c r="E86">
        <v>42.1</v>
      </c>
      <c r="F86">
        <v>25511</v>
      </c>
      <c r="G86">
        <v>1074013.1000000001</v>
      </c>
      <c r="H86" s="2144">
        <v>42833</v>
      </c>
      <c r="I86">
        <v>1074013</v>
      </c>
    </row>
    <row r="87" spans="1:9" customFormat="1" hidden="1">
      <c r="A87" t="s">
        <v>3801</v>
      </c>
      <c r="B87" t="s">
        <v>3054</v>
      </c>
      <c r="C87" t="s">
        <v>3261</v>
      </c>
      <c r="D87">
        <v>173</v>
      </c>
      <c r="E87">
        <v>69.819999999999993</v>
      </c>
      <c r="F87">
        <v>32301.01</v>
      </c>
      <c r="G87">
        <v>2255256.5181999998</v>
      </c>
      <c r="H87" s="2144">
        <v>42832</v>
      </c>
      <c r="I87">
        <v>2255257</v>
      </c>
    </row>
    <row r="88" spans="1:9" customFormat="1" hidden="1">
      <c r="A88" t="s">
        <v>4417</v>
      </c>
      <c r="B88" t="s">
        <v>3055</v>
      </c>
      <c r="C88" t="s">
        <v>3261</v>
      </c>
      <c r="D88">
        <v>143</v>
      </c>
      <c r="E88">
        <v>135.15</v>
      </c>
      <c r="F88">
        <v>36300</v>
      </c>
      <c r="G88">
        <v>4905945</v>
      </c>
      <c r="H88" s="2144">
        <v>42825</v>
      </c>
      <c r="I88">
        <v>2455945</v>
      </c>
    </row>
    <row r="89" spans="1:9" customFormat="1" hidden="1">
      <c r="A89" t="s">
        <v>4409</v>
      </c>
      <c r="B89" t="s">
        <v>3055</v>
      </c>
      <c r="C89" t="s">
        <v>3261</v>
      </c>
      <c r="D89">
        <v>128</v>
      </c>
      <c r="E89">
        <v>85.08</v>
      </c>
      <c r="F89">
        <v>25800</v>
      </c>
      <c r="G89">
        <v>2195064</v>
      </c>
      <c r="H89" s="2144">
        <v>42810</v>
      </c>
      <c r="I89">
        <v>1195064</v>
      </c>
    </row>
    <row r="90" spans="1:9">
      <c r="A90" s="3386" t="s">
        <v>5075</v>
      </c>
      <c r="B90" s="3386" t="s">
        <v>3056</v>
      </c>
      <c r="C90" s="3386" t="s">
        <v>3261</v>
      </c>
      <c r="D90" s="3386">
        <v>109</v>
      </c>
      <c r="E90" s="3386">
        <v>44.26</v>
      </c>
      <c r="F90" s="3386">
        <v>25800</v>
      </c>
      <c r="G90" s="3386">
        <v>1141908</v>
      </c>
      <c r="H90" s="3386">
        <v>42772</v>
      </c>
      <c r="I90" s="3386">
        <v>1141908</v>
      </c>
    </row>
    <row r="91" spans="1:9" customFormat="1" hidden="1">
      <c r="A91" t="s">
        <v>5680</v>
      </c>
      <c r="B91" t="s">
        <v>3057</v>
      </c>
      <c r="C91" t="s">
        <v>3261</v>
      </c>
      <c r="D91">
        <v>9</v>
      </c>
      <c r="E91">
        <v>129.76</v>
      </c>
      <c r="F91">
        <v>39930</v>
      </c>
      <c r="G91">
        <v>5181316.8</v>
      </c>
      <c r="H91" s="2144">
        <v>42772</v>
      </c>
      <c r="I91">
        <v>3001317</v>
      </c>
    </row>
    <row r="92" spans="1:9" customFormat="1" hidden="1">
      <c r="A92" t="s">
        <v>6734</v>
      </c>
      <c r="B92">
        <v>12</v>
      </c>
      <c r="C92" t="s">
        <v>3261</v>
      </c>
      <c r="D92">
        <v>27</v>
      </c>
      <c r="E92">
        <v>18.18</v>
      </c>
      <c r="F92">
        <v>37860</v>
      </c>
      <c r="G92">
        <v>688294.8</v>
      </c>
      <c r="H92" s="2144">
        <v>42759</v>
      </c>
      <c r="I92">
        <v>50000</v>
      </c>
    </row>
    <row r="93" spans="1:9">
      <c r="A93" s="3386" t="s">
        <v>5072</v>
      </c>
      <c r="B93" s="3386" t="s">
        <v>3056</v>
      </c>
      <c r="C93" s="3386" t="s">
        <v>3261</v>
      </c>
      <c r="D93" s="3386">
        <v>105</v>
      </c>
      <c r="E93" s="3386">
        <v>29.48</v>
      </c>
      <c r="F93" s="3386">
        <v>28929.986430000001</v>
      </c>
      <c r="G93" s="3386">
        <v>852855.99995640002</v>
      </c>
      <c r="H93" s="3386">
        <v>42756</v>
      </c>
      <c r="I93" s="3386">
        <v>852856</v>
      </c>
    </row>
    <row r="94" spans="1:9" customFormat="1" hidden="1">
      <c r="A94" t="s">
        <v>4360</v>
      </c>
      <c r="B94" t="s">
        <v>3055</v>
      </c>
      <c r="C94" t="s">
        <v>3261</v>
      </c>
      <c r="D94">
        <v>51</v>
      </c>
      <c r="E94">
        <v>57.54</v>
      </c>
      <c r="F94">
        <v>27300</v>
      </c>
      <c r="G94">
        <v>1570842</v>
      </c>
      <c r="H94" s="2144">
        <v>42744</v>
      </c>
      <c r="I94">
        <v>790842</v>
      </c>
    </row>
    <row r="95" spans="1:9" customFormat="1" hidden="1">
      <c r="A95" t="s">
        <v>4371</v>
      </c>
      <c r="B95" t="s">
        <v>3055</v>
      </c>
      <c r="C95" t="s">
        <v>3261</v>
      </c>
      <c r="D95">
        <v>63</v>
      </c>
      <c r="E95">
        <v>50.72</v>
      </c>
      <c r="F95">
        <v>26800</v>
      </c>
      <c r="G95">
        <v>1359296</v>
      </c>
      <c r="H95" s="2144">
        <v>42744</v>
      </c>
      <c r="I95">
        <v>689296</v>
      </c>
    </row>
    <row r="96" spans="1:9" customFormat="1" hidden="1">
      <c r="A96" t="s">
        <v>6765</v>
      </c>
      <c r="B96">
        <v>12</v>
      </c>
      <c r="C96" t="s">
        <v>3261</v>
      </c>
      <c r="D96">
        <v>83</v>
      </c>
      <c r="E96">
        <v>5.91</v>
      </c>
      <c r="F96">
        <v>41710.019999999997</v>
      </c>
      <c r="G96">
        <v>246506.21819999997</v>
      </c>
      <c r="H96" s="2144">
        <v>42740</v>
      </c>
      <c r="I96">
        <v>245672</v>
      </c>
    </row>
    <row r="97" spans="1:9" customFormat="1" hidden="1">
      <c r="A97" t="s">
        <v>4393</v>
      </c>
      <c r="B97" t="s">
        <v>3055</v>
      </c>
      <c r="C97" t="s">
        <v>3261</v>
      </c>
      <c r="D97">
        <v>101</v>
      </c>
      <c r="E97">
        <v>57.94</v>
      </c>
      <c r="F97">
        <v>27300</v>
      </c>
      <c r="G97">
        <v>1581762</v>
      </c>
      <c r="H97" s="2144">
        <v>42739</v>
      </c>
      <c r="I97">
        <v>791762</v>
      </c>
    </row>
    <row r="98" spans="1:9">
      <c r="A98" s="3386" t="s">
        <v>5058</v>
      </c>
      <c r="B98" s="3386" t="s">
        <v>3056</v>
      </c>
      <c r="C98" s="3386" t="s">
        <v>3261</v>
      </c>
      <c r="D98" s="3386">
        <v>61</v>
      </c>
      <c r="E98" s="3386">
        <v>69.05</v>
      </c>
      <c r="F98" s="3386">
        <v>35531.093399999998</v>
      </c>
      <c r="G98" s="3386">
        <v>2453421.9992699996</v>
      </c>
      <c r="H98" s="3386">
        <v>42738</v>
      </c>
      <c r="I98" s="3386">
        <v>2453422</v>
      </c>
    </row>
    <row r="99" spans="1:9">
      <c r="A99" s="3386" t="s">
        <v>5082</v>
      </c>
      <c r="B99" s="3386" t="s">
        <v>3056</v>
      </c>
      <c r="C99" s="3386" t="s">
        <v>3261</v>
      </c>
      <c r="D99" s="3386">
        <v>129</v>
      </c>
      <c r="E99" s="3386">
        <v>47.54</v>
      </c>
      <c r="F99" s="3386">
        <v>37441.985699999997</v>
      </c>
      <c r="G99" s="3386">
        <v>1779992.000178</v>
      </c>
      <c r="H99" s="3386">
        <v>42732</v>
      </c>
      <c r="I99" s="3386">
        <v>1778869</v>
      </c>
    </row>
    <row r="100" spans="1:9" customFormat="1" hidden="1">
      <c r="A100" t="s">
        <v>6728</v>
      </c>
      <c r="B100">
        <v>12</v>
      </c>
      <c r="C100" t="s">
        <v>3261</v>
      </c>
      <c r="D100">
        <v>8</v>
      </c>
      <c r="E100">
        <v>28.22</v>
      </c>
      <c r="F100">
        <v>39860</v>
      </c>
      <c r="G100">
        <v>1124849.2</v>
      </c>
      <c r="H100" s="2144">
        <v>42710</v>
      </c>
      <c r="I100">
        <v>1120066</v>
      </c>
    </row>
    <row r="101" spans="1:9" customFormat="1" hidden="1">
      <c r="A101" t="s">
        <v>5701</v>
      </c>
      <c r="B101" t="s">
        <v>3057</v>
      </c>
      <c r="C101" t="s">
        <v>3261</v>
      </c>
      <c r="D101">
        <v>60</v>
      </c>
      <c r="E101">
        <v>42.09</v>
      </c>
      <c r="F101">
        <v>27300</v>
      </c>
      <c r="G101">
        <v>1149057</v>
      </c>
      <c r="H101" s="2144">
        <v>42695</v>
      </c>
      <c r="I101">
        <v>579057</v>
      </c>
    </row>
    <row r="102" spans="1:9">
      <c r="A102" s="3386" t="s">
        <v>5063</v>
      </c>
      <c r="B102" s="3386" t="s">
        <v>3056</v>
      </c>
      <c r="C102" s="3386" t="s">
        <v>3261</v>
      </c>
      <c r="D102" s="3386">
        <v>77</v>
      </c>
      <c r="E102" s="3386">
        <v>109.96</v>
      </c>
      <c r="F102" s="3386">
        <v>32800</v>
      </c>
      <c r="G102" s="3386">
        <v>3606688</v>
      </c>
      <c r="H102" s="3386">
        <v>42675</v>
      </c>
      <c r="I102" s="3386">
        <v>3606688</v>
      </c>
    </row>
    <row r="103" spans="1:9" customFormat="1" ht="10.5" hidden="1" customHeight="1">
      <c r="H103" s="2144"/>
    </row>
    <row r="104" spans="1:9" customFormat="1" hidden="1">
      <c r="H104" s="2144"/>
    </row>
    <row r="105" spans="1:9" customFormat="1" hidden="1">
      <c r="H105" s="2144"/>
    </row>
    <row r="106" spans="1:9" customFormat="1" hidden="1">
      <c r="H106" s="2144"/>
    </row>
    <row r="107" spans="1:9" customFormat="1" hidden="1">
      <c r="H107" s="2144"/>
    </row>
    <row r="108" spans="1:9" customFormat="1" hidden="1">
      <c r="H108" s="2144"/>
    </row>
    <row r="109" spans="1:9" customFormat="1" hidden="1">
      <c r="H109" s="2144"/>
    </row>
    <row r="110" spans="1:9" customFormat="1" hidden="1">
      <c r="H110" s="2144"/>
    </row>
    <row r="111" spans="1:9" customFormat="1" hidden="1">
      <c r="H111" s="2144"/>
    </row>
    <row r="112" spans="1:9" customFormat="1" hidden="1">
      <c r="H112" s="2144"/>
    </row>
    <row r="113" spans="8:8" customFormat="1" hidden="1">
      <c r="H113" s="2144"/>
    </row>
    <row r="114" spans="8:8" customFormat="1" hidden="1">
      <c r="H114" s="2144"/>
    </row>
    <row r="115" spans="8:8" customFormat="1" hidden="1">
      <c r="H115" s="2144"/>
    </row>
    <row r="116" spans="8:8" customFormat="1" hidden="1">
      <c r="H116" s="2144"/>
    </row>
    <row r="117" spans="8:8" customFormat="1" hidden="1">
      <c r="H117" s="2144"/>
    </row>
    <row r="118" spans="8:8" customFormat="1" hidden="1">
      <c r="H118" s="2144"/>
    </row>
    <row r="119" spans="8:8" customFormat="1" hidden="1">
      <c r="H119" s="2144"/>
    </row>
    <row r="120" spans="8:8" customFormat="1" hidden="1">
      <c r="H120" s="2144"/>
    </row>
    <row r="121" spans="8:8" customFormat="1" hidden="1">
      <c r="H121" s="2144"/>
    </row>
    <row r="122" spans="8:8" customFormat="1" hidden="1">
      <c r="H122" s="2144"/>
    </row>
    <row r="123" spans="8:8" customFormat="1" hidden="1">
      <c r="H123" s="2144"/>
    </row>
    <row r="124" spans="8:8" customFormat="1" hidden="1">
      <c r="H124" s="2144"/>
    </row>
    <row r="125" spans="8:8" customFormat="1" hidden="1">
      <c r="H125" s="2144"/>
    </row>
    <row r="126" spans="8:8" customFormat="1" hidden="1">
      <c r="H126" s="2144"/>
    </row>
    <row r="127" spans="8:8" customFormat="1" hidden="1">
      <c r="H127" s="2144"/>
    </row>
    <row r="128" spans="8:8" customFormat="1" hidden="1">
      <c r="H128" s="2144"/>
    </row>
    <row r="129" spans="8:8" customFormat="1" hidden="1">
      <c r="H129" s="2144"/>
    </row>
    <row r="130" spans="8:8" customFormat="1" hidden="1">
      <c r="H130" s="2144"/>
    </row>
    <row r="131" spans="8:8" customFormat="1" hidden="1">
      <c r="H131" s="2144"/>
    </row>
    <row r="132" spans="8:8" customFormat="1" hidden="1">
      <c r="H132" s="2144"/>
    </row>
    <row r="133" spans="8:8" customFormat="1" hidden="1">
      <c r="H133" s="2144"/>
    </row>
    <row r="134" spans="8:8" customFormat="1" hidden="1">
      <c r="H134" s="2144"/>
    </row>
    <row r="135" spans="8:8" customFormat="1" hidden="1">
      <c r="H135" s="2144"/>
    </row>
    <row r="136" spans="8:8" customFormat="1" hidden="1">
      <c r="H136" s="2144"/>
    </row>
    <row r="137" spans="8:8" customFormat="1" hidden="1">
      <c r="H137" s="2144"/>
    </row>
    <row r="138" spans="8:8" customFormat="1" hidden="1">
      <c r="H138" s="2144"/>
    </row>
    <row r="139" spans="8:8" customFormat="1" hidden="1">
      <c r="H139" s="2144"/>
    </row>
    <row r="140" spans="8:8" customFormat="1" hidden="1">
      <c r="H140" s="2144"/>
    </row>
    <row r="141" spans="8:8" customFormat="1" hidden="1">
      <c r="H141" s="2144"/>
    </row>
    <row r="142" spans="8:8" customFormat="1" hidden="1">
      <c r="H142" s="2144"/>
    </row>
    <row r="143" spans="8:8" customFormat="1" hidden="1">
      <c r="H143" s="2144"/>
    </row>
    <row r="144" spans="8:8" customFormat="1" hidden="1">
      <c r="H144" s="2144"/>
    </row>
    <row r="145" spans="8:8" customFormat="1" hidden="1">
      <c r="H145" s="2144"/>
    </row>
    <row r="146" spans="8:8" customFormat="1" hidden="1">
      <c r="H146" s="2144"/>
    </row>
    <row r="147" spans="8:8" customFormat="1" hidden="1">
      <c r="H147" s="2144"/>
    </row>
    <row r="148" spans="8:8" customFormat="1" hidden="1">
      <c r="H148" s="2144"/>
    </row>
    <row r="149" spans="8:8" customFormat="1" hidden="1">
      <c r="H149" s="2144"/>
    </row>
    <row r="150" spans="8:8" customFormat="1" hidden="1">
      <c r="H150" s="2144"/>
    </row>
    <row r="151" spans="8:8" customFormat="1" hidden="1">
      <c r="H151" s="2144"/>
    </row>
    <row r="152" spans="8:8" customFormat="1" hidden="1">
      <c r="H152" s="2144"/>
    </row>
    <row r="153" spans="8:8" customFormat="1" hidden="1">
      <c r="H153" s="2144"/>
    </row>
    <row r="154" spans="8:8" customFormat="1" hidden="1">
      <c r="H154" s="2144"/>
    </row>
    <row r="155" spans="8:8" customFormat="1" hidden="1">
      <c r="H155" s="2144"/>
    </row>
    <row r="156" spans="8:8" customFormat="1" hidden="1">
      <c r="H156" s="2144"/>
    </row>
    <row r="157" spans="8:8" customFormat="1" hidden="1">
      <c r="H157" s="2144"/>
    </row>
    <row r="158" spans="8:8" customFormat="1" hidden="1">
      <c r="H158" s="2144"/>
    </row>
    <row r="159" spans="8:8" customFormat="1" hidden="1">
      <c r="H159" s="2144"/>
    </row>
    <row r="160" spans="8:8" customFormat="1" hidden="1">
      <c r="H160" s="2144"/>
    </row>
    <row r="161" spans="8:8" customFormat="1" hidden="1">
      <c r="H161" s="2144"/>
    </row>
    <row r="162" spans="8:8" customFormat="1" hidden="1">
      <c r="H162" s="2144"/>
    </row>
    <row r="163" spans="8:8" customFormat="1" hidden="1">
      <c r="H163" s="2144"/>
    </row>
    <row r="164" spans="8:8" customFormat="1" hidden="1">
      <c r="H164" s="2144"/>
    </row>
    <row r="165" spans="8:8" customFormat="1" hidden="1">
      <c r="H165" s="2144"/>
    </row>
    <row r="166" spans="8:8" customFormat="1" hidden="1">
      <c r="H166" s="2144"/>
    </row>
    <row r="167" spans="8:8" customFormat="1" hidden="1">
      <c r="H167" s="2144"/>
    </row>
    <row r="168" spans="8:8" customFormat="1" hidden="1">
      <c r="H168" s="2144"/>
    </row>
    <row r="169" spans="8:8" customFormat="1" hidden="1">
      <c r="H169" s="2144"/>
    </row>
  </sheetData>
  <autoFilter ref="A1:I169">
    <filterColumn colId="1">
      <filters>
        <filter val="7A"/>
      </filters>
    </filterColumn>
  </autoFilter>
  <phoneticPr fontId="143" type="noConversion"/>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I190"/>
  <sheetViews>
    <sheetView workbookViewId="0">
      <selection sqref="A1:XFD1048576"/>
    </sheetView>
  </sheetViews>
  <sheetFormatPr defaultRowHeight="13.5"/>
  <cols>
    <col min="1" max="1" width="20.25" style="3386" customWidth="1"/>
    <col min="2" max="3" width="9" style="3386"/>
    <col min="4" max="5" width="9.125" style="3386" bestFit="1" customWidth="1"/>
    <col min="6" max="6" width="10.5" style="3386" bestFit="1" customWidth="1"/>
    <col min="7" max="7" width="12.75" style="3386" bestFit="1" customWidth="1"/>
    <col min="8" max="8" width="13.125" style="3386" customWidth="1"/>
    <col min="9" max="9" width="12.75" style="3386" bestFit="1" customWidth="1"/>
    <col min="10" max="16384" width="9" style="3386"/>
  </cols>
  <sheetData>
    <row r="1" spans="1:9">
      <c r="A1" s="3386" t="s">
        <v>3132</v>
      </c>
      <c r="B1" s="3386" t="s">
        <v>3133</v>
      </c>
      <c r="C1" s="3386" t="s">
        <v>3134</v>
      </c>
      <c r="D1" s="3386" t="s">
        <v>7084</v>
      </c>
      <c r="E1" s="3386" t="s">
        <v>7085</v>
      </c>
      <c r="F1" s="3386" t="s">
        <v>3137</v>
      </c>
      <c r="G1" s="3386" t="s">
        <v>7086</v>
      </c>
      <c r="H1" s="3386" t="s">
        <v>7087</v>
      </c>
      <c r="I1" s="3386" t="s">
        <v>7088</v>
      </c>
    </row>
    <row r="2" spans="1:9" customFormat="1" hidden="1">
      <c r="A2" t="s">
        <v>5787</v>
      </c>
      <c r="B2" t="s">
        <v>3057</v>
      </c>
      <c r="C2" t="s">
        <v>3161</v>
      </c>
      <c r="D2">
        <v>99</v>
      </c>
      <c r="E2">
        <v>74.900000000000006</v>
      </c>
      <c r="F2">
        <v>28118.998664999999</v>
      </c>
      <c r="G2">
        <v>2106113.0000085002</v>
      </c>
      <c r="H2" s="2144">
        <v>42962</v>
      </c>
      <c r="I2">
        <v>1106113</v>
      </c>
    </row>
    <row r="3" spans="1:9" customFormat="1" hidden="1">
      <c r="A3" t="s">
        <v>5786</v>
      </c>
      <c r="B3" t="s">
        <v>3057</v>
      </c>
      <c r="C3" t="s">
        <v>3161</v>
      </c>
      <c r="D3">
        <v>98</v>
      </c>
      <c r="E3">
        <v>48.9</v>
      </c>
      <c r="F3">
        <v>21115</v>
      </c>
      <c r="G3">
        <v>1032523</v>
      </c>
      <c r="H3" s="2144">
        <v>42992</v>
      </c>
      <c r="I3">
        <v>1032523</v>
      </c>
    </row>
    <row r="4" spans="1:9" customFormat="1" hidden="1">
      <c r="A4" t="s">
        <v>5785</v>
      </c>
      <c r="B4" t="s">
        <v>3057</v>
      </c>
      <c r="C4" t="s">
        <v>3161</v>
      </c>
      <c r="D4">
        <v>97</v>
      </c>
      <c r="E4">
        <v>46.15</v>
      </c>
      <c r="F4">
        <v>19570</v>
      </c>
      <c r="G4">
        <v>903156</v>
      </c>
      <c r="H4" s="2144">
        <v>42989</v>
      </c>
      <c r="I4">
        <v>903156</v>
      </c>
    </row>
    <row r="5" spans="1:9" customFormat="1" hidden="1">
      <c r="A5" t="s">
        <v>5784</v>
      </c>
      <c r="B5" t="s">
        <v>3057</v>
      </c>
      <c r="C5" t="s">
        <v>3161</v>
      </c>
      <c r="D5">
        <v>96</v>
      </c>
      <c r="E5">
        <v>46.15</v>
      </c>
      <c r="F5">
        <v>19570</v>
      </c>
      <c r="G5">
        <v>903156</v>
      </c>
      <c r="H5" s="2144">
        <v>43005</v>
      </c>
      <c r="I5">
        <v>903156</v>
      </c>
    </row>
    <row r="6" spans="1:9" customFormat="1" hidden="1">
      <c r="A6" t="s">
        <v>5783</v>
      </c>
      <c r="B6" t="s">
        <v>3057</v>
      </c>
      <c r="C6" t="s">
        <v>3161</v>
      </c>
      <c r="D6">
        <v>95</v>
      </c>
      <c r="E6">
        <v>46.23</v>
      </c>
      <c r="F6">
        <v>19570</v>
      </c>
      <c r="G6">
        <v>904721</v>
      </c>
      <c r="H6" s="2144">
        <v>43002</v>
      </c>
      <c r="I6">
        <v>904721</v>
      </c>
    </row>
    <row r="7" spans="1:9" customFormat="1" hidden="1">
      <c r="A7" t="s">
        <v>5782</v>
      </c>
      <c r="B7" t="s">
        <v>3057</v>
      </c>
      <c r="C7" t="s">
        <v>3161</v>
      </c>
      <c r="D7">
        <v>91</v>
      </c>
      <c r="E7">
        <v>11.86</v>
      </c>
      <c r="F7">
        <v>19570</v>
      </c>
      <c r="G7">
        <v>232100</v>
      </c>
      <c r="H7" s="2144">
        <v>42995</v>
      </c>
      <c r="I7">
        <v>232100</v>
      </c>
    </row>
    <row r="8" spans="1:9" customFormat="1" hidden="1">
      <c r="A8" t="s">
        <v>5740</v>
      </c>
      <c r="B8" t="s">
        <v>3057</v>
      </c>
      <c r="C8" t="s">
        <v>3161</v>
      </c>
      <c r="D8">
        <v>9</v>
      </c>
      <c r="E8">
        <v>42.27</v>
      </c>
      <c r="F8">
        <v>20600</v>
      </c>
      <c r="G8">
        <v>870762.00000000012</v>
      </c>
      <c r="H8" s="2144">
        <v>42989</v>
      </c>
      <c r="I8">
        <v>870762</v>
      </c>
    </row>
    <row r="9" spans="1:9" customFormat="1" hidden="1">
      <c r="A9" t="s">
        <v>5778</v>
      </c>
      <c r="B9" t="s">
        <v>3057</v>
      </c>
      <c r="C9" t="s">
        <v>3161</v>
      </c>
      <c r="D9">
        <v>85</v>
      </c>
      <c r="E9">
        <v>51.52</v>
      </c>
      <c r="F9">
        <v>19482.46</v>
      </c>
      <c r="G9">
        <v>1003736</v>
      </c>
      <c r="H9" s="2144">
        <v>42998</v>
      </c>
      <c r="I9">
        <v>1003736</v>
      </c>
    </row>
    <row r="10" spans="1:9" customFormat="1" hidden="1">
      <c r="A10" t="s">
        <v>5777</v>
      </c>
      <c r="B10" t="s">
        <v>3057</v>
      </c>
      <c r="C10" t="s">
        <v>3161</v>
      </c>
      <c r="D10">
        <v>80</v>
      </c>
      <c r="E10">
        <v>19.2</v>
      </c>
      <c r="F10">
        <v>18591.509999999998</v>
      </c>
      <c r="G10">
        <v>356957</v>
      </c>
      <c r="H10" s="2144">
        <v>42989</v>
      </c>
      <c r="I10">
        <v>356957</v>
      </c>
    </row>
    <row r="11" spans="1:9" customFormat="1" hidden="1">
      <c r="A11" t="s">
        <v>5776</v>
      </c>
      <c r="B11" t="s">
        <v>3057</v>
      </c>
      <c r="C11" t="s">
        <v>3161</v>
      </c>
      <c r="D11">
        <v>79</v>
      </c>
      <c r="E11">
        <v>19</v>
      </c>
      <c r="F11">
        <v>20481.57</v>
      </c>
      <c r="G11">
        <v>389150</v>
      </c>
      <c r="H11" s="2144">
        <v>42995</v>
      </c>
      <c r="I11">
        <v>389150</v>
      </c>
    </row>
    <row r="12" spans="1:9" customFormat="1" hidden="1">
      <c r="A12" t="s">
        <v>5774</v>
      </c>
      <c r="B12" t="s">
        <v>3057</v>
      </c>
      <c r="C12" t="s">
        <v>3161</v>
      </c>
      <c r="D12">
        <v>76</v>
      </c>
      <c r="E12">
        <v>31.45</v>
      </c>
      <c r="F12">
        <v>21980.193861066236</v>
      </c>
      <c r="G12">
        <v>691278</v>
      </c>
      <c r="H12" s="2144">
        <v>42978</v>
      </c>
      <c r="I12">
        <v>691278</v>
      </c>
    </row>
    <row r="13" spans="1:9" customFormat="1" hidden="1">
      <c r="A13" t="s">
        <v>5772</v>
      </c>
      <c r="B13" t="s">
        <v>3057</v>
      </c>
      <c r="C13" t="s">
        <v>3161</v>
      </c>
      <c r="D13">
        <v>73</v>
      </c>
      <c r="E13">
        <v>57.63</v>
      </c>
      <c r="F13">
        <v>18982.900000000001</v>
      </c>
      <c r="G13">
        <v>1093985</v>
      </c>
      <c r="H13" s="2144">
        <v>43005</v>
      </c>
      <c r="I13">
        <v>1093985</v>
      </c>
    </row>
    <row r="14" spans="1:9" customFormat="1" hidden="1">
      <c r="A14" t="s">
        <v>5765</v>
      </c>
      <c r="B14" t="s">
        <v>3057</v>
      </c>
      <c r="C14" t="s">
        <v>3161</v>
      </c>
      <c r="D14">
        <v>58</v>
      </c>
      <c r="E14">
        <v>23.91</v>
      </c>
      <c r="F14">
        <v>19055</v>
      </c>
      <c r="G14">
        <v>455605</v>
      </c>
      <c r="H14" s="2144">
        <v>42994</v>
      </c>
      <c r="I14">
        <v>455605</v>
      </c>
    </row>
    <row r="15" spans="1:9" customFormat="1" hidden="1">
      <c r="A15" t="s">
        <v>5761</v>
      </c>
      <c r="B15" t="s">
        <v>3057</v>
      </c>
      <c r="C15" t="s">
        <v>3161</v>
      </c>
      <c r="D15">
        <v>49</v>
      </c>
      <c r="E15">
        <v>27</v>
      </c>
      <c r="F15">
        <v>18483.36</v>
      </c>
      <c r="G15">
        <v>499051</v>
      </c>
      <c r="H15" s="2144">
        <v>43007</v>
      </c>
      <c r="I15">
        <v>499051</v>
      </c>
    </row>
    <row r="16" spans="1:9" customFormat="1" hidden="1">
      <c r="A16" t="s">
        <v>5737</v>
      </c>
      <c r="B16" t="s">
        <v>3057</v>
      </c>
      <c r="C16" t="s">
        <v>3161</v>
      </c>
      <c r="D16">
        <v>3</v>
      </c>
      <c r="E16">
        <v>37.42</v>
      </c>
      <c r="F16">
        <v>19982</v>
      </c>
      <c r="G16">
        <v>747726</v>
      </c>
      <c r="H16" s="2144">
        <v>42987</v>
      </c>
      <c r="I16">
        <v>747726</v>
      </c>
    </row>
    <row r="17" spans="1:9" customFormat="1" hidden="1">
      <c r="A17" t="s">
        <v>5888</v>
      </c>
      <c r="B17" t="s">
        <v>3057</v>
      </c>
      <c r="C17" t="s">
        <v>3161</v>
      </c>
      <c r="D17">
        <v>236</v>
      </c>
      <c r="E17">
        <v>62.11</v>
      </c>
      <c r="F17">
        <v>28119</v>
      </c>
      <c r="G17">
        <v>1746471</v>
      </c>
      <c r="H17" s="2144">
        <v>43007</v>
      </c>
      <c r="I17">
        <v>1746471</v>
      </c>
    </row>
    <row r="18" spans="1:9" customFormat="1" hidden="1">
      <c r="A18" t="s">
        <v>5887</v>
      </c>
      <c r="B18" t="s">
        <v>3057</v>
      </c>
      <c r="C18" t="s">
        <v>3161</v>
      </c>
      <c r="D18">
        <v>235</v>
      </c>
      <c r="E18">
        <v>73.22</v>
      </c>
      <c r="F18">
        <v>20600</v>
      </c>
      <c r="G18">
        <v>1508332</v>
      </c>
      <c r="H18" s="2144">
        <v>42999</v>
      </c>
      <c r="I18">
        <v>1508332</v>
      </c>
    </row>
    <row r="19" spans="1:9" customFormat="1" hidden="1">
      <c r="A19" t="s">
        <v>5886</v>
      </c>
      <c r="B19" t="s">
        <v>3057</v>
      </c>
      <c r="C19" t="s">
        <v>3161</v>
      </c>
      <c r="D19">
        <v>233</v>
      </c>
      <c r="E19">
        <v>48.82</v>
      </c>
      <c r="F19">
        <v>20600</v>
      </c>
      <c r="G19">
        <v>1005692</v>
      </c>
      <c r="H19" s="2144">
        <v>42998</v>
      </c>
      <c r="I19">
        <v>1005692</v>
      </c>
    </row>
    <row r="20" spans="1:9" customFormat="1" hidden="1">
      <c r="A20" t="s">
        <v>5885</v>
      </c>
      <c r="B20" t="s">
        <v>3057</v>
      </c>
      <c r="C20" t="s">
        <v>3161</v>
      </c>
      <c r="D20">
        <v>232</v>
      </c>
      <c r="E20">
        <v>48.82</v>
      </c>
      <c r="F20">
        <v>20600</v>
      </c>
      <c r="G20">
        <v>1005692</v>
      </c>
      <c r="H20" s="2144">
        <v>43006</v>
      </c>
      <c r="I20">
        <v>1005692</v>
      </c>
    </row>
    <row r="21" spans="1:9" customFormat="1" hidden="1">
      <c r="A21" t="s">
        <v>5884</v>
      </c>
      <c r="B21" t="s">
        <v>3057</v>
      </c>
      <c r="C21" t="s">
        <v>3161</v>
      </c>
      <c r="D21">
        <v>231</v>
      </c>
      <c r="E21">
        <v>48.82</v>
      </c>
      <c r="F21">
        <v>19570</v>
      </c>
      <c r="G21">
        <v>955407</v>
      </c>
      <c r="H21" s="2144">
        <v>43006</v>
      </c>
      <c r="I21">
        <v>955407</v>
      </c>
    </row>
    <row r="22" spans="1:9" customFormat="1" hidden="1">
      <c r="A22" t="s">
        <v>5881</v>
      </c>
      <c r="B22" t="s">
        <v>3057</v>
      </c>
      <c r="C22" t="s">
        <v>3161</v>
      </c>
      <c r="D22">
        <v>228</v>
      </c>
      <c r="E22">
        <v>48.82</v>
      </c>
      <c r="F22">
        <v>19570</v>
      </c>
      <c r="G22">
        <v>955407</v>
      </c>
      <c r="H22" s="2144">
        <v>42998</v>
      </c>
      <c r="I22">
        <v>955407</v>
      </c>
    </row>
    <row r="23" spans="1:9" customFormat="1" hidden="1">
      <c r="A23" t="s">
        <v>5877</v>
      </c>
      <c r="B23" t="s">
        <v>3057</v>
      </c>
      <c r="C23" t="s">
        <v>3161</v>
      </c>
      <c r="D23">
        <v>222</v>
      </c>
      <c r="E23">
        <v>48.73</v>
      </c>
      <c r="F23">
        <v>19569.997950000001</v>
      </c>
      <c r="G23">
        <v>953646.00010349997</v>
      </c>
      <c r="H23" s="2144">
        <v>42806</v>
      </c>
      <c r="I23">
        <v>953646</v>
      </c>
    </row>
    <row r="24" spans="1:9" customFormat="1" hidden="1">
      <c r="A24" t="s">
        <v>5750</v>
      </c>
      <c r="B24" t="s">
        <v>3057</v>
      </c>
      <c r="C24" t="s">
        <v>3161</v>
      </c>
      <c r="D24">
        <v>21</v>
      </c>
      <c r="E24">
        <v>42.27</v>
      </c>
      <c r="F24">
        <v>18025</v>
      </c>
      <c r="G24">
        <v>761917</v>
      </c>
      <c r="H24" s="2144">
        <v>42989</v>
      </c>
      <c r="I24">
        <v>761917</v>
      </c>
    </row>
    <row r="25" spans="1:9" customFormat="1" hidden="1">
      <c r="A25" t="s">
        <v>5749</v>
      </c>
      <c r="B25" t="s">
        <v>3057</v>
      </c>
      <c r="C25" t="s">
        <v>3161</v>
      </c>
      <c r="D25">
        <v>20</v>
      </c>
      <c r="E25">
        <v>42.27</v>
      </c>
      <c r="F25">
        <v>18025</v>
      </c>
      <c r="G25">
        <v>761916.75</v>
      </c>
      <c r="H25" s="2144">
        <v>42923</v>
      </c>
      <c r="I25">
        <v>381917</v>
      </c>
    </row>
    <row r="26" spans="1:9" customFormat="1" hidden="1">
      <c r="A26" t="s">
        <v>5862</v>
      </c>
      <c r="B26" t="s">
        <v>3057</v>
      </c>
      <c r="C26" t="s">
        <v>3161</v>
      </c>
      <c r="D26">
        <v>193</v>
      </c>
      <c r="E26">
        <v>87.7</v>
      </c>
      <c r="F26">
        <v>19055</v>
      </c>
      <c r="G26">
        <v>1671124</v>
      </c>
      <c r="H26" s="2144">
        <v>42986</v>
      </c>
      <c r="I26">
        <v>1671124</v>
      </c>
    </row>
    <row r="27" spans="1:9" customFormat="1" hidden="1">
      <c r="A27" t="s">
        <v>5748</v>
      </c>
      <c r="B27" t="s">
        <v>3057</v>
      </c>
      <c r="C27" t="s">
        <v>3161</v>
      </c>
      <c r="D27">
        <v>19</v>
      </c>
      <c r="E27">
        <v>42.27</v>
      </c>
      <c r="F27">
        <v>18025</v>
      </c>
      <c r="G27">
        <v>761917</v>
      </c>
      <c r="H27" s="2144">
        <v>42991</v>
      </c>
      <c r="I27">
        <v>761917</v>
      </c>
    </row>
    <row r="28" spans="1:9" customFormat="1" hidden="1">
      <c r="A28" t="s">
        <v>5857</v>
      </c>
      <c r="B28" t="s">
        <v>3057</v>
      </c>
      <c r="C28" t="s">
        <v>3161</v>
      </c>
      <c r="D28">
        <v>187</v>
      </c>
      <c r="E28">
        <v>42.17</v>
      </c>
      <c r="F28">
        <v>17484.25</v>
      </c>
      <c r="G28">
        <v>737311</v>
      </c>
      <c r="H28" s="2144">
        <v>42997</v>
      </c>
      <c r="I28">
        <v>737311</v>
      </c>
    </row>
    <row r="29" spans="1:9" customFormat="1" hidden="1">
      <c r="A29" t="s">
        <v>5856</v>
      </c>
      <c r="B29" t="s">
        <v>3057</v>
      </c>
      <c r="C29" t="s">
        <v>3161</v>
      </c>
      <c r="D29">
        <v>186</v>
      </c>
      <c r="E29">
        <v>93.78</v>
      </c>
      <c r="F29">
        <v>21115</v>
      </c>
      <c r="G29">
        <v>1980165</v>
      </c>
      <c r="H29" s="2144">
        <v>43005</v>
      </c>
      <c r="I29">
        <v>1980165</v>
      </c>
    </row>
    <row r="30" spans="1:9" customFormat="1" hidden="1">
      <c r="A30" t="s">
        <v>5852</v>
      </c>
      <c r="B30" t="s">
        <v>3057</v>
      </c>
      <c r="C30" t="s">
        <v>3161</v>
      </c>
      <c r="D30">
        <v>180</v>
      </c>
      <c r="E30">
        <v>27</v>
      </c>
      <c r="F30">
        <v>18540</v>
      </c>
      <c r="G30">
        <v>500580</v>
      </c>
      <c r="H30" s="2144">
        <v>42980</v>
      </c>
      <c r="I30">
        <v>500580</v>
      </c>
    </row>
    <row r="31" spans="1:9" customFormat="1" hidden="1">
      <c r="A31" t="s">
        <v>5851</v>
      </c>
      <c r="B31" t="s">
        <v>3057</v>
      </c>
      <c r="C31" t="s">
        <v>3161</v>
      </c>
      <c r="D31">
        <v>179</v>
      </c>
      <c r="E31">
        <v>27.77</v>
      </c>
      <c r="F31">
        <v>18540</v>
      </c>
      <c r="G31">
        <v>514856</v>
      </c>
      <c r="H31" s="2144">
        <v>42980</v>
      </c>
      <c r="I31">
        <v>514856</v>
      </c>
    </row>
    <row r="32" spans="1:9" customFormat="1" hidden="1">
      <c r="A32" t="s">
        <v>5848</v>
      </c>
      <c r="B32" t="s">
        <v>3057</v>
      </c>
      <c r="C32" t="s">
        <v>3161</v>
      </c>
      <c r="D32">
        <v>176</v>
      </c>
      <c r="E32">
        <v>67.38</v>
      </c>
      <c r="F32">
        <v>27604</v>
      </c>
      <c r="G32">
        <v>1859958</v>
      </c>
      <c r="H32" s="2144">
        <v>43000</v>
      </c>
      <c r="I32">
        <v>1859958</v>
      </c>
    </row>
    <row r="33" spans="1:9" customFormat="1" hidden="1">
      <c r="A33" t="s">
        <v>5847</v>
      </c>
      <c r="B33" t="s">
        <v>3057</v>
      </c>
      <c r="C33" t="s">
        <v>3161</v>
      </c>
      <c r="D33">
        <v>175</v>
      </c>
      <c r="E33">
        <v>47.72</v>
      </c>
      <c r="F33">
        <v>21630</v>
      </c>
      <c r="G33">
        <v>1032184</v>
      </c>
      <c r="H33" s="2144">
        <v>42990</v>
      </c>
      <c r="I33">
        <v>1032184</v>
      </c>
    </row>
    <row r="34" spans="1:9" customFormat="1" hidden="1">
      <c r="A34" t="s">
        <v>5839</v>
      </c>
      <c r="B34" t="s">
        <v>3057</v>
      </c>
      <c r="C34" t="s">
        <v>3161</v>
      </c>
      <c r="D34">
        <v>163</v>
      </c>
      <c r="E34">
        <v>39.28</v>
      </c>
      <c r="F34">
        <v>20085</v>
      </c>
      <c r="G34">
        <v>788939</v>
      </c>
      <c r="H34" s="2144">
        <v>42987</v>
      </c>
      <c r="I34">
        <v>788939</v>
      </c>
    </row>
    <row r="35" spans="1:9" customFormat="1" hidden="1">
      <c r="A35" t="s">
        <v>5838</v>
      </c>
      <c r="B35" t="s">
        <v>3057</v>
      </c>
      <c r="C35" t="s">
        <v>3161</v>
      </c>
      <c r="D35">
        <v>162</v>
      </c>
      <c r="E35">
        <v>47.73</v>
      </c>
      <c r="F35">
        <v>21630</v>
      </c>
      <c r="G35">
        <v>1032400</v>
      </c>
      <c r="H35" s="2144">
        <v>43001</v>
      </c>
      <c r="I35">
        <v>1032400</v>
      </c>
    </row>
    <row r="36" spans="1:9" customFormat="1" hidden="1">
      <c r="A36" t="s">
        <v>5837</v>
      </c>
      <c r="B36" t="s">
        <v>3057</v>
      </c>
      <c r="C36" t="s">
        <v>3161</v>
      </c>
      <c r="D36">
        <v>161</v>
      </c>
      <c r="E36">
        <v>68.86</v>
      </c>
      <c r="F36">
        <v>28119</v>
      </c>
      <c r="G36">
        <v>1936274</v>
      </c>
      <c r="H36" s="2144">
        <v>43001</v>
      </c>
      <c r="I36">
        <v>1936274</v>
      </c>
    </row>
    <row r="37" spans="1:9" customFormat="1" hidden="1">
      <c r="A37" t="s">
        <v>5745</v>
      </c>
      <c r="B37" t="s">
        <v>3057</v>
      </c>
      <c r="C37" t="s">
        <v>3161</v>
      </c>
      <c r="D37">
        <v>16</v>
      </c>
      <c r="E37">
        <v>42.27</v>
      </c>
      <c r="F37">
        <v>19570</v>
      </c>
      <c r="G37">
        <v>827224</v>
      </c>
      <c r="H37" s="2144">
        <v>42986</v>
      </c>
      <c r="I37">
        <v>827224</v>
      </c>
    </row>
    <row r="38" spans="1:9" customFormat="1" hidden="1">
      <c r="A38" t="s">
        <v>5835</v>
      </c>
      <c r="B38" t="s">
        <v>3057</v>
      </c>
      <c r="C38" t="s">
        <v>3161</v>
      </c>
      <c r="D38">
        <v>159</v>
      </c>
      <c r="E38">
        <v>45.97</v>
      </c>
      <c r="F38">
        <v>18982.91</v>
      </c>
      <c r="G38">
        <v>872644</v>
      </c>
      <c r="H38" s="2144">
        <v>42987</v>
      </c>
      <c r="I38">
        <v>872644</v>
      </c>
    </row>
    <row r="39" spans="1:9" customFormat="1" hidden="1">
      <c r="A39" t="s">
        <v>5834</v>
      </c>
      <c r="B39" t="s">
        <v>3057</v>
      </c>
      <c r="C39" t="s">
        <v>3161</v>
      </c>
      <c r="D39">
        <v>157</v>
      </c>
      <c r="E39">
        <v>47.18</v>
      </c>
      <c r="F39">
        <v>19570</v>
      </c>
      <c r="G39">
        <v>923313</v>
      </c>
      <c r="H39" s="2144">
        <v>42992</v>
      </c>
      <c r="I39">
        <v>923313</v>
      </c>
    </row>
    <row r="40" spans="1:9" customFormat="1" hidden="1">
      <c r="A40" t="s">
        <v>5832</v>
      </c>
      <c r="B40" t="s">
        <v>3057</v>
      </c>
      <c r="C40" t="s">
        <v>3161</v>
      </c>
      <c r="D40">
        <v>155</v>
      </c>
      <c r="E40">
        <v>35</v>
      </c>
      <c r="F40">
        <v>20600</v>
      </c>
      <c r="G40">
        <v>721000</v>
      </c>
      <c r="H40" s="2144">
        <v>42990</v>
      </c>
      <c r="I40">
        <v>721000</v>
      </c>
    </row>
    <row r="41" spans="1:9" customFormat="1" hidden="1">
      <c r="A41" t="s">
        <v>5830</v>
      </c>
      <c r="B41" t="s">
        <v>3057</v>
      </c>
      <c r="C41" t="s">
        <v>3161</v>
      </c>
      <c r="D41">
        <v>150</v>
      </c>
      <c r="E41">
        <v>32.67</v>
      </c>
      <c r="F41">
        <v>20481.560000000001</v>
      </c>
      <c r="G41">
        <v>669133</v>
      </c>
      <c r="H41" s="2144">
        <v>43000</v>
      </c>
      <c r="I41">
        <v>669133</v>
      </c>
    </row>
    <row r="42" spans="1:9" customFormat="1" hidden="1">
      <c r="A42" t="s">
        <v>5829</v>
      </c>
      <c r="B42" t="s">
        <v>3057</v>
      </c>
      <c r="C42" t="s">
        <v>3161</v>
      </c>
      <c r="D42">
        <v>149</v>
      </c>
      <c r="E42">
        <v>37.380000000000003</v>
      </c>
      <c r="F42">
        <v>18982.900000000001</v>
      </c>
      <c r="G42">
        <v>709581</v>
      </c>
      <c r="H42" s="2144">
        <v>43001</v>
      </c>
      <c r="I42">
        <v>709581</v>
      </c>
    </row>
    <row r="43" spans="1:9" customFormat="1" hidden="1">
      <c r="A43" t="s">
        <v>5828</v>
      </c>
      <c r="B43" t="s">
        <v>3057</v>
      </c>
      <c r="C43" t="s">
        <v>3161</v>
      </c>
      <c r="D43">
        <v>148</v>
      </c>
      <c r="E43">
        <v>17.88</v>
      </c>
      <c r="F43">
        <v>19482.400000000001</v>
      </c>
      <c r="G43">
        <v>348345</v>
      </c>
      <c r="H43" s="2144">
        <v>42986</v>
      </c>
      <c r="I43">
        <v>348345</v>
      </c>
    </row>
    <row r="44" spans="1:9" customFormat="1" hidden="1">
      <c r="A44" t="s">
        <v>5827</v>
      </c>
      <c r="B44" t="s">
        <v>3057</v>
      </c>
      <c r="C44" t="s">
        <v>3161</v>
      </c>
      <c r="D44">
        <v>147</v>
      </c>
      <c r="E44">
        <v>47.21</v>
      </c>
      <c r="F44">
        <v>19570</v>
      </c>
      <c r="G44">
        <v>923900</v>
      </c>
      <c r="H44" s="2144">
        <v>42994</v>
      </c>
      <c r="I44">
        <v>923900</v>
      </c>
    </row>
    <row r="45" spans="1:9" customFormat="1" hidden="1">
      <c r="A45" t="s">
        <v>5826</v>
      </c>
      <c r="B45" t="s">
        <v>3057</v>
      </c>
      <c r="C45" t="s">
        <v>3161</v>
      </c>
      <c r="D45">
        <v>145</v>
      </c>
      <c r="E45">
        <v>41.58</v>
      </c>
      <c r="F45">
        <v>18982.91</v>
      </c>
      <c r="G45">
        <v>789309</v>
      </c>
      <c r="H45" s="2144">
        <v>42987</v>
      </c>
      <c r="I45">
        <v>789309</v>
      </c>
    </row>
    <row r="46" spans="1:9" customFormat="1" hidden="1">
      <c r="A46" t="s">
        <v>5822</v>
      </c>
      <c r="B46" t="s">
        <v>3057</v>
      </c>
      <c r="C46" t="s">
        <v>3161</v>
      </c>
      <c r="D46">
        <v>140</v>
      </c>
      <c r="E46">
        <v>75.16</v>
      </c>
      <c r="F46">
        <v>20085</v>
      </c>
      <c r="G46">
        <v>1509588.5999999999</v>
      </c>
      <c r="H46" s="2144">
        <v>42934</v>
      </c>
      <c r="I46">
        <v>346016</v>
      </c>
    </row>
    <row r="47" spans="1:9" customFormat="1" hidden="1">
      <c r="A47" t="s">
        <v>5820</v>
      </c>
      <c r="B47" t="s">
        <v>3057</v>
      </c>
      <c r="C47" t="s">
        <v>3161</v>
      </c>
      <c r="D47">
        <v>138</v>
      </c>
      <c r="E47">
        <v>39.6</v>
      </c>
      <c r="F47">
        <v>24205</v>
      </c>
      <c r="G47">
        <v>958518</v>
      </c>
      <c r="H47" s="2144">
        <v>42979</v>
      </c>
      <c r="I47">
        <v>958518</v>
      </c>
    </row>
    <row r="48" spans="1:9" customFormat="1" hidden="1">
      <c r="A48" t="s">
        <v>5819</v>
      </c>
      <c r="B48" t="s">
        <v>3057</v>
      </c>
      <c r="C48" t="s">
        <v>3161</v>
      </c>
      <c r="D48">
        <v>137</v>
      </c>
      <c r="E48">
        <v>70.66</v>
      </c>
      <c r="F48">
        <v>24720</v>
      </c>
      <c r="G48">
        <v>1746715</v>
      </c>
      <c r="H48" s="2144">
        <v>42991</v>
      </c>
      <c r="I48">
        <v>1746715</v>
      </c>
    </row>
    <row r="49" spans="1:9" customFormat="1" hidden="1">
      <c r="A49" t="s">
        <v>5818</v>
      </c>
      <c r="B49" t="s">
        <v>3057</v>
      </c>
      <c r="C49" t="s">
        <v>3161</v>
      </c>
      <c r="D49">
        <v>136</v>
      </c>
      <c r="E49">
        <v>79.650000000000006</v>
      </c>
      <c r="F49">
        <v>24720</v>
      </c>
      <c r="G49">
        <v>1968948.0000000002</v>
      </c>
      <c r="H49" s="2144">
        <v>42987</v>
      </c>
      <c r="I49">
        <v>1968948</v>
      </c>
    </row>
    <row r="50" spans="1:9" customFormat="1" hidden="1">
      <c r="A50" t="s">
        <v>5814</v>
      </c>
      <c r="B50" t="s">
        <v>3057</v>
      </c>
      <c r="C50" t="s">
        <v>3161</v>
      </c>
      <c r="D50">
        <v>129</v>
      </c>
      <c r="E50">
        <v>44.4</v>
      </c>
      <c r="F50">
        <v>19570</v>
      </c>
      <c r="G50">
        <v>868908</v>
      </c>
      <c r="H50" s="2144">
        <v>42979</v>
      </c>
      <c r="I50">
        <v>868908</v>
      </c>
    </row>
    <row r="51" spans="1:9" customFormat="1" hidden="1">
      <c r="A51" t="s">
        <v>5812</v>
      </c>
      <c r="B51" t="s">
        <v>3057</v>
      </c>
      <c r="C51" t="s">
        <v>3161</v>
      </c>
      <c r="D51">
        <v>127</v>
      </c>
      <c r="E51">
        <v>46.14</v>
      </c>
      <c r="F51">
        <v>18982.89</v>
      </c>
      <c r="G51">
        <v>875871</v>
      </c>
      <c r="H51" s="2144">
        <v>42985</v>
      </c>
      <c r="I51">
        <v>875871</v>
      </c>
    </row>
    <row r="52" spans="1:9" customFormat="1" hidden="1">
      <c r="A52" t="s">
        <v>5811</v>
      </c>
      <c r="B52" t="s">
        <v>3057</v>
      </c>
      <c r="C52" t="s">
        <v>3161</v>
      </c>
      <c r="D52">
        <v>126</v>
      </c>
      <c r="E52">
        <v>46.14</v>
      </c>
      <c r="F52">
        <v>19570</v>
      </c>
      <c r="G52">
        <v>902960</v>
      </c>
      <c r="H52" s="2144">
        <v>42985</v>
      </c>
      <c r="I52">
        <v>902960</v>
      </c>
    </row>
    <row r="53" spans="1:9" customFormat="1" hidden="1">
      <c r="A53" t="s">
        <v>5810</v>
      </c>
      <c r="B53" t="s">
        <v>3057</v>
      </c>
      <c r="C53" t="s">
        <v>3161</v>
      </c>
      <c r="D53">
        <v>125</v>
      </c>
      <c r="E53">
        <v>63.55</v>
      </c>
      <c r="F53">
        <v>21115.01</v>
      </c>
      <c r="G53">
        <v>1341858</v>
      </c>
      <c r="H53" s="2144">
        <v>42985</v>
      </c>
      <c r="I53">
        <v>1341858</v>
      </c>
    </row>
    <row r="54" spans="1:9" customFormat="1" hidden="1">
      <c r="A54" t="s">
        <v>5806</v>
      </c>
      <c r="B54" t="s">
        <v>3057</v>
      </c>
      <c r="C54" t="s">
        <v>3161</v>
      </c>
      <c r="D54">
        <v>120</v>
      </c>
      <c r="E54">
        <v>70.69</v>
      </c>
      <c r="F54">
        <v>27604</v>
      </c>
      <c r="G54">
        <v>1951327</v>
      </c>
      <c r="H54" s="2144">
        <v>42987</v>
      </c>
      <c r="I54">
        <v>1951327</v>
      </c>
    </row>
    <row r="55" spans="1:9" customFormat="1" hidden="1">
      <c r="A55" t="s">
        <v>5803</v>
      </c>
      <c r="B55" t="s">
        <v>3057</v>
      </c>
      <c r="C55" t="s">
        <v>3161</v>
      </c>
      <c r="D55">
        <v>117</v>
      </c>
      <c r="E55">
        <v>66.84</v>
      </c>
      <c r="F55">
        <v>27604</v>
      </c>
      <c r="G55">
        <v>1845051</v>
      </c>
      <c r="H55" s="2144">
        <v>43000</v>
      </c>
      <c r="I55">
        <v>1845051</v>
      </c>
    </row>
    <row r="56" spans="1:9" customFormat="1" hidden="1">
      <c r="A56" t="s">
        <v>5797</v>
      </c>
      <c r="B56" t="s">
        <v>3057</v>
      </c>
      <c r="C56" t="s">
        <v>3161</v>
      </c>
      <c r="D56">
        <v>110</v>
      </c>
      <c r="E56">
        <v>120.34</v>
      </c>
      <c r="F56">
        <v>28119</v>
      </c>
      <c r="G56">
        <v>3383840</v>
      </c>
      <c r="H56" s="2144">
        <v>42980</v>
      </c>
      <c r="I56">
        <v>3383840</v>
      </c>
    </row>
    <row r="57" spans="1:9" customFormat="1" hidden="1">
      <c r="A57" t="s">
        <v>5742</v>
      </c>
      <c r="B57" t="s">
        <v>3057</v>
      </c>
      <c r="C57" t="s">
        <v>3161</v>
      </c>
      <c r="D57">
        <v>11</v>
      </c>
      <c r="E57">
        <v>42.27</v>
      </c>
      <c r="F57">
        <v>20600</v>
      </c>
      <c r="G57">
        <v>870762.00000000012</v>
      </c>
      <c r="H57" s="2144">
        <v>43001</v>
      </c>
      <c r="I57">
        <v>870762</v>
      </c>
    </row>
    <row r="58" spans="1:9" customFormat="1" hidden="1">
      <c r="A58" t="s">
        <v>5790</v>
      </c>
      <c r="B58" t="s">
        <v>3057</v>
      </c>
      <c r="C58" t="s">
        <v>3161</v>
      </c>
      <c r="D58">
        <v>102</v>
      </c>
      <c r="E58">
        <v>70.239999999999995</v>
      </c>
      <c r="F58">
        <v>27604</v>
      </c>
      <c r="G58">
        <v>1938904.96</v>
      </c>
      <c r="H58" s="2144">
        <v>42934</v>
      </c>
      <c r="I58">
        <v>483202</v>
      </c>
    </row>
    <row r="59" spans="1:9" customFormat="1" hidden="1">
      <c r="A59" t="s">
        <v>5741</v>
      </c>
      <c r="B59" t="s">
        <v>3057</v>
      </c>
      <c r="C59" t="s">
        <v>3161</v>
      </c>
      <c r="D59">
        <v>10</v>
      </c>
      <c r="E59">
        <v>42.27</v>
      </c>
      <c r="F59">
        <v>20600</v>
      </c>
      <c r="G59">
        <v>870762.00000000012</v>
      </c>
      <c r="H59" s="2144">
        <v>43004</v>
      </c>
      <c r="I59">
        <v>870762</v>
      </c>
    </row>
    <row r="60" spans="1:9" customFormat="1" hidden="1">
      <c r="A60" t="s">
        <v>5735</v>
      </c>
      <c r="B60" t="s">
        <v>3057</v>
      </c>
      <c r="C60" t="s">
        <v>3161</v>
      </c>
      <c r="D60">
        <v>1</v>
      </c>
      <c r="E60">
        <v>66</v>
      </c>
      <c r="F60">
        <v>28119</v>
      </c>
      <c r="G60">
        <v>1855854</v>
      </c>
      <c r="H60" s="2144">
        <v>42989</v>
      </c>
      <c r="I60">
        <v>1855854</v>
      </c>
    </row>
    <row r="61" spans="1:9">
      <c r="A61" s="3386" t="s">
        <v>5256</v>
      </c>
      <c r="B61" s="3386" t="s">
        <v>3056</v>
      </c>
      <c r="C61" s="3386" t="s">
        <v>3161</v>
      </c>
      <c r="D61" s="3386">
        <v>239</v>
      </c>
      <c r="E61" s="3386">
        <v>47.97</v>
      </c>
      <c r="F61" s="3386">
        <v>20600</v>
      </c>
      <c r="G61" s="3386">
        <v>988182</v>
      </c>
      <c r="H61" s="3386">
        <v>42979</v>
      </c>
      <c r="I61" s="3386">
        <v>988182</v>
      </c>
    </row>
    <row r="62" spans="1:9">
      <c r="A62" s="3386" t="s">
        <v>5255</v>
      </c>
      <c r="B62" s="3386" t="s">
        <v>3056</v>
      </c>
      <c r="C62" s="3386" t="s">
        <v>3161</v>
      </c>
      <c r="D62" s="3386">
        <v>238</v>
      </c>
      <c r="E62" s="3386">
        <v>47.97</v>
      </c>
      <c r="F62" s="3386">
        <v>20600</v>
      </c>
      <c r="G62" s="3386">
        <v>988182</v>
      </c>
      <c r="H62" s="3386">
        <v>42992</v>
      </c>
      <c r="I62" s="3386">
        <v>988182</v>
      </c>
    </row>
    <row r="63" spans="1:9">
      <c r="A63" s="3386" t="s">
        <v>3960</v>
      </c>
      <c r="B63" s="3386" t="s">
        <v>3054</v>
      </c>
      <c r="C63" s="3386" t="s">
        <v>3161</v>
      </c>
      <c r="D63" s="3386">
        <v>237</v>
      </c>
      <c r="E63" s="3386">
        <v>43.39</v>
      </c>
      <c r="F63" s="3386">
        <v>21296</v>
      </c>
      <c r="G63" s="3386">
        <v>924033</v>
      </c>
      <c r="H63" s="3386">
        <v>42985</v>
      </c>
      <c r="I63" s="3386">
        <v>924033</v>
      </c>
    </row>
    <row r="64" spans="1:9">
      <c r="A64" s="3386" t="s">
        <v>3959</v>
      </c>
      <c r="B64" s="3386" t="s">
        <v>3054</v>
      </c>
      <c r="C64" s="3386" t="s">
        <v>3161</v>
      </c>
      <c r="D64" s="3386">
        <v>236</v>
      </c>
      <c r="E64" s="3386">
        <v>42.78</v>
      </c>
      <c r="F64" s="3386">
        <v>17600</v>
      </c>
      <c r="G64" s="3386">
        <v>752928</v>
      </c>
      <c r="H64" s="3386">
        <v>42998</v>
      </c>
      <c r="I64" s="3386">
        <v>752928</v>
      </c>
    </row>
    <row r="65" spans="1:9">
      <c r="A65" s="3386" t="s">
        <v>4597</v>
      </c>
      <c r="B65" s="3386" t="s">
        <v>3055</v>
      </c>
      <c r="C65" s="3386" t="s">
        <v>3161</v>
      </c>
      <c r="D65" s="3386">
        <v>233</v>
      </c>
      <c r="E65" s="3386">
        <v>39</v>
      </c>
      <c r="F65" s="3386">
        <v>21300</v>
      </c>
      <c r="G65" s="3386">
        <v>830700</v>
      </c>
      <c r="H65" s="3386">
        <v>42999</v>
      </c>
      <c r="I65" s="3386">
        <v>830700</v>
      </c>
    </row>
    <row r="66" spans="1:9">
      <c r="A66" s="3386" t="s">
        <v>5250</v>
      </c>
      <c r="B66" s="3386" t="s">
        <v>3056</v>
      </c>
      <c r="C66" s="3386" t="s">
        <v>3161</v>
      </c>
      <c r="D66" s="3386">
        <v>232</v>
      </c>
      <c r="E66" s="3386">
        <v>47.97</v>
      </c>
      <c r="F66" s="3386">
        <v>20085</v>
      </c>
      <c r="G66" s="3386">
        <v>963478</v>
      </c>
      <c r="H66" s="3386">
        <v>42988</v>
      </c>
      <c r="I66" s="3386">
        <v>963478</v>
      </c>
    </row>
    <row r="67" spans="1:9">
      <c r="A67" s="3386" t="s">
        <v>4596</v>
      </c>
      <c r="B67" s="3386" t="s">
        <v>3055</v>
      </c>
      <c r="C67" s="3386" t="s">
        <v>3161</v>
      </c>
      <c r="D67" s="3386">
        <v>232</v>
      </c>
      <c r="E67" s="3386">
        <v>38.96</v>
      </c>
      <c r="F67" s="3386">
        <v>21300</v>
      </c>
      <c r="G67" s="3386">
        <v>829848</v>
      </c>
      <c r="H67" s="3386">
        <v>42999</v>
      </c>
      <c r="I67" s="3386">
        <v>829848</v>
      </c>
    </row>
    <row r="68" spans="1:9">
      <c r="A68" s="3386" t="s">
        <v>4595</v>
      </c>
      <c r="B68" s="3386" t="s">
        <v>3055</v>
      </c>
      <c r="C68" s="3386" t="s">
        <v>3161</v>
      </c>
      <c r="D68" s="3386">
        <v>231</v>
      </c>
      <c r="E68" s="3386">
        <v>38.4</v>
      </c>
      <c r="F68" s="3386">
        <v>21300</v>
      </c>
      <c r="G68" s="3386">
        <v>817920</v>
      </c>
      <c r="H68" s="3386">
        <v>42985</v>
      </c>
      <c r="I68" s="3386">
        <v>817920</v>
      </c>
    </row>
    <row r="69" spans="1:9">
      <c r="A69" s="3386" t="s">
        <v>3957</v>
      </c>
      <c r="B69" s="3386" t="s">
        <v>3054</v>
      </c>
      <c r="C69" s="3386" t="s">
        <v>3161</v>
      </c>
      <c r="D69" s="3386">
        <v>231</v>
      </c>
      <c r="E69" s="3386">
        <v>41.85</v>
      </c>
      <c r="F69" s="3386">
        <v>19206.009999999998</v>
      </c>
      <c r="G69" s="3386">
        <v>803771</v>
      </c>
      <c r="H69" s="3386">
        <v>42995</v>
      </c>
      <c r="I69" s="3386">
        <v>803771</v>
      </c>
    </row>
    <row r="70" spans="1:9">
      <c r="A70" s="3386" t="s">
        <v>4594</v>
      </c>
      <c r="B70" s="3386" t="s">
        <v>3055</v>
      </c>
      <c r="C70" s="3386" t="s">
        <v>3161</v>
      </c>
      <c r="D70" s="3386">
        <v>230</v>
      </c>
      <c r="E70" s="3386">
        <v>39.49</v>
      </c>
      <c r="F70" s="3386">
        <v>21300</v>
      </c>
      <c r="G70" s="3386">
        <v>841137</v>
      </c>
      <c r="H70" s="3386">
        <v>42978</v>
      </c>
      <c r="I70" s="3386">
        <v>841137</v>
      </c>
    </row>
    <row r="71" spans="1:9">
      <c r="A71" s="3386" t="s">
        <v>3956</v>
      </c>
      <c r="B71" s="3386" t="s">
        <v>3054</v>
      </c>
      <c r="C71" s="3386" t="s">
        <v>3161</v>
      </c>
      <c r="D71" s="3386">
        <v>230</v>
      </c>
      <c r="E71" s="3386">
        <v>41.23</v>
      </c>
      <c r="F71" s="3386">
        <v>19800</v>
      </c>
      <c r="G71" s="3386">
        <v>816353.99999999988</v>
      </c>
      <c r="H71" s="3386">
        <v>43001</v>
      </c>
      <c r="I71" s="3386">
        <v>816354</v>
      </c>
    </row>
    <row r="72" spans="1:9">
      <c r="A72" s="3386" t="s">
        <v>5247</v>
      </c>
      <c r="B72" s="3386" t="s">
        <v>3056</v>
      </c>
      <c r="C72" s="3386" t="s">
        <v>3161</v>
      </c>
      <c r="D72" s="3386">
        <v>229</v>
      </c>
      <c r="E72" s="3386">
        <v>47.97</v>
      </c>
      <c r="F72" s="3386">
        <v>20085</v>
      </c>
      <c r="G72" s="3386">
        <v>963477</v>
      </c>
      <c r="H72" s="3386">
        <v>42990</v>
      </c>
      <c r="I72" s="3386">
        <v>963477</v>
      </c>
    </row>
    <row r="73" spans="1:9">
      <c r="A73" s="3386" t="s">
        <v>3955</v>
      </c>
      <c r="B73" s="3386" t="s">
        <v>3054</v>
      </c>
      <c r="C73" s="3386" t="s">
        <v>3161</v>
      </c>
      <c r="D73" s="3386">
        <v>229</v>
      </c>
      <c r="E73" s="3386">
        <v>39.96</v>
      </c>
      <c r="F73" s="3386">
        <v>19206.009999999998</v>
      </c>
      <c r="G73" s="3386">
        <v>767472</v>
      </c>
      <c r="H73" s="3386">
        <v>42996</v>
      </c>
      <c r="I73" s="3386">
        <v>767472</v>
      </c>
    </row>
    <row r="74" spans="1:9">
      <c r="A74" s="3386" t="s">
        <v>5246</v>
      </c>
      <c r="B74" s="3386" t="s">
        <v>3056</v>
      </c>
      <c r="C74" s="3386" t="s">
        <v>3161</v>
      </c>
      <c r="D74" s="3386">
        <v>228</v>
      </c>
      <c r="E74" s="3386">
        <v>47.97</v>
      </c>
      <c r="F74" s="3386">
        <v>19080.75</v>
      </c>
      <c r="G74" s="3386">
        <v>915304</v>
      </c>
      <c r="H74" s="3386">
        <v>43000</v>
      </c>
      <c r="I74" s="3386">
        <v>915304</v>
      </c>
    </row>
    <row r="75" spans="1:9">
      <c r="A75" s="3386" t="s">
        <v>5245</v>
      </c>
      <c r="B75" s="3386" t="s">
        <v>3056</v>
      </c>
      <c r="C75" s="3386" t="s">
        <v>3161</v>
      </c>
      <c r="D75" s="3386">
        <v>227</v>
      </c>
      <c r="E75" s="3386">
        <v>47.97</v>
      </c>
      <c r="F75" s="3386">
        <v>19080.75</v>
      </c>
      <c r="G75" s="3386">
        <v>915304</v>
      </c>
      <c r="H75" s="3386">
        <v>43000</v>
      </c>
      <c r="I75" s="3386">
        <v>915304</v>
      </c>
    </row>
    <row r="76" spans="1:9">
      <c r="A76" s="3386" t="s">
        <v>5244</v>
      </c>
      <c r="B76" s="3386" t="s">
        <v>3056</v>
      </c>
      <c r="C76" s="3386" t="s">
        <v>3161</v>
      </c>
      <c r="D76" s="3386">
        <v>226</v>
      </c>
      <c r="E76" s="3386">
        <v>47.97</v>
      </c>
      <c r="F76" s="3386">
        <v>20085</v>
      </c>
      <c r="G76" s="3386">
        <v>963477</v>
      </c>
      <c r="H76" s="3386">
        <v>43007</v>
      </c>
      <c r="I76" s="3386">
        <v>963477</v>
      </c>
    </row>
    <row r="77" spans="1:9">
      <c r="A77" s="3386" t="s">
        <v>4592</v>
      </c>
      <c r="B77" s="3386" t="s">
        <v>3055</v>
      </c>
      <c r="C77" s="3386" t="s">
        <v>3161</v>
      </c>
      <c r="D77" s="3386">
        <v>223</v>
      </c>
      <c r="E77" s="3386">
        <v>38.39</v>
      </c>
      <c r="F77" s="3386">
        <v>21300</v>
      </c>
      <c r="G77" s="3386">
        <v>817707</v>
      </c>
      <c r="H77" s="3386">
        <v>42989</v>
      </c>
      <c r="I77" s="3386">
        <v>817707</v>
      </c>
    </row>
    <row r="78" spans="1:9">
      <c r="A78" s="3386" t="s">
        <v>5239</v>
      </c>
      <c r="B78" s="3386" t="s">
        <v>3056</v>
      </c>
      <c r="C78" s="3386" t="s">
        <v>3161</v>
      </c>
      <c r="D78" s="3386">
        <v>219</v>
      </c>
      <c r="E78" s="3386">
        <v>47.96</v>
      </c>
      <c r="F78" s="3386">
        <v>20085.009999999998</v>
      </c>
      <c r="G78" s="3386">
        <v>963277</v>
      </c>
      <c r="H78" s="3386">
        <v>43006</v>
      </c>
      <c r="I78" s="3386">
        <v>963277</v>
      </c>
    </row>
    <row r="79" spans="1:9">
      <c r="A79" s="3386" t="s">
        <v>4588</v>
      </c>
      <c r="B79" s="3386" t="s">
        <v>3055</v>
      </c>
      <c r="C79" s="3386" t="s">
        <v>3161</v>
      </c>
      <c r="D79" s="3386">
        <v>219</v>
      </c>
      <c r="E79" s="3386">
        <v>38.909999999999997</v>
      </c>
      <c r="F79" s="3386">
        <v>20235</v>
      </c>
      <c r="G79" s="3386">
        <v>787343.85</v>
      </c>
      <c r="H79" s="3386">
        <v>42871</v>
      </c>
      <c r="I79" s="3386">
        <v>787344</v>
      </c>
    </row>
    <row r="80" spans="1:9">
      <c r="A80" s="3386" t="s">
        <v>5236</v>
      </c>
      <c r="B80" s="3386" t="s">
        <v>3056</v>
      </c>
      <c r="C80" s="3386" t="s">
        <v>3161</v>
      </c>
      <c r="D80" s="3386">
        <v>216</v>
      </c>
      <c r="E80" s="3386">
        <v>47.97</v>
      </c>
      <c r="F80" s="3386">
        <v>20085.009999999998</v>
      </c>
      <c r="G80" s="3386">
        <v>963478</v>
      </c>
      <c r="H80" s="3386">
        <v>42986</v>
      </c>
      <c r="I80" s="3386">
        <v>963478</v>
      </c>
    </row>
    <row r="81" spans="1:9">
      <c r="A81" s="3386" t="s">
        <v>5235</v>
      </c>
      <c r="B81" s="3386" t="s">
        <v>3056</v>
      </c>
      <c r="C81" s="3386" t="s">
        <v>3161</v>
      </c>
      <c r="D81" s="3386">
        <v>215</v>
      </c>
      <c r="E81" s="3386">
        <v>47.97</v>
      </c>
      <c r="F81" s="3386">
        <v>20085.009999999998</v>
      </c>
      <c r="G81" s="3386">
        <v>963478</v>
      </c>
      <c r="H81" s="3386">
        <v>42986</v>
      </c>
      <c r="I81" s="3386">
        <v>963478</v>
      </c>
    </row>
    <row r="82" spans="1:9">
      <c r="A82" s="3386" t="s">
        <v>5234</v>
      </c>
      <c r="B82" s="3386" t="s">
        <v>3056</v>
      </c>
      <c r="C82" s="3386" t="s">
        <v>3161</v>
      </c>
      <c r="D82" s="3386">
        <v>213</v>
      </c>
      <c r="E82" s="3386">
        <v>47.97</v>
      </c>
      <c r="F82" s="3386">
        <v>20085</v>
      </c>
      <c r="G82" s="3386">
        <v>963477</v>
      </c>
      <c r="H82" s="3386">
        <v>42986</v>
      </c>
      <c r="I82" s="3386">
        <v>963477</v>
      </c>
    </row>
    <row r="83" spans="1:9">
      <c r="A83" s="3386" t="s">
        <v>5233</v>
      </c>
      <c r="B83" s="3386" t="s">
        <v>3056</v>
      </c>
      <c r="C83" s="3386" t="s">
        <v>3161</v>
      </c>
      <c r="D83" s="3386">
        <v>212</v>
      </c>
      <c r="E83" s="3386">
        <v>47.97</v>
      </c>
      <c r="F83" s="3386">
        <v>20085</v>
      </c>
      <c r="G83" s="3386">
        <v>963477</v>
      </c>
      <c r="H83" s="3386">
        <v>42986</v>
      </c>
      <c r="I83" s="3386">
        <v>963477</v>
      </c>
    </row>
    <row r="84" spans="1:9">
      <c r="A84" s="3386" t="s">
        <v>4582</v>
      </c>
      <c r="B84" s="3386" t="s">
        <v>3055</v>
      </c>
      <c r="C84" s="3386" t="s">
        <v>3161</v>
      </c>
      <c r="D84" s="3386">
        <v>212</v>
      </c>
      <c r="E84" s="3386">
        <v>70.62</v>
      </c>
      <c r="F84" s="3386">
        <v>18809.997169999999</v>
      </c>
      <c r="G84" s="3386">
        <v>1328362.0001453999</v>
      </c>
      <c r="H84" s="3386">
        <v>42906</v>
      </c>
      <c r="I84" s="3386">
        <v>1328362</v>
      </c>
    </row>
    <row r="85" spans="1:9">
      <c r="A85" s="3386" t="s">
        <v>4581</v>
      </c>
      <c r="B85" s="3386" t="s">
        <v>3055</v>
      </c>
      <c r="C85" s="3386" t="s">
        <v>3161</v>
      </c>
      <c r="D85" s="3386">
        <v>211</v>
      </c>
      <c r="E85" s="3386">
        <v>67.41</v>
      </c>
      <c r="F85" s="3386">
        <v>18809.998520000001</v>
      </c>
      <c r="G85" s="3386">
        <v>1267982.0002331999</v>
      </c>
      <c r="H85" s="3386">
        <v>42906</v>
      </c>
      <c r="I85" s="3386">
        <v>1267982</v>
      </c>
    </row>
    <row r="86" spans="1:9">
      <c r="A86" s="3386" t="s">
        <v>4579</v>
      </c>
      <c r="B86" s="3386" t="s">
        <v>3055</v>
      </c>
      <c r="C86" s="3386" t="s">
        <v>3161</v>
      </c>
      <c r="D86" s="3386">
        <v>209</v>
      </c>
      <c r="E86" s="3386">
        <v>67.459999999999994</v>
      </c>
      <c r="F86" s="3386">
        <v>20737.548180000002</v>
      </c>
      <c r="G86" s="3386">
        <v>1398955.0002228001</v>
      </c>
      <c r="H86" s="3386">
        <v>42933</v>
      </c>
      <c r="I86" s="3386">
        <v>1398955</v>
      </c>
    </row>
    <row r="87" spans="1:9">
      <c r="A87" s="3386" t="s">
        <v>5229</v>
      </c>
      <c r="B87" s="3386" t="s">
        <v>3056</v>
      </c>
      <c r="C87" s="3386" t="s">
        <v>3161</v>
      </c>
      <c r="D87" s="3386">
        <v>208</v>
      </c>
      <c r="E87" s="3386">
        <v>47.97</v>
      </c>
      <c r="F87" s="3386">
        <v>20085</v>
      </c>
      <c r="G87" s="3386">
        <v>963477</v>
      </c>
      <c r="H87" s="3386">
        <v>42993</v>
      </c>
      <c r="I87" s="3386">
        <v>963477</v>
      </c>
    </row>
    <row r="88" spans="1:9">
      <c r="A88" s="3386" t="s">
        <v>4578</v>
      </c>
      <c r="B88" s="3386" t="s">
        <v>3055</v>
      </c>
      <c r="C88" s="3386" t="s">
        <v>3161</v>
      </c>
      <c r="D88" s="3386">
        <v>208</v>
      </c>
      <c r="E88" s="3386">
        <v>67.459999999999994</v>
      </c>
      <c r="F88" s="3386">
        <v>20737.548177000001</v>
      </c>
      <c r="G88" s="3386">
        <v>1398955.0000204199</v>
      </c>
      <c r="H88" s="3386">
        <v>42933</v>
      </c>
      <c r="I88" s="3386">
        <v>1398955</v>
      </c>
    </row>
    <row r="89" spans="1:9">
      <c r="A89" s="3386" t="s">
        <v>4577</v>
      </c>
      <c r="B89" s="3386" t="s">
        <v>3055</v>
      </c>
      <c r="C89" s="3386" t="s">
        <v>3161</v>
      </c>
      <c r="D89" s="3386">
        <v>207</v>
      </c>
      <c r="E89" s="3386">
        <v>67.41</v>
      </c>
      <c r="F89" s="3386">
        <v>21829.001629999999</v>
      </c>
      <c r="G89" s="3386">
        <v>1471492.9998782999</v>
      </c>
      <c r="H89" s="3386">
        <v>42782</v>
      </c>
      <c r="I89" s="3386">
        <v>1471493</v>
      </c>
    </row>
    <row r="90" spans="1:9">
      <c r="A90" s="3386" t="s">
        <v>5228</v>
      </c>
      <c r="B90" s="3386" t="s">
        <v>3056</v>
      </c>
      <c r="C90" s="3386" t="s">
        <v>3161</v>
      </c>
      <c r="D90" s="3386">
        <v>206</v>
      </c>
      <c r="E90" s="3386">
        <v>47.97</v>
      </c>
      <c r="F90" s="3386">
        <v>20085</v>
      </c>
      <c r="G90" s="3386">
        <v>963477</v>
      </c>
      <c r="H90" s="3386">
        <v>42997</v>
      </c>
      <c r="I90" s="3386">
        <v>963477</v>
      </c>
    </row>
    <row r="91" spans="1:9">
      <c r="A91" s="3386" t="s">
        <v>5225</v>
      </c>
      <c r="B91" s="3386" t="s">
        <v>3056</v>
      </c>
      <c r="C91" s="3386" t="s">
        <v>3161</v>
      </c>
      <c r="D91" s="3386">
        <v>202</v>
      </c>
      <c r="E91" s="3386">
        <v>47.96</v>
      </c>
      <c r="F91" s="3386">
        <v>20600</v>
      </c>
      <c r="G91" s="3386">
        <v>987976</v>
      </c>
      <c r="H91" s="3386">
        <v>42986</v>
      </c>
      <c r="I91" s="3386">
        <v>987976</v>
      </c>
    </row>
    <row r="92" spans="1:9">
      <c r="A92" s="3386" t="s">
        <v>4572</v>
      </c>
      <c r="B92" s="3386" t="s">
        <v>3055</v>
      </c>
      <c r="C92" s="3386" t="s">
        <v>3161</v>
      </c>
      <c r="D92" s="3386">
        <v>201</v>
      </c>
      <c r="E92" s="3386">
        <v>72.22</v>
      </c>
      <c r="F92" s="3386">
        <v>22329</v>
      </c>
      <c r="G92" s="3386">
        <v>1612600.38</v>
      </c>
      <c r="H92" s="3386">
        <v>42718</v>
      </c>
      <c r="I92" s="3386">
        <v>1612600</v>
      </c>
    </row>
    <row r="93" spans="1:9">
      <c r="A93" s="3386" t="s">
        <v>5221</v>
      </c>
      <c r="B93" s="3386" t="s">
        <v>3056</v>
      </c>
      <c r="C93" s="3386" t="s">
        <v>3161</v>
      </c>
      <c r="D93" s="3386">
        <v>197</v>
      </c>
      <c r="E93" s="3386">
        <v>21.25</v>
      </c>
      <c r="F93" s="3386">
        <v>28119</v>
      </c>
      <c r="G93" s="3386">
        <v>597528.75</v>
      </c>
      <c r="H93" s="3386">
        <v>42706</v>
      </c>
      <c r="I93" s="3386">
        <v>307529</v>
      </c>
    </row>
    <row r="94" spans="1:9">
      <c r="A94" s="3386" t="s">
        <v>5220</v>
      </c>
      <c r="B94" s="3386" t="s">
        <v>3056</v>
      </c>
      <c r="C94" s="3386" t="s">
        <v>3161</v>
      </c>
      <c r="D94" s="3386">
        <v>196</v>
      </c>
      <c r="E94" s="3386">
        <v>84.9</v>
      </c>
      <c r="F94" s="3386">
        <v>27604</v>
      </c>
      <c r="G94" s="3386">
        <v>2343580</v>
      </c>
      <c r="H94" s="3386">
        <v>42998</v>
      </c>
      <c r="I94" s="3386">
        <v>2343580</v>
      </c>
    </row>
    <row r="95" spans="1:9">
      <c r="A95" s="3386" t="s">
        <v>3924</v>
      </c>
      <c r="B95" s="3386" t="s">
        <v>3054</v>
      </c>
      <c r="C95" s="3386" t="s">
        <v>3161</v>
      </c>
      <c r="D95" s="3386">
        <v>195</v>
      </c>
      <c r="E95" s="3386">
        <v>45.11</v>
      </c>
      <c r="F95" s="3386">
        <v>19800</v>
      </c>
      <c r="G95" s="3386">
        <v>893178</v>
      </c>
      <c r="H95" s="3386">
        <v>42992</v>
      </c>
      <c r="I95" s="3386">
        <v>893178</v>
      </c>
    </row>
    <row r="96" spans="1:9">
      <c r="A96" s="3386" t="s">
        <v>5217</v>
      </c>
      <c r="B96" s="3386" t="s">
        <v>3056</v>
      </c>
      <c r="C96" s="3386" t="s">
        <v>3161</v>
      </c>
      <c r="D96" s="3386">
        <v>192</v>
      </c>
      <c r="E96" s="3386">
        <v>48.57</v>
      </c>
      <c r="F96" s="3386">
        <v>26775.89</v>
      </c>
      <c r="G96" s="3386">
        <v>1300505</v>
      </c>
      <c r="H96" s="3386">
        <v>42989</v>
      </c>
      <c r="I96" s="3386">
        <v>1300505</v>
      </c>
    </row>
    <row r="97" spans="1:9">
      <c r="A97" s="3386" t="s">
        <v>5212</v>
      </c>
      <c r="B97" s="3386" t="s">
        <v>3056</v>
      </c>
      <c r="C97" s="3386" t="s">
        <v>3161</v>
      </c>
      <c r="D97" s="3386">
        <v>187</v>
      </c>
      <c r="E97" s="3386">
        <v>106.55</v>
      </c>
      <c r="F97" s="3386">
        <v>27275.43</v>
      </c>
      <c r="G97" s="3386">
        <v>2906197</v>
      </c>
      <c r="H97" s="3386">
        <v>42992</v>
      </c>
      <c r="I97" s="3386">
        <v>2906197</v>
      </c>
    </row>
    <row r="98" spans="1:9">
      <c r="A98" s="3386" t="s">
        <v>5211</v>
      </c>
      <c r="B98" s="3386" t="s">
        <v>3056</v>
      </c>
      <c r="C98" s="3386" t="s">
        <v>3161</v>
      </c>
      <c r="D98" s="3386">
        <v>186</v>
      </c>
      <c r="E98" s="3386">
        <v>85.9</v>
      </c>
      <c r="F98" s="3386">
        <v>26058.997429305913</v>
      </c>
      <c r="G98" s="3386">
        <v>2238468</v>
      </c>
      <c r="H98" s="3386">
        <v>42971</v>
      </c>
      <c r="I98" s="3386">
        <v>1120129</v>
      </c>
    </row>
    <row r="99" spans="1:9">
      <c r="A99" s="3386" t="s">
        <v>5210</v>
      </c>
      <c r="B99" s="3386" t="s">
        <v>3056</v>
      </c>
      <c r="C99" s="3386" t="s">
        <v>3161</v>
      </c>
      <c r="D99" s="3386">
        <v>185</v>
      </c>
      <c r="E99" s="3386">
        <v>41.8</v>
      </c>
      <c r="F99" s="3386">
        <v>19055</v>
      </c>
      <c r="G99" s="3386">
        <v>796499</v>
      </c>
      <c r="H99" s="3386">
        <v>42991</v>
      </c>
      <c r="I99" s="3386">
        <v>796499</v>
      </c>
    </row>
    <row r="100" spans="1:9">
      <c r="A100" s="3386" t="s">
        <v>4561</v>
      </c>
      <c r="B100" s="3386" t="s">
        <v>3055</v>
      </c>
      <c r="C100" s="3386" t="s">
        <v>3161</v>
      </c>
      <c r="D100" s="3386">
        <v>183</v>
      </c>
      <c r="E100" s="3386">
        <v>40.799999999999997</v>
      </c>
      <c r="F100" s="3386">
        <v>15629</v>
      </c>
      <c r="G100" s="3386">
        <v>637663</v>
      </c>
      <c r="H100" s="3386">
        <v>42995</v>
      </c>
      <c r="I100" s="3386">
        <v>637663</v>
      </c>
    </row>
    <row r="101" spans="1:9">
      <c r="A101" s="3386" t="s">
        <v>5208</v>
      </c>
      <c r="B101" s="3386" t="s">
        <v>3056</v>
      </c>
      <c r="C101" s="3386" t="s">
        <v>3161</v>
      </c>
      <c r="D101" s="3386">
        <v>182</v>
      </c>
      <c r="E101" s="3386">
        <v>41.14</v>
      </c>
      <c r="F101" s="3386">
        <v>15785.78</v>
      </c>
      <c r="G101" s="3386">
        <v>649427</v>
      </c>
      <c r="H101" s="3386">
        <v>42990</v>
      </c>
      <c r="I101" s="3386">
        <v>649427</v>
      </c>
    </row>
    <row r="102" spans="1:9">
      <c r="A102" s="3386" t="s">
        <v>5205</v>
      </c>
      <c r="B102" s="3386" t="s">
        <v>3056</v>
      </c>
      <c r="C102" s="3386" t="s">
        <v>3161</v>
      </c>
      <c r="D102" s="3386">
        <v>176</v>
      </c>
      <c r="E102" s="3386">
        <v>34.49</v>
      </c>
      <c r="F102" s="3386">
        <v>21115</v>
      </c>
      <c r="G102" s="3386">
        <v>728256</v>
      </c>
      <c r="H102" s="3386">
        <v>42995</v>
      </c>
      <c r="I102" s="3386">
        <v>728256</v>
      </c>
    </row>
    <row r="103" spans="1:9">
      <c r="A103" s="3386" t="s">
        <v>5203</v>
      </c>
      <c r="B103" s="3386" t="s">
        <v>3056</v>
      </c>
      <c r="C103" s="3386" t="s">
        <v>3161</v>
      </c>
      <c r="D103" s="3386">
        <v>173</v>
      </c>
      <c r="E103" s="3386">
        <v>46.4</v>
      </c>
      <c r="F103" s="3386">
        <v>20085</v>
      </c>
      <c r="G103" s="3386">
        <v>931944</v>
      </c>
      <c r="H103" s="3386">
        <v>42990</v>
      </c>
      <c r="I103" s="3386">
        <v>931944</v>
      </c>
    </row>
    <row r="104" spans="1:9">
      <c r="A104" s="3386" t="s">
        <v>4553</v>
      </c>
      <c r="B104" s="3386" t="s">
        <v>3055</v>
      </c>
      <c r="C104" s="3386" t="s">
        <v>3161</v>
      </c>
      <c r="D104" s="3386">
        <v>173</v>
      </c>
      <c r="E104" s="3386">
        <v>85.01</v>
      </c>
      <c r="F104" s="3386">
        <v>22329</v>
      </c>
      <c r="G104" s="3386">
        <v>1898188.29</v>
      </c>
      <c r="H104" s="3386">
        <v>42935</v>
      </c>
      <c r="I104" s="3386">
        <v>398188</v>
      </c>
    </row>
    <row r="105" spans="1:9">
      <c r="A105" s="3386" t="s">
        <v>5202</v>
      </c>
      <c r="B105" s="3386" t="s">
        <v>3056</v>
      </c>
      <c r="C105" s="3386" t="s">
        <v>3161</v>
      </c>
      <c r="D105" s="3386">
        <v>172</v>
      </c>
      <c r="E105" s="3386">
        <v>52.24</v>
      </c>
      <c r="F105" s="3386">
        <v>16789</v>
      </c>
      <c r="G105" s="3386">
        <v>877057</v>
      </c>
      <c r="H105" s="3386">
        <v>42995</v>
      </c>
      <c r="I105" s="3386">
        <v>877057</v>
      </c>
    </row>
    <row r="106" spans="1:9">
      <c r="A106" s="3386" t="s">
        <v>5201</v>
      </c>
      <c r="B106" s="3386" t="s">
        <v>3056</v>
      </c>
      <c r="C106" s="3386" t="s">
        <v>3161</v>
      </c>
      <c r="D106" s="3386">
        <v>170</v>
      </c>
      <c r="E106" s="3386">
        <v>145.22</v>
      </c>
      <c r="F106" s="3386">
        <v>20600</v>
      </c>
      <c r="G106" s="3386">
        <v>2991532</v>
      </c>
      <c r="H106" s="3386">
        <v>42990</v>
      </c>
      <c r="I106" s="3386">
        <v>2991532</v>
      </c>
    </row>
    <row r="107" spans="1:9">
      <c r="A107" s="3386" t="s">
        <v>5200</v>
      </c>
      <c r="B107" s="3386" t="s">
        <v>3056</v>
      </c>
      <c r="C107" s="3386" t="s">
        <v>3161</v>
      </c>
      <c r="D107" s="3386">
        <v>169</v>
      </c>
      <c r="E107" s="3386">
        <v>108.7</v>
      </c>
      <c r="F107" s="3386">
        <v>20085</v>
      </c>
      <c r="G107" s="3386">
        <v>2183240</v>
      </c>
      <c r="H107" s="3386">
        <v>42990</v>
      </c>
      <c r="I107" s="3386">
        <v>2183240</v>
      </c>
    </row>
    <row r="108" spans="1:9">
      <c r="A108" s="3386" t="s">
        <v>3901</v>
      </c>
      <c r="B108" s="3386" t="s">
        <v>3054</v>
      </c>
      <c r="C108" s="3386" t="s">
        <v>3161</v>
      </c>
      <c r="D108" s="3386">
        <v>169</v>
      </c>
      <c r="E108" s="3386">
        <v>73.180000000000007</v>
      </c>
      <c r="F108" s="3386">
        <v>19800</v>
      </c>
      <c r="G108" s="3386">
        <v>1448964.0000000002</v>
      </c>
      <c r="H108" s="3386">
        <v>42992</v>
      </c>
      <c r="I108" s="3386">
        <v>1448964</v>
      </c>
    </row>
    <row r="109" spans="1:9">
      <c r="A109" s="3386" t="s">
        <v>5199</v>
      </c>
      <c r="B109" s="3386" t="s">
        <v>3056</v>
      </c>
      <c r="C109" s="3386" t="s">
        <v>3161</v>
      </c>
      <c r="D109" s="3386">
        <v>168</v>
      </c>
      <c r="E109" s="3386">
        <v>75.930000000000007</v>
      </c>
      <c r="F109" s="3386">
        <v>16789</v>
      </c>
      <c r="G109" s="3386">
        <v>1274789</v>
      </c>
      <c r="H109" s="3386">
        <v>42990</v>
      </c>
      <c r="I109" s="3386">
        <v>1274789</v>
      </c>
    </row>
    <row r="110" spans="1:9">
      <c r="A110" s="3386" t="s">
        <v>5198</v>
      </c>
      <c r="B110" s="3386" t="s">
        <v>3056</v>
      </c>
      <c r="C110" s="3386" t="s">
        <v>3161</v>
      </c>
      <c r="D110" s="3386">
        <v>167</v>
      </c>
      <c r="E110" s="3386">
        <v>94.26</v>
      </c>
      <c r="F110" s="3386">
        <v>19206.004669999998</v>
      </c>
      <c r="G110" s="3386">
        <v>1810358.0001941998</v>
      </c>
      <c r="H110" s="3386">
        <v>42919</v>
      </c>
      <c r="I110" s="3386">
        <v>1810358</v>
      </c>
    </row>
    <row r="111" spans="1:9">
      <c r="A111" s="3386" t="s">
        <v>4549</v>
      </c>
      <c r="B111" s="3386" t="s">
        <v>3055</v>
      </c>
      <c r="C111" s="3386" t="s">
        <v>3161</v>
      </c>
      <c r="D111" s="3386">
        <v>167</v>
      </c>
      <c r="E111" s="3386">
        <v>66.87</v>
      </c>
      <c r="F111" s="3386">
        <v>23800</v>
      </c>
      <c r="G111" s="3386">
        <v>1591506</v>
      </c>
      <c r="H111" s="3386">
        <v>43006</v>
      </c>
      <c r="I111" s="3386">
        <v>1591506</v>
      </c>
    </row>
    <row r="112" spans="1:9">
      <c r="A112" s="3386" t="s">
        <v>5197</v>
      </c>
      <c r="B112" s="3386" t="s">
        <v>3056</v>
      </c>
      <c r="C112" s="3386" t="s">
        <v>3161</v>
      </c>
      <c r="D112" s="3386">
        <v>165</v>
      </c>
      <c r="E112" s="3386">
        <v>70.78</v>
      </c>
      <c r="F112" s="3386">
        <v>16789</v>
      </c>
      <c r="G112" s="3386">
        <v>1188325</v>
      </c>
      <c r="H112" s="3386">
        <v>42990</v>
      </c>
      <c r="I112" s="3386">
        <v>1188325</v>
      </c>
    </row>
    <row r="113" spans="1:9">
      <c r="A113" s="3386" t="s">
        <v>3898</v>
      </c>
      <c r="B113" s="3386" t="s">
        <v>3054</v>
      </c>
      <c r="C113" s="3386" t="s">
        <v>3161</v>
      </c>
      <c r="D113" s="3386">
        <v>165</v>
      </c>
      <c r="E113" s="3386">
        <v>103.28</v>
      </c>
      <c r="F113" s="3386">
        <v>28119.00474</v>
      </c>
      <c r="G113" s="3386">
        <v>2904130</v>
      </c>
      <c r="H113" s="3386">
        <v>42987</v>
      </c>
      <c r="I113" s="3386">
        <v>2904130</v>
      </c>
    </row>
    <row r="114" spans="1:9">
      <c r="A114" s="3386" t="s">
        <v>4546</v>
      </c>
      <c r="B114" s="3386" t="s">
        <v>3055</v>
      </c>
      <c r="C114" s="3386" t="s">
        <v>3161</v>
      </c>
      <c r="D114" s="3386">
        <v>163</v>
      </c>
      <c r="E114" s="3386">
        <v>40.229999999999997</v>
      </c>
      <c r="F114" s="3386">
        <v>21300</v>
      </c>
      <c r="G114" s="3386">
        <v>856898.99999999988</v>
      </c>
      <c r="H114" s="3386">
        <v>43001</v>
      </c>
      <c r="I114" s="3386">
        <v>856899</v>
      </c>
    </row>
    <row r="115" spans="1:9">
      <c r="A115" s="3386" t="s">
        <v>4543</v>
      </c>
      <c r="B115" s="3386" t="s">
        <v>3055</v>
      </c>
      <c r="C115" s="3386" t="s">
        <v>3161</v>
      </c>
      <c r="D115" s="3386">
        <v>160</v>
      </c>
      <c r="E115" s="3386">
        <v>52.76</v>
      </c>
      <c r="F115" s="3386">
        <v>21800</v>
      </c>
      <c r="G115" s="3386">
        <v>1150168</v>
      </c>
      <c r="H115" s="3386">
        <v>43004</v>
      </c>
      <c r="I115" s="3386">
        <v>1150168</v>
      </c>
    </row>
    <row r="116" spans="1:9">
      <c r="A116" s="3386" t="s">
        <v>5192</v>
      </c>
      <c r="B116" s="3386" t="s">
        <v>3056</v>
      </c>
      <c r="C116" s="3386" t="s">
        <v>3161</v>
      </c>
      <c r="D116" s="3386">
        <v>159</v>
      </c>
      <c r="E116" s="3386">
        <v>29.95</v>
      </c>
      <c r="F116" s="3386">
        <v>25277.23</v>
      </c>
      <c r="G116" s="3386">
        <v>757053</v>
      </c>
      <c r="H116" s="3386">
        <v>43001</v>
      </c>
      <c r="I116" s="3386">
        <v>757053</v>
      </c>
    </row>
    <row r="117" spans="1:9">
      <c r="A117" s="3386" t="s">
        <v>5191</v>
      </c>
      <c r="B117" s="3386" t="s">
        <v>3056</v>
      </c>
      <c r="C117" s="3386" t="s">
        <v>3161</v>
      </c>
      <c r="D117" s="3386">
        <v>158</v>
      </c>
      <c r="E117" s="3386">
        <v>169.58</v>
      </c>
      <c r="F117" s="3386">
        <v>25544.002830000001</v>
      </c>
      <c r="G117" s="3386">
        <v>4331751.9999114005</v>
      </c>
      <c r="H117" s="3386">
        <v>42883</v>
      </c>
      <c r="I117" s="3386">
        <v>2191752</v>
      </c>
    </row>
    <row r="118" spans="1:9">
      <c r="A118" s="3386" t="s">
        <v>5190</v>
      </c>
      <c r="B118" s="3386" t="s">
        <v>3056</v>
      </c>
      <c r="C118" s="3386" t="s">
        <v>3161</v>
      </c>
      <c r="D118" s="3386">
        <v>157</v>
      </c>
      <c r="E118" s="3386">
        <v>48.8</v>
      </c>
      <c r="F118" s="3386">
        <v>28119</v>
      </c>
      <c r="G118" s="3386">
        <v>1372207</v>
      </c>
      <c r="H118" s="3386">
        <v>42989</v>
      </c>
      <c r="I118" s="3386">
        <v>1372207</v>
      </c>
    </row>
    <row r="119" spans="1:9">
      <c r="A119" s="3386" t="s">
        <v>4538</v>
      </c>
      <c r="B119" s="3386" t="s">
        <v>3055</v>
      </c>
      <c r="C119" s="3386" t="s">
        <v>3161</v>
      </c>
      <c r="D119" s="3386">
        <v>155</v>
      </c>
      <c r="E119" s="3386">
        <v>39.770000000000003</v>
      </c>
      <c r="F119" s="3386">
        <v>25394.61</v>
      </c>
      <c r="G119" s="3386">
        <v>1009944</v>
      </c>
      <c r="H119" s="3386">
        <v>43005</v>
      </c>
      <c r="I119" s="3386">
        <v>1009944</v>
      </c>
    </row>
    <row r="120" spans="1:9">
      <c r="A120" s="3386" t="s">
        <v>5187</v>
      </c>
      <c r="B120" s="3386" t="s">
        <v>3056</v>
      </c>
      <c r="C120" s="3386" t="s">
        <v>3161</v>
      </c>
      <c r="D120" s="3386">
        <v>153</v>
      </c>
      <c r="E120" s="3386">
        <v>94.6</v>
      </c>
      <c r="F120" s="3386">
        <v>27275.433410000001</v>
      </c>
      <c r="G120" s="3386">
        <v>2580256.0005859998</v>
      </c>
      <c r="H120" s="3386">
        <v>42919</v>
      </c>
      <c r="I120" s="3386">
        <v>2580256</v>
      </c>
    </row>
    <row r="121" spans="1:9">
      <c r="A121" s="3386" t="s">
        <v>5186</v>
      </c>
      <c r="B121" s="3386" t="s">
        <v>3056</v>
      </c>
      <c r="C121" s="3386" t="s">
        <v>3161</v>
      </c>
      <c r="D121" s="3386">
        <v>152</v>
      </c>
      <c r="E121" s="3386">
        <v>94.61</v>
      </c>
      <c r="F121" s="3386">
        <v>28119.00433357996</v>
      </c>
      <c r="G121" s="3386">
        <v>2660339</v>
      </c>
      <c r="H121" s="3386">
        <v>42984</v>
      </c>
      <c r="I121" s="3386">
        <v>2660339</v>
      </c>
    </row>
    <row r="122" spans="1:9">
      <c r="A122" s="3386" t="s">
        <v>4536</v>
      </c>
      <c r="B122" s="3386" t="s">
        <v>3055</v>
      </c>
      <c r="C122" s="3386" t="s">
        <v>3161</v>
      </c>
      <c r="D122" s="3386">
        <v>152</v>
      </c>
      <c r="E122" s="3386">
        <v>131.5</v>
      </c>
      <c r="F122" s="3386">
        <v>22329</v>
      </c>
      <c r="G122" s="3386">
        <v>2936264</v>
      </c>
      <c r="H122" s="3386">
        <v>42718</v>
      </c>
      <c r="I122" s="3386">
        <v>2934031</v>
      </c>
    </row>
    <row r="123" spans="1:9">
      <c r="A123" s="3386" t="s">
        <v>5183</v>
      </c>
      <c r="B123" s="3386" t="s">
        <v>3056</v>
      </c>
      <c r="C123" s="3386" t="s">
        <v>3161</v>
      </c>
      <c r="D123" s="3386">
        <v>148</v>
      </c>
      <c r="E123" s="3386">
        <v>28.76</v>
      </c>
      <c r="F123" s="3386">
        <v>19570</v>
      </c>
      <c r="G123" s="3386">
        <v>562833</v>
      </c>
      <c r="H123" s="3386">
        <v>42989</v>
      </c>
      <c r="I123" s="3386">
        <v>562833</v>
      </c>
    </row>
    <row r="124" spans="1:9">
      <c r="A124" s="3386" t="s">
        <v>5182</v>
      </c>
      <c r="B124" s="3386" t="s">
        <v>3056</v>
      </c>
      <c r="C124" s="3386" t="s">
        <v>3161</v>
      </c>
      <c r="D124" s="3386">
        <v>147</v>
      </c>
      <c r="E124" s="3386">
        <v>30.29</v>
      </c>
      <c r="F124" s="3386">
        <v>23175</v>
      </c>
      <c r="G124" s="3386">
        <v>701971</v>
      </c>
      <c r="H124" s="3386">
        <v>42987</v>
      </c>
      <c r="I124" s="3386">
        <v>701971</v>
      </c>
    </row>
    <row r="125" spans="1:9">
      <c r="A125" s="3386" t="s">
        <v>4532</v>
      </c>
      <c r="B125" s="3386" t="s">
        <v>3055</v>
      </c>
      <c r="C125" s="3386" t="s">
        <v>3161</v>
      </c>
      <c r="D125" s="3386">
        <v>147</v>
      </c>
      <c r="E125" s="3386">
        <v>96.09</v>
      </c>
      <c r="F125" s="3386">
        <v>15629</v>
      </c>
      <c r="G125" s="3386">
        <v>1501791</v>
      </c>
      <c r="H125" s="3386">
        <v>42998</v>
      </c>
      <c r="I125" s="3386">
        <v>1501791</v>
      </c>
    </row>
    <row r="126" spans="1:9">
      <c r="A126" s="3386" t="s">
        <v>5181</v>
      </c>
      <c r="B126" s="3386" t="s">
        <v>3056</v>
      </c>
      <c r="C126" s="3386" t="s">
        <v>3161</v>
      </c>
      <c r="D126" s="3386">
        <v>146</v>
      </c>
      <c r="E126" s="3386">
        <v>46.44</v>
      </c>
      <c r="F126" s="3386">
        <v>20481.54</v>
      </c>
      <c r="G126" s="3386">
        <v>951163</v>
      </c>
      <c r="H126" s="3386">
        <v>43000</v>
      </c>
      <c r="I126" s="3386">
        <v>951163</v>
      </c>
    </row>
    <row r="127" spans="1:9">
      <c r="A127" s="3386" t="s">
        <v>3885</v>
      </c>
      <c r="B127" s="3386" t="s">
        <v>3054</v>
      </c>
      <c r="C127" s="3386" t="s">
        <v>3161</v>
      </c>
      <c r="D127" s="3386">
        <v>142</v>
      </c>
      <c r="E127" s="3386">
        <v>64.59</v>
      </c>
      <c r="F127" s="3386">
        <v>17363</v>
      </c>
      <c r="G127" s="3386">
        <v>1121476</v>
      </c>
      <c r="H127" s="3386">
        <v>43006</v>
      </c>
      <c r="I127" s="3386">
        <v>1121476</v>
      </c>
    </row>
    <row r="128" spans="1:9">
      <c r="A128" s="3386" t="s">
        <v>4526</v>
      </c>
      <c r="B128" s="3386" t="s">
        <v>3055</v>
      </c>
      <c r="C128" s="3386" t="s">
        <v>3161</v>
      </c>
      <c r="D128" s="3386">
        <v>138</v>
      </c>
      <c r="E128" s="3386">
        <v>43.16</v>
      </c>
      <c r="F128" s="3386">
        <v>14847.55</v>
      </c>
      <c r="G128" s="3386">
        <v>640820</v>
      </c>
      <c r="H128" s="3386">
        <v>42991</v>
      </c>
      <c r="I128" s="3386">
        <v>640820</v>
      </c>
    </row>
    <row r="129" spans="1:9">
      <c r="A129" s="3386" t="s">
        <v>5174</v>
      </c>
      <c r="B129" s="3386" t="s">
        <v>3056</v>
      </c>
      <c r="C129" s="3386" t="s">
        <v>3161</v>
      </c>
      <c r="D129" s="3386">
        <v>132</v>
      </c>
      <c r="E129" s="3386">
        <v>83.55</v>
      </c>
      <c r="F129" s="3386">
        <v>20085</v>
      </c>
      <c r="G129" s="3386">
        <v>1678102</v>
      </c>
      <c r="H129" s="3386">
        <v>42999</v>
      </c>
      <c r="I129" s="3386">
        <v>1678102</v>
      </c>
    </row>
    <row r="130" spans="1:9">
      <c r="A130" s="3386" t="s">
        <v>5173</v>
      </c>
      <c r="B130" s="3386" t="s">
        <v>3056</v>
      </c>
      <c r="C130" s="3386" t="s">
        <v>3161</v>
      </c>
      <c r="D130" s="3386">
        <v>131</v>
      </c>
      <c r="E130" s="3386">
        <v>35.58</v>
      </c>
      <c r="F130" s="3386">
        <v>19679</v>
      </c>
      <c r="G130" s="3386">
        <v>700178</v>
      </c>
      <c r="H130" s="3386">
        <v>42995</v>
      </c>
      <c r="I130" s="3386">
        <v>700178</v>
      </c>
    </row>
    <row r="131" spans="1:9">
      <c r="A131" s="3386" t="s">
        <v>3883</v>
      </c>
      <c r="B131" s="3386" t="s">
        <v>3054</v>
      </c>
      <c r="C131" s="3386" t="s">
        <v>3161</v>
      </c>
      <c r="D131" s="3386">
        <v>130</v>
      </c>
      <c r="E131" s="3386">
        <v>65.260000000000005</v>
      </c>
      <c r="F131" s="3386">
        <v>17600</v>
      </c>
      <c r="G131" s="3386">
        <v>1148576</v>
      </c>
      <c r="H131" s="3386">
        <v>43000</v>
      </c>
      <c r="I131" s="3386">
        <v>1148576</v>
      </c>
    </row>
    <row r="132" spans="1:9">
      <c r="A132" s="3386" t="s">
        <v>3882</v>
      </c>
      <c r="B132" s="3386" t="s">
        <v>3054</v>
      </c>
      <c r="C132" s="3386" t="s">
        <v>3161</v>
      </c>
      <c r="D132" s="3386">
        <v>127</v>
      </c>
      <c r="E132" s="3386">
        <v>65.17</v>
      </c>
      <c r="F132" s="3386">
        <v>17072</v>
      </c>
      <c r="G132" s="3386">
        <v>1112582.24</v>
      </c>
      <c r="H132" s="3386">
        <v>42832</v>
      </c>
      <c r="I132" s="3386">
        <v>1112582</v>
      </c>
    </row>
    <row r="133" spans="1:9">
      <c r="A133" s="3386" t="s">
        <v>4520</v>
      </c>
      <c r="B133" s="3386" t="s">
        <v>3055</v>
      </c>
      <c r="C133" s="3386" t="s">
        <v>3161</v>
      </c>
      <c r="D133" s="3386">
        <v>125</v>
      </c>
      <c r="E133" s="3386">
        <v>67.400000000000006</v>
      </c>
      <c r="F133" s="3386">
        <v>21174.139500000001</v>
      </c>
      <c r="G133" s="3386">
        <v>1427137.0023000003</v>
      </c>
      <c r="H133" s="3386">
        <v>42893</v>
      </c>
      <c r="I133" s="3386">
        <v>717137</v>
      </c>
    </row>
    <row r="134" spans="1:9">
      <c r="A134" s="3386" t="s">
        <v>4516</v>
      </c>
      <c r="B134" s="3386" t="s">
        <v>3055</v>
      </c>
      <c r="C134" s="3386" t="s">
        <v>3161</v>
      </c>
      <c r="D134" s="3386">
        <v>120</v>
      </c>
      <c r="E134" s="3386">
        <v>80</v>
      </c>
      <c r="F134" s="3386">
        <v>21829</v>
      </c>
      <c r="G134" s="3386">
        <v>1746320</v>
      </c>
      <c r="H134" s="3386">
        <v>42963</v>
      </c>
      <c r="I134" s="3386">
        <v>1746320</v>
      </c>
    </row>
    <row r="135" spans="1:9">
      <c r="A135" s="3386" t="s">
        <v>5164</v>
      </c>
      <c r="B135" s="3386" t="s">
        <v>3056</v>
      </c>
      <c r="C135" s="3386" t="s">
        <v>3161</v>
      </c>
      <c r="D135" s="3386">
        <v>119</v>
      </c>
      <c r="E135" s="3386">
        <v>59.43</v>
      </c>
      <c r="F135" s="3386">
        <v>26979.993269999999</v>
      </c>
      <c r="G135" s="3386">
        <v>1603421.0000360999</v>
      </c>
      <c r="H135" s="3386">
        <v>42915</v>
      </c>
      <c r="I135" s="3386">
        <v>803421</v>
      </c>
    </row>
    <row r="136" spans="1:9">
      <c r="A136" s="3386" t="s">
        <v>5163</v>
      </c>
      <c r="B136" s="3386" t="s">
        <v>3056</v>
      </c>
      <c r="C136" s="3386" t="s">
        <v>3161</v>
      </c>
      <c r="D136" s="3386">
        <v>118</v>
      </c>
      <c r="E136" s="3386">
        <v>62.99</v>
      </c>
      <c r="F136" s="3386">
        <v>26500</v>
      </c>
      <c r="G136" s="3386">
        <v>1669235</v>
      </c>
      <c r="H136" s="3386">
        <v>42915</v>
      </c>
      <c r="I136" s="3386">
        <v>869235</v>
      </c>
    </row>
    <row r="137" spans="1:9">
      <c r="A137" s="3386" t="s">
        <v>5160</v>
      </c>
      <c r="B137" s="3386" t="s">
        <v>3056</v>
      </c>
      <c r="C137" s="3386" t="s">
        <v>3161</v>
      </c>
      <c r="D137" s="3386">
        <v>113</v>
      </c>
      <c r="E137" s="3386">
        <v>74.06</v>
      </c>
      <c r="F137" s="3386">
        <v>21115</v>
      </c>
      <c r="G137" s="3386">
        <v>1563777</v>
      </c>
      <c r="H137" s="3386">
        <v>42989</v>
      </c>
      <c r="I137" s="3386">
        <v>1563777</v>
      </c>
    </row>
    <row r="138" spans="1:9">
      <c r="A138" s="3386" t="s">
        <v>5159</v>
      </c>
      <c r="B138" s="3386" t="s">
        <v>3056</v>
      </c>
      <c r="C138" s="3386" t="s">
        <v>3161</v>
      </c>
      <c r="D138" s="3386">
        <v>112</v>
      </c>
      <c r="E138" s="3386">
        <v>42.42</v>
      </c>
      <c r="F138" s="3386">
        <v>20600</v>
      </c>
      <c r="G138" s="3386">
        <v>873852</v>
      </c>
      <c r="H138" s="3386">
        <v>43004</v>
      </c>
      <c r="I138" s="3386">
        <v>873852</v>
      </c>
    </row>
    <row r="139" spans="1:9">
      <c r="A139" s="3386" t="s">
        <v>4510</v>
      </c>
      <c r="B139" s="3386" t="s">
        <v>3055</v>
      </c>
      <c r="C139" s="3386" t="s">
        <v>3161</v>
      </c>
      <c r="D139" s="3386">
        <v>111</v>
      </c>
      <c r="E139" s="3386">
        <v>68.239999999999995</v>
      </c>
      <c r="F139" s="3386">
        <v>21174.13110426749</v>
      </c>
      <c r="G139" s="3386">
        <v>1444923</v>
      </c>
      <c r="H139" s="3386">
        <v>42978</v>
      </c>
      <c r="I139" s="3386">
        <v>1444923</v>
      </c>
    </row>
    <row r="140" spans="1:9">
      <c r="A140" s="3386" t="s">
        <v>5156</v>
      </c>
      <c r="B140" s="3386" t="s">
        <v>3056</v>
      </c>
      <c r="C140" s="3386" t="s">
        <v>3161</v>
      </c>
      <c r="D140" s="3386">
        <v>109</v>
      </c>
      <c r="E140" s="3386">
        <v>68.459999999999994</v>
      </c>
      <c r="F140" s="3386">
        <v>27604</v>
      </c>
      <c r="G140" s="3386">
        <v>1889770</v>
      </c>
      <c r="H140" s="3386">
        <v>42985</v>
      </c>
      <c r="I140" s="3386">
        <v>1889770</v>
      </c>
    </row>
    <row r="141" spans="1:9">
      <c r="A141" s="3386" t="s">
        <v>4508</v>
      </c>
      <c r="B141" s="3386" t="s">
        <v>3055</v>
      </c>
      <c r="C141" s="3386" t="s">
        <v>3161</v>
      </c>
      <c r="D141" s="3386">
        <v>109</v>
      </c>
      <c r="E141" s="3386">
        <v>75.19</v>
      </c>
      <c r="F141" s="3386">
        <v>21829</v>
      </c>
      <c r="G141" s="3386">
        <v>1641322.51</v>
      </c>
      <c r="H141" s="3386">
        <v>42782</v>
      </c>
      <c r="I141" s="3386">
        <v>1641323</v>
      </c>
    </row>
    <row r="142" spans="1:9">
      <c r="A142" s="3386" t="s">
        <v>5150</v>
      </c>
      <c r="B142" s="3386" t="s">
        <v>3056</v>
      </c>
      <c r="C142" s="3386" t="s">
        <v>3161</v>
      </c>
      <c r="D142" s="3386">
        <v>102</v>
      </c>
      <c r="E142" s="3386">
        <v>116.41</v>
      </c>
      <c r="F142" s="3386">
        <v>28119</v>
      </c>
      <c r="G142" s="3386">
        <v>3273333</v>
      </c>
      <c r="H142" s="3386">
        <v>42979</v>
      </c>
      <c r="I142" s="3386">
        <v>3273333</v>
      </c>
    </row>
    <row r="143" spans="1:9">
      <c r="A143" s="3386" t="s">
        <v>5149</v>
      </c>
      <c r="B143" s="3386" t="s">
        <v>3056</v>
      </c>
      <c r="C143" s="3386" t="s">
        <v>3161</v>
      </c>
      <c r="D143" s="3386">
        <v>101</v>
      </c>
      <c r="E143" s="3386">
        <v>72.459999999999994</v>
      </c>
      <c r="F143" s="3386">
        <v>28119.00359</v>
      </c>
      <c r="G143" s="3386">
        <v>2037503.0001313998</v>
      </c>
      <c r="H143" s="3386">
        <v>42928</v>
      </c>
      <c r="I143" s="3386">
        <v>1048750</v>
      </c>
    </row>
    <row r="144" spans="1:9">
      <c r="A144" s="3386" t="s">
        <v>5147</v>
      </c>
      <c r="B144" s="3386" t="s">
        <v>3056</v>
      </c>
      <c r="C144" s="3386" t="s">
        <v>3161</v>
      </c>
      <c r="D144" s="3386">
        <v>99</v>
      </c>
      <c r="E144" s="3386">
        <v>68.39</v>
      </c>
      <c r="F144" s="3386">
        <v>27604</v>
      </c>
      <c r="G144" s="3386">
        <v>1887838</v>
      </c>
      <c r="H144" s="3386">
        <v>42989</v>
      </c>
      <c r="I144" s="3386">
        <v>1887838</v>
      </c>
    </row>
    <row r="145" spans="1:9">
      <c r="A145" s="3386" t="s">
        <v>5146</v>
      </c>
      <c r="B145" s="3386" t="s">
        <v>3056</v>
      </c>
      <c r="C145" s="3386" t="s">
        <v>3161</v>
      </c>
      <c r="D145" s="3386">
        <v>98</v>
      </c>
      <c r="E145" s="3386">
        <v>67.64</v>
      </c>
      <c r="F145" s="3386">
        <v>26223.8</v>
      </c>
      <c r="G145" s="3386">
        <v>1773778</v>
      </c>
      <c r="H145" s="3386">
        <v>42987</v>
      </c>
      <c r="I145" s="3386">
        <v>1773778</v>
      </c>
    </row>
    <row r="146" spans="1:9">
      <c r="A146" s="3386" t="s">
        <v>4498</v>
      </c>
      <c r="B146" s="3386" t="s">
        <v>3055</v>
      </c>
      <c r="C146" s="3386" t="s">
        <v>3161</v>
      </c>
      <c r="D146" s="3386">
        <v>91</v>
      </c>
      <c r="E146" s="3386">
        <v>24.44</v>
      </c>
      <c r="F146" s="3386">
        <v>19800</v>
      </c>
      <c r="G146" s="3386">
        <v>483912</v>
      </c>
      <c r="H146" s="3386">
        <v>42996</v>
      </c>
      <c r="I146" s="3386">
        <v>483912</v>
      </c>
    </row>
    <row r="147" spans="1:9">
      <c r="A147" s="3386" t="s">
        <v>5139</v>
      </c>
      <c r="B147" s="3386" t="s">
        <v>3056</v>
      </c>
      <c r="C147" s="3386" t="s">
        <v>3161</v>
      </c>
      <c r="D147" s="3386">
        <v>83</v>
      </c>
      <c r="E147" s="3386">
        <v>42.8</v>
      </c>
      <c r="F147" s="3386">
        <v>21115</v>
      </c>
      <c r="G147" s="3386">
        <v>903721.99999999988</v>
      </c>
      <c r="H147" s="3386">
        <v>42991</v>
      </c>
      <c r="I147" s="3386">
        <v>903722</v>
      </c>
    </row>
    <row r="148" spans="1:9">
      <c r="A148" s="3386" t="s">
        <v>5138</v>
      </c>
      <c r="B148" s="3386" t="s">
        <v>3056</v>
      </c>
      <c r="C148" s="3386" t="s">
        <v>3161</v>
      </c>
      <c r="D148" s="3386">
        <v>82</v>
      </c>
      <c r="E148" s="3386">
        <v>48.86</v>
      </c>
      <c r="F148" s="3386">
        <v>20059</v>
      </c>
      <c r="G148" s="3386">
        <v>980083</v>
      </c>
      <c r="H148" s="3386">
        <v>42989</v>
      </c>
      <c r="I148" s="3386">
        <v>980083</v>
      </c>
    </row>
    <row r="149" spans="1:9">
      <c r="A149" s="3386" t="s">
        <v>5137</v>
      </c>
      <c r="B149" s="3386" t="s">
        <v>3056</v>
      </c>
      <c r="C149" s="3386" t="s">
        <v>3161</v>
      </c>
      <c r="D149" s="3386">
        <v>81</v>
      </c>
      <c r="E149" s="3386">
        <v>42.75</v>
      </c>
      <c r="F149" s="3386">
        <v>20059</v>
      </c>
      <c r="G149" s="3386">
        <v>857522</v>
      </c>
      <c r="H149" s="3386">
        <v>42989</v>
      </c>
      <c r="I149" s="3386">
        <v>857522</v>
      </c>
    </row>
    <row r="150" spans="1:9">
      <c r="A150" s="3386" t="s">
        <v>4495</v>
      </c>
      <c r="B150" s="3386" t="s">
        <v>3055</v>
      </c>
      <c r="C150" s="3386" t="s">
        <v>3161</v>
      </c>
      <c r="D150" s="3386">
        <v>79</v>
      </c>
      <c r="E150" s="3386">
        <v>87.84</v>
      </c>
      <c r="F150" s="3386">
        <v>15629.004329004329</v>
      </c>
      <c r="G150" s="3386">
        <v>1372851</v>
      </c>
      <c r="H150" s="3386">
        <v>42978</v>
      </c>
      <c r="I150" s="3386">
        <v>1372851</v>
      </c>
    </row>
    <row r="151" spans="1:9">
      <c r="A151" s="3386" t="s">
        <v>5135</v>
      </c>
      <c r="B151" s="3386" t="s">
        <v>3056</v>
      </c>
      <c r="C151" s="3386" t="s">
        <v>3161</v>
      </c>
      <c r="D151" s="3386">
        <v>77</v>
      </c>
      <c r="E151" s="3386">
        <v>146.38</v>
      </c>
      <c r="F151" s="3386">
        <v>25935</v>
      </c>
      <c r="G151" s="3386">
        <v>3796365</v>
      </c>
      <c r="H151" s="3386">
        <v>42989</v>
      </c>
      <c r="I151" s="3386">
        <v>1219017</v>
      </c>
    </row>
    <row r="152" spans="1:9">
      <c r="A152" s="3386" t="s">
        <v>4493</v>
      </c>
      <c r="B152" s="3386" t="s">
        <v>3055</v>
      </c>
      <c r="C152" s="3386" t="s">
        <v>3161</v>
      </c>
      <c r="D152" s="3386">
        <v>77</v>
      </c>
      <c r="E152" s="3386">
        <v>43.92</v>
      </c>
      <c r="F152" s="3386">
        <v>14847.55</v>
      </c>
      <c r="G152" s="3386">
        <v>652104</v>
      </c>
      <c r="H152" s="3386">
        <v>42991</v>
      </c>
      <c r="I152" s="3386">
        <v>652104</v>
      </c>
    </row>
    <row r="153" spans="1:9">
      <c r="A153" s="3386" t="s">
        <v>5134</v>
      </c>
      <c r="B153" s="3386" t="s">
        <v>3056</v>
      </c>
      <c r="C153" s="3386" t="s">
        <v>3161</v>
      </c>
      <c r="D153" s="3386">
        <v>76</v>
      </c>
      <c r="E153" s="3386">
        <v>143.82</v>
      </c>
      <c r="F153" s="3386">
        <v>28119.002920999999</v>
      </c>
      <c r="G153" s="3386">
        <v>4044075.0000982196</v>
      </c>
      <c r="H153" s="3386">
        <v>42933</v>
      </c>
      <c r="I153" s="3386">
        <v>712014</v>
      </c>
    </row>
    <row r="154" spans="1:9">
      <c r="A154" s="3386" t="s">
        <v>4492</v>
      </c>
      <c r="B154" s="3386" t="s">
        <v>3055</v>
      </c>
      <c r="C154" s="3386" t="s">
        <v>3161</v>
      </c>
      <c r="D154" s="3386">
        <v>76</v>
      </c>
      <c r="E154" s="3386">
        <v>48.31</v>
      </c>
      <c r="F154" s="3386">
        <v>18029</v>
      </c>
      <c r="G154" s="3386">
        <v>870981</v>
      </c>
      <c r="H154" s="3386">
        <v>42991</v>
      </c>
      <c r="I154" s="3386">
        <v>870981</v>
      </c>
    </row>
    <row r="155" spans="1:9">
      <c r="A155" s="3386" t="s">
        <v>3859</v>
      </c>
      <c r="B155" s="3386" t="s">
        <v>3054</v>
      </c>
      <c r="C155" s="3386" t="s">
        <v>3161</v>
      </c>
      <c r="D155" s="3386">
        <v>76</v>
      </c>
      <c r="E155" s="3386">
        <v>40.85</v>
      </c>
      <c r="F155" s="3386">
        <v>17266</v>
      </c>
      <c r="G155" s="3386">
        <v>705316</v>
      </c>
      <c r="H155" s="3386">
        <v>42984</v>
      </c>
      <c r="I155" s="3386">
        <v>705316</v>
      </c>
    </row>
    <row r="156" spans="1:9">
      <c r="A156" s="3386" t="s">
        <v>3858</v>
      </c>
      <c r="B156" s="3386" t="s">
        <v>3054</v>
      </c>
      <c r="C156" s="3386" t="s">
        <v>3161</v>
      </c>
      <c r="D156" s="3386">
        <v>75</v>
      </c>
      <c r="E156" s="3386">
        <v>58.79</v>
      </c>
      <c r="F156" s="3386">
        <v>17800</v>
      </c>
      <c r="G156" s="3386">
        <v>1046462</v>
      </c>
      <c r="H156" s="3386">
        <v>42993</v>
      </c>
      <c r="I156" s="3386">
        <v>1046462</v>
      </c>
    </row>
    <row r="157" spans="1:9">
      <c r="A157" s="3386" t="s">
        <v>5129</v>
      </c>
      <c r="B157" s="3386" t="s">
        <v>3056</v>
      </c>
      <c r="C157" s="3386" t="s">
        <v>3161</v>
      </c>
      <c r="D157" s="3386">
        <v>68</v>
      </c>
      <c r="E157" s="3386">
        <v>153.22</v>
      </c>
      <c r="F157" s="3386">
        <v>27089.002741200002</v>
      </c>
      <c r="G157" s="3386">
        <v>4150577.0000066641</v>
      </c>
      <c r="H157" s="3386">
        <v>42933</v>
      </c>
      <c r="I157" s="3386">
        <v>2080577</v>
      </c>
    </row>
    <row r="158" spans="1:9">
      <c r="A158" s="3386" t="s">
        <v>5128</v>
      </c>
      <c r="B158" s="3386" t="s">
        <v>3056</v>
      </c>
      <c r="C158" s="3386" t="s">
        <v>3161</v>
      </c>
      <c r="D158" s="3386">
        <v>67</v>
      </c>
      <c r="E158" s="3386">
        <v>75.53</v>
      </c>
      <c r="F158" s="3386">
        <v>26713.06</v>
      </c>
      <c r="G158" s="3386">
        <v>2017637</v>
      </c>
      <c r="H158" s="3386">
        <v>42989</v>
      </c>
      <c r="I158" s="3386">
        <v>2017637</v>
      </c>
    </row>
    <row r="159" spans="1:9">
      <c r="A159" s="3386" t="s">
        <v>5123</v>
      </c>
      <c r="B159" s="3386" t="s">
        <v>3056</v>
      </c>
      <c r="C159" s="3386" t="s">
        <v>3161</v>
      </c>
      <c r="D159" s="3386">
        <v>60</v>
      </c>
      <c r="E159" s="3386">
        <v>38.840000000000003</v>
      </c>
      <c r="F159" s="3386">
        <v>16285.31</v>
      </c>
      <c r="G159" s="3386">
        <v>632521</v>
      </c>
      <c r="H159" s="3386">
        <v>42979</v>
      </c>
      <c r="I159" s="3386">
        <v>632521</v>
      </c>
    </row>
    <row r="160" spans="1:9">
      <c r="A160" s="3386" t="s">
        <v>5121</v>
      </c>
      <c r="B160" s="3386" t="s">
        <v>3056</v>
      </c>
      <c r="C160" s="3386" t="s">
        <v>3161</v>
      </c>
      <c r="D160" s="3386">
        <v>58</v>
      </c>
      <c r="E160" s="3386">
        <v>40.74</v>
      </c>
      <c r="F160" s="3386">
        <v>16274</v>
      </c>
      <c r="G160" s="3386">
        <v>663002.76</v>
      </c>
      <c r="H160" s="3386">
        <v>42858</v>
      </c>
      <c r="I160" s="3386">
        <v>483003</v>
      </c>
    </row>
    <row r="161" spans="1:9">
      <c r="A161" s="3386" t="s">
        <v>3845</v>
      </c>
      <c r="B161" s="3386" t="s">
        <v>3054</v>
      </c>
      <c r="C161" s="3386" t="s">
        <v>3161</v>
      </c>
      <c r="D161" s="3386">
        <v>58</v>
      </c>
      <c r="E161" s="3386">
        <v>27.68</v>
      </c>
      <c r="F161" s="3386">
        <v>17072</v>
      </c>
      <c r="G161" s="3386">
        <v>472553</v>
      </c>
      <c r="H161" s="3386">
        <v>42984</v>
      </c>
      <c r="I161" s="3386">
        <v>472553</v>
      </c>
    </row>
    <row r="162" spans="1:9">
      <c r="A162" s="3386" t="s">
        <v>3841</v>
      </c>
      <c r="B162" s="3386" t="s">
        <v>3054</v>
      </c>
      <c r="C162" s="3386" t="s">
        <v>3161</v>
      </c>
      <c r="D162" s="3386">
        <v>50</v>
      </c>
      <c r="E162" s="3386">
        <v>48.02</v>
      </c>
      <c r="F162" s="3386">
        <v>16781</v>
      </c>
      <c r="G162" s="3386">
        <v>805824</v>
      </c>
      <c r="H162" s="3386">
        <v>42987</v>
      </c>
      <c r="I162" s="3386">
        <v>805824</v>
      </c>
    </row>
    <row r="163" spans="1:9">
      <c r="A163" s="3386" t="s">
        <v>3840</v>
      </c>
      <c r="B163" s="3386" t="s">
        <v>3054</v>
      </c>
      <c r="C163" s="3386" t="s">
        <v>3161</v>
      </c>
      <c r="D163" s="3386">
        <v>49</v>
      </c>
      <c r="E163" s="3386">
        <v>47.45</v>
      </c>
      <c r="F163" s="3386">
        <v>16781.009999999998</v>
      </c>
      <c r="G163" s="3386">
        <v>796259</v>
      </c>
      <c r="H163" s="3386">
        <v>42987</v>
      </c>
      <c r="I163" s="3386">
        <v>796259</v>
      </c>
    </row>
    <row r="164" spans="1:9">
      <c r="A164" s="3386" t="s">
        <v>4469</v>
      </c>
      <c r="B164" s="3386" t="s">
        <v>3055</v>
      </c>
      <c r="C164" s="3386" t="s">
        <v>3161</v>
      </c>
      <c r="D164" s="3386">
        <v>47</v>
      </c>
      <c r="E164" s="3386">
        <v>41.5</v>
      </c>
      <c r="F164" s="3386">
        <v>15160.12</v>
      </c>
      <c r="G164" s="3386">
        <v>629144.98</v>
      </c>
      <c r="H164" s="3386">
        <v>42839</v>
      </c>
      <c r="I164" s="3386">
        <v>629145</v>
      </c>
    </row>
    <row r="165" spans="1:9">
      <c r="A165" s="3386" t="s">
        <v>3838</v>
      </c>
      <c r="B165" s="3386" t="s">
        <v>3054</v>
      </c>
      <c r="C165" s="3386" t="s">
        <v>3161</v>
      </c>
      <c r="D165" s="3386">
        <v>47</v>
      </c>
      <c r="E165" s="3386">
        <v>48.03</v>
      </c>
      <c r="F165" s="3386">
        <v>16781</v>
      </c>
      <c r="G165" s="3386">
        <v>805991</v>
      </c>
      <c r="H165" s="3386">
        <v>42997</v>
      </c>
      <c r="I165" s="3386">
        <v>805991</v>
      </c>
    </row>
    <row r="166" spans="1:9">
      <c r="A166" s="3386" t="s">
        <v>5113</v>
      </c>
      <c r="B166" s="3386" t="s">
        <v>3056</v>
      </c>
      <c r="C166" s="3386" t="s">
        <v>3161</v>
      </c>
      <c r="D166" s="3386">
        <v>36</v>
      </c>
      <c r="E166" s="3386">
        <v>76.400000000000006</v>
      </c>
      <c r="F166" s="3386">
        <v>26980</v>
      </c>
      <c r="G166" s="3386">
        <v>2061272.0000000002</v>
      </c>
      <c r="H166" s="3386">
        <v>42942</v>
      </c>
      <c r="I166" s="3386">
        <v>1061272</v>
      </c>
    </row>
    <row r="167" spans="1:9">
      <c r="A167" s="3386" t="s">
        <v>5112</v>
      </c>
      <c r="B167" s="3386" t="s">
        <v>3056</v>
      </c>
      <c r="C167" s="3386" t="s">
        <v>3161</v>
      </c>
      <c r="D167" s="3386">
        <v>35</v>
      </c>
      <c r="E167" s="3386">
        <v>77.02</v>
      </c>
      <c r="F167" s="3386">
        <v>27275.434949999999</v>
      </c>
      <c r="G167" s="3386">
        <v>2100753.999849</v>
      </c>
      <c r="H167" s="3386">
        <v>42732</v>
      </c>
      <c r="I167" s="3386">
        <v>2102663</v>
      </c>
    </row>
    <row r="168" spans="1:9">
      <c r="A168" s="3386" t="s">
        <v>5111</v>
      </c>
      <c r="B168" s="3386" t="s">
        <v>3056</v>
      </c>
      <c r="C168" s="3386" t="s">
        <v>3161</v>
      </c>
      <c r="D168" s="3386">
        <v>33</v>
      </c>
      <c r="E168" s="3386">
        <v>73.55</v>
      </c>
      <c r="F168" s="3386">
        <v>26775.87</v>
      </c>
      <c r="G168" s="3386">
        <v>1969365</v>
      </c>
      <c r="H168" s="3386">
        <v>42989</v>
      </c>
      <c r="I168" s="3386">
        <v>1969365</v>
      </c>
    </row>
    <row r="169" spans="1:9">
      <c r="A169" s="3386" t="s">
        <v>3830</v>
      </c>
      <c r="B169" s="3386" t="s">
        <v>3054</v>
      </c>
      <c r="C169" s="3386" t="s">
        <v>3161</v>
      </c>
      <c r="D169" s="3386">
        <v>33</v>
      </c>
      <c r="E169" s="3386">
        <v>68.89</v>
      </c>
      <c r="F169" s="3386">
        <v>23086</v>
      </c>
      <c r="G169" s="3386">
        <v>1590395</v>
      </c>
      <c r="H169" s="3386">
        <v>42997</v>
      </c>
      <c r="I169" s="3386">
        <v>1590395</v>
      </c>
    </row>
    <row r="170" spans="1:9">
      <c r="A170" s="3386" t="s">
        <v>3823</v>
      </c>
      <c r="B170" s="3386" t="s">
        <v>3054</v>
      </c>
      <c r="C170" s="3386" t="s">
        <v>3161</v>
      </c>
      <c r="D170" s="3386">
        <v>26</v>
      </c>
      <c r="E170" s="3386">
        <v>41.22</v>
      </c>
      <c r="F170" s="3386">
        <v>23377</v>
      </c>
      <c r="G170" s="3386">
        <v>963600</v>
      </c>
      <c r="H170" s="3386">
        <v>42991</v>
      </c>
      <c r="I170" s="3386">
        <v>963600</v>
      </c>
    </row>
    <row r="171" spans="1:9">
      <c r="A171" s="3386" t="s">
        <v>4452</v>
      </c>
      <c r="B171" s="3386" t="s">
        <v>3055</v>
      </c>
      <c r="C171" s="3386" t="s">
        <v>3161</v>
      </c>
      <c r="D171" s="3386">
        <v>23</v>
      </c>
      <c r="E171" s="3386">
        <v>39.51</v>
      </c>
      <c r="F171" s="3386">
        <v>19206</v>
      </c>
      <c r="G171" s="3386">
        <v>758829</v>
      </c>
      <c r="H171" s="3386">
        <v>42987</v>
      </c>
      <c r="I171" s="3386">
        <v>758829</v>
      </c>
    </row>
    <row r="172" spans="1:9">
      <c r="A172" s="3386" t="s">
        <v>4451</v>
      </c>
      <c r="B172" s="3386" t="s">
        <v>3055</v>
      </c>
      <c r="C172" s="3386" t="s">
        <v>3161</v>
      </c>
      <c r="D172" s="3386">
        <v>22</v>
      </c>
      <c r="E172" s="3386">
        <v>38.96</v>
      </c>
      <c r="F172" s="3386">
        <v>20661</v>
      </c>
      <c r="G172" s="3386">
        <v>804953</v>
      </c>
      <c r="H172" s="3386">
        <v>42987</v>
      </c>
      <c r="I172" s="3386">
        <v>804953</v>
      </c>
    </row>
    <row r="173" spans="1:9">
      <c r="A173" s="3386" t="s">
        <v>4450</v>
      </c>
      <c r="B173" s="3386" t="s">
        <v>3055</v>
      </c>
      <c r="C173" s="3386" t="s">
        <v>3161</v>
      </c>
      <c r="D173" s="3386">
        <v>20</v>
      </c>
      <c r="E173" s="3386">
        <v>38.96</v>
      </c>
      <c r="F173" s="3386">
        <v>21300</v>
      </c>
      <c r="G173" s="3386">
        <v>829848</v>
      </c>
      <c r="H173" s="3386">
        <v>42991</v>
      </c>
      <c r="I173" s="3386">
        <v>829848</v>
      </c>
    </row>
    <row r="174" spans="1:9">
      <c r="A174" s="3386" t="s">
        <v>4449</v>
      </c>
      <c r="B174" s="3386" t="s">
        <v>3055</v>
      </c>
      <c r="C174" s="3386" t="s">
        <v>3161</v>
      </c>
      <c r="D174" s="3386">
        <v>19</v>
      </c>
      <c r="E174" s="3386">
        <v>38.96</v>
      </c>
      <c r="F174" s="3386">
        <v>21300</v>
      </c>
      <c r="G174" s="3386">
        <v>829848</v>
      </c>
      <c r="H174" s="3386">
        <v>42991</v>
      </c>
      <c r="I174" s="3386">
        <v>829848</v>
      </c>
    </row>
    <row r="175" spans="1:9">
      <c r="A175" s="3386" t="s">
        <v>4448</v>
      </c>
      <c r="B175" s="3386" t="s">
        <v>3055</v>
      </c>
      <c r="C175" s="3386" t="s">
        <v>3161</v>
      </c>
      <c r="D175" s="3386">
        <v>18</v>
      </c>
      <c r="E175" s="3386">
        <v>38.950000000000003</v>
      </c>
      <c r="F175" s="3386">
        <v>20661.001284000002</v>
      </c>
      <c r="G175" s="3386">
        <v>804746.00001180009</v>
      </c>
      <c r="H175" s="3386">
        <v>42942</v>
      </c>
      <c r="I175" s="3386">
        <v>404746</v>
      </c>
    </row>
    <row r="176" spans="1:9">
      <c r="A176" s="3386" t="s">
        <v>3816</v>
      </c>
      <c r="B176" s="3386" t="s">
        <v>3054</v>
      </c>
      <c r="C176" s="3386" t="s">
        <v>3161</v>
      </c>
      <c r="D176" s="3386">
        <v>18</v>
      </c>
      <c r="E176" s="3386">
        <v>46.09</v>
      </c>
      <c r="F176" s="3386">
        <v>17072</v>
      </c>
      <c r="G176" s="3386">
        <v>786848</v>
      </c>
      <c r="H176" s="3386">
        <v>42980</v>
      </c>
      <c r="I176" s="3386">
        <v>786848</v>
      </c>
    </row>
    <row r="177" spans="1:9">
      <c r="A177" s="3386" t="s">
        <v>4447</v>
      </c>
      <c r="B177" s="3386" t="s">
        <v>3055</v>
      </c>
      <c r="C177" s="3386" t="s">
        <v>3161</v>
      </c>
      <c r="D177" s="3386">
        <v>17</v>
      </c>
      <c r="E177" s="3386">
        <v>38.4</v>
      </c>
      <c r="F177" s="3386">
        <v>19800</v>
      </c>
      <c r="G177" s="3386">
        <v>760320</v>
      </c>
      <c r="H177" s="3386">
        <v>42906</v>
      </c>
      <c r="I177" s="3386">
        <v>380320</v>
      </c>
    </row>
    <row r="178" spans="1:9">
      <c r="A178" s="3386" t="s">
        <v>3815</v>
      </c>
      <c r="B178" s="3386" t="s">
        <v>3054</v>
      </c>
      <c r="C178" s="3386" t="s">
        <v>3161</v>
      </c>
      <c r="D178" s="3386">
        <v>17</v>
      </c>
      <c r="E178" s="3386">
        <v>46.09</v>
      </c>
      <c r="F178" s="3386">
        <v>17072</v>
      </c>
      <c r="G178" s="3386">
        <v>786848</v>
      </c>
      <c r="H178" s="3386">
        <v>42985</v>
      </c>
      <c r="I178" s="3386">
        <v>786848</v>
      </c>
    </row>
    <row r="179" spans="1:9">
      <c r="A179" s="3386" t="s">
        <v>4446</v>
      </c>
      <c r="B179" s="3386" t="s">
        <v>3055</v>
      </c>
      <c r="C179" s="3386" t="s">
        <v>3161</v>
      </c>
      <c r="D179" s="3386">
        <v>16</v>
      </c>
      <c r="E179" s="3386">
        <v>39.51</v>
      </c>
      <c r="F179" s="3386">
        <v>19800</v>
      </c>
      <c r="G179" s="3386">
        <v>782298</v>
      </c>
      <c r="H179" s="3386">
        <v>42906</v>
      </c>
      <c r="I179" s="3386">
        <v>392298</v>
      </c>
    </row>
    <row r="180" spans="1:9">
      <c r="A180" s="3386" t="s">
        <v>3814</v>
      </c>
      <c r="B180" s="3386" t="s">
        <v>3054</v>
      </c>
      <c r="C180" s="3386" t="s">
        <v>3161</v>
      </c>
      <c r="D180" s="3386">
        <v>16</v>
      </c>
      <c r="E180" s="3386">
        <v>45.46</v>
      </c>
      <c r="F180" s="3386">
        <v>17071.998237497246</v>
      </c>
      <c r="G180" s="3386">
        <v>776093</v>
      </c>
      <c r="H180" s="3386">
        <v>42978</v>
      </c>
      <c r="I180" s="3386">
        <v>776093</v>
      </c>
    </row>
    <row r="181" spans="1:9">
      <c r="A181" s="3386" t="s">
        <v>3813</v>
      </c>
      <c r="B181" s="3386" t="s">
        <v>3054</v>
      </c>
      <c r="C181" s="3386" t="s">
        <v>3161</v>
      </c>
      <c r="D181" s="3386">
        <v>15</v>
      </c>
      <c r="E181" s="3386">
        <v>46.7</v>
      </c>
      <c r="F181" s="3386">
        <v>17072.005988023953</v>
      </c>
      <c r="G181" s="3386">
        <v>797262</v>
      </c>
      <c r="H181" s="3386">
        <v>42978</v>
      </c>
      <c r="I181" s="3386">
        <v>797262</v>
      </c>
    </row>
    <row r="182" spans="1:9">
      <c r="A182" s="3386" t="s">
        <v>3812</v>
      </c>
      <c r="B182" s="3386" t="s">
        <v>3054</v>
      </c>
      <c r="C182" s="3386" t="s">
        <v>3161</v>
      </c>
      <c r="D182" s="3386">
        <v>13</v>
      </c>
      <c r="E182" s="3386">
        <v>46.09</v>
      </c>
      <c r="F182" s="3386">
        <v>17071.998256700805</v>
      </c>
      <c r="G182" s="3386">
        <v>786848</v>
      </c>
      <c r="H182" s="3386">
        <v>42978</v>
      </c>
      <c r="I182" s="3386">
        <v>786848</v>
      </c>
    </row>
    <row r="183" spans="1:9">
      <c r="A183" s="3386" t="s">
        <v>3811</v>
      </c>
      <c r="B183" s="3386" t="s">
        <v>3054</v>
      </c>
      <c r="C183" s="3386" t="s">
        <v>3161</v>
      </c>
      <c r="D183" s="3386">
        <v>12</v>
      </c>
      <c r="E183" s="3386">
        <v>46.08</v>
      </c>
      <c r="F183" s="3386">
        <v>17072</v>
      </c>
      <c r="G183" s="3386">
        <v>786678</v>
      </c>
      <c r="H183" s="3386">
        <v>42985</v>
      </c>
      <c r="I183" s="3386">
        <v>786678</v>
      </c>
    </row>
    <row r="184" spans="1:9">
      <c r="A184" s="3386" t="s">
        <v>5100</v>
      </c>
      <c r="B184" s="3386" t="s">
        <v>3056</v>
      </c>
      <c r="C184" s="3386" t="s">
        <v>3161</v>
      </c>
      <c r="D184" s="3386">
        <v>11</v>
      </c>
      <c r="E184" s="3386">
        <v>41.08</v>
      </c>
      <c r="F184" s="3386">
        <v>20085.004870000001</v>
      </c>
      <c r="G184" s="3386">
        <v>825092.00005959999</v>
      </c>
      <c r="H184" s="3386">
        <v>42870</v>
      </c>
      <c r="I184" s="3386">
        <v>415092</v>
      </c>
    </row>
    <row r="185" spans="1:9">
      <c r="A185" s="3386" t="s">
        <v>3810</v>
      </c>
      <c r="B185" s="3386" t="s">
        <v>3054</v>
      </c>
      <c r="C185" s="3386" t="s">
        <v>3161</v>
      </c>
      <c r="D185" s="3386">
        <v>11</v>
      </c>
      <c r="E185" s="3386">
        <v>45.46</v>
      </c>
      <c r="F185" s="3386">
        <v>17072</v>
      </c>
      <c r="G185" s="3386">
        <v>776093</v>
      </c>
      <c r="H185" s="3386">
        <v>42985</v>
      </c>
      <c r="I185" s="3386">
        <v>776093</v>
      </c>
    </row>
    <row r="186" spans="1:9">
      <c r="A186" s="3386" t="s">
        <v>5099</v>
      </c>
      <c r="B186" s="3386" t="s">
        <v>3056</v>
      </c>
      <c r="C186" s="3386" t="s">
        <v>3161</v>
      </c>
      <c r="D186" s="3386">
        <v>10</v>
      </c>
      <c r="E186" s="3386">
        <v>44.6</v>
      </c>
      <c r="F186" s="3386">
        <v>18540</v>
      </c>
      <c r="G186" s="3386">
        <v>826884</v>
      </c>
      <c r="H186" s="3386">
        <v>42993</v>
      </c>
      <c r="I186" s="3386">
        <v>826884</v>
      </c>
    </row>
    <row r="187" spans="1:9">
      <c r="A187" s="3386" t="s">
        <v>4437</v>
      </c>
      <c r="B187" s="3386" t="s">
        <v>3055</v>
      </c>
      <c r="C187" s="3386" t="s">
        <v>3161</v>
      </c>
      <c r="D187" s="3386">
        <v>6</v>
      </c>
      <c r="E187" s="3386">
        <v>38.96</v>
      </c>
      <c r="F187" s="3386">
        <v>21300</v>
      </c>
      <c r="G187" s="3386">
        <v>829848</v>
      </c>
      <c r="H187" s="3386">
        <v>43006</v>
      </c>
      <c r="I187" s="3386">
        <v>829848</v>
      </c>
    </row>
    <row r="188" spans="1:9">
      <c r="A188" s="3386" t="s">
        <v>5098</v>
      </c>
      <c r="B188" s="3386" t="s">
        <v>3056</v>
      </c>
      <c r="C188" s="3386" t="s">
        <v>3161</v>
      </c>
      <c r="D188" s="3386">
        <v>2</v>
      </c>
      <c r="E188" s="3386">
        <v>67.739999999999995</v>
      </c>
      <c r="F188" s="3386">
        <v>28119</v>
      </c>
      <c r="G188" s="3386">
        <v>1904781.0599999998</v>
      </c>
      <c r="H188" s="3386">
        <v>42850</v>
      </c>
      <c r="I188" s="3386">
        <v>954781</v>
      </c>
    </row>
    <row r="189" spans="1:9">
      <c r="A189" s="3386" t="s">
        <v>4435</v>
      </c>
      <c r="B189" s="3386" t="s">
        <v>3055</v>
      </c>
      <c r="C189" s="3386" t="s">
        <v>3161</v>
      </c>
      <c r="D189" s="3386">
        <v>2</v>
      </c>
      <c r="E189" s="3386">
        <v>43.29</v>
      </c>
      <c r="F189" s="3386">
        <v>22610.00231</v>
      </c>
      <c r="G189" s="3386">
        <v>978786.9999999</v>
      </c>
      <c r="H189" s="3386">
        <v>42880</v>
      </c>
      <c r="I189" s="3386">
        <v>498787</v>
      </c>
    </row>
    <row r="190" spans="1:9">
      <c r="A190" s="3386" t="s">
        <v>4434</v>
      </c>
      <c r="B190" s="3386" t="s">
        <v>3055</v>
      </c>
      <c r="C190" s="3386" t="s">
        <v>3161</v>
      </c>
      <c r="D190" s="3386">
        <v>1</v>
      </c>
      <c r="E190" s="3386">
        <v>36.799999999999997</v>
      </c>
      <c r="F190" s="3386">
        <v>20737.554349999999</v>
      </c>
      <c r="G190" s="3386">
        <v>763142.00007999991</v>
      </c>
      <c r="H190" s="3386">
        <v>42880</v>
      </c>
      <c r="I190" s="3386">
        <v>383142</v>
      </c>
    </row>
  </sheetData>
  <autoFilter ref="A1:I190">
    <filterColumn colId="1">
      <filters>
        <filter val="6A"/>
        <filter val="6B"/>
        <filter val="7A"/>
      </filters>
    </filterColumn>
  </autoFilter>
  <sortState ref="A2:I190">
    <sortCondition descending="1" ref="A1"/>
  </sortState>
  <phoneticPr fontId="143" type="noConversion"/>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65"/>
  <sheetViews>
    <sheetView workbookViewId="0">
      <selection sqref="A1:XFD1048576"/>
    </sheetView>
  </sheetViews>
  <sheetFormatPr defaultRowHeight="13.5"/>
  <cols>
    <col min="1" max="3" width="9" style="3386"/>
    <col min="4" max="5" width="9.125" style="3386" bestFit="1" customWidth="1"/>
    <col min="6" max="6" width="10.5" style="3386" bestFit="1" customWidth="1"/>
    <col min="7" max="7" width="12.75" style="3386" bestFit="1" customWidth="1"/>
    <col min="8" max="8" width="10.5" style="3386" bestFit="1" customWidth="1"/>
    <col min="9" max="9" width="12.75" style="3386" bestFit="1" customWidth="1"/>
    <col min="10" max="16384" width="9" style="3386"/>
  </cols>
  <sheetData>
    <row r="1" spans="1:9">
      <c r="A1" s="3386" t="s">
        <v>3132</v>
      </c>
      <c r="B1" s="3386" t="s">
        <v>3133</v>
      </c>
      <c r="C1" s="3386" t="s">
        <v>3134</v>
      </c>
      <c r="D1" s="3386" t="s">
        <v>3132</v>
      </c>
      <c r="E1" s="3386" t="s">
        <v>7075</v>
      </c>
      <c r="F1" s="3386" t="s">
        <v>3137</v>
      </c>
      <c r="G1" s="3386" t="s">
        <v>7076</v>
      </c>
      <c r="H1" s="3386" t="s">
        <v>7077</v>
      </c>
      <c r="I1" s="3386" t="s">
        <v>7078</v>
      </c>
    </row>
    <row r="2" spans="1:9">
      <c r="A2" s="3386" t="s">
        <v>3978</v>
      </c>
      <c r="B2" s="3386" t="s">
        <v>3054</v>
      </c>
      <c r="C2" s="3386" t="s">
        <v>3168</v>
      </c>
      <c r="D2" s="3386">
        <v>47</v>
      </c>
      <c r="E2" s="3386">
        <v>48.03</v>
      </c>
      <c r="F2" s="3386">
        <v>13386</v>
      </c>
      <c r="G2" s="3386">
        <v>642930</v>
      </c>
      <c r="H2" s="3386">
        <v>43006</v>
      </c>
      <c r="I2" s="3386">
        <v>642930</v>
      </c>
    </row>
    <row r="3" spans="1:9">
      <c r="A3" s="3386" t="s">
        <v>4720</v>
      </c>
      <c r="B3" s="3386" t="s">
        <v>3055</v>
      </c>
      <c r="C3" s="3386" t="s">
        <v>3168</v>
      </c>
      <c r="D3" s="3386">
        <v>205</v>
      </c>
      <c r="E3" s="3386">
        <v>68</v>
      </c>
      <c r="F3" s="3386">
        <v>18236</v>
      </c>
      <c r="G3" s="3386">
        <v>1240048</v>
      </c>
      <c r="H3" s="3386">
        <v>43003</v>
      </c>
      <c r="I3" s="3386">
        <v>1240048</v>
      </c>
    </row>
    <row r="4" spans="1:9">
      <c r="A4" s="3386" t="s">
        <v>4730</v>
      </c>
      <c r="B4" s="3386" t="s">
        <v>3055</v>
      </c>
      <c r="C4" s="3386" t="s">
        <v>3168</v>
      </c>
      <c r="D4" s="3386">
        <v>218</v>
      </c>
      <c r="E4" s="3386">
        <v>38.83</v>
      </c>
      <c r="F4" s="3386">
        <v>15710.14</v>
      </c>
      <c r="G4" s="3386">
        <v>610025</v>
      </c>
      <c r="H4" s="3386">
        <v>43002</v>
      </c>
      <c r="I4" s="3386">
        <v>610025</v>
      </c>
    </row>
    <row r="5" spans="1:9">
      <c r="A5" s="3386" t="s">
        <v>4735</v>
      </c>
      <c r="B5" s="3386" t="s">
        <v>3055</v>
      </c>
      <c r="C5" s="3386" t="s">
        <v>3168</v>
      </c>
      <c r="D5" s="3386">
        <v>228</v>
      </c>
      <c r="E5" s="3386">
        <v>38.81</v>
      </c>
      <c r="F5" s="3386">
        <v>16168.98</v>
      </c>
      <c r="G5" s="3386">
        <v>627518</v>
      </c>
      <c r="H5" s="3386">
        <v>43002</v>
      </c>
      <c r="I5" s="3386">
        <v>627518</v>
      </c>
    </row>
    <row r="6" spans="1:9">
      <c r="A6" s="3386" t="s">
        <v>4733</v>
      </c>
      <c r="B6" s="3386" t="s">
        <v>3055</v>
      </c>
      <c r="C6" s="3386" t="s">
        <v>3168</v>
      </c>
      <c r="D6" s="3386">
        <v>225</v>
      </c>
      <c r="E6" s="3386">
        <v>38.799999999999997</v>
      </c>
      <c r="F6" s="3386">
        <v>16040.89</v>
      </c>
      <c r="G6" s="3386">
        <v>622387</v>
      </c>
      <c r="H6" s="3386">
        <v>42999</v>
      </c>
      <c r="I6" s="3386">
        <v>622387</v>
      </c>
    </row>
    <row r="7" spans="1:9">
      <c r="A7" s="3386" t="s">
        <v>4734</v>
      </c>
      <c r="B7" s="3386" t="s">
        <v>3055</v>
      </c>
      <c r="C7" s="3386" t="s">
        <v>3168</v>
      </c>
      <c r="D7" s="3386">
        <v>226</v>
      </c>
      <c r="E7" s="3386">
        <v>38.81</v>
      </c>
      <c r="F7" s="3386">
        <v>16040.9</v>
      </c>
      <c r="G7" s="3386">
        <v>622547</v>
      </c>
      <c r="H7" s="3386">
        <v>42999</v>
      </c>
      <c r="I7" s="3386">
        <v>622547</v>
      </c>
    </row>
    <row r="8" spans="1:9">
      <c r="A8" s="3386" t="s">
        <v>4741</v>
      </c>
      <c r="B8" s="3386" t="s">
        <v>3055</v>
      </c>
      <c r="C8" s="3386" t="s">
        <v>3168</v>
      </c>
      <c r="D8" s="3386">
        <v>235</v>
      </c>
      <c r="E8" s="3386">
        <v>38.770000000000003</v>
      </c>
      <c r="F8" s="3386">
        <v>16537</v>
      </c>
      <c r="G8" s="3386">
        <v>641139</v>
      </c>
      <c r="H8" s="3386">
        <v>42999</v>
      </c>
      <c r="I8" s="3386">
        <v>641139</v>
      </c>
    </row>
    <row r="9" spans="1:9">
      <c r="A9" s="3386" t="s">
        <v>4039</v>
      </c>
      <c r="B9" s="3386" t="s">
        <v>3054</v>
      </c>
      <c r="C9" s="3386" t="s">
        <v>3168</v>
      </c>
      <c r="D9" s="3386">
        <v>200</v>
      </c>
      <c r="E9" s="3386">
        <v>44.66</v>
      </c>
      <c r="F9" s="3386">
        <v>13800</v>
      </c>
      <c r="G9" s="3386">
        <v>616308</v>
      </c>
      <c r="H9" s="3386">
        <v>42998</v>
      </c>
      <c r="I9" s="3386">
        <v>616308</v>
      </c>
    </row>
    <row r="10" spans="1:9">
      <c r="A10" s="3386" t="s">
        <v>4052</v>
      </c>
      <c r="B10" s="3386" t="s">
        <v>3054</v>
      </c>
      <c r="C10" s="3386" t="s">
        <v>3168</v>
      </c>
      <c r="D10" s="3386">
        <v>226</v>
      </c>
      <c r="E10" s="3386">
        <v>36.15</v>
      </c>
      <c r="F10" s="3386">
        <v>13800</v>
      </c>
      <c r="G10" s="3386">
        <v>498870</v>
      </c>
      <c r="H10" s="3386">
        <v>42998</v>
      </c>
      <c r="I10" s="3386">
        <v>498870</v>
      </c>
    </row>
    <row r="11" spans="1:9">
      <c r="A11" s="3386" t="s">
        <v>4053</v>
      </c>
      <c r="B11" s="3386" t="s">
        <v>3054</v>
      </c>
      <c r="C11" s="3386" t="s">
        <v>3168</v>
      </c>
      <c r="D11" s="3386">
        <v>227</v>
      </c>
      <c r="E11" s="3386">
        <v>37.43</v>
      </c>
      <c r="F11" s="3386">
        <v>13800</v>
      </c>
      <c r="G11" s="3386">
        <v>516534</v>
      </c>
      <c r="H11" s="3386">
        <v>42998</v>
      </c>
      <c r="I11" s="3386">
        <v>516534</v>
      </c>
    </row>
    <row r="12" spans="1:9">
      <c r="A12" s="3386" t="s">
        <v>4054</v>
      </c>
      <c r="B12" s="3386" t="s">
        <v>3054</v>
      </c>
      <c r="C12" s="3386" t="s">
        <v>3168</v>
      </c>
      <c r="D12" s="3386">
        <v>228</v>
      </c>
      <c r="E12" s="3386">
        <v>38.700000000000003</v>
      </c>
      <c r="F12" s="3386">
        <v>13800</v>
      </c>
      <c r="G12" s="3386">
        <v>534060</v>
      </c>
      <c r="H12" s="3386">
        <v>42998</v>
      </c>
      <c r="I12" s="3386">
        <v>534060</v>
      </c>
    </row>
    <row r="13" spans="1:9">
      <c r="A13" s="3386" t="s">
        <v>4055</v>
      </c>
      <c r="B13" s="3386" t="s">
        <v>3054</v>
      </c>
      <c r="C13" s="3386" t="s">
        <v>3168</v>
      </c>
      <c r="D13" s="3386">
        <v>229</v>
      </c>
      <c r="E13" s="3386">
        <v>39.97</v>
      </c>
      <c r="F13" s="3386">
        <v>13800</v>
      </c>
      <c r="G13" s="3386">
        <v>551586</v>
      </c>
      <c r="H13" s="3386">
        <v>42998</v>
      </c>
      <c r="I13" s="3386">
        <v>551586</v>
      </c>
    </row>
    <row r="14" spans="1:9">
      <c r="A14" s="3386" t="s">
        <v>4056</v>
      </c>
      <c r="B14" s="3386" t="s">
        <v>3054</v>
      </c>
      <c r="C14" s="3386" t="s">
        <v>3168</v>
      </c>
      <c r="D14" s="3386">
        <v>230</v>
      </c>
      <c r="E14" s="3386">
        <v>41.83</v>
      </c>
      <c r="F14" s="3386">
        <v>13386.01</v>
      </c>
      <c r="G14" s="3386">
        <v>559936</v>
      </c>
      <c r="H14" s="3386">
        <v>42998</v>
      </c>
      <c r="I14" s="3386">
        <v>559936</v>
      </c>
    </row>
    <row r="15" spans="1:9">
      <c r="A15" s="3386" t="s">
        <v>4057</v>
      </c>
      <c r="B15" s="3386" t="s">
        <v>3054</v>
      </c>
      <c r="C15" s="3386" t="s">
        <v>3168</v>
      </c>
      <c r="D15" s="3386">
        <v>231</v>
      </c>
      <c r="E15" s="3386">
        <v>42.47</v>
      </c>
      <c r="F15" s="3386">
        <v>13386</v>
      </c>
      <c r="G15" s="3386">
        <v>568503</v>
      </c>
      <c r="H15" s="3386">
        <v>42998</v>
      </c>
      <c r="I15" s="3386">
        <v>568503</v>
      </c>
    </row>
    <row r="16" spans="1:9">
      <c r="A16" s="3386" t="s">
        <v>5269</v>
      </c>
      <c r="B16" s="3386" t="s">
        <v>3056</v>
      </c>
      <c r="C16" s="3386" t="s">
        <v>3168</v>
      </c>
      <c r="D16" s="3386">
        <v>15</v>
      </c>
      <c r="E16" s="3386">
        <v>64.61</v>
      </c>
      <c r="F16" s="3386">
        <v>21900</v>
      </c>
      <c r="G16" s="3386">
        <v>1414959</v>
      </c>
      <c r="H16" s="3386">
        <v>42997</v>
      </c>
      <c r="I16" s="3386">
        <v>434959</v>
      </c>
    </row>
    <row r="17" spans="1:9">
      <c r="A17" s="3386" t="s">
        <v>4703</v>
      </c>
      <c r="B17" s="3386" t="s">
        <v>3055</v>
      </c>
      <c r="C17" s="3386" t="s">
        <v>3168</v>
      </c>
      <c r="D17" s="3386">
        <v>180</v>
      </c>
      <c r="E17" s="3386">
        <v>47.05</v>
      </c>
      <c r="F17" s="3386">
        <v>13677</v>
      </c>
      <c r="G17" s="3386">
        <v>643503</v>
      </c>
      <c r="H17" s="3386">
        <v>42995</v>
      </c>
      <c r="I17" s="3386">
        <v>643503</v>
      </c>
    </row>
    <row r="18" spans="1:9">
      <c r="A18" s="3386" t="s">
        <v>4058</v>
      </c>
      <c r="B18" s="3386" t="s">
        <v>3054</v>
      </c>
      <c r="C18" s="3386" t="s">
        <v>3168</v>
      </c>
      <c r="D18" s="3386">
        <v>239</v>
      </c>
      <c r="E18" s="3386">
        <v>42.78</v>
      </c>
      <c r="F18" s="3386">
        <v>13386</v>
      </c>
      <c r="G18" s="3386">
        <v>572653</v>
      </c>
      <c r="H18" s="3386">
        <v>42993</v>
      </c>
      <c r="I18" s="3386">
        <v>572653</v>
      </c>
    </row>
    <row r="19" spans="1:9">
      <c r="A19" s="3386" t="s">
        <v>4705</v>
      </c>
      <c r="B19" s="3386" t="s">
        <v>3055</v>
      </c>
      <c r="C19" s="3386" t="s">
        <v>3168</v>
      </c>
      <c r="D19" s="3386">
        <v>187</v>
      </c>
      <c r="E19" s="3386">
        <v>45.48</v>
      </c>
      <c r="F19" s="3386">
        <v>13948.6</v>
      </c>
      <c r="G19" s="3386">
        <v>634382</v>
      </c>
      <c r="H19" s="3386">
        <v>42993</v>
      </c>
      <c r="I19" s="3386">
        <v>634382</v>
      </c>
    </row>
    <row r="20" spans="1:9">
      <c r="A20" s="3386" t="s">
        <v>4744</v>
      </c>
      <c r="B20" s="3386" t="s">
        <v>3055</v>
      </c>
      <c r="C20" s="3386" t="s">
        <v>3168</v>
      </c>
      <c r="D20" s="3386">
        <v>240</v>
      </c>
      <c r="E20" s="3386">
        <v>38.85</v>
      </c>
      <c r="F20" s="3386">
        <v>16537</v>
      </c>
      <c r="G20" s="3386">
        <v>642462</v>
      </c>
      <c r="H20" s="3386">
        <v>42992</v>
      </c>
      <c r="I20" s="3386">
        <v>642462</v>
      </c>
    </row>
    <row r="21" spans="1:9">
      <c r="A21" s="3386" t="s">
        <v>5262</v>
      </c>
      <c r="B21" s="3386" t="s">
        <v>3056</v>
      </c>
      <c r="C21" s="3386" t="s">
        <v>3168</v>
      </c>
      <c r="D21" s="3386">
        <v>7</v>
      </c>
      <c r="E21" s="3386">
        <v>71.23</v>
      </c>
      <c r="F21" s="3386">
        <v>20111.97</v>
      </c>
      <c r="G21" s="3386">
        <v>1432576</v>
      </c>
      <c r="H21" s="3386">
        <v>42992</v>
      </c>
      <c r="I21" s="3386">
        <v>1432576</v>
      </c>
    </row>
    <row r="22" spans="1:9">
      <c r="A22" s="3386" t="s">
        <v>3989</v>
      </c>
      <c r="B22" s="3386" t="s">
        <v>3054</v>
      </c>
      <c r="C22" s="3386" t="s">
        <v>3168</v>
      </c>
      <c r="D22" s="3386">
        <v>59</v>
      </c>
      <c r="E22" s="3386">
        <v>31.32</v>
      </c>
      <c r="F22" s="3386">
        <v>13800</v>
      </c>
      <c r="G22" s="3386">
        <v>432216</v>
      </c>
      <c r="H22" s="3386">
        <v>42991</v>
      </c>
      <c r="I22" s="3386">
        <v>432216</v>
      </c>
    </row>
    <row r="23" spans="1:9">
      <c r="A23" s="3386" t="s">
        <v>4644</v>
      </c>
      <c r="B23" s="3386" t="s">
        <v>3055</v>
      </c>
      <c r="C23" s="3386" t="s">
        <v>3168</v>
      </c>
      <c r="D23" s="3386">
        <v>89</v>
      </c>
      <c r="E23" s="3386">
        <v>43.76</v>
      </c>
      <c r="F23" s="3386">
        <v>13677</v>
      </c>
      <c r="G23" s="3386">
        <v>598506</v>
      </c>
      <c r="H23" s="3386">
        <v>42991</v>
      </c>
      <c r="I23" s="3386">
        <v>598506</v>
      </c>
    </row>
    <row r="24" spans="1:9">
      <c r="A24" s="3386" t="s">
        <v>4645</v>
      </c>
      <c r="B24" s="3386" t="s">
        <v>3055</v>
      </c>
      <c r="C24" s="3386" t="s">
        <v>3168</v>
      </c>
      <c r="D24" s="3386">
        <v>90</v>
      </c>
      <c r="E24" s="3386">
        <v>48.13</v>
      </c>
      <c r="F24" s="3386">
        <v>13677</v>
      </c>
      <c r="G24" s="3386">
        <v>658274</v>
      </c>
      <c r="H24" s="3386">
        <v>42991</v>
      </c>
      <c r="I24" s="3386">
        <v>658274</v>
      </c>
    </row>
    <row r="25" spans="1:9">
      <c r="A25" s="3386" t="s">
        <v>4016</v>
      </c>
      <c r="B25" s="3386" t="s">
        <v>3054</v>
      </c>
      <c r="C25" s="3386" t="s">
        <v>3168</v>
      </c>
      <c r="D25" s="3386">
        <v>170</v>
      </c>
      <c r="E25" s="3386">
        <v>80.510000000000005</v>
      </c>
      <c r="F25" s="3386">
        <v>18527</v>
      </c>
      <c r="G25" s="3386">
        <v>1491609</v>
      </c>
      <c r="H25" s="3386">
        <v>42990</v>
      </c>
      <c r="I25" s="3386">
        <v>1491609</v>
      </c>
    </row>
    <row r="26" spans="1:9">
      <c r="A26" s="3386" t="s">
        <v>4035</v>
      </c>
      <c r="B26" s="3386" t="s">
        <v>3054</v>
      </c>
      <c r="C26" s="3386" t="s">
        <v>3168</v>
      </c>
      <c r="D26" s="3386">
        <v>193</v>
      </c>
      <c r="E26" s="3386">
        <v>49.63</v>
      </c>
      <c r="F26" s="3386">
        <v>13386</v>
      </c>
      <c r="G26" s="3386">
        <v>664347</v>
      </c>
      <c r="H26" s="3386">
        <v>42990</v>
      </c>
      <c r="I26" s="3386">
        <v>664347</v>
      </c>
    </row>
    <row r="27" spans="1:9">
      <c r="A27" s="3386" t="s">
        <v>4036</v>
      </c>
      <c r="B27" s="3386" t="s">
        <v>3054</v>
      </c>
      <c r="C27" s="3386" t="s">
        <v>3168</v>
      </c>
      <c r="D27" s="3386">
        <v>195</v>
      </c>
      <c r="E27" s="3386">
        <v>45.11</v>
      </c>
      <c r="F27" s="3386">
        <v>13386</v>
      </c>
      <c r="G27" s="3386">
        <v>603842</v>
      </c>
      <c r="H27" s="3386">
        <v>42990</v>
      </c>
      <c r="I27" s="3386">
        <v>603842</v>
      </c>
    </row>
    <row r="28" spans="1:9">
      <c r="A28" s="3386" t="s">
        <v>4037</v>
      </c>
      <c r="B28" s="3386" t="s">
        <v>3054</v>
      </c>
      <c r="C28" s="3386" t="s">
        <v>3168</v>
      </c>
      <c r="D28" s="3386">
        <v>196</v>
      </c>
      <c r="E28" s="3386">
        <v>41.54</v>
      </c>
      <c r="F28" s="3386">
        <v>13386</v>
      </c>
      <c r="G28" s="3386">
        <v>556054</v>
      </c>
      <c r="H28" s="3386">
        <v>42990</v>
      </c>
      <c r="I28" s="3386">
        <v>556054</v>
      </c>
    </row>
    <row r="29" spans="1:9">
      <c r="A29" s="3386" t="s">
        <v>4038</v>
      </c>
      <c r="B29" s="3386" t="s">
        <v>3054</v>
      </c>
      <c r="C29" s="3386" t="s">
        <v>3168</v>
      </c>
      <c r="D29" s="3386">
        <v>197</v>
      </c>
      <c r="E29" s="3386">
        <v>51.31</v>
      </c>
      <c r="F29" s="3386">
        <v>13677</v>
      </c>
      <c r="G29" s="3386">
        <v>701767</v>
      </c>
      <c r="H29" s="3386">
        <v>42990</v>
      </c>
      <c r="I29" s="3386">
        <v>701767</v>
      </c>
    </row>
    <row r="30" spans="1:9">
      <c r="A30" s="3386" t="s">
        <v>4048</v>
      </c>
      <c r="B30" s="3386" t="s">
        <v>3054</v>
      </c>
      <c r="C30" s="3386" t="s">
        <v>3168</v>
      </c>
      <c r="D30" s="3386">
        <v>219</v>
      </c>
      <c r="E30" s="3386">
        <v>35.93</v>
      </c>
      <c r="F30" s="3386">
        <v>18527</v>
      </c>
      <c r="G30" s="3386">
        <v>665675</v>
      </c>
      <c r="H30" s="3386">
        <v>42990</v>
      </c>
      <c r="I30" s="3386">
        <v>665675</v>
      </c>
    </row>
    <row r="31" spans="1:9">
      <c r="A31" s="3386" t="s">
        <v>4743</v>
      </c>
      <c r="B31" s="3386" t="s">
        <v>3055</v>
      </c>
      <c r="C31" s="3386" t="s">
        <v>3168</v>
      </c>
      <c r="D31" s="3386">
        <v>239</v>
      </c>
      <c r="E31" s="3386">
        <v>38.79</v>
      </c>
      <c r="F31" s="3386">
        <v>16040.89</v>
      </c>
      <c r="G31" s="3386">
        <v>622226</v>
      </c>
      <c r="H31" s="3386">
        <v>42989</v>
      </c>
      <c r="I31" s="3386">
        <v>622226</v>
      </c>
    </row>
    <row r="32" spans="1:9">
      <c r="A32" s="3386" t="s">
        <v>5258</v>
      </c>
      <c r="B32" s="3386" t="s">
        <v>3056</v>
      </c>
      <c r="C32" s="3386" t="s">
        <v>3168</v>
      </c>
      <c r="D32" s="3386">
        <v>2</v>
      </c>
      <c r="E32" s="3386">
        <v>21</v>
      </c>
      <c r="F32" s="3386">
        <v>19931</v>
      </c>
      <c r="G32" s="3386">
        <v>418551</v>
      </c>
      <c r="H32" s="3386">
        <v>42989</v>
      </c>
      <c r="I32" s="3386">
        <v>418551</v>
      </c>
    </row>
    <row r="33" spans="1:9">
      <c r="A33" s="3386" t="s">
        <v>5274</v>
      </c>
      <c r="B33" s="3386" t="s">
        <v>3056</v>
      </c>
      <c r="C33" s="3386" t="s">
        <v>3168</v>
      </c>
      <c r="D33" s="3386">
        <v>22</v>
      </c>
      <c r="E33" s="3386">
        <v>28.71</v>
      </c>
      <c r="F33" s="3386">
        <v>14300</v>
      </c>
      <c r="G33" s="3386">
        <v>410553</v>
      </c>
      <c r="H33" s="3386">
        <v>42989</v>
      </c>
      <c r="I33" s="3386">
        <v>410553</v>
      </c>
    </row>
    <row r="34" spans="1:9">
      <c r="A34" s="3386" t="s">
        <v>4046</v>
      </c>
      <c r="B34" s="3386" t="s">
        <v>3054</v>
      </c>
      <c r="C34" s="3386" t="s">
        <v>3168</v>
      </c>
      <c r="D34" s="3386">
        <v>209</v>
      </c>
      <c r="E34" s="3386">
        <v>50.32</v>
      </c>
      <c r="F34" s="3386">
        <v>18800</v>
      </c>
      <c r="G34" s="3386">
        <v>946016</v>
      </c>
      <c r="H34" s="3386">
        <v>42988</v>
      </c>
      <c r="I34" s="3386">
        <v>946016</v>
      </c>
    </row>
    <row r="35" spans="1:9">
      <c r="A35" s="3386" t="s">
        <v>4736</v>
      </c>
      <c r="B35" s="3386" t="s">
        <v>3055</v>
      </c>
      <c r="C35" s="3386" t="s">
        <v>3168</v>
      </c>
      <c r="D35" s="3386">
        <v>229</v>
      </c>
      <c r="E35" s="3386">
        <v>38.83</v>
      </c>
      <c r="F35" s="3386">
        <v>16169.01</v>
      </c>
      <c r="G35" s="3386">
        <v>627843</v>
      </c>
      <c r="H35" s="3386">
        <v>42988</v>
      </c>
      <c r="I35" s="3386">
        <v>627843</v>
      </c>
    </row>
    <row r="36" spans="1:9">
      <c r="A36" s="3386" t="s">
        <v>4737</v>
      </c>
      <c r="B36" s="3386" t="s">
        <v>3055</v>
      </c>
      <c r="C36" s="3386" t="s">
        <v>3168</v>
      </c>
      <c r="D36" s="3386">
        <v>230</v>
      </c>
      <c r="E36" s="3386">
        <v>38.79</v>
      </c>
      <c r="F36" s="3386">
        <v>15710.15</v>
      </c>
      <c r="G36" s="3386">
        <v>609397</v>
      </c>
      <c r="H36" s="3386">
        <v>42988</v>
      </c>
      <c r="I36" s="3386">
        <v>609397</v>
      </c>
    </row>
    <row r="37" spans="1:9">
      <c r="A37" s="3386" t="s">
        <v>3962</v>
      </c>
      <c r="B37" s="3386" t="s">
        <v>3054</v>
      </c>
      <c r="C37" s="3386" t="s">
        <v>3168</v>
      </c>
      <c r="D37" s="3386">
        <v>12</v>
      </c>
      <c r="E37" s="3386">
        <v>46.09</v>
      </c>
      <c r="F37" s="3386">
        <v>13386</v>
      </c>
      <c r="G37" s="3386">
        <v>616961</v>
      </c>
      <c r="H37" s="3386">
        <v>42987</v>
      </c>
      <c r="I37" s="3386">
        <v>616961</v>
      </c>
    </row>
    <row r="38" spans="1:9">
      <c r="A38" s="3386" t="s">
        <v>5292</v>
      </c>
      <c r="B38" s="3386" t="s">
        <v>3056</v>
      </c>
      <c r="C38" s="3386" t="s">
        <v>3168</v>
      </c>
      <c r="D38" s="3386">
        <v>145</v>
      </c>
      <c r="E38" s="3386">
        <v>49.97</v>
      </c>
      <c r="F38" s="3386">
        <v>14724.59</v>
      </c>
      <c r="G38" s="3386">
        <v>735788</v>
      </c>
      <c r="H38" s="3386">
        <v>42987</v>
      </c>
      <c r="I38" s="3386">
        <v>735788</v>
      </c>
    </row>
    <row r="39" spans="1:9">
      <c r="A39" s="3386" t="s">
        <v>4684</v>
      </c>
      <c r="B39" s="3386" t="s">
        <v>3055</v>
      </c>
      <c r="C39" s="3386" t="s">
        <v>3168</v>
      </c>
      <c r="D39" s="3386">
        <v>152</v>
      </c>
      <c r="E39" s="3386">
        <v>57.82</v>
      </c>
      <c r="F39" s="3386">
        <v>13677.01</v>
      </c>
      <c r="G39" s="3386">
        <v>790804</v>
      </c>
      <c r="H39" s="3386">
        <v>42986</v>
      </c>
      <c r="I39" s="3386">
        <v>790804</v>
      </c>
    </row>
    <row r="40" spans="1:9">
      <c r="A40" s="3386" t="s">
        <v>4685</v>
      </c>
      <c r="B40" s="3386" t="s">
        <v>3055</v>
      </c>
      <c r="C40" s="3386" t="s">
        <v>3168</v>
      </c>
      <c r="D40" s="3386">
        <v>153</v>
      </c>
      <c r="E40" s="3386">
        <v>63.14</v>
      </c>
      <c r="F40" s="3386">
        <v>14800</v>
      </c>
      <c r="G40" s="3386">
        <v>934472</v>
      </c>
      <c r="H40" s="3386">
        <v>42986</v>
      </c>
      <c r="I40" s="3386">
        <v>934472</v>
      </c>
    </row>
    <row r="41" spans="1:9">
      <c r="A41" s="3386" t="s">
        <v>4708</v>
      </c>
      <c r="B41" s="3386" t="s">
        <v>3055</v>
      </c>
      <c r="C41" s="3386" t="s">
        <v>3168</v>
      </c>
      <c r="D41" s="3386">
        <v>190</v>
      </c>
      <c r="E41" s="3386">
        <v>26.92</v>
      </c>
      <c r="F41" s="3386">
        <v>15379.41</v>
      </c>
      <c r="G41" s="3386">
        <v>414014</v>
      </c>
      <c r="H41" s="3386">
        <v>42986</v>
      </c>
      <c r="I41" s="3386">
        <v>414014</v>
      </c>
    </row>
    <row r="42" spans="1:9">
      <c r="A42" s="3386" t="s">
        <v>4717</v>
      </c>
      <c r="B42" s="3386" t="s">
        <v>3055</v>
      </c>
      <c r="C42" s="3386" t="s">
        <v>3168</v>
      </c>
      <c r="D42" s="3386">
        <v>201</v>
      </c>
      <c r="E42" s="3386">
        <v>72</v>
      </c>
      <c r="F42" s="3386">
        <v>20058.3</v>
      </c>
      <c r="G42" s="3386">
        <v>1444198</v>
      </c>
      <c r="H42" s="3386">
        <v>42986</v>
      </c>
      <c r="I42" s="3386">
        <v>1444198</v>
      </c>
    </row>
    <row r="43" spans="1:9">
      <c r="A43" s="3386" t="s">
        <v>4728</v>
      </c>
      <c r="B43" s="3386" t="s">
        <v>3055</v>
      </c>
      <c r="C43" s="3386" t="s">
        <v>3168</v>
      </c>
      <c r="D43" s="3386">
        <v>213</v>
      </c>
      <c r="E43" s="3386">
        <v>36.86</v>
      </c>
      <c r="F43" s="3386">
        <v>20726.91</v>
      </c>
      <c r="G43" s="3386">
        <v>763994</v>
      </c>
      <c r="H43" s="3386">
        <v>42986</v>
      </c>
      <c r="I43" s="3386">
        <v>763994</v>
      </c>
    </row>
    <row r="44" spans="1:9">
      <c r="A44" s="3386" t="s">
        <v>4742</v>
      </c>
      <c r="B44" s="3386" t="s">
        <v>3055</v>
      </c>
      <c r="C44" s="3386" t="s">
        <v>3168</v>
      </c>
      <c r="D44" s="3386">
        <v>236</v>
      </c>
      <c r="E44" s="3386">
        <v>38.799999999999997</v>
      </c>
      <c r="F44" s="3386">
        <v>16537</v>
      </c>
      <c r="G44" s="3386">
        <v>641636</v>
      </c>
      <c r="H44" s="3386">
        <v>42986</v>
      </c>
      <c r="I44" s="3386">
        <v>641636</v>
      </c>
    </row>
    <row r="45" spans="1:9">
      <c r="A45" s="3386" t="s">
        <v>4648</v>
      </c>
      <c r="B45" s="3386" t="s">
        <v>3055</v>
      </c>
      <c r="C45" s="3386" t="s">
        <v>3168</v>
      </c>
      <c r="D45" s="3386">
        <v>97</v>
      </c>
      <c r="E45" s="3386">
        <v>15.38</v>
      </c>
      <c r="F45" s="3386">
        <v>16537</v>
      </c>
      <c r="G45" s="3386">
        <v>254339</v>
      </c>
      <c r="H45" s="3386">
        <v>42985</v>
      </c>
      <c r="I45" s="3386">
        <v>254339</v>
      </c>
    </row>
    <row r="46" spans="1:9">
      <c r="A46" s="3386" t="s">
        <v>4731</v>
      </c>
      <c r="B46" s="3386" t="s">
        <v>3055</v>
      </c>
      <c r="C46" s="3386" t="s">
        <v>3168</v>
      </c>
      <c r="D46" s="3386">
        <v>219</v>
      </c>
      <c r="E46" s="3386">
        <v>38.79</v>
      </c>
      <c r="F46" s="3386">
        <v>15710.16</v>
      </c>
      <c r="G46" s="3386">
        <v>609397</v>
      </c>
      <c r="H46" s="3386">
        <v>42985</v>
      </c>
      <c r="I46" s="3386">
        <v>609397</v>
      </c>
    </row>
    <row r="47" spans="1:9">
      <c r="A47" s="3386" t="s">
        <v>4639</v>
      </c>
      <c r="B47" s="3386" t="s">
        <v>3055</v>
      </c>
      <c r="C47" s="3386" t="s">
        <v>3168</v>
      </c>
      <c r="D47" s="3386">
        <v>83</v>
      </c>
      <c r="E47" s="3386">
        <v>24.35</v>
      </c>
      <c r="F47" s="3386">
        <v>14100</v>
      </c>
      <c r="G47" s="3386">
        <v>343335</v>
      </c>
      <c r="H47" s="3386">
        <v>42984</v>
      </c>
      <c r="I47" s="3386">
        <v>343335</v>
      </c>
    </row>
    <row r="48" spans="1:9">
      <c r="A48" s="3386" t="s">
        <v>4640</v>
      </c>
      <c r="B48" s="3386" t="s">
        <v>3055</v>
      </c>
      <c r="C48" s="3386" t="s">
        <v>3168</v>
      </c>
      <c r="D48" s="3386">
        <v>85</v>
      </c>
      <c r="E48" s="3386">
        <v>48.41</v>
      </c>
      <c r="F48" s="3386">
        <v>14300</v>
      </c>
      <c r="G48" s="3386">
        <v>692263</v>
      </c>
      <c r="H48" s="3386">
        <v>42984</v>
      </c>
      <c r="I48" s="3386">
        <v>692263</v>
      </c>
    </row>
    <row r="49" spans="1:9">
      <c r="A49" s="3386" t="s">
        <v>3961</v>
      </c>
      <c r="B49" s="3386" t="s">
        <v>3054</v>
      </c>
      <c r="C49" s="3386" t="s">
        <v>3168</v>
      </c>
      <c r="D49" s="3386">
        <v>11</v>
      </c>
      <c r="E49" s="3386">
        <v>45.46</v>
      </c>
      <c r="F49" s="3386">
        <v>13386</v>
      </c>
      <c r="G49" s="3386">
        <v>608528</v>
      </c>
      <c r="H49" s="3386">
        <v>42980</v>
      </c>
      <c r="I49" s="3386">
        <v>608528</v>
      </c>
    </row>
    <row r="50" spans="1:9">
      <c r="A50" s="3386" t="s">
        <v>3963</v>
      </c>
      <c r="B50" s="3386" t="s">
        <v>3054</v>
      </c>
      <c r="C50" s="3386" t="s">
        <v>3168</v>
      </c>
      <c r="D50" s="3386">
        <v>13</v>
      </c>
      <c r="E50" s="3386">
        <v>46.1</v>
      </c>
      <c r="F50" s="3386">
        <v>13386</v>
      </c>
      <c r="G50" s="3386">
        <v>617095</v>
      </c>
      <c r="H50" s="3386">
        <v>42980</v>
      </c>
      <c r="I50" s="3386">
        <v>617095</v>
      </c>
    </row>
    <row r="51" spans="1:9">
      <c r="A51" s="3386" t="s">
        <v>4714</v>
      </c>
      <c r="B51" s="3386" t="s">
        <v>3055</v>
      </c>
      <c r="C51" s="3386" t="s">
        <v>3168</v>
      </c>
      <c r="D51" s="3386">
        <v>198</v>
      </c>
      <c r="E51" s="3386">
        <v>7.92</v>
      </c>
      <c r="F51" s="3386">
        <v>16215</v>
      </c>
      <c r="G51" s="3386">
        <v>128423</v>
      </c>
      <c r="H51" s="3386">
        <v>42980</v>
      </c>
      <c r="I51" s="3386">
        <v>128423</v>
      </c>
    </row>
    <row r="52" spans="1:9">
      <c r="A52" s="3386" t="s">
        <v>4729</v>
      </c>
      <c r="B52" s="3386" t="s">
        <v>3055</v>
      </c>
      <c r="C52" s="3386" t="s">
        <v>3168</v>
      </c>
      <c r="D52" s="3386">
        <v>216</v>
      </c>
      <c r="E52" s="3386">
        <v>36.69</v>
      </c>
      <c r="F52" s="3386">
        <v>16040.9</v>
      </c>
      <c r="G52" s="3386">
        <v>588540</v>
      </c>
      <c r="H52" s="3386">
        <v>42980</v>
      </c>
      <c r="I52" s="3386">
        <v>588540</v>
      </c>
    </row>
    <row r="53" spans="1:9">
      <c r="A53" s="3386" t="s">
        <v>5283</v>
      </c>
      <c r="B53" s="3386" t="s">
        <v>3056</v>
      </c>
      <c r="C53" s="3386" t="s">
        <v>3168</v>
      </c>
      <c r="D53" s="3386">
        <v>50</v>
      </c>
      <c r="E53" s="3386">
        <v>37.119999999999997</v>
      </c>
      <c r="F53" s="3386">
        <v>13871</v>
      </c>
      <c r="G53" s="3386">
        <v>514892</v>
      </c>
      <c r="H53" s="3386">
        <v>42980</v>
      </c>
      <c r="I53" s="3386">
        <v>514892</v>
      </c>
    </row>
    <row r="54" spans="1:9">
      <c r="A54" s="3386" t="s">
        <v>5285</v>
      </c>
      <c r="B54" s="3386" t="s">
        <v>3056</v>
      </c>
      <c r="C54" s="3386" t="s">
        <v>3168</v>
      </c>
      <c r="D54" s="3386">
        <v>55</v>
      </c>
      <c r="E54" s="3386">
        <v>29.02</v>
      </c>
      <c r="F54" s="3386">
        <v>13870.99</v>
      </c>
      <c r="G54" s="3386">
        <v>402536</v>
      </c>
      <c r="H54" s="3386">
        <v>42980</v>
      </c>
      <c r="I54" s="3386">
        <v>402536</v>
      </c>
    </row>
    <row r="55" spans="1:9">
      <c r="A55" s="3386" t="s">
        <v>3964</v>
      </c>
      <c r="B55" s="3386" t="s">
        <v>3054</v>
      </c>
      <c r="C55" s="3386" t="s">
        <v>3168</v>
      </c>
      <c r="D55" s="3386">
        <v>17</v>
      </c>
      <c r="E55" s="3386">
        <v>46.09</v>
      </c>
      <c r="F55" s="3386">
        <v>13800</v>
      </c>
      <c r="G55" s="3386">
        <v>636042</v>
      </c>
      <c r="H55" s="3386">
        <v>42979</v>
      </c>
      <c r="I55" s="3386">
        <v>636042</v>
      </c>
    </row>
    <row r="56" spans="1:9">
      <c r="A56" s="3386" t="s">
        <v>4049</v>
      </c>
      <c r="B56" s="3386" t="s">
        <v>3054</v>
      </c>
      <c r="C56" s="3386" t="s">
        <v>3168</v>
      </c>
      <c r="D56" s="3386">
        <v>222</v>
      </c>
      <c r="E56" s="3386">
        <v>32.33</v>
      </c>
      <c r="F56" s="3386">
        <v>14080</v>
      </c>
      <c r="G56" s="3386">
        <v>455206</v>
      </c>
      <c r="H56" s="3386">
        <v>42979</v>
      </c>
      <c r="I56" s="3386">
        <v>455206</v>
      </c>
    </row>
    <row r="57" spans="1:9">
      <c r="A57" s="3386" t="s">
        <v>4050</v>
      </c>
      <c r="B57" s="3386" t="s">
        <v>3054</v>
      </c>
      <c r="C57" s="3386" t="s">
        <v>3168</v>
      </c>
      <c r="D57" s="3386">
        <v>223</v>
      </c>
      <c r="E57" s="3386">
        <v>33.6</v>
      </c>
      <c r="F57" s="3386">
        <v>14080</v>
      </c>
      <c r="G57" s="3386">
        <v>473088</v>
      </c>
      <c r="H57" s="3386">
        <v>42979</v>
      </c>
      <c r="I57" s="3386">
        <v>473088</v>
      </c>
    </row>
    <row r="58" spans="1:9">
      <c r="A58" s="3386" t="s">
        <v>4051</v>
      </c>
      <c r="B58" s="3386" t="s">
        <v>3054</v>
      </c>
      <c r="C58" s="3386" t="s">
        <v>3168</v>
      </c>
      <c r="D58" s="3386">
        <v>225</v>
      </c>
      <c r="E58" s="3386">
        <v>34.869999999999997</v>
      </c>
      <c r="F58" s="3386">
        <v>14080</v>
      </c>
      <c r="G58" s="3386">
        <v>490970</v>
      </c>
      <c r="H58" s="3386">
        <v>42979</v>
      </c>
      <c r="I58" s="3386">
        <v>490970</v>
      </c>
    </row>
    <row r="59" spans="1:9">
      <c r="A59" s="3386" t="s">
        <v>4642</v>
      </c>
      <c r="B59" s="3386" t="s">
        <v>3055</v>
      </c>
      <c r="C59" s="3386" t="s">
        <v>3168</v>
      </c>
      <c r="D59" s="3386">
        <v>87</v>
      </c>
      <c r="E59" s="3386">
        <v>40.880000000000003</v>
      </c>
      <c r="F59" s="3386">
        <v>14100</v>
      </c>
      <c r="G59" s="3386">
        <v>576408</v>
      </c>
      <c r="H59" s="3386">
        <v>42979</v>
      </c>
      <c r="I59" s="3386">
        <v>576408</v>
      </c>
    </row>
    <row r="60" spans="1:9">
      <c r="A60" s="3386" t="s">
        <v>4718</v>
      </c>
      <c r="B60" s="3386" t="s">
        <v>3055</v>
      </c>
      <c r="C60" s="3386" t="s">
        <v>3168</v>
      </c>
      <c r="D60" s="3386">
        <v>202</v>
      </c>
      <c r="E60" s="3386">
        <v>67.2</v>
      </c>
      <c r="F60" s="3386">
        <v>21900</v>
      </c>
      <c r="G60" s="3386">
        <v>1471680</v>
      </c>
      <c r="H60" s="3386">
        <v>42979</v>
      </c>
      <c r="I60" s="3386">
        <v>1471680</v>
      </c>
    </row>
    <row r="61" spans="1:9">
      <c r="A61" s="3386" t="s">
        <v>5270</v>
      </c>
      <c r="B61" s="3386" t="s">
        <v>3056</v>
      </c>
      <c r="C61" s="3386" t="s">
        <v>3168</v>
      </c>
      <c r="D61" s="3386">
        <v>16</v>
      </c>
      <c r="E61" s="3386">
        <v>71.23</v>
      </c>
      <c r="F61" s="3386">
        <v>21900</v>
      </c>
      <c r="G61" s="3386">
        <v>1559937</v>
      </c>
      <c r="H61" s="3386">
        <v>42921</v>
      </c>
      <c r="I61" s="3386">
        <v>789937</v>
      </c>
    </row>
    <row r="62" spans="1:9">
      <c r="A62" s="3386" t="s">
        <v>4697</v>
      </c>
      <c r="B62" s="3386" t="s">
        <v>3055</v>
      </c>
      <c r="C62" s="3386" t="s">
        <v>3168</v>
      </c>
      <c r="D62" s="3386">
        <v>171</v>
      </c>
      <c r="E62" s="3386">
        <v>84.75</v>
      </c>
      <c r="F62" s="3386">
        <v>17020</v>
      </c>
      <c r="G62" s="3386">
        <v>1442445</v>
      </c>
      <c r="H62" s="3386">
        <v>42915</v>
      </c>
      <c r="I62" s="3386">
        <v>722445</v>
      </c>
    </row>
    <row r="63" spans="1:9">
      <c r="A63" s="3386" t="s">
        <v>5260</v>
      </c>
      <c r="B63" s="3386" t="s">
        <v>3056</v>
      </c>
      <c r="C63" s="3386" t="s">
        <v>3168</v>
      </c>
      <c r="D63" s="3386">
        <v>5</v>
      </c>
      <c r="E63" s="3386">
        <v>71.23</v>
      </c>
      <c r="F63" s="3386">
        <v>21900</v>
      </c>
      <c r="G63" s="3386">
        <v>1559937</v>
      </c>
      <c r="H63" s="3386">
        <v>42857</v>
      </c>
      <c r="I63" s="3386">
        <v>789937</v>
      </c>
    </row>
    <row r="64" spans="1:9">
      <c r="A64" s="3386" t="s">
        <v>4001</v>
      </c>
      <c r="B64" s="3386" t="s">
        <v>3054</v>
      </c>
      <c r="C64" s="3386" t="s">
        <v>3168</v>
      </c>
      <c r="D64" s="3386">
        <v>73</v>
      </c>
      <c r="E64" s="3386">
        <v>40.85</v>
      </c>
      <c r="F64" s="3386">
        <v>14500</v>
      </c>
      <c r="G64" s="3386">
        <v>592325</v>
      </c>
      <c r="H64" s="3386">
        <v>42844</v>
      </c>
      <c r="I64" s="3386">
        <v>592325</v>
      </c>
    </row>
    <row r="65" spans="1:9">
      <c r="A65" s="3386" t="s">
        <v>5287</v>
      </c>
      <c r="B65" s="3386" t="s">
        <v>3056</v>
      </c>
      <c r="C65" s="3386" t="s">
        <v>3168</v>
      </c>
      <c r="D65" s="3386">
        <v>57</v>
      </c>
      <c r="E65" s="3386">
        <v>19.86</v>
      </c>
      <c r="F65" s="3386">
        <v>16040.854271356786</v>
      </c>
      <c r="G65" s="3386">
        <v>318571</v>
      </c>
      <c r="H65" s="3386">
        <v>42770</v>
      </c>
      <c r="I65" s="3386">
        <v>318571</v>
      </c>
    </row>
  </sheetData>
  <autoFilter ref="A1:I65"/>
  <phoneticPr fontId="143" type="noConversion"/>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544" customWidth="1"/>
    <col min="2" max="3" width="22.375" style="1544" customWidth="1"/>
    <col min="4" max="4" width="23" style="1544" customWidth="1"/>
    <col min="5" max="16384" width="9" style="1544"/>
  </cols>
  <sheetData>
    <row r="1" spans="1:4" ht="18.75">
      <c r="A1" s="3662" t="s">
        <v>1664</v>
      </c>
      <c r="B1" s="3662"/>
      <c r="C1" s="3662"/>
      <c r="D1" s="3662"/>
    </row>
    <row r="2" spans="1:4" ht="18">
      <c r="A2" s="3663" t="s">
        <v>1648</v>
      </c>
      <c r="B2" s="3663"/>
      <c r="C2" s="3663"/>
      <c r="D2" s="3663"/>
    </row>
    <row r="3" spans="1:4" ht="18.75">
      <c r="A3" s="1576" t="s">
        <v>1649</v>
      </c>
      <c r="B3" s="1576" t="s">
        <v>1650</v>
      </c>
      <c r="C3" s="1576" t="s">
        <v>1651</v>
      </c>
      <c r="D3" s="1576" t="s">
        <v>1652</v>
      </c>
    </row>
    <row r="4" spans="1:4" ht="56.25" customHeight="1">
      <c r="A4" s="1577" t="str">
        <f>项目基本情况!B4</f>
        <v>郑燚</v>
      </c>
      <c r="B4" s="1578">
        <f ca="1">项目基本情况!C4</f>
        <v>1120070131</v>
      </c>
      <c r="C4" s="1579"/>
      <c r="D4" s="1580" t="s">
        <v>1653</v>
      </c>
    </row>
    <row r="5" spans="1:4" ht="56.25" customHeight="1">
      <c r="A5" s="1577" t="str">
        <f>项目基本情况!D4</f>
        <v>王鹏</v>
      </c>
      <c r="B5" s="1578">
        <f ca="1">项目基本情况!E4</f>
        <v>1120050019</v>
      </c>
      <c r="C5" s="1581"/>
      <c r="D5" s="1580" t="s">
        <v>1653</v>
      </c>
    </row>
    <row r="6" spans="1:4" ht="18">
      <c r="A6" s="3663" t="s">
        <v>1654</v>
      </c>
      <c r="B6" s="3663"/>
      <c r="C6" s="3663"/>
      <c r="D6" s="3663"/>
    </row>
    <row r="7" spans="1:4" ht="18.75">
      <c r="A7" s="1576" t="s">
        <v>1649</v>
      </c>
      <c r="B7" s="1578" t="s">
        <v>1655</v>
      </c>
      <c r="C7" s="1576" t="s">
        <v>1651</v>
      </c>
      <c r="D7" s="1576" t="s">
        <v>1652</v>
      </c>
    </row>
    <row r="8" spans="1:4" ht="56.25" customHeight="1">
      <c r="A8" s="1582" t="s">
        <v>869</v>
      </c>
      <c r="B8" s="1582" t="s">
        <v>1</v>
      </c>
      <c r="C8" s="1579"/>
      <c r="D8" s="1580" t="s">
        <v>1653</v>
      </c>
    </row>
    <row r="9" spans="1:4">
      <c r="A9" s="524"/>
      <c r="B9" s="524"/>
      <c r="C9" s="524"/>
      <c r="D9" s="524"/>
    </row>
    <row r="10" spans="1:4" ht="18.75">
      <c r="A10" s="1583" t="s">
        <v>1656</v>
      </c>
      <c r="B10" s="524"/>
      <c r="C10" s="524"/>
      <c r="D10" s="524"/>
    </row>
    <row r="11" spans="1:4" ht="30" customHeight="1">
      <c r="A11" s="3664" t="s">
        <v>1657</v>
      </c>
      <c r="B11" s="3665"/>
      <c r="C11" s="3665"/>
      <c r="D11" s="3665"/>
    </row>
    <row r="12" spans="1:4" ht="15.75">
      <c r="A12" s="366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666"/>
      <c r="C12" s="3666"/>
      <c r="D12" s="3666"/>
    </row>
    <row r="13" spans="1:4" ht="30" customHeight="1">
      <c r="A13" s="3665" t="str">
        <f>IF(项目基本情况!B8="抵押","3.抵押双方在办理抵押登记手续时，应使用本公司出具的正式《房地产评估报告》，特提醒报告使用者注意。","——")</f>
        <v>——</v>
      </c>
      <c r="B13" s="3666"/>
      <c r="C13" s="3666"/>
      <c r="D13" s="3666"/>
    </row>
    <row r="14" spans="1:4" ht="15.75" customHeight="1">
      <c r="A14" s="3665" t="str">
        <f>IF(项目基本情况!B8="抵押","4.本次评估估价师所知悉的法定优先受偿款情况说明如下：","——")</f>
        <v>——</v>
      </c>
      <c r="B14" s="3666"/>
      <c r="C14" s="3666"/>
      <c r="D14" s="3666"/>
    </row>
    <row r="15" spans="1:4" ht="42" customHeight="1">
      <c r="A15" s="3665" t="str">
        <f>IF(项目基本情况!B8="抵押","（1）"&amp;CONCATENATE(项目基本情况!L20,项目基本情况!L21,项目基本情况!L22),"——")</f>
        <v>——</v>
      </c>
      <c r="B15" s="3665"/>
      <c r="C15" s="3665"/>
      <c r="D15" s="3665"/>
    </row>
    <row r="16" spans="1:4" ht="30" customHeight="1">
      <c r="A16" s="3668" t="s">
        <v>1658</v>
      </c>
      <c r="B16" s="3668"/>
      <c r="C16" s="3668"/>
      <c r="D16" s="3668"/>
    </row>
    <row r="17" spans="1:4" ht="144" customHeight="1">
      <c r="A17" s="3668" t="s">
        <v>1659</v>
      </c>
      <c r="B17" s="3668"/>
      <c r="C17" s="3668"/>
      <c r="D17" s="3668"/>
    </row>
    <row r="18" spans="1:4" ht="15.75" customHeight="1">
      <c r="A18" s="3665" t="str">
        <f>IF(项目基本情况!B8="抵押",结果表!K120,"——")</f>
        <v>——</v>
      </c>
      <c r="B18" s="3665"/>
      <c r="C18" s="3665"/>
      <c r="D18" s="3665"/>
    </row>
    <row r="19" spans="1:4" ht="46.5" customHeight="1">
      <c r="A19" s="366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665"/>
      <c r="C19" s="3665"/>
      <c r="D19" s="3665"/>
    </row>
    <row r="20" spans="1:4" ht="57.75" customHeight="1">
      <c r="A20" s="366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665"/>
      <c r="C20" s="3665"/>
      <c r="D20" s="3665"/>
    </row>
    <row r="21" spans="1:4" ht="57.75" customHeight="1">
      <c r="A21" s="366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669"/>
      <c r="C21" s="3669"/>
      <c r="D21" s="3669"/>
    </row>
    <row r="22" spans="1:4" ht="18.75" customHeight="1">
      <c r="A22" s="3670" t="s">
        <v>1660</v>
      </c>
      <c r="B22" s="3670"/>
      <c r="C22" s="3670"/>
      <c r="D22" s="3670"/>
    </row>
    <row r="23" spans="1:4">
      <c r="A23" s="1584"/>
      <c r="B23" s="1556"/>
      <c r="C23" s="1556"/>
      <c r="D23" s="1556"/>
    </row>
    <row r="24" spans="1:4">
      <c r="A24" s="1584"/>
      <c r="B24" s="1556"/>
      <c r="C24" s="1556"/>
      <c r="D24" s="1556"/>
    </row>
    <row r="25" spans="1:4" ht="18.75">
      <c r="A25" s="1585" t="s">
        <v>1661</v>
      </c>
    </row>
    <row r="26" spans="1:4" ht="18">
      <c r="A26" s="1554"/>
    </row>
    <row r="27" spans="1:4" ht="18.75">
      <c r="A27" s="1554" t="s">
        <v>1662</v>
      </c>
    </row>
    <row r="30" spans="1:4" ht="18.75">
      <c r="D30" s="1585" t="s">
        <v>1663</v>
      </c>
    </row>
    <row r="31" spans="1:4" ht="13.5" customHeight="1">
      <c r="C31" s="3667">
        <v>42551</v>
      </c>
      <c r="D31" s="3667"/>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I22"/>
  <sheetViews>
    <sheetView workbookViewId="0">
      <selection sqref="A1:XFD1048576"/>
    </sheetView>
  </sheetViews>
  <sheetFormatPr defaultRowHeight="13.5"/>
  <cols>
    <col min="1" max="3" width="9" style="3386"/>
    <col min="4" max="5" width="9.125" style="3386" bestFit="1" customWidth="1"/>
    <col min="6" max="6" width="10.5" style="3386" bestFit="1" customWidth="1"/>
    <col min="7" max="7" width="11.625" style="3386" bestFit="1" customWidth="1"/>
    <col min="8" max="8" width="10.625" style="3386" bestFit="1" customWidth="1"/>
    <col min="9" max="9" width="11.625" style="3386" bestFit="1" customWidth="1"/>
    <col min="10" max="16384" width="9" style="3386"/>
  </cols>
  <sheetData>
    <row r="1" spans="1:9">
      <c r="A1" s="3386" t="s">
        <v>3132</v>
      </c>
      <c r="B1" s="3386" t="s">
        <v>3133</v>
      </c>
      <c r="C1" s="3386" t="s">
        <v>3134</v>
      </c>
      <c r="D1" s="3386" t="s">
        <v>3132</v>
      </c>
      <c r="E1" s="3386" t="s">
        <v>7075</v>
      </c>
      <c r="F1" s="3386" t="s">
        <v>3137</v>
      </c>
      <c r="G1" s="3386" t="s">
        <v>7076</v>
      </c>
      <c r="H1" s="3386" t="s">
        <v>7077</v>
      </c>
      <c r="I1" s="3386" t="s">
        <v>7078</v>
      </c>
    </row>
    <row r="2" spans="1:9">
      <c r="A2" s="3386" t="s">
        <v>4783</v>
      </c>
      <c r="B2" s="3386" t="s">
        <v>3055</v>
      </c>
      <c r="C2" s="3386" t="s">
        <v>3191</v>
      </c>
      <c r="D2" s="3386">
        <v>22</v>
      </c>
      <c r="E2" s="3386">
        <v>21.07</v>
      </c>
      <c r="F2" s="3386">
        <v>13372.45</v>
      </c>
      <c r="G2" s="3386">
        <v>281758</v>
      </c>
      <c r="H2" s="3386">
        <v>43004</v>
      </c>
      <c r="I2" s="3386">
        <v>281758</v>
      </c>
    </row>
    <row r="3" spans="1:9" customFormat="1" hidden="1">
      <c r="A3" t="s">
        <v>4070</v>
      </c>
      <c r="B3" t="s">
        <v>3054</v>
      </c>
      <c r="C3" t="s">
        <v>3180</v>
      </c>
      <c r="D3">
        <v>139</v>
      </c>
      <c r="E3">
        <v>34.26</v>
      </c>
      <c r="F3">
        <v>21583</v>
      </c>
      <c r="G3">
        <v>739434</v>
      </c>
      <c r="H3" s="2144">
        <v>42999</v>
      </c>
      <c r="I3">
        <v>739434</v>
      </c>
    </row>
    <row r="4" spans="1:9" customFormat="1" hidden="1">
      <c r="A4" t="s">
        <v>4753</v>
      </c>
      <c r="B4" t="s">
        <v>3055</v>
      </c>
      <c r="C4" t="s">
        <v>3180</v>
      </c>
      <c r="D4">
        <v>45</v>
      </c>
      <c r="E4">
        <v>33.869999999999997</v>
      </c>
      <c r="F4">
        <v>15594</v>
      </c>
      <c r="G4">
        <v>528169</v>
      </c>
      <c r="H4" s="2144">
        <v>42992</v>
      </c>
      <c r="I4">
        <v>528169</v>
      </c>
    </row>
    <row r="5" spans="1:9" customFormat="1" hidden="1">
      <c r="A5" t="s">
        <v>4754</v>
      </c>
      <c r="B5" t="s">
        <v>3055</v>
      </c>
      <c r="C5" t="s">
        <v>3180</v>
      </c>
      <c r="D5">
        <v>46</v>
      </c>
      <c r="E5">
        <v>38.11</v>
      </c>
      <c r="F5">
        <v>14916</v>
      </c>
      <c r="G5">
        <v>568449</v>
      </c>
      <c r="H5" s="2144">
        <v>42992</v>
      </c>
      <c r="I5">
        <v>568449</v>
      </c>
    </row>
    <row r="6" spans="1:9">
      <c r="A6" s="3386" t="s">
        <v>4786</v>
      </c>
      <c r="B6" s="3386" t="s">
        <v>3055</v>
      </c>
      <c r="C6" s="3386" t="s">
        <v>3191</v>
      </c>
      <c r="D6" s="3386">
        <v>46</v>
      </c>
      <c r="E6" s="3386">
        <v>39.909999999999997</v>
      </c>
      <c r="F6" s="3386">
        <v>13786</v>
      </c>
      <c r="G6" s="3386">
        <v>550199</v>
      </c>
      <c r="H6" s="3386">
        <v>42992</v>
      </c>
      <c r="I6" s="3386">
        <v>550199</v>
      </c>
    </row>
    <row r="7" spans="1:9" customFormat="1" hidden="1">
      <c r="A7" t="s">
        <v>4768</v>
      </c>
      <c r="B7" t="s">
        <v>3055</v>
      </c>
      <c r="C7" t="s">
        <v>3180</v>
      </c>
      <c r="D7">
        <v>135</v>
      </c>
      <c r="E7">
        <v>40.36</v>
      </c>
      <c r="F7">
        <v>14916</v>
      </c>
      <c r="G7">
        <v>602010</v>
      </c>
      <c r="H7" s="2144">
        <v>42991</v>
      </c>
      <c r="I7">
        <v>602010</v>
      </c>
    </row>
    <row r="8" spans="1:9" customFormat="1" hidden="1">
      <c r="A8" t="s">
        <v>4071</v>
      </c>
      <c r="B8" t="s">
        <v>3054</v>
      </c>
      <c r="C8" t="s">
        <v>3180</v>
      </c>
      <c r="D8">
        <v>140</v>
      </c>
      <c r="E8">
        <v>25.92</v>
      </c>
      <c r="F8">
        <v>14916</v>
      </c>
      <c r="G8">
        <v>386623</v>
      </c>
      <c r="H8" s="2144">
        <v>42989</v>
      </c>
      <c r="I8">
        <v>386623</v>
      </c>
    </row>
    <row r="9" spans="1:9">
      <c r="A9" s="3386" t="s">
        <v>4781</v>
      </c>
      <c r="B9" s="3386" t="s">
        <v>3055</v>
      </c>
      <c r="C9" s="3386" t="s">
        <v>3191</v>
      </c>
      <c r="D9" s="3386">
        <v>17</v>
      </c>
      <c r="E9" s="3386">
        <v>33.47</v>
      </c>
      <c r="F9" s="3386">
        <v>14030.08</v>
      </c>
      <c r="G9" s="3386">
        <v>469587</v>
      </c>
      <c r="H9" s="3386">
        <v>42989</v>
      </c>
      <c r="I9" s="3386">
        <v>469587</v>
      </c>
    </row>
    <row r="10" spans="1:9">
      <c r="A10" s="3386" t="s">
        <v>4784</v>
      </c>
      <c r="B10" s="3386" t="s">
        <v>3055</v>
      </c>
      <c r="C10" s="3386" t="s">
        <v>3191</v>
      </c>
      <c r="D10" s="3386">
        <v>43</v>
      </c>
      <c r="E10" s="3386">
        <v>39.909999999999997</v>
      </c>
      <c r="F10" s="3386">
        <v>13372.42</v>
      </c>
      <c r="G10" s="3386">
        <v>533693</v>
      </c>
      <c r="H10" s="3386">
        <v>42989</v>
      </c>
      <c r="I10" s="3386">
        <v>533693</v>
      </c>
    </row>
    <row r="11" spans="1:9" customFormat="1" hidden="1">
      <c r="A11" t="s">
        <v>4766</v>
      </c>
      <c r="B11" t="s">
        <v>3055</v>
      </c>
      <c r="C11" t="s">
        <v>3180</v>
      </c>
      <c r="D11">
        <v>132</v>
      </c>
      <c r="E11">
        <v>40.340000000000003</v>
      </c>
      <c r="F11">
        <v>14916</v>
      </c>
      <c r="G11">
        <v>601711</v>
      </c>
      <c r="H11" s="2144">
        <v>42988</v>
      </c>
      <c r="I11">
        <v>601711</v>
      </c>
    </row>
    <row r="12" spans="1:9" customFormat="1" hidden="1">
      <c r="A12" t="s">
        <v>4767</v>
      </c>
      <c r="B12" t="s">
        <v>3055</v>
      </c>
      <c r="C12" t="s">
        <v>3180</v>
      </c>
      <c r="D12">
        <v>133</v>
      </c>
      <c r="E12">
        <v>40.35</v>
      </c>
      <c r="F12">
        <v>14916</v>
      </c>
      <c r="G12">
        <v>601861</v>
      </c>
      <c r="H12" s="2144">
        <v>42988</v>
      </c>
      <c r="I12">
        <v>601861</v>
      </c>
    </row>
    <row r="13" spans="1:9" customFormat="1" hidden="1">
      <c r="A13" t="s">
        <v>4063</v>
      </c>
      <c r="B13" t="s">
        <v>3054</v>
      </c>
      <c r="C13" t="s">
        <v>3180</v>
      </c>
      <c r="D13">
        <v>61</v>
      </c>
      <c r="E13">
        <v>102.51</v>
      </c>
      <c r="F13">
        <v>22148</v>
      </c>
      <c r="G13">
        <v>2270391</v>
      </c>
      <c r="H13" s="2144">
        <v>42985</v>
      </c>
      <c r="I13">
        <v>2270391</v>
      </c>
    </row>
    <row r="14" spans="1:9" customFormat="1" hidden="1">
      <c r="A14" t="s">
        <v>4065</v>
      </c>
      <c r="B14" t="s">
        <v>3054</v>
      </c>
      <c r="C14" t="s">
        <v>3180</v>
      </c>
      <c r="D14">
        <v>108</v>
      </c>
      <c r="E14">
        <v>14.98</v>
      </c>
      <c r="F14">
        <v>14468.5</v>
      </c>
      <c r="G14">
        <v>216738</v>
      </c>
      <c r="H14" s="2144">
        <v>42984</v>
      </c>
      <c r="I14">
        <v>216738</v>
      </c>
    </row>
    <row r="15" spans="1:9" customFormat="1" hidden="1">
      <c r="A15" t="s">
        <v>4759</v>
      </c>
      <c r="B15" t="s">
        <v>3055</v>
      </c>
      <c r="C15" t="s">
        <v>3180</v>
      </c>
      <c r="D15">
        <v>109</v>
      </c>
      <c r="E15">
        <v>37.82</v>
      </c>
      <c r="F15">
        <v>14468.52</v>
      </c>
      <c r="G15">
        <v>547199</v>
      </c>
      <c r="H15" s="2144">
        <v>42983</v>
      </c>
      <c r="I15">
        <v>547199</v>
      </c>
    </row>
    <row r="16" spans="1:9" customFormat="1" hidden="1">
      <c r="A16" t="s">
        <v>4760</v>
      </c>
      <c r="B16" t="s">
        <v>3055</v>
      </c>
      <c r="C16" t="s">
        <v>3180</v>
      </c>
      <c r="D16">
        <v>110</v>
      </c>
      <c r="E16">
        <v>39.53</v>
      </c>
      <c r="F16">
        <v>14468.53</v>
      </c>
      <c r="G16">
        <v>571941</v>
      </c>
      <c r="H16" s="2144">
        <v>42983</v>
      </c>
      <c r="I16">
        <v>571941</v>
      </c>
    </row>
    <row r="17" spans="1:9" customFormat="1" hidden="1">
      <c r="A17" t="s">
        <v>4755</v>
      </c>
      <c r="B17" t="s">
        <v>3055</v>
      </c>
      <c r="C17" t="s">
        <v>3180</v>
      </c>
      <c r="D17">
        <v>47</v>
      </c>
      <c r="E17">
        <v>21.33</v>
      </c>
      <c r="F17">
        <v>14916</v>
      </c>
      <c r="G17">
        <v>318158</v>
      </c>
      <c r="H17" s="2144">
        <v>42980</v>
      </c>
      <c r="I17">
        <v>318158</v>
      </c>
    </row>
    <row r="18" spans="1:9" customFormat="1" hidden="1">
      <c r="A18" t="s">
        <v>4758</v>
      </c>
      <c r="B18" t="s">
        <v>3055</v>
      </c>
      <c r="C18" t="s">
        <v>3180</v>
      </c>
      <c r="D18">
        <v>87</v>
      </c>
      <c r="E18">
        <v>8.1999999999999993</v>
      </c>
      <c r="F18">
        <v>15594.02</v>
      </c>
      <c r="G18">
        <v>127871</v>
      </c>
      <c r="H18" s="2144">
        <v>42980</v>
      </c>
      <c r="I18">
        <v>127871</v>
      </c>
    </row>
    <row r="19" spans="1:9" customFormat="1" hidden="1">
      <c r="A19" t="s">
        <v>4067</v>
      </c>
      <c r="B19" t="s">
        <v>3054</v>
      </c>
      <c r="C19" t="s">
        <v>3180</v>
      </c>
      <c r="D19">
        <v>123</v>
      </c>
      <c r="E19">
        <v>100.48</v>
      </c>
      <c r="F19">
        <v>15800</v>
      </c>
      <c r="G19">
        <v>1587584</v>
      </c>
      <c r="H19" s="2144">
        <v>42978</v>
      </c>
      <c r="I19">
        <v>95684</v>
      </c>
    </row>
    <row r="20" spans="1:9" customFormat="1" hidden="1">
      <c r="A20" t="s">
        <v>4066</v>
      </c>
      <c r="B20" t="s">
        <v>3054</v>
      </c>
      <c r="C20" t="s">
        <v>3180</v>
      </c>
      <c r="D20">
        <v>118</v>
      </c>
      <c r="E20">
        <v>56.89</v>
      </c>
      <c r="F20">
        <v>18193</v>
      </c>
      <c r="G20">
        <v>1034999.77</v>
      </c>
      <c r="H20" s="2144">
        <v>42855</v>
      </c>
      <c r="I20">
        <v>1035000</v>
      </c>
    </row>
    <row r="21" spans="1:9" customFormat="1" hidden="1">
      <c r="A21" t="s">
        <v>4746</v>
      </c>
      <c r="B21" t="s">
        <v>3055</v>
      </c>
      <c r="C21" t="s">
        <v>3180</v>
      </c>
      <c r="D21">
        <v>17</v>
      </c>
      <c r="E21">
        <v>73.540000000000006</v>
      </c>
      <c r="F21">
        <v>20935.518</v>
      </c>
      <c r="G21">
        <v>1539597.9937200001</v>
      </c>
      <c r="H21" s="2144">
        <v>42852</v>
      </c>
      <c r="I21">
        <v>1539598</v>
      </c>
    </row>
    <row r="22" spans="1:9" customFormat="1" hidden="1">
      <c r="A22" t="s">
        <v>4751</v>
      </c>
      <c r="B22" t="s">
        <v>3055</v>
      </c>
      <c r="C22" t="s">
        <v>3180</v>
      </c>
      <c r="D22">
        <v>22</v>
      </c>
      <c r="E22">
        <v>42.81</v>
      </c>
      <c r="F22">
        <v>14468.512000000001</v>
      </c>
      <c r="G22">
        <v>619396.99872000003</v>
      </c>
      <c r="H22" s="2144">
        <v>42852</v>
      </c>
      <c r="I22">
        <v>619397</v>
      </c>
    </row>
  </sheetData>
  <autoFilter ref="A1:I22">
    <filterColumn colId="2">
      <filters>
        <filter val="5F"/>
      </filters>
    </filterColumn>
  </autoFilter>
  <phoneticPr fontId="143" type="noConversion"/>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I277"/>
  <sheetViews>
    <sheetView workbookViewId="0">
      <selection sqref="A1:XFD1048576"/>
    </sheetView>
  </sheetViews>
  <sheetFormatPr defaultRowHeight="13.5"/>
  <cols>
    <col min="1" max="1" width="9" style="3386"/>
    <col min="2" max="2" width="9.125" style="3386" bestFit="1" customWidth="1"/>
    <col min="3" max="3" width="9" style="3386"/>
    <col min="4" max="5" width="9.125" style="3386" bestFit="1" customWidth="1"/>
    <col min="6" max="6" width="10.5" style="3386" bestFit="1" customWidth="1"/>
    <col min="7" max="7" width="12.75" style="3386" bestFit="1" customWidth="1"/>
    <col min="8" max="8" width="11.75" style="3386" bestFit="1" customWidth="1"/>
    <col min="9" max="9" width="12.75" style="3386" bestFit="1" customWidth="1"/>
    <col min="10" max="16384" width="9" style="3386"/>
  </cols>
  <sheetData>
    <row r="1" spans="1:9">
      <c r="A1" s="3386" t="s">
        <v>3132</v>
      </c>
      <c r="B1" s="3386" t="s">
        <v>3133</v>
      </c>
      <c r="C1" s="3386" t="s">
        <v>3134</v>
      </c>
      <c r="D1" s="3386" t="s">
        <v>3132</v>
      </c>
      <c r="E1" s="3386" t="s">
        <v>7075</v>
      </c>
      <c r="F1" s="3386" t="s">
        <v>3137</v>
      </c>
      <c r="G1" s="3386" t="s">
        <v>7076</v>
      </c>
      <c r="H1" s="3386" t="s">
        <v>7077</v>
      </c>
      <c r="I1" s="3386" t="s">
        <v>7078</v>
      </c>
    </row>
    <row r="2" spans="1:9">
      <c r="A2" s="3386" t="s">
        <v>6623</v>
      </c>
      <c r="B2" s="3386">
        <v>11</v>
      </c>
      <c r="C2" s="3386" t="s">
        <v>3142</v>
      </c>
      <c r="D2" s="3386">
        <v>132</v>
      </c>
      <c r="E2" s="3386">
        <v>44.9</v>
      </c>
      <c r="F2" s="3386">
        <v>14420</v>
      </c>
      <c r="G2" s="3386">
        <v>647458</v>
      </c>
      <c r="H2" s="3386">
        <v>43008</v>
      </c>
      <c r="I2" s="3386">
        <v>647746</v>
      </c>
    </row>
    <row r="3" spans="1:9">
      <c r="A3" s="3386" t="s">
        <v>6624</v>
      </c>
      <c r="B3" s="3386">
        <v>11</v>
      </c>
      <c r="C3" s="3386" t="s">
        <v>3142</v>
      </c>
      <c r="D3" s="3386">
        <v>133</v>
      </c>
      <c r="E3" s="3386">
        <v>50.15</v>
      </c>
      <c r="F3" s="3386">
        <v>14420</v>
      </c>
      <c r="G3" s="3386">
        <v>723163</v>
      </c>
      <c r="H3" s="3386">
        <v>43008</v>
      </c>
      <c r="I3" s="3386">
        <v>723596</v>
      </c>
    </row>
    <row r="4" spans="1:9">
      <c r="A4" s="3386" t="s">
        <v>6635</v>
      </c>
      <c r="B4" s="3386">
        <v>11</v>
      </c>
      <c r="C4" s="3386" t="s">
        <v>3142</v>
      </c>
      <c r="D4" s="3386">
        <v>149</v>
      </c>
      <c r="E4" s="3386">
        <v>91.81</v>
      </c>
      <c r="F4" s="3386">
        <v>19570</v>
      </c>
      <c r="G4" s="3386">
        <v>1796721.7</v>
      </c>
      <c r="H4" s="3386">
        <v>43008</v>
      </c>
      <c r="I4" s="3386">
        <v>1797896</v>
      </c>
    </row>
    <row r="5" spans="1:9">
      <c r="A5" s="3386" t="s">
        <v>6636</v>
      </c>
      <c r="B5" s="3386">
        <v>11</v>
      </c>
      <c r="C5" s="3386" t="s">
        <v>3142</v>
      </c>
      <c r="D5" s="3386">
        <v>150</v>
      </c>
      <c r="E5" s="3386">
        <v>87.64</v>
      </c>
      <c r="F5" s="3386">
        <v>18540</v>
      </c>
      <c r="G5" s="3386">
        <v>1624845.6</v>
      </c>
      <c r="H5" s="3386">
        <v>43008</v>
      </c>
      <c r="I5" s="3386">
        <v>1625773</v>
      </c>
    </row>
    <row r="6" spans="1:9">
      <c r="A6" s="3386" t="s">
        <v>6637</v>
      </c>
      <c r="B6" s="3386">
        <v>11</v>
      </c>
      <c r="C6" s="3386" t="s">
        <v>3142</v>
      </c>
      <c r="D6" s="3386">
        <v>151</v>
      </c>
      <c r="E6" s="3386">
        <v>87.64</v>
      </c>
      <c r="F6" s="3386">
        <v>18540</v>
      </c>
      <c r="G6" s="3386">
        <v>1624845.6</v>
      </c>
      <c r="H6" s="3386">
        <v>43008</v>
      </c>
      <c r="I6" s="3386">
        <v>1625773</v>
      </c>
    </row>
    <row r="7" spans="1:9" customFormat="1" hidden="1">
      <c r="A7" t="s">
        <v>4144</v>
      </c>
      <c r="B7" t="s">
        <v>3054</v>
      </c>
      <c r="C7" t="s">
        <v>3142</v>
      </c>
      <c r="D7">
        <v>120</v>
      </c>
      <c r="E7">
        <v>48.33</v>
      </c>
      <c r="F7">
        <v>17162.509999999998</v>
      </c>
      <c r="G7">
        <v>829465</v>
      </c>
      <c r="H7" s="2144">
        <v>43007</v>
      </c>
      <c r="I7">
        <v>829465</v>
      </c>
    </row>
    <row r="8" spans="1:9" customFormat="1" hidden="1">
      <c r="A8" t="s">
        <v>6858</v>
      </c>
      <c r="B8">
        <v>12</v>
      </c>
      <c r="C8" t="s">
        <v>3142</v>
      </c>
      <c r="D8">
        <v>186</v>
      </c>
      <c r="E8">
        <v>86</v>
      </c>
      <c r="F8">
        <v>16930</v>
      </c>
      <c r="G8">
        <v>1455980</v>
      </c>
      <c r="H8" s="2144">
        <v>43006</v>
      </c>
      <c r="I8">
        <v>1455980</v>
      </c>
    </row>
    <row r="9" spans="1:9" customFormat="1" hidden="1">
      <c r="A9" t="s">
        <v>6866</v>
      </c>
      <c r="B9">
        <v>12</v>
      </c>
      <c r="C9" t="s">
        <v>3142</v>
      </c>
      <c r="D9">
        <v>211</v>
      </c>
      <c r="E9">
        <v>49.87</v>
      </c>
      <c r="F9">
        <v>15912.85</v>
      </c>
      <c r="G9">
        <v>793574</v>
      </c>
      <c r="H9" s="2144">
        <v>43006</v>
      </c>
      <c r="I9">
        <v>793574</v>
      </c>
    </row>
    <row r="10" spans="1:9" customFormat="1" hidden="1">
      <c r="A10" t="s">
        <v>4255</v>
      </c>
      <c r="B10" t="s">
        <v>3054</v>
      </c>
      <c r="C10" t="s">
        <v>3142</v>
      </c>
      <c r="D10">
        <v>248</v>
      </c>
      <c r="E10">
        <v>34.67</v>
      </c>
      <c r="F10">
        <v>15266.14</v>
      </c>
      <c r="G10">
        <v>529277</v>
      </c>
      <c r="H10" s="2144">
        <v>43005</v>
      </c>
      <c r="I10">
        <v>529277</v>
      </c>
    </row>
    <row r="11" spans="1:9" customFormat="1" hidden="1">
      <c r="A11" t="s">
        <v>4258</v>
      </c>
      <c r="B11" t="s">
        <v>3054</v>
      </c>
      <c r="C11" t="s">
        <v>3142</v>
      </c>
      <c r="D11">
        <v>251</v>
      </c>
      <c r="E11">
        <v>22.67</v>
      </c>
      <c r="F11">
        <v>15705.22</v>
      </c>
      <c r="G11">
        <v>356037</v>
      </c>
      <c r="H11" s="2144">
        <v>43005</v>
      </c>
      <c r="I11">
        <v>356037</v>
      </c>
    </row>
    <row r="12" spans="1:9" customFormat="1" hidden="1">
      <c r="A12" t="s">
        <v>4266</v>
      </c>
      <c r="B12" t="s">
        <v>3054</v>
      </c>
      <c r="C12" t="s">
        <v>3142</v>
      </c>
      <c r="D12">
        <v>261</v>
      </c>
      <c r="E12">
        <v>64.44</v>
      </c>
      <c r="F12">
        <v>17722.419999999998</v>
      </c>
      <c r="G12">
        <v>1142033</v>
      </c>
      <c r="H12" s="2144">
        <v>43005</v>
      </c>
      <c r="I12">
        <v>1142033</v>
      </c>
    </row>
    <row r="13" spans="1:9" customFormat="1" hidden="1">
      <c r="A13" t="s">
        <v>4844</v>
      </c>
      <c r="B13" t="s">
        <v>3055</v>
      </c>
      <c r="C13" t="s">
        <v>3142</v>
      </c>
      <c r="D13">
        <v>62</v>
      </c>
      <c r="E13">
        <v>36.49</v>
      </c>
      <c r="F13">
        <v>15680.97</v>
      </c>
      <c r="G13">
        <v>572199</v>
      </c>
      <c r="H13" s="2144">
        <v>43005</v>
      </c>
      <c r="I13">
        <v>572199</v>
      </c>
    </row>
    <row r="14" spans="1:9" customFormat="1" hidden="1">
      <c r="A14" t="s">
        <v>4877</v>
      </c>
      <c r="B14" t="s">
        <v>3055</v>
      </c>
      <c r="C14" t="s">
        <v>3142</v>
      </c>
      <c r="D14">
        <v>109</v>
      </c>
      <c r="E14">
        <v>58.48</v>
      </c>
      <c r="F14">
        <v>16216.82</v>
      </c>
      <c r="G14">
        <v>948360</v>
      </c>
      <c r="H14" s="2144">
        <v>43005</v>
      </c>
      <c r="I14">
        <v>948360</v>
      </c>
    </row>
    <row r="15" spans="1:9" customFormat="1" hidden="1">
      <c r="A15" t="s">
        <v>4927</v>
      </c>
      <c r="B15" t="s">
        <v>3055</v>
      </c>
      <c r="C15" t="s">
        <v>3142</v>
      </c>
      <c r="D15">
        <v>168</v>
      </c>
      <c r="E15">
        <v>44.68</v>
      </c>
      <c r="F15">
        <v>16189.6</v>
      </c>
      <c r="G15">
        <v>723351</v>
      </c>
      <c r="H15" s="2144">
        <v>43005</v>
      </c>
      <c r="I15">
        <v>723351</v>
      </c>
    </row>
    <row r="16" spans="1:9" customFormat="1" hidden="1">
      <c r="A16" t="s">
        <v>4969</v>
      </c>
      <c r="B16" t="s">
        <v>3055</v>
      </c>
      <c r="C16" t="s">
        <v>3142</v>
      </c>
      <c r="D16">
        <v>231</v>
      </c>
      <c r="E16">
        <v>118.85</v>
      </c>
      <c r="F16">
        <v>18758.310000000001</v>
      </c>
      <c r="G16">
        <v>2229425</v>
      </c>
      <c r="H16" s="2144">
        <v>43005</v>
      </c>
      <c r="I16">
        <v>2229425</v>
      </c>
    </row>
    <row r="17" spans="1:9">
      <c r="A17" s="3386" t="s">
        <v>6617</v>
      </c>
      <c r="B17" s="3386">
        <v>11</v>
      </c>
      <c r="C17" s="3386" t="s">
        <v>3142</v>
      </c>
      <c r="D17" s="3386">
        <v>116</v>
      </c>
      <c r="E17" s="3386">
        <v>21.49</v>
      </c>
      <c r="F17" s="3386">
        <v>14986.51</v>
      </c>
      <c r="G17" s="3386">
        <v>322060</v>
      </c>
      <c r="H17" s="3386">
        <v>43005</v>
      </c>
      <c r="I17" s="3386">
        <v>322060</v>
      </c>
    </row>
    <row r="18" spans="1:9" customFormat="1" hidden="1">
      <c r="A18" t="s">
        <v>4097</v>
      </c>
      <c r="B18" t="s">
        <v>3054</v>
      </c>
      <c r="C18" t="s">
        <v>3142</v>
      </c>
      <c r="D18">
        <v>51</v>
      </c>
      <c r="E18">
        <v>63.43</v>
      </c>
      <c r="F18">
        <v>14800</v>
      </c>
      <c r="G18">
        <v>938764</v>
      </c>
      <c r="H18" s="2144">
        <v>43004</v>
      </c>
      <c r="I18">
        <v>938764</v>
      </c>
    </row>
    <row r="19" spans="1:9" customFormat="1" hidden="1">
      <c r="A19" t="s">
        <v>4098</v>
      </c>
      <c r="B19" t="s">
        <v>3054</v>
      </c>
      <c r="C19" t="s">
        <v>3142</v>
      </c>
      <c r="D19">
        <v>52</v>
      </c>
      <c r="E19">
        <v>63.41</v>
      </c>
      <c r="F19">
        <v>14800</v>
      </c>
      <c r="G19">
        <v>938468</v>
      </c>
      <c r="H19" s="2144">
        <v>43004</v>
      </c>
      <c r="I19">
        <v>938468</v>
      </c>
    </row>
    <row r="20" spans="1:9" customFormat="1" hidden="1">
      <c r="A20" t="s">
        <v>4156</v>
      </c>
      <c r="B20" t="s">
        <v>3054</v>
      </c>
      <c r="C20" t="s">
        <v>3142</v>
      </c>
      <c r="D20">
        <v>133</v>
      </c>
      <c r="E20">
        <v>97.7</v>
      </c>
      <c r="F20">
        <v>17748.84</v>
      </c>
      <c r="G20">
        <v>1734062</v>
      </c>
      <c r="H20" s="2144">
        <v>43004</v>
      </c>
      <c r="I20">
        <v>1734062</v>
      </c>
    </row>
    <row r="21" spans="1:9" customFormat="1" hidden="1">
      <c r="A21" t="s">
        <v>4859</v>
      </c>
      <c r="B21" t="s">
        <v>3055</v>
      </c>
      <c r="C21" t="s">
        <v>3142</v>
      </c>
      <c r="D21">
        <v>81</v>
      </c>
      <c r="E21">
        <v>91.27</v>
      </c>
      <c r="F21">
        <v>16245.59</v>
      </c>
      <c r="G21">
        <v>1482735</v>
      </c>
      <c r="H21" s="2144">
        <v>43004</v>
      </c>
      <c r="I21">
        <v>1482735</v>
      </c>
    </row>
    <row r="22" spans="1:9" customFormat="1" hidden="1">
      <c r="A22" t="s">
        <v>4922</v>
      </c>
      <c r="B22" t="s">
        <v>3055</v>
      </c>
      <c r="C22" t="s">
        <v>3142</v>
      </c>
      <c r="D22">
        <v>161</v>
      </c>
      <c r="E22">
        <v>71.91</v>
      </c>
      <c r="F22">
        <v>18230.939999999999</v>
      </c>
      <c r="G22">
        <v>1310987</v>
      </c>
      <c r="H22" s="2144">
        <v>43004</v>
      </c>
      <c r="I22">
        <v>1310987</v>
      </c>
    </row>
    <row r="23" spans="1:9" customFormat="1" hidden="1">
      <c r="A23" t="s">
        <v>6808</v>
      </c>
      <c r="B23">
        <v>12</v>
      </c>
      <c r="C23" t="s">
        <v>3142</v>
      </c>
      <c r="D23">
        <v>85</v>
      </c>
      <c r="E23">
        <v>39.909999999999997</v>
      </c>
      <c r="F23">
        <v>18190</v>
      </c>
      <c r="G23">
        <v>725963</v>
      </c>
      <c r="H23" s="2144">
        <v>43004</v>
      </c>
      <c r="I23">
        <v>725963</v>
      </c>
    </row>
    <row r="24" spans="1:9" customFormat="1" hidden="1">
      <c r="A24" t="s">
        <v>4158</v>
      </c>
      <c r="B24" t="s">
        <v>3054</v>
      </c>
      <c r="C24" t="s">
        <v>3142</v>
      </c>
      <c r="D24">
        <v>136</v>
      </c>
      <c r="E24">
        <v>98.08</v>
      </c>
      <c r="F24">
        <v>18449.03</v>
      </c>
      <c r="G24">
        <v>1809481</v>
      </c>
      <c r="H24" s="2144">
        <v>43003</v>
      </c>
      <c r="I24">
        <v>1809481</v>
      </c>
    </row>
    <row r="25" spans="1:9" customFormat="1" hidden="1">
      <c r="A25" t="s">
        <v>4224</v>
      </c>
      <c r="B25" t="s">
        <v>3054</v>
      </c>
      <c r="C25" t="s">
        <v>3142</v>
      </c>
      <c r="D25">
        <v>213</v>
      </c>
      <c r="E25">
        <v>93.8</v>
      </c>
      <c r="F25">
        <v>18100</v>
      </c>
      <c r="G25">
        <v>1697780</v>
      </c>
      <c r="H25" s="2144">
        <v>43003</v>
      </c>
      <c r="I25">
        <v>1697780</v>
      </c>
    </row>
    <row r="26" spans="1:9" customFormat="1" hidden="1">
      <c r="A26" t="s">
        <v>4226</v>
      </c>
      <c r="B26" t="s">
        <v>3054</v>
      </c>
      <c r="C26" t="s">
        <v>3142</v>
      </c>
      <c r="D26">
        <v>216</v>
      </c>
      <c r="E26">
        <v>79.78</v>
      </c>
      <c r="F26">
        <v>18737.34</v>
      </c>
      <c r="G26">
        <v>1494865</v>
      </c>
      <c r="H26" s="2144">
        <v>43003</v>
      </c>
      <c r="I26">
        <v>1494865</v>
      </c>
    </row>
    <row r="27" spans="1:9" customFormat="1" hidden="1">
      <c r="A27" t="s">
        <v>4840</v>
      </c>
      <c r="B27" t="s">
        <v>3055</v>
      </c>
      <c r="C27" t="s">
        <v>3142</v>
      </c>
      <c r="D27">
        <v>58</v>
      </c>
      <c r="E27">
        <v>39.64</v>
      </c>
      <c r="F27">
        <v>16372.91</v>
      </c>
      <c r="G27">
        <v>649022</v>
      </c>
      <c r="H27" s="2144">
        <v>43003</v>
      </c>
      <c r="I27">
        <v>649022</v>
      </c>
    </row>
    <row r="28" spans="1:9" customFormat="1" hidden="1">
      <c r="A28" t="s">
        <v>4875</v>
      </c>
      <c r="B28" t="s">
        <v>3055</v>
      </c>
      <c r="C28" t="s">
        <v>3142</v>
      </c>
      <c r="D28">
        <v>103</v>
      </c>
      <c r="E28">
        <v>46.66</v>
      </c>
      <c r="F28">
        <v>16393.57</v>
      </c>
      <c r="G28">
        <v>764924</v>
      </c>
      <c r="H28" s="2144">
        <v>43003</v>
      </c>
      <c r="I28">
        <v>764924</v>
      </c>
    </row>
    <row r="29" spans="1:9" customFormat="1" hidden="1">
      <c r="A29" t="s">
        <v>4896</v>
      </c>
      <c r="B29" t="s">
        <v>3055</v>
      </c>
      <c r="C29" t="s">
        <v>3142</v>
      </c>
      <c r="D29">
        <v>131</v>
      </c>
      <c r="E29">
        <v>45.76</v>
      </c>
      <c r="F29">
        <v>15705.76</v>
      </c>
      <c r="G29">
        <v>718696</v>
      </c>
      <c r="H29" s="2144">
        <v>43003</v>
      </c>
      <c r="I29">
        <v>718696</v>
      </c>
    </row>
    <row r="30" spans="1:9" customFormat="1" hidden="1">
      <c r="A30" t="s">
        <v>4898</v>
      </c>
      <c r="B30" t="s">
        <v>3055</v>
      </c>
      <c r="C30" t="s">
        <v>3142</v>
      </c>
      <c r="D30">
        <v>135</v>
      </c>
      <c r="E30">
        <v>76.930000000000007</v>
      </c>
      <c r="F30">
        <v>18235.45</v>
      </c>
      <c r="G30">
        <v>1402853</v>
      </c>
      <c r="H30" s="2144">
        <v>43003</v>
      </c>
      <c r="I30">
        <v>1402853</v>
      </c>
    </row>
    <row r="31" spans="1:9" customFormat="1" hidden="1">
      <c r="A31" t="s">
        <v>4908</v>
      </c>
      <c r="B31" t="s">
        <v>3055</v>
      </c>
      <c r="C31" t="s">
        <v>3142</v>
      </c>
      <c r="D31">
        <v>146</v>
      </c>
      <c r="E31">
        <v>78.3</v>
      </c>
      <c r="F31">
        <v>18800</v>
      </c>
      <c r="G31">
        <v>1472040</v>
      </c>
      <c r="H31" s="2144">
        <v>43003</v>
      </c>
      <c r="I31">
        <v>1472040</v>
      </c>
    </row>
    <row r="32" spans="1:9" customFormat="1" hidden="1">
      <c r="A32" t="s">
        <v>4952</v>
      </c>
      <c r="B32" t="s">
        <v>3055</v>
      </c>
      <c r="C32" t="s">
        <v>3142</v>
      </c>
      <c r="D32">
        <v>205</v>
      </c>
      <c r="E32">
        <v>94.37</v>
      </c>
      <c r="F32">
        <v>16547.61</v>
      </c>
      <c r="G32">
        <v>1561598</v>
      </c>
      <c r="H32" s="2144">
        <v>43003</v>
      </c>
      <c r="I32">
        <v>1561598</v>
      </c>
    </row>
    <row r="33" spans="1:9" customFormat="1" hidden="1">
      <c r="A33" t="s">
        <v>4988</v>
      </c>
      <c r="B33" t="s">
        <v>3055</v>
      </c>
      <c r="C33" t="s">
        <v>3142</v>
      </c>
      <c r="D33">
        <v>252</v>
      </c>
      <c r="E33">
        <v>41.36</v>
      </c>
      <c r="F33">
        <v>15811.01</v>
      </c>
      <c r="G33">
        <v>653943</v>
      </c>
      <c r="H33" s="2144">
        <v>43003</v>
      </c>
      <c r="I33">
        <v>653943</v>
      </c>
    </row>
    <row r="34" spans="1:9" customFormat="1" hidden="1">
      <c r="A34" t="s">
        <v>6009</v>
      </c>
      <c r="B34" t="s">
        <v>3057</v>
      </c>
      <c r="C34" t="s">
        <v>3142</v>
      </c>
      <c r="D34">
        <v>265</v>
      </c>
      <c r="E34">
        <v>39.79</v>
      </c>
      <c r="F34">
        <v>17908</v>
      </c>
      <c r="G34">
        <v>712559</v>
      </c>
      <c r="H34" s="2144">
        <v>43003</v>
      </c>
      <c r="I34">
        <v>712559</v>
      </c>
    </row>
    <row r="35" spans="1:9" customFormat="1" hidden="1">
      <c r="A35" t="s">
        <v>6010</v>
      </c>
      <c r="B35" t="s">
        <v>3057</v>
      </c>
      <c r="C35" t="s">
        <v>3142</v>
      </c>
      <c r="D35">
        <v>266</v>
      </c>
      <c r="E35">
        <v>47.29</v>
      </c>
      <c r="F35">
        <v>22167</v>
      </c>
      <c r="G35">
        <v>1048277</v>
      </c>
      <c r="H35" s="2144">
        <v>43003</v>
      </c>
      <c r="I35">
        <v>1048277</v>
      </c>
    </row>
    <row r="36" spans="1:9" customFormat="1" hidden="1">
      <c r="A36" t="s">
        <v>6812</v>
      </c>
      <c r="B36">
        <v>12</v>
      </c>
      <c r="C36" t="s">
        <v>3142</v>
      </c>
      <c r="D36">
        <v>93</v>
      </c>
      <c r="E36">
        <v>83.18</v>
      </c>
      <c r="F36">
        <v>18190</v>
      </c>
      <c r="G36">
        <v>1513044</v>
      </c>
      <c r="H36" s="2144">
        <v>43003</v>
      </c>
      <c r="I36">
        <v>1513044</v>
      </c>
    </row>
    <row r="37" spans="1:9" customFormat="1" hidden="1">
      <c r="A37" t="s">
        <v>6821</v>
      </c>
      <c r="B37">
        <v>12</v>
      </c>
      <c r="C37" t="s">
        <v>3142</v>
      </c>
      <c r="D37">
        <v>119</v>
      </c>
      <c r="E37">
        <v>102.22</v>
      </c>
      <c r="F37">
        <v>15355</v>
      </c>
      <c r="G37">
        <v>1569588</v>
      </c>
      <c r="H37" s="2144">
        <v>43003</v>
      </c>
      <c r="I37">
        <v>1569588</v>
      </c>
    </row>
    <row r="38" spans="1:9" customFormat="1" hidden="1">
      <c r="A38" t="s">
        <v>6878</v>
      </c>
      <c r="B38">
        <v>12</v>
      </c>
      <c r="C38" t="s">
        <v>3142</v>
      </c>
      <c r="D38">
        <v>228</v>
      </c>
      <c r="E38">
        <v>40.78</v>
      </c>
      <c r="F38">
        <v>22500</v>
      </c>
      <c r="G38">
        <v>917550</v>
      </c>
      <c r="H38" s="2144">
        <v>43003</v>
      </c>
      <c r="I38">
        <v>917550</v>
      </c>
    </row>
    <row r="39" spans="1:9" customFormat="1" hidden="1">
      <c r="A39" t="s">
        <v>4268</v>
      </c>
      <c r="B39" t="s">
        <v>3054</v>
      </c>
      <c r="C39" t="s">
        <v>3142</v>
      </c>
      <c r="D39">
        <v>263</v>
      </c>
      <c r="E39">
        <v>64.45</v>
      </c>
      <c r="F39">
        <v>17722.439999999999</v>
      </c>
      <c r="G39">
        <v>1142211</v>
      </c>
      <c r="H39" s="2144">
        <v>43002</v>
      </c>
      <c r="I39">
        <v>1142211</v>
      </c>
    </row>
    <row r="40" spans="1:9" customFormat="1" hidden="1">
      <c r="A40" t="s">
        <v>4296</v>
      </c>
      <c r="B40" t="s">
        <v>3054</v>
      </c>
      <c r="C40" t="s">
        <v>3142</v>
      </c>
      <c r="D40">
        <v>298</v>
      </c>
      <c r="E40">
        <v>54.61</v>
      </c>
      <c r="F40">
        <v>15300</v>
      </c>
      <c r="G40">
        <v>835533</v>
      </c>
      <c r="H40" s="2144">
        <v>43002</v>
      </c>
      <c r="I40">
        <v>835533</v>
      </c>
    </row>
    <row r="41" spans="1:9" customFormat="1" hidden="1">
      <c r="A41" t="s">
        <v>4821</v>
      </c>
      <c r="B41" t="s">
        <v>3055</v>
      </c>
      <c r="C41" t="s">
        <v>3142</v>
      </c>
      <c r="D41">
        <v>36</v>
      </c>
      <c r="E41">
        <v>72.23</v>
      </c>
      <c r="F41">
        <v>17490.32</v>
      </c>
      <c r="G41">
        <v>1263326</v>
      </c>
      <c r="H41" s="2144">
        <v>43002</v>
      </c>
      <c r="I41">
        <v>1263326</v>
      </c>
    </row>
    <row r="42" spans="1:9" customFormat="1" hidden="1">
      <c r="A42" t="s">
        <v>4874</v>
      </c>
      <c r="B42" t="s">
        <v>3055</v>
      </c>
      <c r="C42" t="s">
        <v>3142</v>
      </c>
      <c r="D42">
        <v>102</v>
      </c>
      <c r="E42">
        <v>60.06</v>
      </c>
      <c r="F42">
        <v>16217.31</v>
      </c>
      <c r="G42">
        <v>974012</v>
      </c>
      <c r="H42" s="2144">
        <v>43002</v>
      </c>
      <c r="I42">
        <v>974012</v>
      </c>
    </row>
    <row r="43" spans="1:9" customFormat="1" hidden="1">
      <c r="A43" t="s">
        <v>5002</v>
      </c>
      <c r="B43" t="s">
        <v>3055</v>
      </c>
      <c r="C43" t="s">
        <v>3142</v>
      </c>
      <c r="D43">
        <v>276</v>
      </c>
      <c r="E43">
        <v>74.400000000000006</v>
      </c>
      <c r="F43">
        <v>15800</v>
      </c>
      <c r="G43">
        <v>1175520</v>
      </c>
      <c r="H43" s="2144">
        <v>43002</v>
      </c>
      <c r="I43">
        <v>1175520</v>
      </c>
    </row>
    <row r="44" spans="1:9">
      <c r="A44" s="3386" t="s">
        <v>6595</v>
      </c>
      <c r="B44" s="3386">
        <v>11</v>
      </c>
      <c r="C44" s="3386" t="s">
        <v>3142</v>
      </c>
      <c r="D44" s="3386">
        <v>50</v>
      </c>
      <c r="E44" s="3386">
        <v>15.63</v>
      </c>
      <c r="F44" s="3386">
        <v>13487.85</v>
      </c>
      <c r="G44" s="3386">
        <v>210815</v>
      </c>
      <c r="H44" s="3386">
        <v>43002</v>
      </c>
      <c r="I44" s="3386">
        <v>210815</v>
      </c>
    </row>
    <row r="45" spans="1:9" customFormat="1" hidden="1">
      <c r="A45" t="s">
        <v>4118</v>
      </c>
      <c r="B45" t="s">
        <v>3054</v>
      </c>
      <c r="C45" t="s">
        <v>3142</v>
      </c>
      <c r="D45">
        <v>79</v>
      </c>
      <c r="E45">
        <v>64.459999999999994</v>
      </c>
      <c r="F45">
        <v>16022.46</v>
      </c>
      <c r="G45">
        <v>1032808</v>
      </c>
      <c r="H45" s="2144">
        <v>43001</v>
      </c>
      <c r="I45">
        <v>1032808</v>
      </c>
    </row>
    <row r="46" spans="1:9" customFormat="1" hidden="1">
      <c r="A46" t="s">
        <v>4133</v>
      </c>
      <c r="B46" t="s">
        <v>3054</v>
      </c>
      <c r="C46" t="s">
        <v>3142</v>
      </c>
      <c r="D46">
        <v>106</v>
      </c>
      <c r="E46">
        <v>88.02</v>
      </c>
      <c r="F46">
        <v>15748.41</v>
      </c>
      <c r="G46">
        <v>1386175</v>
      </c>
      <c r="H46" s="2144">
        <v>43001</v>
      </c>
      <c r="I46">
        <v>1386175</v>
      </c>
    </row>
    <row r="47" spans="1:9" customFormat="1" hidden="1">
      <c r="A47" t="s">
        <v>4187</v>
      </c>
      <c r="B47" t="s">
        <v>3054</v>
      </c>
      <c r="C47" t="s">
        <v>3142</v>
      </c>
      <c r="D47">
        <v>172</v>
      </c>
      <c r="E47">
        <v>56.51</v>
      </c>
      <c r="F47">
        <v>15900</v>
      </c>
      <c r="G47">
        <v>898509</v>
      </c>
      <c r="H47" s="2144">
        <v>43001</v>
      </c>
      <c r="I47">
        <v>898509</v>
      </c>
    </row>
    <row r="48" spans="1:9" customFormat="1" hidden="1">
      <c r="A48" t="s">
        <v>4202</v>
      </c>
      <c r="B48" t="s">
        <v>3054</v>
      </c>
      <c r="C48" t="s">
        <v>3142</v>
      </c>
      <c r="D48">
        <v>189</v>
      </c>
      <c r="E48">
        <v>50.1</v>
      </c>
      <c r="F48">
        <v>15789.72</v>
      </c>
      <c r="G48">
        <v>791065</v>
      </c>
      <c r="H48" s="2144">
        <v>43001</v>
      </c>
      <c r="I48">
        <v>791065</v>
      </c>
    </row>
    <row r="49" spans="1:9" customFormat="1" hidden="1">
      <c r="A49" t="s">
        <v>4825</v>
      </c>
      <c r="B49" t="s">
        <v>3055</v>
      </c>
      <c r="C49" t="s">
        <v>3142</v>
      </c>
      <c r="D49">
        <v>40</v>
      </c>
      <c r="E49">
        <v>55.77</v>
      </c>
      <c r="F49">
        <v>16900.22</v>
      </c>
      <c r="G49">
        <v>942525</v>
      </c>
      <c r="H49" s="2144">
        <v>43001</v>
      </c>
      <c r="I49">
        <v>942525</v>
      </c>
    </row>
    <row r="50" spans="1:9" customFormat="1" hidden="1">
      <c r="A50" t="s">
        <v>4852</v>
      </c>
      <c r="B50" t="s">
        <v>3055</v>
      </c>
      <c r="C50" t="s">
        <v>3142</v>
      </c>
      <c r="D50">
        <v>73</v>
      </c>
      <c r="E50">
        <v>32.5</v>
      </c>
      <c r="F50">
        <v>16847.189999999999</v>
      </c>
      <c r="G50">
        <v>547534</v>
      </c>
      <c r="H50" s="2144">
        <v>43001</v>
      </c>
      <c r="I50">
        <v>547534</v>
      </c>
    </row>
    <row r="51" spans="1:9">
      <c r="A51" s="3386" t="s">
        <v>6612</v>
      </c>
      <c r="B51" s="3386">
        <v>11</v>
      </c>
      <c r="C51" s="3386" t="s">
        <v>3142</v>
      </c>
      <c r="D51" s="3386">
        <v>101</v>
      </c>
      <c r="E51" s="3386">
        <v>42.55</v>
      </c>
      <c r="F51" s="3386">
        <v>14420</v>
      </c>
      <c r="G51" s="3386">
        <v>613571</v>
      </c>
      <c r="H51" s="3386">
        <v>43001</v>
      </c>
      <c r="I51" s="3386">
        <v>613571</v>
      </c>
    </row>
    <row r="52" spans="1:9" customFormat="1" hidden="1">
      <c r="A52" t="s">
        <v>6868</v>
      </c>
      <c r="B52">
        <v>12</v>
      </c>
      <c r="C52" t="s">
        <v>3142</v>
      </c>
      <c r="D52">
        <v>213</v>
      </c>
      <c r="E52">
        <v>43.07</v>
      </c>
      <c r="F52">
        <v>15355</v>
      </c>
      <c r="G52">
        <v>661340</v>
      </c>
      <c r="H52" s="2144">
        <v>43001</v>
      </c>
      <c r="I52">
        <v>661340</v>
      </c>
    </row>
    <row r="53" spans="1:9" customFormat="1" hidden="1">
      <c r="A53" t="s">
        <v>4116</v>
      </c>
      <c r="B53" t="s">
        <v>3054</v>
      </c>
      <c r="C53" t="s">
        <v>3142</v>
      </c>
      <c r="D53">
        <v>77</v>
      </c>
      <c r="E53">
        <v>45.48</v>
      </c>
      <c r="F53">
        <v>15190.11</v>
      </c>
      <c r="G53">
        <v>690846</v>
      </c>
      <c r="H53" s="2144">
        <v>43000</v>
      </c>
      <c r="I53">
        <v>690846</v>
      </c>
    </row>
    <row r="54" spans="1:9" customFormat="1" hidden="1">
      <c r="A54" t="s">
        <v>4174</v>
      </c>
      <c r="B54" t="s">
        <v>3054</v>
      </c>
      <c r="C54" t="s">
        <v>3142</v>
      </c>
      <c r="D54">
        <v>155</v>
      </c>
      <c r="E54">
        <v>60.62</v>
      </c>
      <c r="F54">
        <v>16217.55</v>
      </c>
      <c r="G54">
        <v>983108</v>
      </c>
      <c r="H54" s="2144">
        <v>43000</v>
      </c>
      <c r="I54">
        <v>983108</v>
      </c>
    </row>
    <row r="55" spans="1:9" customFormat="1" hidden="1">
      <c r="A55" t="s">
        <v>4251</v>
      </c>
      <c r="B55" t="s">
        <v>3054</v>
      </c>
      <c r="C55" t="s">
        <v>3142</v>
      </c>
      <c r="D55">
        <v>243</v>
      </c>
      <c r="E55">
        <v>31.45</v>
      </c>
      <c r="F55">
        <v>15900</v>
      </c>
      <c r="G55">
        <v>500055</v>
      </c>
      <c r="H55" s="2144">
        <v>43000</v>
      </c>
      <c r="I55">
        <v>500055</v>
      </c>
    </row>
    <row r="56" spans="1:9" customFormat="1" hidden="1">
      <c r="A56" t="s">
        <v>4811</v>
      </c>
      <c r="B56" t="s">
        <v>3055</v>
      </c>
      <c r="C56" t="s">
        <v>3142</v>
      </c>
      <c r="D56">
        <v>25</v>
      </c>
      <c r="E56">
        <v>69.14</v>
      </c>
      <c r="F56">
        <v>18027.849999999999</v>
      </c>
      <c r="G56">
        <v>1246446</v>
      </c>
      <c r="H56" s="2144">
        <v>43000</v>
      </c>
      <c r="I56">
        <v>1246446</v>
      </c>
    </row>
    <row r="57" spans="1:9" customFormat="1" hidden="1">
      <c r="A57" t="s">
        <v>4823</v>
      </c>
      <c r="B57" t="s">
        <v>3055</v>
      </c>
      <c r="C57" t="s">
        <v>3142</v>
      </c>
      <c r="D57">
        <v>38</v>
      </c>
      <c r="E57">
        <v>98.31</v>
      </c>
      <c r="F57">
        <v>18049.48</v>
      </c>
      <c r="G57">
        <v>1774444</v>
      </c>
      <c r="H57" s="2144">
        <v>43000</v>
      </c>
      <c r="I57">
        <v>1774444</v>
      </c>
    </row>
    <row r="58" spans="1:9" customFormat="1" hidden="1">
      <c r="A58" t="s">
        <v>4824</v>
      </c>
      <c r="B58" t="s">
        <v>3055</v>
      </c>
      <c r="C58" t="s">
        <v>3142</v>
      </c>
      <c r="D58">
        <v>39</v>
      </c>
      <c r="E58">
        <v>102.62</v>
      </c>
      <c r="F58">
        <v>18751.61</v>
      </c>
      <c r="G58">
        <v>1924290</v>
      </c>
      <c r="H58" s="2144">
        <v>43000</v>
      </c>
      <c r="I58">
        <v>1924290</v>
      </c>
    </row>
    <row r="59" spans="1:9" customFormat="1" hidden="1">
      <c r="A59" t="s">
        <v>4827</v>
      </c>
      <c r="B59" t="s">
        <v>3055</v>
      </c>
      <c r="C59" t="s">
        <v>3142</v>
      </c>
      <c r="D59">
        <v>43</v>
      </c>
      <c r="E59">
        <v>52.95</v>
      </c>
      <c r="F59">
        <v>16405.55</v>
      </c>
      <c r="G59">
        <v>868674</v>
      </c>
      <c r="H59" s="2144">
        <v>43000</v>
      </c>
      <c r="I59">
        <v>868674</v>
      </c>
    </row>
    <row r="60" spans="1:9" customFormat="1" hidden="1">
      <c r="A60" t="s">
        <v>4904</v>
      </c>
      <c r="B60" t="s">
        <v>3055</v>
      </c>
      <c r="C60" t="s">
        <v>3142</v>
      </c>
      <c r="D60">
        <v>141</v>
      </c>
      <c r="E60">
        <v>98.05</v>
      </c>
      <c r="F60">
        <v>18249.23</v>
      </c>
      <c r="G60">
        <v>1789337</v>
      </c>
      <c r="H60" s="2144">
        <v>43000</v>
      </c>
      <c r="I60">
        <v>1789337</v>
      </c>
    </row>
    <row r="61" spans="1:9" customFormat="1" hidden="1">
      <c r="A61" t="s">
        <v>4949</v>
      </c>
      <c r="B61" t="s">
        <v>3055</v>
      </c>
      <c r="C61" t="s">
        <v>3142</v>
      </c>
      <c r="D61">
        <v>201</v>
      </c>
      <c r="E61">
        <v>84.76</v>
      </c>
      <c r="F61">
        <v>17741.41</v>
      </c>
      <c r="G61">
        <v>1503762</v>
      </c>
      <c r="H61" s="2144">
        <v>43000</v>
      </c>
      <c r="I61">
        <v>1503762</v>
      </c>
    </row>
    <row r="62" spans="1:9" customFormat="1" hidden="1">
      <c r="A62" t="s">
        <v>5988</v>
      </c>
      <c r="B62" t="s">
        <v>3057</v>
      </c>
      <c r="C62" t="s">
        <v>3142</v>
      </c>
      <c r="D62">
        <v>191</v>
      </c>
      <c r="E62">
        <v>58.31</v>
      </c>
      <c r="F62">
        <v>22167</v>
      </c>
      <c r="G62">
        <v>1292558</v>
      </c>
      <c r="H62" s="2144">
        <v>43000</v>
      </c>
      <c r="I62">
        <v>1292558</v>
      </c>
    </row>
    <row r="63" spans="1:9" customFormat="1" hidden="1">
      <c r="A63" t="s">
        <v>6005</v>
      </c>
      <c r="B63" t="s">
        <v>3057</v>
      </c>
      <c r="C63" t="s">
        <v>3142</v>
      </c>
      <c r="D63">
        <v>243</v>
      </c>
      <c r="E63">
        <v>72.8</v>
      </c>
      <c r="F63">
        <v>19614</v>
      </c>
      <c r="G63">
        <v>1427899</v>
      </c>
      <c r="H63" s="2144">
        <v>43000</v>
      </c>
      <c r="I63">
        <v>1427899</v>
      </c>
    </row>
    <row r="64" spans="1:9" customFormat="1" hidden="1">
      <c r="A64" t="s">
        <v>6014</v>
      </c>
      <c r="B64" t="s">
        <v>3057</v>
      </c>
      <c r="C64" t="s">
        <v>3142</v>
      </c>
      <c r="D64">
        <v>303</v>
      </c>
      <c r="E64">
        <v>30.14</v>
      </c>
      <c r="F64">
        <v>17799.099999999999</v>
      </c>
      <c r="G64">
        <v>536465</v>
      </c>
      <c r="H64" s="2144">
        <v>43000</v>
      </c>
      <c r="I64">
        <v>536465</v>
      </c>
    </row>
    <row r="65" spans="1:9">
      <c r="A65" s="3386" t="s">
        <v>6586</v>
      </c>
      <c r="B65" s="3386">
        <v>11</v>
      </c>
      <c r="C65" s="3386" t="s">
        <v>3142</v>
      </c>
      <c r="D65" s="3386">
        <v>9</v>
      </c>
      <c r="E65" s="3386">
        <v>51.16</v>
      </c>
      <c r="F65" s="3386">
        <v>19800</v>
      </c>
      <c r="G65" s="3386">
        <v>1012967.9999999999</v>
      </c>
      <c r="H65" s="3386">
        <v>43000</v>
      </c>
      <c r="I65" s="3386">
        <v>1012968</v>
      </c>
    </row>
    <row r="66" spans="1:9" customFormat="1" hidden="1">
      <c r="A66" t="s">
        <v>4132</v>
      </c>
      <c r="B66" t="s">
        <v>3054</v>
      </c>
      <c r="C66" t="s">
        <v>3142</v>
      </c>
      <c r="D66">
        <v>105</v>
      </c>
      <c r="E66">
        <v>87.09</v>
      </c>
      <c r="F66">
        <v>16642.599999999999</v>
      </c>
      <c r="G66">
        <v>1449404</v>
      </c>
      <c r="H66" s="2144">
        <v>42999</v>
      </c>
      <c r="I66">
        <v>1449404</v>
      </c>
    </row>
    <row r="67" spans="1:9" customFormat="1" hidden="1">
      <c r="A67" t="s">
        <v>4260</v>
      </c>
      <c r="B67" t="s">
        <v>3054</v>
      </c>
      <c r="C67" t="s">
        <v>3142</v>
      </c>
      <c r="D67">
        <v>253</v>
      </c>
      <c r="E67">
        <v>74.489999999999995</v>
      </c>
      <c r="F67">
        <v>16628.939999999999</v>
      </c>
      <c r="G67">
        <v>1238690</v>
      </c>
      <c r="H67" s="2144">
        <v>42999</v>
      </c>
      <c r="I67">
        <v>1238690</v>
      </c>
    </row>
    <row r="68" spans="1:9" customFormat="1" hidden="1">
      <c r="A68" t="s">
        <v>4272</v>
      </c>
      <c r="B68" t="s">
        <v>3054</v>
      </c>
      <c r="C68" t="s">
        <v>3142</v>
      </c>
      <c r="D68">
        <v>268</v>
      </c>
      <c r="E68">
        <v>100.49</v>
      </c>
      <c r="F68">
        <v>15811</v>
      </c>
      <c r="G68">
        <v>1588847</v>
      </c>
      <c r="H68" s="2144">
        <v>42999</v>
      </c>
      <c r="I68">
        <v>1588847</v>
      </c>
    </row>
    <row r="69" spans="1:9" customFormat="1" hidden="1">
      <c r="A69" t="s">
        <v>4299</v>
      </c>
      <c r="B69" t="s">
        <v>3054</v>
      </c>
      <c r="C69" t="s">
        <v>3142</v>
      </c>
      <c r="D69">
        <v>309</v>
      </c>
      <c r="E69">
        <v>64.2</v>
      </c>
      <c r="F69">
        <v>14800</v>
      </c>
      <c r="G69">
        <v>950160</v>
      </c>
      <c r="H69" s="2144">
        <v>42999</v>
      </c>
      <c r="I69">
        <v>950160</v>
      </c>
    </row>
    <row r="70" spans="1:9" customFormat="1" hidden="1">
      <c r="A70" t="s">
        <v>4805</v>
      </c>
      <c r="B70" t="s">
        <v>3055</v>
      </c>
      <c r="C70" t="s">
        <v>3142</v>
      </c>
      <c r="D70">
        <v>18</v>
      </c>
      <c r="E70">
        <v>41.36</v>
      </c>
      <c r="F70">
        <v>16179.95</v>
      </c>
      <c r="G70">
        <v>669203</v>
      </c>
      <c r="H70" s="2144">
        <v>42999</v>
      </c>
      <c r="I70">
        <v>669203</v>
      </c>
    </row>
    <row r="71" spans="1:9" customFormat="1" hidden="1">
      <c r="A71" t="s">
        <v>4806</v>
      </c>
      <c r="B71" t="s">
        <v>3055</v>
      </c>
      <c r="C71" t="s">
        <v>3142</v>
      </c>
      <c r="D71">
        <v>19</v>
      </c>
      <c r="E71">
        <v>41.44</v>
      </c>
      <c r="F71">
        <v>15694.75</v>
      </c>
      <c r="G71">
        <v>650390</v>
      </c>
      <c r="H71" s="2144">
        <v>42999</v>
      </c>
      <c r="I71">
        <v>650390</v>
      </c>
    </row>
    <row r="72" spans="1:9" customFormat="1" hidden="1">
      <c r="A72" t="s">
        <v>4826</v>
      </c>
      <c r="B72" t="s">
        <v>3055</v>
      </c>
      <c r="C72" t="s">
        <v>3142</v>
      </c>
      <c r="D72">
        <v>41</v>
      </c>
      <c r="E72">
        <v>59.63</v>
      </c>
      <c r="F72">
        <v>16224.09</v>
      </c>
      <c r="G72">
        <v>967442</v>
      </c>
      <c r="H72" s="2144">
        <v>42999</v>
      </c>
      <c r="I72">
        <v>967442</v>
      </c>
    </row>
    <row r="73" spans="1:9" customFormat="1" hidden="1">
      <c r="A73" t="s">
        <v>4831</v>
      </c>
      <c r="B73" t="s">
        <v>3055</v>
      </c>
      <c r="C73" t="s">
        <v>3142</v>
      </c>
      <c r="D73">
        <v>48</v>
      </c>
      <c r="E73">
        <v>47.12</v>
      </c>
      <c r="F73">
        <v>16194.6</v>
      </c>
      <c r="G73">
        <v>763090</v>
      </c>
      <c r="H73" s="2144">
        <v>42999</v>
      </c>
      <c r="I73">
        <v>763090</v>
      </c>
    </row>
    <row r="74" spans="1:9" customFormat="1" hidden="1">
      <c r="A74" t="s">
        <v>4847</v>
      </c>
      <c r="B74" t="s">
        <v>3055</v>
      </c>
      <c r="C74" t="s">
        <v>3142</v>
      </c>
      <c r="D74">
        <v>67</v>
      </c>
      <c r="E74">
        <v>47</v>
      </c>
      <c r="F74">
        <v>16300</v>
      </c>
      <c r="G74">
        <v>766100</v>
      </c>
      <c r="H74" s="2144">
        <v>42999</v>
      </c>
      <c r="I74">
        <v>766100</v>
      </c>
    </row>
    <row r="75" spans="1:9" customFormat="1" hidden="1">
      <c r="A75" t="s">
        <v>4886</v>
      </c>
      <c r="B75" t="s">
        <v>3055</v>
      </c>
      <c r="C75" t="s">
        <v>3142</v>
      </c>
      <c r="D75">
        <v>120</v>
      </c>
      <c r="E75">
        <v>48.61</v>
      </c>
      <c r="F75">
        <v>16500</v>
      </c>
      <c r="G75">
        <v>802065</v>
      </c>
      <c r="H75" s="2144">
        <v>42999</v>
      </c>
      <c r="I75">
        <v>802065</v>
      </c>
    </row>
    <row r="76" spans="1:9" customFormat="1" hidden="1">
      <c r="A76" t="s">
        <v>6806</v>
      </c>
      <c r="B76">
        <v>12</v>
      </c>
      <c r="C76" t="s">
        <v>3142</v>
      </c>
      <c r="D76">
        <v>78</v>
      </c>
      <c r="E76">
        <v>59.21</v>
      </c>
      <c r="F76">
        <v>18030.009999999998</v>
      </c>
      <c r="G76">
        <v>1067556</v>
      </c>
      <c r="H76" s="2144">
        <v>42999</v>
      </c>
      <c r="I76">
        <v>1067556</v>
      </c>
    </row>
    <row r="77" spans="1:9" customFormat="1" hidden="1">
      <c r="A77" t="s">
        <v>4083</v>
      </c>
      <c r="B77" t="s">
        <v>3054</v>
      </c>
      <c r="C77" t="s">
        <v>3142</v>
      </c>
      <c r="D77">
        <v>25</v>
      </c>
      <c r="E77">
        <v>45.95</v>
      </c>
      <c r="F77">
        <v>15191.21</v>
      </c>
      <c r="G77">
        <v>698036</v>
      </c>
      <c r="H77" s="2144">
        <v>42998</v>
      </c>
      <c r="I77">
        <v>698036</v>
      </c>
    </row>
    <row r="78" spans="1:9" customFormat="1" hidden="1">
      <c r="A78" t="s">
        <v>4170</v>
      </c>
      <c r="B78" t="s">
        <v>3054</v>
      </c>
      <c r="C78" t="s">
        <v>3142</v>
      </c>
      <c r="D78">
        <v>149</v>
      </c>
      <c r="E78">
        <v>38.83</v>
      </c>
      <c r="F78">
        <v>16171.27</v>
      </c>
      <c r="G78">
        <v>627930</v>
      </c>
      <c r="H78" s="2144">
        <v>42998</v>
      </c>
      <c r="I78">
        <v>627930</v>
      </c>
    </row>
    <row r="79" spans="1:9" customFormat="1" hidden="1">
      <c r="A79" t="s">
        <v>4809</v>
      </c>
      <c r="B79" t="s">
        <v>3055</v>
      </c>
      <c r="C79" t="s">
        <v>3142</v>
      </c>
      <c r="D79">
        <v>22</v>
      </c>
      <c r="E79">
        <v>72.19</v>
      </c>
      <c r="F79">
        <v>18031.21</v>
      </c>
      <c r="G79">
        <v>1301673</v>
      </c>
      <c r="H79" s="2144">
        <v>42998</v>
      </c>
      <c r="I79">
        <v>1301673</v>
      </c>
    </row>
    <row r="80" spans="1:9" customFormat="1" hidden="1">
      <c r="A80" t="s">
        <v>4812</v>
      </c>
      <c r="B80" t="s">
        <v>3055</v>
      </c>
      <c r="C80" t="s">
        <v>3142</v>
      </c>
      <c r="D80">
        <v>26</v>
      </c>
      <c r="E80">
        <v>72.19</v>
      </c>
      <c r="F80">
        <v>18031.21</v>
      </c>
      <c r="G80">
        <v>1301673</v>
      </c>
      <c r="H80" s="2144">
        <v>42998</v>
      </c>
      <c r="I80">
        <v>1301673</v>
      </c>
    </row>
    <row r="81" spans="1:9" customFormat="1" hidden="1">
      <c r="A81" t="s">
        <v>4833</v>
      </c>
      <c r="B81" t="s">
        <v>3055</v>
      </c>
      <c r="C81" t="s">
        <v>3142</v>
      </c>
      <c r="D81">
        <v>50</v>
      </c>
      <c r="E81">
        <v>48.24</v>
      </c>
      <c r="F81">
        <v>15708.77</v>
      </c>
      <c r="G81">
        <v>757791</v>
      </c>
      <c r="H81" s="2144">
        <v>42998</v>
      </c>
      <c r="I81">
        <v>757791</v>
      </c>
    </row>
    <row r="82" spans="1:9" customFormat="1" hidden="1">
      <c r="A82" t="s">
        <v>6335</v>
      </c>
      <c r="B82">
        <v>9</v>
      </c>
      <c r="C82" t="s">
        <v>3142</v>
      </c>
      <c r="D82">
        <v>56</v>
      </c>
      <c r="E82">
        <v>41.75</v>
      </c>
      <c r="F82">
        <v>14379</v>
      </c>
      <c r="G82">
        <v>600323</v>
      </c>
      <c r="H82" s="2144">
        <v>42998</v>
      </c>
      <c r="I82">
        <v>600323</v>
      </c>
    </row>
    <row r="83" spans="1:9" customFormat="1" hidden="1">
      <c r="A83" t="s">
        <v>4113</v>
      </c>
      <c r="B83" t="s">
        <v>3054</v>
      </c>
      <c r="C83" t="s">
        <v>3142</v>
      </c>
      <c r="D83">
        <v>73</v>
      </c>
      <c r="E83">
        <v>49.06</v>
      </c>
      <c r="F83">
        <v>14841.01</v>
      </c>
      <c r="G83">
        <v>728099</v>
      </c>
      <c r="H83" s="2144">
        <v>42997</v>
      </c>
      <c r="I83">
        <v>728099</v>
      </c>
    </row>
    <row r="84" spans="1:9" customFormat="1" hidden="1">
      <c r="A84" t="s">
        <v>4117</v>
      </c>
      <c r="B84" t="s">
        <v>3054</v>
      </c>
      <c r="C84" t="s">
        <v>3142</v>
      </c>
      <c r="D84">
        <v>78</v>
      </c>
      <c r="E84">
        <v>45.5</v>
      </c>
      <c r="F84">
        <v>14841</v>
      </c>
      <c r="G84">
        <v>675266</v>
      </c>
      <c r="H84" s="2144">
        <v>42997</v>
      </c>
      <c r="I84">
        <v>675266</v>
      </c>
    </row>
    <row r="85" spans="1:9" customFormat="1" hidden="1">
      <c r="A85" t="s">
        <v>4213</v>
      </c>
      <c r="B85" t="s">
        <v>3054</v>
      </c>
      <c r="C85" t="s">
        <v>3142</v>
      </c>
      <c r="D85">
        <v>201</v>
      </c>
      <c r="E85">
        <v>74.53</v>
      </c>
      <c r="F85">
        <v>18032.93</v>
      </c>
      <c r="G85">
        <v>1343994</v>
      </c>
      <c r="H85" s="2144">
        <v>42997</v>
      </c>
      <c r="I85">
        <v>1343994</v>
      </c>
    </row>
    <row r="86" spans="1:9" customFormat="1" hidden="1">
      <c r="A86" t="s">
        <v>4828</v>
      </c>
      <c r="B86" t="s">
        <v>3055</v>
      </c>
      <c r="C86" t="s">
        <v>3142</v>
      </c>
      <c r="D86">
        <v>45</v>
      </c>
      <c r="E86">
        <v>43.2</v>
      </c>
      <c r="F86">
        <v>16385.03</v>
      </c>
      <c r="G86">
        <v>707833</v>
      </c>
      <c r="H86" s="2144">
        <v>42997</v>
      </c>
      <c r="I86">
        <v>707833</v>
      </c>
    </row>
    <row r="87" spans="1:9" customFormat="1" hidden="1">
      <c r="A87" t="s">
        <v>4856</v>
      </c>
      <c r="B87" t="s">
        <v>3055</v>
      </c>
      <c r="C87" t="s">
        <v>3142</v>
      </c>
      <c r="D87">
        <v>78</v>
      </c>
      <c r="E87">
        <v>32.17</v>
      </c>
      <c r="F87">
        <v>16344.91</v>
      </c>
      <c r="G87">
        <v>525816</v>
      </c>
      <c r="H87" s="2144">
        <v>42997</v>
      </c>
      <c r="I87">
        <v>525816</v>
      </c>
    </row>
    <row r="88" spans="1:9" customFormat="1" hidden="1">
      <c r="A88" t="s">
        <v>4858</v>
      </c>
      <c r="B88" t="s">
        <v>3055</v>
      </c>
      <c r="C88" t="s">
        <v>3142</v>
      </c>
      <c r="D88">
        <v>80</v>
      </c>
      <c r="E88">
        <v>29.24</v>
      </c>
      <c r="F88">
        <v>16300</v>
      </c>
      <c r="G88">
        <v>476612</v>
      </c>
      <c r="H88" s="2144">
        <v>42997</v>
      </c>
      <c r="I88">
        <v>476612</v>
      </c>
    </row>
    <row r="89" spans="1:9" customFormat="1" hidden="1">
      <c r="A89" t="s">
        <v>4970</v>
      </c>
      <c r="B89" t="s">
        <v>3055</v>
      </c>
      <c r="C89" t="s">
        <v>3142</v>
      </c>
      <c r="D89">
        <v>232</v>
      </c>
      <c r="E89">
        <v>69.86</v>
      </c>
      <c r="F89">
        <v>17487.310000000001</v>
      </c>
      <c r="G89">
        <v>1221663</v>
      </c>
      <c r="H89" s="2144">
        <v>42997</v>
      </c>
      <c r="I89">
        <v>1221663</v>
      </c>
    </row>
    <row r="90" spans="1:9" customFormat="1" hidden="1">
      <c r="A90" t="s">
        <v>6862</v>
      </c>
      <c r="B90">
        <v>12</v>
      </c>
      <c r="C90" t="s">
        <v>3142</v>
      </c>
      <c r="D90">
        <v>202</v>
      </c>
      <c r="E90">
        <v>82.8</v>
      </c>
      <c r="F90">
        <v>20080</v>
      </c>
      <c r="G90">
        <v>1662624</v>
      </c>
      <c r="H90" s="2144">
        <v>42997</v>
      </c>
      <c r="I90">
        <v>1662624</v>
      </c>
    </row>
    <row r="91" spans="1:9" customFormat="1" hidden="1">
      <c r="A91" t="s">
        <v>4876</v>
      </c>
      <c r="B91" t="s">
        <v>3055</v>
      </c>
      <c r="C91" t="s">
        <v>3142</v>
      </c>
      <c r="D91">
        <v>108</v>
      </c>
      <c r="E91">
        <v>41.82</v>
      </c>
      <c r="F91">
        <v>16381.26</v>
      </c>
      <c r="G91">
        <v>685064</v>
      </c>
      <c r="H91" s="2144">
        <v>42996</v>
      </c>
      <c r="I91">
        <v>685064</v>
      </c>
    </row>
    <row r="92" spans="1:9" customFormat="1" hidden="1">
      <c r="A92" t="s">
        <v>4999</v>
      </c>
      <c r="B92" t="s">
        <v>3055</v>
      </c>
      <c r="C92" t="s">
        <v>3142</v>
      </c>
      <c r="D92">
        <v>272</v>
      </c>
      <c r="E92">
        <v>73.3</v>
      </c>
      <c r="F92">
        <v>15800</v>
      </c>
      <c r="G92">
        <v>1158140</v>
      </c>
      <c r="H92" s="2144">
        <v>42996</v>
      </c>
      <c r="I92">
        <v>1158140</v>
      </c>
    </row>
    <row r="93" spans="1:9" customFormat="1" hidden="1">
      <c r="A93" t="s">
        <v>5000</v>
      </c>
      <c r="B93" t="s">
        <v>3055</v>
      </c>
      <c r="C93" t="s">
        <v>3142</v>
      </c>
      <c r="D93">
        <v>273</v>
      </c>
      <c r="E93">
        <v>75.73</v>
      </c>
      <c r="F93">
        <v>15800</v>
      </c>
      <c r="G93">
        <v>1196534</v>
      </c>
      <c r="H93" s="2144">
        <v>42996</v>
      </c>
      <c r="I93">
        <v>1196534</v>
      </c>
    </row>
    <row r="94" spans="1:9" customFormat="1" hidden="1">
      <c r="A94" t="s">
        <v>6851</v>
      </c>
      <c r="B94">
        <v>12</v>
      </c>
      <c r="C94" t="s">
        <v>3142</v>
      </c>
      <c r="D94">
        <v>167</v>
      </c>
      <c r="E94">
        <v>68.62</v>
      </c>
      <c r="F94">
        <v>19030</v>
      </c>
      <c r="G94">
        <v>1305839</v>
      </c>
      <c r="H94" s="2144">
        <v>42996</v>
      </c>
      <c r="I94">
        <v>1305839</v>
      </c>
    </row>
    <row r="95" spans="1:9" customFormat="1" hidden="1">
      <c r="A95" t="s">
        <v>4983</v>
      </c>
      <c r="B95" t="s">
        <v>3055</v>
      </c>
      <c r="C95" t="s">
        <v>3142</v>
      </c>
      <c r="D95">
        <v>247</v>
      </c>
      <c r="E95">
        <v>41.33</v>
      </c>
      <c r="F95">
        <v>15811.01</v>
      </c>
      <c r="G95">
        <v>653469</v>
      </c>
      <c r="H95" s="2144">
        <v>42995</v>
      </c>
      <c r="I95">
        <v>653469</v>
      </c>
    </row>
    <row r="96" spans="1:9" customFormat="1" hidden="1">
      <c r="A96" t="s">
        <v>5003</v>
      </c>
      <c r="B96" t="s">
        <v>3055</v>
      </c>
      <c r="C96" t="s">
        <v>3142</v>
      </c>
      <c r="D96">
        <v>277</v>
      </c>
      <c r="E96">
        <v>74.319999999999993</v>
      </c>
      <c r="F96">
        <v>15800</v>
      </c>
      <c r="G96">
        <v>1174256</v>
      </c>
      <c r="H96" s="2144">
        <v>42995</v>
      </c>
      <c r="I96">
        <v>1174256</v>
      </c>
    </row>
    <row r="97" spans="1:9" customFormat="1" hidden="1">
      <c r="A97" t="s">
        <v>5004</v>
      </c>
      <c r="B97" t="s">
        <v>3055</v>
      </c>
      <c r="C97" t="s">
        <v>3142</v>
      </c>
      <c r="D97">
        <v>278</v>
      </c>
      <c r="E97">
        <v>74.36</v>
      </c>
      <c r="F97">
        <v>15800</v>
      </c>
      <c r="G97">
        <v>1174888</v>
      </c>
      <c r="H97" s="2144">
        <v>42995</v>
      </c>
      <c r="I97">
        <v>1174888</v>
      </c>
    </row>
    <row r="98" spans="1:9" customFormat="1" hidden="1">
      <c r="A98" t="s">
        <v>5513</v>
      </c>
      <c r="B98" t="s">
        <v>3056</v>
      </c>
      <c r="C98" t="s">
        <v>3142</v>
      </c>
      <c r="D98">
        <v>280</v>
      </c>
      <c r="E98">
        <v>34.46</v>
      </c>
      <c r="F98">
        <v>20600</v>
      </c>
      <c r="G98">
        <v>709876</v>
      </c>
      <c r="H98" s="2144">
        <v>42995</v>
      </c>
      <c r="I98">
        <v>709876</v>
      </c>
    </row>
    <row r="99" spans="1:9" customFormat="1" hidden="1">
      <c r="A99" t="s">
        <v>6798</v>
      </c>
      <c r="B99">
        <v>12</v>
      </c>
      <c r="C99" t="s">
        <v>3142</v>
      </c>
      <c r="D99">
        <v>67</v>
      </c>
      <c r="E99">
        <v>69.06</v>
      </c>
      <c r="F99">
        <v>19021.7</v>
      </c>
      <c r="G99">
        <v>1313639</v>
      </c>
      <c r="H99" s="2144">
        <v>42995</v>
      </c>
      <c r="I99">
        <v>1313639</v>
      </c>
    </row>
    <row r="100" spans="1:9" customFormat="1" hidden="1">
      <c r="A100" t="s">
        <v>6799</v>
      </c>
      <c r="B100">
        <v>12</v>
      </c>
      <c r="C100" t="s">
        <v>3142</v>
      </c>
      <c r="D100">
        <v>68</v>
      </c>
      <c r="E100">
        <v>69.66</v>
      </c>
      <c r="F100">
        <v>17610.009999999998</v>
      </c>
      <c r="G100">
        <v>1226713</v>
      </c>
      <c r="H100" s="2144">
        <v>42995</v>
      </c>
      <c r="I100">
        <v>1226713</v>
      </c>
    </row>
    <row r="101" spans="1:9" customFormat="1" hidden="1">
      <c r="A101" t="s">
        <v>6861</v>
      </c>
      <c r="B101">
        <v>12</v>
      </c>
      <c r="C101" t="s">
        <v>3142</v>
      </c>
      <c r="D101">
        <v>198</v>
      </c>
      <c r="E101">
        <v>77.06</v>
      </c>
      <c r="F101">
        <v>19030</v>
      </c>
      <c r="G101">
        <v>1466452</v>
      </c>
      <c r="H101" s="2144">
        <v>42995</v>
      </c>
      <c r="I101">
        <v>1466452</v>
      </c>
    </row>
    <row r="102" spans="1:9" customFormat="1" hidden="1">
      <c r="A102" t="s">
        <v>4129</v>
      </c>
      <c r="B102" t="s">
        <v>3054</v>
      </c>
      <c r="C102" t="s">
        <v>3142</v>
      </c>
      <c r="D102">
        <v>100</v>
      </c>
      <c r="E102">
        <v>66.900000000000006</v>
      </c>
      <c r="F102">
        <v>14841.01</v>
      </c>
      <c r="G102">
        <v>992864</v>
      </c>
      <c r="H102" s="2144">
        <v>42994</v>
      </c>
      <c r="I102">
        <v>992864</v>
      </c>
    </row>
    <row r="103" spans="1:9" customFormat="1" hidden="1">
      <c r="A103" t="s">
        <v>4130</v>
      </c>
      <c r="B103" t="s">
        <v>3054</v>
      </c>
      <c r="C103" t="s">
        <v>3142</v>
      </c>
      <c r="D103">
        <v>102</v>
      </c>
      <c r="E103">
        <v>33.049999999999997</v>
      </c>
      <c r="F103">
        <v>14841</v>
      </c>
      <c r="G103">
        <v>490495</v>
      </c>
      <c r="H103" s="2144">
        <v>42994</v>
      </c>
      <c r="I103">
        <v>490495</v>
      </c>
    </row>
    <row r="104" spans="1:9" customFormat="1" hidden="1">
      <c r="A104" t="s">
        <v>4303</v>
      </c>
      <c r="B104" t="s">
        <v>3054</v>
      </c>
      <c r="C104" t="s">
        <v>3142</v>
      </c>
      <c r="D104">
        <v>317</v>
      </c>
      <c r="E104">
        <v>43.33</v>
      </c>
      <c r="F104">
        <v>15900</v>
      </c>
      <c r="G104">
        <v>688947</v>
      </c>
      <c r="H104" s="2144">
        <v>42994</v>
      </c>
      <c r="I104">
        <v>688947</v>
      </c>
    </row>
    <row r="105" spans="1:9" customFormat="1" hidden="1">
      <c r="A105" t="s">
        <v>4864</v>
      </c>
      <c r="B105" t="s">
        <v>3055</v>
      </c>
      <c r="C105" t="s">
        <v>3142</v>
      </c>
      <c r="D105">
        <v>88</v>
      </c>
      <c r="E105">
        <v>92.41</v>
      </c>
      <c r="F105">
        <v>16246.26</v>
      </c>
      <c r="G105">
        <v>1501317</v>
      </c>
      <c r="H105" s="2144">
        <v>42994</v>
      </c>
      <c r="I105">
        <v>1501317</v>
      </c>
    </row>
    <row r="106" spans="1:9" customFormat="1" hidden="1">
      <c r="A106" t="s">
        <v>4916</v>
      </c>
      <c r="B106" t="s">
        <v>3055</v>
      </c>
      <c r="C106" t="s">
        <v>3142</v>
      </c>
      <c r="D106">
        <v>155</v>
      </c>
      <c r="E106">
        <v>68.45</v>
      </c>
      <c r="F106">
        <v>18226.22</v>
      </c>
      <c r="G106">
        <v>1247585</v>
      </c>
      <c r="H106" s="2144">
        <v>42994</v>
      </c>
      <c r="I106">
        <v>1247585</v>
      </c>
    </row>
    <row r="107" spans="1:9" customFormat="1" hidden="1">
      <c r="A107" t="s">
        <v>6883</v>
      </c>
      <c r="B107">
        <v>12</v>
      </c>
      <c r="C107" t="s">
        <v>3142</v>
      </c>
      <c r="D107">
        <v>238</v>
      </c>
      <c r="E107">
        <v>87.15</v>
      </c>
      <c r="F107">
        <v>19076</v>
      </c>
      <c r="G107">
        <v>1662473</v>
      </c>
      <c r="H107" s="2144">
        <v>42994</v>
      </c>
      <c r="I107">
        <v>1662473</v>
      </c>
    </row>
    <row r="108" spans="1:9" customFormat="1" hidden="1">
      <c r="A108" t="s">
        <v>4090</v>
      </c>
      <c r="B108" t="s">
        <v>3054</v>
      </c>
      <c r="C108" t="s">
        <v>3142</v>
      </c>
      <c r="D108">
        <v>37</v>
      </c>
      <c r="E108">
        <v>60.97</v>
      </c>
      <c r="F108">
        <v>14800</v>
      </c>
      <c r="G108">
        <v>902356</v>
      </c>
      <c r="H108" s="2144">
        <v>42993</v>
      </c>
      <c r="I108">
        <v>902356</v>
      </c>
    </row>
    <row r="109" spans="1:9" customFormat="1" hidden="1">
      <c r="A109" t="s">
        <v>4112</v>
      </c>
      <c r="B109" t="s">
        <v>3054</v>
      </c>
      <c r="C109" t="s">
        <v>3142</v>
      </c>
      <c r="D109">
        <v>72</v>
      </c>
      <c r="E109">
        <v>26</v>
      </c>
      <c r="F109">
        <v>15430.55</v>
      </c>
      <c r="G109">
        <v>401194</v>
      </c>
      <c r="H109" s="2144">
        <v>42993</v>
      </c>
      <c r="I109">
        <v>401194</v>
      </c>
    </row>
    <row r="110" spans="1:9" customFormat="1" hidden="1">
      <c r="A110" t="s">
        <v>4208</v>
      </c>
      <c r="B110" t="s">
        <v>3054</v>
      </c>
      <c r="C110" t="s">
        <v>3142</v>
      </c>
      <c r="D110">
        <v>196</v>
      </c>
      <c r="E110">
        <v>54</v>
      </c>
      <c r="F110">
        <v>15527.19</v>
      </c>
      <c r="G110">
        <v>838468</v>
      </c>
      <c r="H110" s="2144">
        <v>42993</v>
      </c>
      <c r="I110">
        <v>838468</v>
      </c>
    </row>
    <row r="111" spans="1:9" customFormat="1" hidden="1">
      <c r="A111" t="s">
        <v>4225</v>
      </c>
      <c r="B111" t="s">
        <v>3054</v>
      </c>
      <c r="C111" t="s">
        <v>3142</v>
      </c>
      <c r="D111">
        <v>215</v>
      </c>
      <c r="E111">
        <v>74.55</v>
      </c>
      <c r="F111">
        <v>18032.95</v>
      </c>
      <c r="G111">
        <v>1344356</v>
      </c>
      <c r="H111" s="2144">
        <v>42993</v>
      </c>
      <c r="I111">
        <v>1344356</v>
      </c>
    </row>
    <row r="112" spans="1:9" customFormat="1" hidden="1">
      <c r="A112" t="s">
        <v>4262</v>
      </c>
      <c r="B112" t="s">
        <v>3054</v>
      </c>
      <c r="C112" t="s">
        <v>3142</v>
      </c>
      <c r="D112">
        <v>256</v>
      </c>
      <c r="E112">
        <v>69.06</v>
      </c>
      <c r="F112">
        <v>16227.62</v>
      </c>
      <c r="G112">
        <v>1120679</v>
      </c>
      <c r="H112" s="2144">
        <v>42993</v>
      </c>
      <c r="I112">
        <v>1120679</v>
      </c>
    </row>
    <row r="113" spans="1:9" customFormat="1" hidden="1">
      <c r="A113" t="s">
        <v>4292</v>
      </c>
      <c r="B113" t="s">
        <v>3054</v>
      </c>
      <c r="C113" t="s">
        <v>3142</v>
      </c>
      <c r="D113">
        <v>293</v>
      </c>
      <c r="E113">
        <v>44.1</v>
      </c>
      <c r="F113">
        <v>15300</v>
      </c>
      <c r="G113">
        <v>674730</v>
      </c>
      <c r="H113" s="2144">
        <v>42993</v>
      </c>
      <c r="I113">
        <v>674730</v>
      </c>
    </row>
    <row r="114" spans="1:9" customFormat="1" hidden="1">
      <c r="A114" t="s">
        <v>4815</v>
      </c>
      <c r="B114" t="s">
        <v>3055</v>
      </c>
      <c r="C114" t="s">
        <v>3142</v>
      </c>
      <c r="D114">
        <v>29</v>
      </c>
      <c r="E114">
        <v>65.31</v>
      </c>
      <c r="F114">
        <v>18723.97</v>
      </c>
      <c r="G114">
        <v>1222862</v>
      </c>
      <c r="H114" s="2144">
        <v>42993</v>
      </c>
      <c r="I114">
        <v>1222862</v>
      </c>
    </row>
    <row r="115" spans="1:9" customFormat="1" hidden="1">
      <c r="A115" t="s">
        <v>4851</v>
      </c>
      <c r="B115" t="s">
        <v>3055</v>
      </c>
      <c r="C115" t="s">
        <v>3142</v>
      </c>
      <c r="D115">
        <v>72</v>
      </c>
      <c r="E115">
        <v>30.95</v>
      </c>
      <c r="F115">
        <v>16441.57</v>
      </c>
      <c r="G115">
        <v>508867</v>
      </c>
      <c r="H115" s="2144">
        <v>42993</v>
      </c>
      <c r="I115">
        <v>508867</v>
      </c>
    </row>
    <row r="116" spans="1:9" customFormat="1" hidden="1">
      <c r="A116" t="s">
        <v>4866</v>
      </c>
      <c r="B116" t="s">
        <v>3055</v>
      </c>
      <c r="C116" t="s">
        <v>3142</v>
      </c>
      <c r="D116">
        <v>91</v>
      </c>
      <c r="E116">
        <v>65.67</v>
      </c>
      <c r="F116">
        <v>16924.38</v>
      </c>
      <c r="G116">
        <v>1111424</v>
      </c>
      <c r="H116" s="2144">
        <v>42993</v>
      </c>
      <c r="I116">
        <v>1111424</v>
      </c>
    </row>
    <row r="117" spans="1:9" customFormat="1" hidden="1">
      <c r="A117" t="s">
        <v>6816</v>
      </c>
      <c r="B117">
        <v>12</v>
      </c>
      <c r="C117" t="s">
        <v>3142</v>
      </c>
      <c r="D117">
        <v>107</v>
      </c>
      <c r="E117">
        <v>29.93</v>
      </c>
      <c r="F117">
        <v>21157.65</v>
      </c>
      <c r="G117">
        <v>633248</v>
      </c>
      <c r="H117" s="2144">
        <v>42993</v>
      </c>
      <c r="I117">
        <v>633248</v>
      </c>
    </row>
    <row r="118" spans="1:9" customFormat="1" hidden="1">
      <c r="A118" t="s">
        <v>4872</v>
      </c>
      <c r="B118" t="s">
        <v>3055</v>
      </c>
      <c r="C118" t="s">
        <v>3142</v>
      </c>
      <c r="D118">
        <v>99</v>
      </c>
      <c r="E118">
        <v>75.48</v>
      </c>
      <c r="F118">
        <v>16922.490000000002</v>
      </c>
      <c r="G118">
        <v>1277310</v>
      </c>
      <c r="H118" s="2144">
        <v>42992</v>
      </c>
      <c r="I118">
        <v>1277310</v>
      </c>
    </row>
    <row r="119" spans="1:9" customFormat="1" hidden="1">
      <c r="A119" t="s">
        <v>4157</v>
      </c>
      <c r="B119" t="s">
        <v>3054</v>
      </c>
      <c r="C119" t="s">
        <v>3142</v>
      </c>
      <c r="D119">
        <v>135</v>
      </c>
      <c r="E119">
        <v>97.18</v>
      </c>
      <c r="F119">
        <v>17800</v>
      </c>
      <c r="G119">
        <v>1729804.0000000002</v>
      </c>
      <c r="H119" s="2144">
        <v>42991</v>
      </c>
      <c r="I119">
        <v>1729804</v>
      </c>
    </row>
    <row r="120" spans="1:9" customFormat="1" hidden="1">
      <c r="A120" t="s">
        <v>4242</v>
      </c>
      <c r="B120" t="s">
        <v>3054</v>
      </c>
      <c r="C120" t="s">
        <v>3142</v>
      </c>
      <c r="D120">
        <v>233</v>
      </c>
      <c r="E120">
        <v>50.8</v>
      </c>
      <c r="F120">
        <v>15801.59</v>
      </c>
      <c r="G120">
        <v>802721</v>
      </c>
      <c r="H120" s="2144">
        <v>42991</v>
      </c>
      <c r="I120">
        <v>802721</v>
      </c>
    </row>
    <row r="121" spans="1:9" customFormat="1" hidden="1">
      <c r="A121" t="s">
        <v>4288</v>
      </c>
      <c r="B121" t="s">
        <v>3054</v>
      </c>
      <c r="C121" t="s">
        <v>3142</v>
      </c>
      <c r="D121">
        <v>287</v>
      </c>
      <c r="E121">
        <v>73.959999999999994</v>
      </c>
      <c r="F121">
        <v>17732.41</v>
      </c>
      <c r="G121">
        <v>1311489</v>
      </c>
      <c r="H121" s="2144">
        <v>42991</v>
      </c>
      <c r="I121">
        <v>1311489</v>
      </c>
    </row>
    <row r="122" spans="1:9" customFormat="1" hidden="1">
      <c r="A122" t="s">
        <v>4313</v>
      </c>
      <c r="B122" t="s">
        <v>3054</v>
      </c>
      <c r="C122" t="s">
        <v>3142</v>
      </c>
      <c r="D122">
        <v>328</v>
      </c>
      <c r="E122">
        <v>61.63</v>
      </c>
      <c r="F122">
        <v>18118.900000000001</v>
      </c>
      <c r="G122">
        <v>1116668</v>
      </c>
      <c r="H122" s="2144">
        <v>42991</v>
      </c>
      <c r="I122">
        <v>1116668</v>
      </c>
    </row>
    <row r="123" spans="1:9" customFormat="1" hidden="1">
      <c r="A123" t="s">
        <v>4801</v>
      </c>
      <c r="B123" t="s">
        <v>3055</v>
      </c>
      <c r="C123" t="s">
        <v>3142</v>
      </c>
      <c r="D123">
        <v>13</v>
      </c>
      <c r="E123">
        <v>41.37</v>
      </c>
      <c r="F123">
        <v>16179.95</v>
      </c>
      <c r="G123">
        <v>669365</v>
      </c>
      <c r="H123" s="2144">
        <v>42991</v>
      </c>
      <c r="I123">
        <v>669365</v>
      </c>
    </row>
    <row r="124" spans="1:9" customFormat="1" hidden="1">
      <c r="A124" t="s">
        <v>4873</v>
      </c>
      <c r="B124" t="s">
        <v>3055</v>
      </c>
      <c r="C124" t="s">
        <v>3142</v>
      </c>
      <c r="D124">
        <v>100</v>
      </c>
      <c r="E124">
        <v>39.33</v>
      </c>
      <c r="F124">
        <v>16173.74</v>
      </c>
      <c r="G124">
        <v>636113</v>
      </c>
      <c r="H124" s="2144">
        <v>42991</v>
      </c>
      <c r="I124">
        <v>636113</v>
      </c>
    </row>
    <row r="125" spans="1:9" customFormat="1" hidden="1">
      <c r="A125" t="s">
        <v>4919</v>
      </c>
      <c r="B125" t="s">
        <v>3055</v>
      </c>
      <c r="C125" t="s">
        <v>3142</v>
      </c>
      <c r="D125">
        <v>158</v>
      </c>
      <c r="E125">
        <v>71.84</v>
      </c>
      <c r="F125">
        <v>17683.95</v>
      </c>
      <c r="G125">
        <v>1270415</v>
      </c>
      <c r="H125" s="2144">
        <v>42991</v>
      </c>
      <c r="I125">
        <v>1270415</v>
      </c>
    </row>
    <row r="126" spans="1:9" customFormat="1" hidden="1">
      <c r="A126" t="s">
        <v>6361</v>
      </c>
      <c r="B126">
        <v>9</v>
      </c>
      <c r="C126" t="s">
        <v>3142</v>
      </c>
      <c r="D126">
        <v>165</v>
      </c>
      <c r="E126">
        <v>146.25</v>
      </c>
      <c r="F126">
        <v>20909</v>
      </c>
      <c r="G126">
        <v>3057941</v>
      </c>
      <c r="H126" s="2144">
        <v>42991</v>
      </c>
      <c r="I126">
        <v>3057941</v>
      </c>
    </row>
    <row r="127" spans="1:9" customFormat="1" hidden="1">
      <c r="A127" t="s">
        <v>6362</v>
      </c>
      <c r="B127">
        <v>9</v>
      </c>
      <c r="C127" t="s">
        <v>3142</v>
      </c>
      <c r="D127">
        <v>166</v>
      </c>
      <c r="E127">
        <v>71.430000000000007</v>
      </c>
      <c r="F127">
        <v>14420</v>
      </c>
      <c r="G127">
        <v>1030021</v>
      </c>
      <c r="H127" s="2144">
        <v>42991</v>
      </c>
      <c r="I127">
        <v>1030021</v>
      </c>
    </row>
    <row r="128" spans="1:9" customFormat="1" hidden="1">
      <c r="A128" t="s">
        <v>4177</v>
      </c>
      <c r="B128" t="s">
        <v>3054</v>
      </c>
      <c r="C128" t="s">
        <v>3142</v>
      </c>
      <c r="D128">
        <v>159</v>
      </c>
      <c r="E128">
        <v>48.87</v>
      </c>
      <c r="F128">
        <v>15997.71</v>
      </c>
      <c r="G128">
        <v>781808</v>
      </c>
      <c r="H128" s="2144">
        <v>42990</v>
      </c>
      <c r="I128">
        <v>781808</v>
      </c>
    </row>
    <row r="129" spans="1:9" customFormat="1" hidden="1">
      <c r="A129" t="s">
        <v>4196</v>
      </c>
      <c r="B129" t="s">
        <v>3054</v>
      </c>
      <c r="C129" t="s">
        <v>3142</v>
      </c>
      <c r="D129">
        <v>182</v>
      </c>
      <c r="E129">
        <v>37.229999999999997</v>
      </c>
      <c r="F129">
        <v>15783.48</v>
      </c>
      <c r="G129">
        <v>587619</v>
      </c>
      <c r="H129" s="2144">
        <v>42990</v>
      </c>
      <c r="I129">
        <v>587619</v>
      </c>
    </row>
    <row r="130" spans="1:9" customFormat="1" hidden="1">
      <c r="A130" t="s">
        <v>4220</v>
      </c>
      <c r="B130" t="s">
        <v>3054</v>
      </c>
      <c r="C130" t="s">
        <v>3142</v>
      </c>
      <c r="D130">
        <v>209</v>
      </c>
      <c r="E130">
        <v>82.17</v>
      </c>
      <c r="F130">
        <v>18439.169999999998</v>
      </c>
      <c r="G130">
        <v>1515147</v>
      </c>
      <c r="H130" s="2144">
        <v>42990</v>
      </c>
      <c r="I130">
        <v>1515147</v>
      </c>
    </row>
    <row r="131" spans="1:9" customFormat="1" hidden="1">
      <c r="A131" t="s">
        <v>4832</v>
      </c>
      <c r="B131" t="s">
        <v>3055</v>
      </c>
      <c r="C131" t="s">
        <v>3142</v>
      </c>
      <c r="D131">
        <v>49</v>
      </c>
      <c r="E131">
        <v>43.05</v>
      </c>
      <c r="F131">
        <v>16186.62</v>
      </c>
      <c r="G131">
        <v>696834</v>
      </c>
      <c r="H131" s="2144">
        <v>42990</v>
      </c>
      <c r="I131">
        <v>696834</v>
      </c>
    </row>
    <row r="132" spans="1:9" customFormat="1" hidden="1">
      <c r="A132" t="s">
        <v>4937</v>
      </c>
      <c r="B132" t="s">
        <v>3055</v>
      </c>
      <c r="C132" t="s">
        <v>3142</v>
      </c>
      <c r="D132">
        <v>186</v>
      </c>
      <c r="E132">
        <v>65.17</v>
      </c>
      <c r="F132">
        <v>17723.79</v>
      </c>
      <c r="G132">
        <v>1155059</v>
      </c>
      <c r="H132" s="2144">
        <v>42990</v>
      </c>
      <c r="I132">
        <v>1155059</v>
      </c>
    </row>
    <row r="133" spans="1:9" customFormat="1" hidden="1">
      <c r="A133" t="s">
        <v>4980</v>
      </c>
      <c r="B133" t="s">
        <v>3055</v>
      </c>
      <c r="C133" t="s">
        <v>3142</v>
      </c>
      <c r="D133">
        <v>243</v>
      </c>
      <c r="E133">
        <v>92.59</v>
      </c>
      <c r="F133">
        <v>18386.55</v>
      </c>
      <c r="G133">
        <v>1702411</v>
      </c>
      <c r="H133" s="2144">
        <v>42990</v>
      </c>
      <c r="I133">
        <v>1702411</v>
      </c>
    </row>
    <row r="134" spans="1:9">
      <c r="A134" s="3386" t="s">
        <v>6615</v>
      </c>
      <c r="B134" s="3386">
        <v>11</v>
      </c>
      <c r="C134" s="3386" t="s">
        <v>3142</v>
      </c>
      <c r="D134" s="3386">
        <v>109</v>
      </c>
      <c r="E134" s="3386">
        <v>87.71</v>
      </c>
      <c r="F134" s="3386">
        <v>17510</v>
      </c>
      <c r="G134" s="3386">
        <v>1535802</v>
      </c>
      <c r="H134" s="3386">
        <v>42990</v>
      </c>
      <c r="I134" s="3386">
        <v>1535802</v>
      </c>
    </row>
    <row r="135" spans="1:9" customFormat="1" hidden="1">
      <c r="A135" t="s">
        <v>6815</v>
      </c>
      <c r="B135">
        <v>12</v>
      </c>
      <c r="C135" t="s">
        <v>3142</v>
      </c>
      <c r="D135">
        <v>105</v>
      </c>
      <c r="E135">
        <v>87</v>
      </c>
      <c r="F135">
        <v>15880</v>
      </c>
      <c r="G135">
        <v>1381560</v>
      </c>
      <c r="H135" s="2144">
        <v>42990</v>
      </c>
      <c r="I135">
        <v>1381560</v>
      </c>
    </row>
    <row r="136" spans="1:9" customFormat="1" hidden="1">
      <c r="A136" t="s">
        <v>6855</v>
      </c>
      <c r="B136">
        <v>12</v>
      </c>
      <c r="C136" t="s">
        <v>3142</v>
      </c>
      <c r="D136">
        <v>175</v>
      </c>
      <c r="E136">
        <v>83</v>
      </c>
      <c r="F136">
        <v>21264.01</v>
      </c>
      <c r="G136">
        <v>1764912</v>
      </c>
      <c r="H136" s="2144">
        <v>42990</v>
      </c>
      <c r="I136">
        <v>1764912</v>
      </c>
    </row>
    <row r="137" spans="1:9" customFormat="1" hidden="1">
      <c r="A137" t="s">
        <v>6895</v>
      </c>
      <c r="B137">
        <v>12</v>
      </c>
      <c r="C137" t="s">
        <v>3142</v>
      </c>
      <c r="D137">
        <v>256</v>
      </c>
      <c r="E137">
        <v>49.94</v>
      </c>
      <c r="F137">
        <v>23380</v>
      </c>
      <c r="G137">
        <v>1167597</v>
      </c>
      <c r="H137" s="2144">
        <v>42990</v>
      </c>
      <c r="I137">
        <v>1167597</v>
      </c>
    </row>
    <row r="138" spans="1:9" customFormat="1" hidden="1">
      <c r="A138" t="s">
        <v>4234</v>
      </c>
      <c r="B138" t="s">
        <v>3054</v>
      </c>
      <c r="C138" t="s">
        <v>3142</v>
      </c>
      <c r="D138">
        <v>225</v>
      </c>
      <c r="E138">
        <v>74.260000000000005</v>
      </c>
      <c r="F138">
        <v>18032.689999999999</v>
      </c>
      <c r="G138">
        <v>1339108</v>
      </c>
      <c r="H138" s="2144">
        <v>42989</v>
      </c>
      <c r="I138">
        <v>1339108</v>
      </c>
    </row>
    <row r="139" spans="1:9" customFormat="1" hidden="1">
      <c r="A139" t="s">
        <v>4921</v>
      </c>
      <c r="B139" t="s">
        <v>3055</v>
      </c>
      <c r="C139" t="s">
        <v>3142</v>
      </c>
      <c r="D139">
        <v>160</v>
      </c>
      <c r="E139">
        <v>71.78</v>
      </c>
      <c r="F139">
        <v>18230.810000000001</v>
      </c>
      <c r="G139">
        <v>1308608</v>
      </c>
      <c r="H139" s="2144">
        <v>42989</v>
      </c>
      <c r="I139">
        <v>1308608</v>
      </c>
    </row>
    <row r="140" spans="1:9" customFormat="1" hidden="1">
      <c r="A140" t="s">
        <v>4923</v>
      </c>
      <c r="B140" t="s">
        <v>3055</v>
      </c>
      <c r="C140" t="s">
        <v>3142</v>
      </c>
      <c r="D140">
        <v>162</v>
      </c>
      <c r="E140">
        <v>71.84</v>
      </c>
      <c r="F140">
        <v>18230.87</v>
      </c>
      <c r="G140">
        <v>1309706</v>
      </c>
      <c r="H140" s="2144">
        <v>42989</v>
      </c>
      <c r="I140">
        <v>1309706</v>
      </c>
    </row>
    <row r="141" spans="1:9" customFormat="1" hidden="1">
      <c r="A141" t="s">
        <v>4942</v>
      </c>
      <c r="B141" t="s">
        <v>3055</v>
      </c>
      <c r="C141" t="s">
        <v>3142</v>
      </c>
      <c r="D141">
        <v>191</v>
      </c>
      <c r="E141">
        <v>55.03</v>
      </c>
      <c r="F141">
        <v>16511.52</v>
      </c>
      <c r="G141">
        <v>908629</v>
      </c>
      <c r="H141" s="2144">
        <v>42989</v>
      </c>
      <c r="I141">
        <v>908629</v>
      </c>
    </row>
    <row r="142" spans="1:9" customFormat="1" hidden="1">
      <c r="A142" t="s">
        <v>4995</v>
      </c>
      <c r="B142" t="s">
        <v>3055</v>
      </c>
      <c r="C142" t="s">
        <v>3142</v>
      </c>
      <c r="D142">
        <v>260</v>
      </c>
      <c r="E142">
        <v>41.39</v>
      </c>
      <c r="F142">
        <v>16180.01</v>
      </c>
      <c r="G142">
        <v>669691</v>
      </c>
      <c r="H142" s="2144">
        <v>42989</v>
      </c>
      <c r="I142">
        <v>669691</v>
      </c>
    </row>
    <row r="143" spans="1:9" customFormat="1" hidden="1">
      <c r="A143" t="s">
        <v>6008</v>
      </c>
      <c r="B143" t="s">
        <v>3057</v>
      </c>
      <c r="C143" t="s">
        <v>3142</v>
      </c>
      <c r="D143">
        <v>261</v>
      </c>
      <c r="E143">
        <v>30.7</v>
      </c>
      <c r="F143">
        <v>17908</v>
      </c>
      <c r="G143">
        <v>549776</v>
      </c>
      <c r="H143" s="2144">
        <v>42989</v>
      </c>
      <c r="I143">
        <v>549776</v>
      </c>
    </row>
    <row r="144" spans="1:9" customFormat="1" hidden="1">
      <c r="A144" t="s">
        <v>6015</v>
      </c>
      <c r="B144" t="s">
        <v>3057</v>
      </c>
      <c r="C144" t="s">
        <v>3142</v>
      </c>
      <c r="D144">
        <v>305</v>
      </c>
      <c r="E144">
        <v>30.17</v>
      </c>
      <c r="F144">
        <v>17799</v>
      </c>
      <c r="G144">
        <v>536996</v>
      </c>
      <c r="H144" s="2144">
        <v>42989</v>
      </c>
      <c r="I144">
        <v>536996</v>
      </c>
    </row>
    <row r="145" spans="1:9" customFormat="1" hidden="1">
      <c r="A145" t="s">
        <v>6016</v>
      </c>
      <c r="B145" t="s">
        <v>3057</v>
      </c>
      <c r="C145" t="s">
        <v>3142</v>
      </c>
      <c r="D145">
        <v>306</v>
      </c>
      <c r="E145">
        <v>30.2</v>
      </c>
      <c r="F145">
        <v>17799</v>
      </c>
      <c r="G145">
        <v>537530</v>
      </c>
      <c r="H145" s="2144">
        <v>42989</v>
      </c>
      <c r="I145">
        <v>537530</v>
      </c>
    </row>
    <row r="146" spans="1:9" customFormat="1" hidden="1">
      <c r="A146" t="s">
        <v>6017</v>
      </c>
      <c r="B146" t="s">
        <v>3057</v>
      </c>
      <c r="C146" t="s">
        <v>3142</v>
      </c>
      <c r="D146">
        <v>307</v>
      </c>
      <c r="E146">
        <v>30.23</v>
      </c>
      <c r="F146">
        <v>17799</v>
      </c>
      <c r="G146">
        <v>538064</v>
      </c>
      <c r="H146" s="2144">
        <v>42989</v>
      </c>
      <c r="I146">
        <v>538064</v>
      </c>
    </row>
    <row r="147" spans="1:9" customFormat="1" hidden="1">
      <c r="A147" t="s">
        <v>6026</v>
      </c>
      <c r="B147" t="s">
        <v>3057</v>
      </c>
      <c r="C147" t="s">
        <v>3142</v>
      </c>
      <c r="D147">
        <v>397</v>
      </c>
      <c r="E147">
        <v>65.930000000000007</v>
      </c>
      <c r="F147">
        <v>17775</v>
      </c>
      <c r="G147">
        <v>1171906</v>
      </c>
      <c r="H147" s="2144">
        <v>42989</v>
      </c>
      <c r="I147">
        <v>1171906</v>
      </c>
    </row>
    <row r="148" spans="1:9" customFormat="1" hidden="1">
      <c r="A148" t="s">
        <v>6046</v>
      </c>
      <c r="B148" t="s">
        <v>3057</v>
      </c>
      <c r="C148" t="s">
        <v>3142</v>
      </c>
      <c r="D148">
        <v>430</v>
      </c>
      <c r="E148">
        <v>50.84</v>
      </c>
      <c r="F148">
        <v>17787</v>
      </c>
      <c r="G148">
        <v>904291</v>
      </c>
      <c r="H148" s="2144">
        <v>42989</v>
      </c>
      <c r="I148">
        <v>904291</v>
      </c>
    </row>
    <row r="149" spans="1:9" customFormat="1" hidden="1">
      <c r="A149" t="s">
        <v>6351</v>
      </c>
      <c r="B149">
        <v>9</v>
      </c>
      <c r="C149" t="s">
        <v>3142</v>
      </c>
      <c r="D149">
        <v>107</v>
      </c>
      <c r="E149">
        <v>59.51</v>
      </c>
      <c r="F149">
        <v>17510</v>
      </c>
      <c r="G149">
        <v>1042020</v>
      </c>
      <c r="H149" s="2144">
        <v>42989</v>
      </c>
      <c r="I149">
        <v>1042020</v>
      </c>
    </row>
    <row r="150" spans="1:9" customFormat="1" hidden="1">
      <c r="A150" t="s">
        <v>4089</v>
      </c>
      <c r="B150" t="s">
        <v>3054</v>
      </c>
      <c r="C150" t="s">
        <v>3142</v>
      </c>
      <c r="D150">
        <v>36</v>
      </c>
      <c r="E150">
        <v>85.65</v>
      </c>
      <c r="F150">
        <v>16100</v>
      </c>
      <c r="G150">
        <v>1378965</v>
      </c>
      <c r="H150" s="2144">
        <v>42988</v>
      </c>
      <c r="I150">
        <v>1378965</v>
      </c>
    </row>
    <row r="151" spans="1:9" customFormat="1" hidden="1">
      <c r="A151" t="s">
        <v>4289</v>
      </c>
      <c r="B151" t="s">
        <v>3054</v>
      </c>
      <c r="C151" t="s">
        <v>3142</v>
      </c>
      <c r="D151">
        <v>288</v>
      </c>
      <c r="E151">
        <v>56.44</v>
      </c>
      <c r="F151">
        <v>15300</v>
      </c>
      <c r="G151">
        <v>863532</v>
      </c>
      <c r="H151" s="2144">
        <v>42988</v>
      </c>
      <c r="I151">
        <v>863532</v>
      </c>
    </row>
    <row r="152" spans="1:9" customFormat="1" hidden="1">
      <c r="A152" t="s">
        <v>4794</v>
      </c>
      <c r="B152" t="s">
        <v>3055</v>
      </c>
      <c r="C152" t="s">
        <v>3142</v>
      </c>
      <c r="D152">
        <v>6</v>
      </c>
      <c r="E152">
        <v>72.260000000000005</v>
      </c>
      <c r="F152">
        <v>15807.1103</v>
      </c>
      <c r="G152">
        <v>1142222</v>
      </c>
      <c r="H152" s="2144">
        <v>42988</v>
      </c>
      <c r="I152">
        <v>1142222</v>
      </c>
    </row>
    <row r="153" spans="1:9" customFormat="1" hidden="1">
      <c r="A153" t="s">
        <v>4911</v>
      </c>
      <c r="B153" t="s">
        <v>3055</v>
      </c>
      <c r="C153" t="s">
        <v>3142</v>
      </c>
      <c r="D153">
        <v>149</v>
      </c>
      <c r="E153">
        <v>72.05</v>
      </c>
      <c r="F153">
        <v>17751</v>
      </c>
      <c r="G153">
        <v>1278960</v>
      </c>
      <c r="H153" s="2144">
        <v>42988</v>
      </c>
      <c r="I153">
        <v>1278960</v>
      </c>
    </row>
    <row r="154" spans="1:9" customFormat="1" hidden="1">
      <c r="A154" t="s">
        <v>6834</v>
      </c>
      <c r="B154">
        <v>12</v>
      </c>
      <c r="C154" t="s">
        <v>3142</v>
      </c>
      <c r="D154">
        <v>139</v>
      </c>
      <c r="E154">
        <v>70.53</v>
      </c>
      <c r="F154">
        <v>21130</v>
      </c>
      <c r="G154">
        <v>1490299</v>
      </c>
      <c r="H154" s="2144">
        <v>42988</v>
      </c>
      <c r="I154">
        <v>1490299</v>
      </c>
    </row>
    <row r="155" spans="1:9" customFormat="1" hidden="1">
      <c r="A155" t="s">
        <v>4096</v>
      </c>
      <c r="B155" t="s">
        <v>3054</v>
      </c>
      <c r="C155" t="s">
        <v>3142</v>
      </c>
      <c r="D155">
        <v>50</v>
      </c>
      <c r="E155">
        <v>63.44</v>
      </c>
      <c r="F155">
        <v>14356</v>
      </c>
      <c r="G155">
        <v>910745</v>
      </c>
      <c r="H155" s="2144">
        <v>42987</v>
      </c>
      <c r="I155">
        <v>910745</v>
      </c>
    </row>
    <row r="156" spans="1:9" customFormat="1" hidden="1">
      <c r="A156" t="s">
        <v>4194</v>
      </c>
      <c r="B156" t="s">
        <v>3054</v>
      </c>
      <c r="C156" t="s">
        <v>3142</v>
      </c>
      <c r="D156">
        <v>180</v>
      </c>
      <c r="E156">
        <v>26.66</v>
      </c>
      <c r="F156">
        <v>15712.52</v>
      </c>
      <c r="G156">
        <v>418896</v>
      </c>
      <c r="H156" s="2144">
        <v>42987</v>
      </c>
      <c r="I156">
        <v>418896</v>
      </c>
    </row>
    <row r="157" spans="1:9" customFormat="1" hidden="1">
      <c r="A157" t="s">
        <v>4216</v>
      </c>
      <c r="B157" t="s">
        <v>3054</v>
      </c>
      <c r="C157" t="s">
        <v>3142</v>
      </c>
      <c r="D157">
        <v>205</v>
      </c>
      <c r="E157">
        <v>71</v>
      </c>
      <c r="F157">
        <v>18029.61</v>
      </c>
      <c r="G157">
        <v>1280102</v>
      </c>
      <c r="H157" s="2144">
        <v>42987</v>
      </c>
      <c r="I157">
        <v>1280102</v>
      </c>
    </row>
    <row r="158" spans="1:9" customFormat="1" hidden="1">
      <c r="A158" t="s">
        <v>4238</v>
      </c>
      <c r="B158" t="s">
        <v>3054</v>
      </c>
      <c r="C158" t="s">
        <v>3142</v>
      </c>
      <c r="D158">
        <v>229</v>
      </c>
      <c r="E158">
        <v>47.64</v>
      </c>
      <c r="F158">
        <v>17995.09</v>
      </c>
      <c r="G158">
        <v>857286</v>
      </c>
      <c r="H158" s="2144">
        <v>42987</v>
      </c>
      <c r="I158">
        <v>857286</v>
      </c>
    </row>
    <row r="159" spans="1:9" customFormat="1" hidden="1">
      <c r="A159" t="s">
        <v>4286</v>
      </c>
      <c r="B159" t="s">
        <v>3054</v>
      </c>
      <c r="C159" t="s">
        <v>3142</v>
      </c>
      <c r="D159">
        <v>285</v>
      </c>
      <c r="E159">
        <v>97.56</v>
      </c>
      <c r="F159">
        <v>17893.900000000001</v>
      </c>
      <c r="G159">
        <v>1745729</v>
      </c>
      <c r="H159" s="2144">
        <v>42987</v>
      </c>
      <c r="I159">
        <v>1745729</v>
      </c>
    </row>
    <row r="160" spans="1:9" customFormat="1" hidden="1">
      <c r="A160" t="s">
        <v>4813</v>
      </c>
      <c r="B160" t="s">
        <v>3055</v>
      </c>
      <c r="C160" t="s">
        <v>3142</v>
      </c>
      <c r="D160">
        <v>27</v>
      </c>
      <c r="E160">
        <v>78.2</v>
      </c>
      <c r="F160">
        <v>18036.5</v>
      </c>
      <c r="G160">
        <v>1410454</v>
      </c>
      <c r="H160" s="2144">
        <v>42987</v>
      </c>
      <c r="I160">
        <v>1410454</v>
      </c>
    </row>
    <row r="161" spans="1:9" customFormat="1" hidden="1">
      <c r="A161" t="s">
        <v>4871</v>
      </c>
      <c r="B161" t="s">
        <v>3055</v>
      </c>
      <c r="C161" t="s">
        <v>3142</v>
      </c>
      <c r="D161">
        <v>98</v>
      </c>
      <c r="E161">
        <v>48.71</v>
      </c>
      <c r="F161">
        <v>16198.04</v>
      </c>
      <c r="G161">
        <v>789007</v>
      </c>
      <c r="H161" s="2144">
        <v>42987</v>
      </c>
      <c r="I161">
        <v>789007</v>
      </c>
    </row>
    <row r="162" spans="1:9" customFormat="1" hidden="1">
      <c r="A162" t="s">
        <v>6310</v>
      </c>
      <c r="B162">
        <v>9</v>
      </c>
      <c r="C162" t="s">
        <v>3142</v>
      </c>
      <c r="D162">
        <v>3</v>
      </c>
      <c r="E162">
        <v>72.959999999999994</v>
      </c>
      <c r="F162">
        <v>17983.804169999999</v>
      </c>
      <c r="G162">
        <v>1312098</v>
      </c>
      <c r="H162" s="2144">
        <v>42987</v>
      </c>
      <c r="I162">
        <v>1312098</v>
      </c>
    </row>
    <row r="163" spans="1:9" customFormat="1" hidden="1">
      <c r="A163" t="s">
        <v>6887</v>
      </c>
      <c r="B163">
        <v>12</v>
      </c>
      <c r="C163" t="s">
        <v>3142</v>
      </c>
      <c r="D163">
        <v>245</v>
      </c>
      <c r="E163">
        <v>78.44</v>
      </c>
      <c r="F163">
        <v>19477.599999999999</v>
      </c>
      <c r="G163">
        <v>1527823</v>
      </c>
      <c r="H163" s="2144">
        <v>42987</v>
      </c>
      <c r="I163">
        <v>1527823</v>
      </c>
    </row>
    <row r="164" spans="1:9" customFormat="1" hidden="1">
      <c r="A164" t="s">
        <v>4795</v>
      </c>
      <c r="B164" t="s">
        <v>3055</v>
      </c>
      <c r="C164" t="s">
        <v>3142</v>
      </c>
      <c r="D164">
        <v>7</v>
      </c>
      <c r="E164">
        <v>72.260000000000005</v>
      </c>
      <c r="F164">
        <v>16731.28</v>
      </c>
      <c r="G164">
        <v>1209002</v>
      </c>
      <c r="H164" s="2144">
        <v>42986</v>
      </c>
      <c r="I164">
        <v>1209002</v>
      </c>
    </row>
    <row r="165" spans="1:9" customFormat="1" hidden="1">
      <c r="A165" t="s">
        <v>4862</v>
      </c>
      <c r="B165" t="s">
        <v>3055</v>
      </c>
      <c r="C165" t="s">
        <v>3142</v>
      </c>
      <c r="D165">
        <v>86</v>
      </c>
      <c r="E165">
        <v>61.91</v>
      </c>
      <c r="F165">
        <v>16514.84</v>
      </c>
      <c r="G165">
        <v>1022434</v>
      </c>
      <c r="H165" s="2144">
        <v>42986</v>
      </c>
      <c r="I165">
        <v>1022434</v>
      </c>
    </row>
    <row r="166" spans="1:9" customFormat="1" hidden="1">
      <c r="A166" t="s">
        <v>4863</v>
      </c>
      <c r="B166" t="s">
        <v>3055</v>
      </c>
      <c r="C166" t="s">
        <v>3142</v>
      </c>
      <c r="D166">
        <v>87</v>
      </c>
      <c r="E166">
        <v>183.11</v>
      </c>
      <c r="F166">
        <v>17773.37</v>
      </c>
      <c r="G166">
        <v>3254482</v>
      </c>
      <c r="H166" s="2144">
        <v>42986</v>
      </c>
      <c r="I166">
        <v>3254482</v>
      </c>
    </row>
    <row r="167" spans="1:9" customFormat="1" hidden="1">
      <c r="A167" t="s">
        <v>4868</v>
      </c>
      <c r="B167" t="s">
        <v>3055</v>
      </c>
      <c r="C167" t="s">
        <v>3142</v>
      </c>
      <c r="D167">
        <v>93</v>
      </c>
      <c r="E167">
        <v>154.12</v>
      </c>
      <c r="F167">
        <v>18466.580000000002</v>
      </c>
      <c r="G167">
        <v>2846069</v>
      </c>
      <c r="H167" s="2144">
        <v>42986</v>
      </c>
      <c r="I167">
        <v>2846069</v>
      </c>
    </row>
    <row r="168" spans="1:9" customFormat="1" hidden="1">
      <c r="A168" t="s">
        <v>4881</v>
      </c>
      <c r="B168" t="s">
        <v>3055</v>
      </c>
      <c r="C168" t="s">
        <v>3142</v>
      </c>
      <c r="D168">
        <v>115</v>
      </c>
      <c r="E168">
        <v>79.09</v>
      </c>
      <c r="F168">
        <v>16150</v>
      </c>
      <c r="G168">
        <v>1277304</v>
      </c>
      <c r="H168" s="2144">
        <v>42986</v>
      </c>
      <c r="I168">
        <v>1277304</v>
      </c>
    </row>
    <row r="169" spans="1:9" customFormat="1" hidden="1">
      <c r="A169" t="s">
        <v>4913</v>
      </c>
      <c r="B169" t="s">
        <v>3055</v>
      </c>
      <c r="C169" t="s">
        <v>3142</v>
      </c>
      <c r="D169">
        <v>151</v>
      </c>
      <c r="E169">
        <v>72.180000000000007</v>
      </c>
      <c r="F169">
        <v>17385</v>
      </c>
      <c r="G169">
        <v>1254849</v>
      </c>
      <c r="H169" s="2144">
        <v>42986</v>
      </c>
      <c r="I169">
        <v>1254849</v>
      </c>
    </row>
    <row r="170" spans="1:9" customFormat="1" hidden="1">
      <c r="A170" t="s">
        <v>4914</v>
      </c>
      <c r="B170" t="s">
        <v>3055</v>
      </c>
      <c r="C170" t="s">
        <v>3142</v>
      </c>
      <c r="D170">
        <v>152</v>
      </c>
      <c r="E170">
        <v>49.84</v>
      </c>
      <c r="F170">
        <v>17860</v>
      </c>
      <c r="G170">
        <v>890142</v>
      </c>
      <c r="H170" s="2144">
        <v>42986</v>
      </c>
      <c r="I170">
        <v>890142</v>
      </c>
    </row>
    <row r="171" spans="1:9" customFormat="1" hidden="1">
      <c r="A171" t="s">
        <v>6018</v>
      </c>
      <c r="B171" t="s">
        <v>3057</v>
      </c>
      <c r="C171" t="s">
        <v>3142</v>
      </c>
      <c r="D171">
        <v>316</v>
      </c>
      <c r="E171">
        <v>52.62</v>
      </c>
      <c r="F171">
        <v>19166</v>
      </c>
      <c r="G171">
        <v>1008515</v>
      </c>
      <c r="H171" s="2144">
        <v>42986</v>
      </c>
      <c r="I171">
        <v>1008515</v>
      </c>
    </row>
    <row r="172" spans="1:9" customFormat="1" hidden="1">
      <c r="A172" t="s">
        <v>4134</v>
      </c>
      <c r="B172" t="s">
        <v>3054</v>
      </c>
      <c r="C172" t="s">
        <v>3142</v>
      </c>
      <c r="D172">
        <v>107</v>
      </c>
      <c r="E172">
        <v>83.48</v>
      </c>
      <c r="F172">
        <v>17881.45</v>
      </c>
      <c r="G172">
        <v>1492743</v>
      </c>
      <c r="H172" s="2144">
        <v>42985</v>
      </c>
      <c r="I172">
        <v>1492743</v>
      </c>
    </row>
    <row r="173" spans="1:9" customFormat="1" hidden="1">
      <c r="A173" t="s">
        <v>4227</v>
      </c>
      <c r="B173" t="s">
        <v>3054</v>
      </c>
      <c r="C173" t="s">
        <v>3142</v>
      </c>
      <c r="D173">
        <v>217</v>
      </c>
      <c r="E173">
        <v>127.3</v>
      </c>
      <c r="F173">
        <v>18760.740000000002</v>
      </c>
      <c r="G173">
        <v>2388242</v>
      </c>
      <c r="H173" s="2144">
        <v>42985</v>
      </c>
      <c r="I173">
        <v>2388242</v>
      </c>
    </row>
    <row r="174" spans="1:9" customFormat="1" hidden="1">
      <c r="A174" t="s">
        <v>4947</v>
      </c>
      <c r="B174" t="s">
        <v>3055</v>
      </c>
      <c r="C174" t="s">
        <v>3142</v>
      </c>
      <c r="D174">
        <v>199</v>
      </c>
      <c r="E174">
        <v>80.84</v>
      </c>
      <c r="F174">
        <v>16430.5</v>
      </c>
      <c r="G174">
        <v>1328242</v>
      </c>
      <c r="H174" s="2144">
        <v>42985</v>
      </c>
      <c r="I174">
        <v>1328242</v>
      </c>
    </row>
    <row r="175" spans="1:9">
      <c r="A175" s="3386" t="s">
        <v>6597</v>
      </c>
      <c r="B175" s="3386">
        <v>11</v>
      </c>
      <c r="C175" s="3386" t="s">
        <v>3142</v>
      </c>
      <c r="D175" s="3386">
        <v>57</v>
      </c>
      <c r="E175" s="3386">
        <v>68.89</v>
      </c>
      <c r="F175" s="3386">
        <v>17983.810000000001</v>
      </c>
      <c r="G175" s="3386">
        <v>1238905</v>
      </c>
      <c r="H175" s="3386">
        <v>42985</v>
      </c>
      <c r="I175" s="3386">
        <v>1238905</v>
      </c>
    </row>
    <row r="176" spans="1:9" customFormat="1" hidden="1">
      <c r="A176" t="s">
        <v>4249</v>
      </c>
      <c r="B176" t="s">
        <v>3054</v>
      </c>
      <c r="C176" t="s">
        <v>3142</v>
      </c>
      <c r="D176">
        <v>241</v>
      </c>
      <c r="E176">
        <v>41.75</v>
      </c>
      <c r="F176">
        <v>16180.27</v>
      </c>
      <c r="G176">
        <v>675526</v>
      </c>
      <c r="H176" s="2144">
        <v>42984</v>
      </c>
      <c r="I176">
        <v>675526</v>
      </c>
    </row>
    <row r="177" spans="1:9" customFormat="1" hidden="1">
      <c r="A177" t="s">
        <v>4265</v>
      </c>
      <c r="B177" t="s">
        <v>3054</v>
      </c>
      <c r="C177" t="s">
        <v>3142</v>
      </c>
      <c r="D177">
        <v>259</v>
      </c>
      <c r="E177">
        <v>64.489999999999995</v>
      </c>
      <c r="F177">
        <v>17265.993788819873</v>
      </c>
      <c r="G177">
        <v>1113484</v>
      </c>
      <c r="H177" s="2144">
        <v>42982</v>
      </c>
      <c r="I177">
        <v>1113484</v>
      </c>
    </row>
    <row r="178" spans="1:9" customFormat="1" hidden="1">
      <c r="A178" t="s">
        <v>5466</v>
      </c>
      <c r="B178" t="s">
        <v>3056</v>
      </c>
      <c r="C178" t="s">
        <v>3142</v>
      </c>
      <c r="D178">
        <v>185</v>
      </c>
      <c r="E178">
        <v>95.56</v>
      </c>
      <c r="F178">
        <v>18721</v>
      </c>
      <c r="G178">
        <v>1788979</v>
      </c>
      <c r="H178" s="2144">
        <v>42982</v>
      </c>
      <c r="I178">
        <v>1788979</v>
      </c>
    </row>
    <row r="179" spans="1:9" customFormat="1" hidden="1">
      <c r="A179" t="s">
        <v>5891</v>
      </c>
      <c r="B179" t="s">
        <v>3057</v>
      </c>
      <c r="C179" t="s">
        <v>3142</v>
      </c>
      <c r="D179">
        <v>3</v>
      </c>
      <c r="E179">
        <v>71.39</v>
      </c>
      <c r="F179">
        <v>19300</v>
      </c>
      <c r="G179">
        <v>1377827</v>
      </c>
      <c r="H179" s="2144">
        <v>42980</v>
      </c>
      <c r="I179">
        <v>1377827</v>
      </c>
    </row>
    <row r="180" spans="1:9" customFormat="1" hidden="1">
      <c r="A180" t="s">
        <v>5910</v>
      </c>
      <c r="B180" t="s">
        <v>3057</v>
      </c>
      <c r="C180" t="s">
        <v>3142</v>
      </c>
      <c r="D180">
        <v>45</v>
      </c>
      <c r="E180">
        <v>41.26</v>
      </c>
      <c r="F180">
        <v>14590</v>
      </c>
      <c r="G180">
        <v>601983</v>
      </c>
      <c r="H180" s="2144">
        <v>42980</v>
      </c>
      <c r="I180">
        <v>601983</v>
      </c>
    </row>
    <row r="181" spans="1:9" customFormat="1" hidden="1">
      <c r="A181" t="s">
        <v>5928</v>
      </c>
      <c r="B181" t="s">
        <v>3057</v>
      </c>
      <c r="C181" t="s">
        <v>3142</v>
      </c>
      <c r="D181">
        <v>68</v>
      </c>
      <c r="E181">
        <v>52.21</v>
      </c>
      <c r="F181">
        <v>16100</v>
      </c>
      <c r="G181">
        <v>840581</v>
      </c>
      <c r="H181" s="2144">
        <v>42980</v>
      </c>
      <c r="I181">
        <v>840581</v>
      </c>
    </row>
    <row r="182" spans="1:9" customFormat="1" hidden="1">
      <c r="A182" t="s">
        <v>5936</v>
      </c>
      <c r="B182" t="s">
        <v>3057</v>
      </c>
      <c r="C182" t="s">
        <v>3142</v>
      </c>
      <c r="D182">
        <v>102</v>
      </c>
      <c r="E182">
        <v>51.06</v>
      </c>
      <c r="F182">
        <v>16100</v>
      </c>
      <c r="G182">
        <v>822066</v>
      </c>
      <c r="H182" s="2144">
        <v>42980</v>
      </c>
      <c r="I182">
        <v>822066</v>
      </c>
    </row>
    <row r="183" spans="1:9" customFormat="1" hidden="1">
      <c r="A183" t="s">
        <v>4078</v>
      </c>
      <c r="B183" t="s">
        <v>3054</v>
      </c>
      <c r="C183" t="s">
        <v>3142</v>
      </c>
      <c r="D183">
        <v>19</v>
      </c>
      <c r="E183">
        <v>99.8</v>
      </c>
      <c r="F183">
        <v>18749.91</v>
      </c>
      <c r="G183">
        <v>1871241</v>
      </c>
      <c r="H183" s="2144">
        <v>42979</v>
      </c>
      <c r="I183">
        <v>1871241</v>
      </c>
    </row>
    <row r="184" spans="1:9" customFormat="1" hidden="1">
      <c r="A184" t="s">
        <v>4318</v>
      </c>
      <c r="B184" t="s">
        <v>3054</v>
      </c>
      <c r="C184" t="s">
        <v>3142</v>
      </c>
      <c r="D184">
        <v>335</v>
      </c>
      <c r="E184">
        <v>70.08</v>
      </c>
      <c r="F184">
        <v>16100</v>
      </c>
      <c r="G184">
        <v>1128288</v>
      </c>
      <c r="H184" s="2144">
        <v>42979</v>
      </c>
      <c r="I184">
        <v>1128288</v>
      </c>
    </row>
    <row r="185" spans="1:9" customFormat="1" hidden="1">
      <c r="A185" t="s">
        <v>4918</v>
      </c>
      <c r="B185" t="s">
        <v>3055</v>
      </c>
      <c r="C185" t="s">
        <v>3142</v>
      </c>
      <c r="D185">
        <v>157</v>
      </c>
      <c r="E185">
        <v>71.849999999999994</v>
      </c>
      <c r="F185">
        <v>18230.88</v>
      </c>
      <c r="G185">
        <v>1309889</v>
      </c>
      <c r="H185" s="2144">
        <v>42979</v>
      </c>
      <c r="I185">
        <v>1309889</v>
      </c>
    </row>
    <row r="186" spans="1:9" customFormat="1" hidden="1">
      <c r="A186" t="s">
        <v>4987</v>
      </c>
      <c r="B186" t="s">
        <v>3055</v>
      </c>
      <c r="C186" t="s">
        <v>3142</v>
      </c>
      <c r="D186">
        <v>251</v>
      </c>
      <c r="E186">
        <v>41.36</v>
      </c>
      <c r="F186">
        <v>16217.65</v>
      </c>
      <c r="G186">
        <v>670762</v>
      </c>
      <c r="H186" s="2144">
        <v>42979</v>
      </c>
      <c r="I186">
        <v>670762</v>
      </c>
    </row>
    <row r="187" spans="1:9" customFormat="1" hidden="1">
      <c r="A187" t="s">
        <v>6312</v>
      </c>
      <c r="B187">
        <v>9</v>
      </c>
      <c r="C187" t="s">
        <v>3142</v>
      </c>
      <c r="D187">
        <v>6</v>
      </c>
      <c r="E187">
        <v>68.400000000000006</v>
      </c>
      <c r="F187">
        <v>18540</v>
      </c>
      <c r="G187">
        <v>1268136</v>
      </c>
      <c r="H187" s="2144">
        <v>42979</v>
      </c>
      <c r="I187">
        <v>638136</v>
      </c>
    </row>
    <row r="188" spans="1:9">
      <c r="A188" s="3386" t="s">
        <v>6605</v>
      </c>
      <c r="B188" s="3386">
        <v>11</v>
      </c>
      <c r="C188" s="3386" t="s">
        <v>3142</v>
      </c>
      <c r="D188" s="3386">
        <v>88</v>
      </c>
      <c r="E188" s="3386">
        <v>184.64</v>
      </c>
      <c r="F188" s="3386">
        <v>19570</v>
      </c>
      <c r="G188" s="3386">
        <v>3613404.8</v>
      </c>
      <c r="H188" s="3386">
        <v>42977</v>
      </c>
      <c r="I188" s="3386">
        <v>1844303</v>
      </c>
    </row>
    <row r="189" spans="1:9" customFormat="1" hidden="1">
      <c r="A189" t="s">
        <v>6365</v>
      </c>
      <c r="B189">
        <v>9</v>
      </c>
      <c r="C189" t="s">
        <v>3142</v>
      </c>
      <c r="D189">
        <v>171</v>
      </c>
      <c r="E189">
        <v>71.44</v>
      </c>
      <c r="F189">
        <v>13987.394957983191</v>
      </c>
      <c r="G189">
        <v>999260</v>
      </c>
      <c r="H189" s="2144">
        <v>42974</v>
      </c>
      <c r="I189">
        <v>999260</v>
      </c>
    </row>
    <row r="190" spans="1:9" customFormat="1" hidden="1">
      <c r="A190" t="s">
        <v>6346</v>
      </c>
      <c r="B190">
        <v>9</v>
      </c>
      <c r="C190" t="s">
        <v>3142</v>
      </c>
      <c r="D190">
        <v>93</v>
      </c>
      <c r="E190">
        <v>36.840000000000003</v>
      </c>
      <c r="F190">
        <v>16995.001358326539</v>
      </c>
      <c r="G190">
        <v>626096</v>
      </c>
      <c r="H190" s="2144">
        <v>42970</v>
      </c>
      <c r="I190">
        <v>316096</v>
      </c>
    </row>
    <row r="191" spans="1:9" customFormat="1" hidden="1">
      <c r="A191" t="s">
        <v>5417</v>
      </c>
      <c r="B191" t="s">
        <v>3056</v>
      </c>
      <c r="C191" t="s">
        <v>3142</v>
      </c>
      <c r="D191">
        <v>111</v>
      </c>
      <c r="E191">
        <v>50.5</v>
      </c>
      <c r="F191">
        <v>15617.009899999999</v>
      </c>
      <c r="G191">
        <v>788658.99994999997</v>
      </c>
      <c r="H191" s="2144">
        <v>42967</v>
      </c>
      <c r="I191">
        <v>788659</v>
      </c>
    </row>
    <row r="192" spans="1:9" customFormat="1" hidden="1">
      <c r="A192" t="s">
        <v>6024</v>
      </c>
      <c r="B192" t="s">
        <v>3057</v>
      </c>
      <c r="C192" t="s">
        <v>3142</v>
      </c>
      <c r="D192">
        <v>359</v>
      </c>
      <c r="E192">
        <v>53.28</v>
      </c>
      <c r="F192">
        <v>18004.992492400001</v>
      </c>
      <c r="G192">
        <v>959305.99999507202</v>
      </c>
      <c r="H192" s="2144">
        <v>42962</v>
      </c>
      <c r="I192">
        <v>959306</v>
      </c>
    </row>
    <row r="193" spans="1:9" customFormat="1" hidden="1">
      <c r="A193" t="s">
        <v>4796</v>
      </c>
      <c r="B193" t="s">
        <v>3055</v>
      </c>
      <c r="C193" t="s">
        <v>3142</v>
      </c>
      <c r="D193">
        <v>8</v>
      </c>
      <c r="E193">
        <v>72.260000000000005</v>
      </c>
      <c r="F193">
        <v>17800</v>
      </c>
      <c r="G193">
        <v>1286228</v>
      </c>
      <c r="H193" s="2144">
        <v>42944</v>
      </c>
      <c r="I193">
        <v>1286228</v>
      </c>
    </row>
    <row r="194" spans="1:9" customFormat="1" hidden="1">
      <c r="A194" t="s">
        <v>6035</v>
      </c>
      <c r="B194" t="s">
        <v>3057</v>
      </c>
      <c r="C194" t="s">
        <v>3142</v>
      </c>
      <c r="D194">
        <v>415</v>
      </c>
      <c r="E194">
        <v>67.83</v>
      </c>
      <c r="F194">
        <v>18279.9941</v>
      </c>
      <c r="G194">
        <v>1239931.9998029999</v>
      </c>
      <c r="H194" s="2144">
        <v>42937</v>
      </c>
      <c r="I194">
        <v>629932</v>
      </c>
    </row>
    <row r="195" spans="1:9" customFormat="1" hidden="1">
      <c r="A195" t="s">
        <v>4186</v>
      </c>
      <c r="B195" t="s">
        <v>3054</v>
      </c>
      <c r="C195" t="s">
        <v>3142</v>
      </c>
      <c r="D195">
        <v>171</v>
      </c>
      <c r="E195">
        <v>31.16</v>
      </c>
      <c r="F195">
        <v>17489.987163000002</v>
      </c>
      <c r="G195">
        <v>544987.99999908009</v>
      </c>
      <c r="H195" s="2144">
        <v>42936</v>
      </c>
      <c r="I195">
        <v>274988</v>
      </c>
    </row>
    <row r="196" spans="1:9" customFormat="1" hidden="1">
      <c r="A196" t="s">
        <v>4315</v>
      </c>
      <c r="B196" t="s">
        <v>3054</v>
      </c>
      <c r="C196" t="s">
        <v>3142</v>
      </c>
      <c r="D196">
        <v>331</v>
      </c>
      <c r="E196">
        <v>70.62</v>
      </c>
      <c r="F196">
        <v>12853.610875099999</v>
      </c>
      <c r="G196">
        <v>907721.99999956205</v>
      </c>
      <c r="H196" s="2144">
        <v>42932</v>
      </c>
      <c r="I196">
        <v>907722</v>
      </c>
    </row>
    <row r="197" spans="1:9" customFormat="1" hidden="1">
      <c r="A197" t="s">
        <v>5527</v>
      </c>
      <c r="B197" t="s">
        <v>3056</v>
      </c>
      <c r="C197" t="s">
        <v>3142</v>
      </c>
      <c r="D197">
        <v>311</v>
      </c>
      <c r="E197">
        <v>64.39</v>
      </c>
      <c r="F197">
        <v>14640</v>
      </c>
      <c r="G197">
        <v>942670</v>
      </c>
      <c r="H197" s="2144">
        <v>42900</v>
      </c>
      <c r="I197">
        <v>942670</v>
      </c>
    </row>
    <row r="198" spans="1:9">
      <c r="A198" s="3386" t="s">
        <v>6587</v>
      </c>
      <c r="B198" s="3386">
        <v>11</v>
      </c>
      <c r="C198" s="3386" t="s">
        <v>3142</v>
      </c>
      <c r="D198" s="3386">
        <v>12</v>
      </c>
      <c r="E198" s="3386">
        <v>53.6</v>
      </c>
      <c r="F198" s="3386">
        <v>18540</v>
      </c>
      <c r="G198" s="3386">
        <v>993744</v>
      </c>
      <c r="H198" s="3386">
        <v>42898</v>
      </c>
      <c r="I198" s="3386">
        <v>994300</v>
      </c>
    </row>
    <row r="199" spans="1:9">
      <c r="A199" s="3386" t="s">
        <v>6626</v>
      </c>
      <c r="B199" s="3386">
        <v>11</v>
      </c>
      <c r="C199" s="3386" t="s">
        <v>3142</v>
      </c>
      <c r="D199" s="3386">
        <v>137</v>
      </c>
      <c r="E199" s="3386">
        <v>50.15</v>
      </c>
      <c r="F199" s="3386">
        <v>14420</v>
      </c>
      <c r="G199" s="3386">
        <v>723163</v>
      </c>
      <c r="H199" s="3386">
        <v>42898</v>
      </c>
      <c r="I199" s="3386">
        <v>723596</v>
      </c>
    </row>
    <row r="200" spans="1:9" customFormat="1" hidden="1">
      <c r="A200" t="s">
        <v>5484</v>
      </c>
      <c r="B200" t="s">
        <v>3056</v>
      </c>
      <c r="C200" t="s">
        <v>3142</v>
      </c>
      <c r="D200">
        <v>219</v>
      </c>
      <c r="E200">
        <v>153.88999999999999</v>
      </c>
      <c r="F200">
        <v>19537.00045</v>
      </c>
      <c r="G200">
        <v>3006548.9992504995</v>
      </c>
      <c r="H200" s="2144">
        <v>42886</v>
      </c>
      <c r="I200">
        <v>1506549</v>
      </c>
    </row>
    <row r="201" spans="1:9" customFormat="1" hidden="1">
      <c r="A201" t="s">
        <v>4198</v>
      </c>
      <c r="B201" t="s">
        <v>3054</v>
      </c>
      <c r="C201" t="s">
        <v>3142</v>
      </c>
      <c r="D201">
        <v>185</v>
      </c>
      <c r="E201">
        <v>58.94</v>
      </c>
      <c r="F201">
        <v>16015.31</v>
      </c>
      <c r="G201">
        <v>943942.37139999995</v>
      </c>
      <c r="H201" s="2144">
        <v>42878</v>
      </c>
      <c r="I201">
        <v>943942</v>
      </c>
    </row>
    <row r="202" spans="1:9" customFormat="1" hidden="1">
      <c r="A202" t="s">
        <v>6846</v>
      </c>
      <c r="B202">
        <v>12</v>
      </c>
      <c r="C202" t="s">
        <v>3142</v>
      </c>
      <c r="D202">
        <v>161</v>
      </c>
      <c r="E202">
        <v>170.03</v>
      </c>
      <c r="F202">
        <v>22770.999240000001</v>
      </c>
      <c r="G202">
        <v>3871753.0007772003</v>
      </c>
      <c r="H202" s="2144">
        <v>42871</v>
      </c>
      <c r="I202">
        <v>1951753</v>
      </c>
    </row>
    <row r="203" spans="1:9" customFormat="1" hidden="1">
      <c r="A203" t="s">
        <v>5493</v>
      </c>
      <c r="B203" t="s">
        <v>3056</v>
      </c>
      <c r="C203" t="s">
        <v>3142</v>
      </c>
      <c r="D203">
        <v>242</v>
      </c>
      <c r="E203">
        <v>79.05</v>
      </c>
      <c r="F203">
        <v>19790.00633</v>
      </c>
      <c r="G203">
        <v>1564400</v>
      </c>
      <c r="H203" s="2144">
        <v>42859</v>
      </c>
      <c r="I203">
        <v>1564400</v>
      </c>
    </row>
    <row r="204" spans="1:9" customFormat="1" hidden="1">
      <c r="A204" t="s">
        <v>6027</v>
      </c>
      <c r="B204" t="s">
        <v>3057</v>
      </c>
      <c r="C204" t="s">
        <v>3142</v>
      </c>
      <c r="D204">
        <v>400</v>
      </c>
      <c r="E204">
        <v>63.93</v>
      </c>
      <c r="F204">
        <v>13880</v>
      </c>
      <c r="G204">
        <v>887348.4</v>
      </c>
      <c r="H204" s="2144">
        <v>42852</v>
      </c>
      <c r="I204">
        <v>887348</v>
      </c>
    </row>
    <row r="205" spans="1:9" customFormat="1" hidden="1">
      <c r="A205" t="s">
        <v>6028</v>
      </c>
      <c r="B205" t="s">
        <v>3057</v>
      </c>
      <c r="C205" t="s">
        <v>3142</v>
      </c>
      <c r="D205">
        <v>401</v>
      </c>
      <c r="E205">
        <v>46.87</v>
      </c>
      <c r="F205">
        <v>13700</v>
      </c>
      <c r="G205">
        <v>642119</v>
      </c>
      <c r="H205" s="2144">
        <v>42852</v>
      </c>
      <c r="I205">
        <v>642119</v>
      </c>
    </row>
    <row r="206" spans="1:9" customFormat="1" hidden="1">
      <c r="A206" t="s">
        <v>6029</v>
      </c>
      <c r="B206" t="s">
        <v>3057</v>
      </c>
      <c r="C206" t="s">
        <v>3142</v>
      </c>
      <c r="D206">
        <v>402</v>
      </c>
      <c r="E206">
        <v>46.87</v>
      </c>
      <c r="F206">
        <v>13700</v>
      </c>
      <c r="G206">
        <v>642119</v>
      </c>
      <c r="H206" s="2144">
        <v>42852</v>
      </c>
      <c r="I206">
        <v>642119</v>
      </c>
    </row>
    <row r="207" spans="1:9" customFormat="1" hidden="1">
      <c r="A207" t="s">
        <v>6030</v>
      </c>
      <c r="B207" t="s">
        <v>3057</v>
      </c>
      <c r="C207" t="s">
        <v>3142</v>
      </c>
      <c r="D207">
        <v>403</v>
      </c>
      <c r="E207">
        <v>46.87</v>
      </c>
      <c r="F207">
        <v>13700</v>
      </c>
      <c r="G207">
        <v>642119</v>
      </c>
      <c r="H207" s="2144">
        <v>42852</v>
      </c>
      <c r="I207">
        <v>642119</v>
      </c>
    </row>
    <row r="208" spans="1:9" customFormat="1" hidden="1">
      <c r="A208" t="s">
        <v>6031</v>
      </c>
      <c r="B208" t="s">
        <v>3057</v>
      </c>
      <c r="C208" t="s">
        <v>3142</v>
      </c>
      <c r="D208">
        <v>405</v>
      </c>
      <c r="E208">
        <v>46.87</v>
      </c>
      <c r="F208">
        <v>13700</v>
      </c>
      <c r="G208">
        <v>642119</v>
      </c>
      <c r="H208" s="2144">
        <v>42852</v>
      </c>
      <c r="I208">
        <v>642119</v>
      </c>
    </row>
    <row r="209" spans="1:9" customFormat="1" hidden="1">
      <c r="A209" t="s">
        <v>6032</v>
      </c>
      <c r="B209" t="s">
        <v>3057</v>
      </c>
      <c r="C209" t="s">
        <v>3142</v>
      </c>
      <c r="D209">
        <v>406</v>
      </c>
      <c r="E209">
        <v>46.87</v>
      </c>
      <c r="F209">
        <v>13700</v>
      </c>
      <c r="G209">
        <v>642119</v>
      </c>
      <c r="H209" s="2144">
        <v>42852</v>
      </c>
      <c r="I209">
        <v>642119</v>
      </c>
    </row>
    <row r="210" spans="1:9" customFormat="1" hidden="1">
      <c r="A210" t="s">
        <v>6033</v>
      </c>
      <c r="B210" t="s">
        <v>3057</v>
      </c>
      <c r="C210" t="s">
        <v>3142</v>
      </c>
      <c r="D210">
        <v>407</v>
      </c>
      <c r="E210">
        <v>46.87</v>
      </c>
      <c r="F210">
        <v>13700</v>
      </c>
      <c r="G210">
        <v>642119</v>
      </c>
      <c r="H210" s="2144">
        <v>42852</v>
      </c>
      <c r="I210">
        <v>642119</v>
      </c>
    </row>
    <row r="211" spans="1:9" customFormat="1" hidden="1">
      <c r="A211" t="s">
        <v>6034</v>
      </c>
      <c r="B211" t="s">
        <v>3057</v>
      </c>
      <c r="C211" t="s">
        <v>3142</v>
      </c>
      <c r="D211">
        <v>408</v>
      </c>
      <c r="E211">
        <v>59.56</v>
      </c>
      <c r="F211">
        <v>13700</v>
      </c>
      <c r="G211">
        <v>815972</v>
      </c>
      <c r="H211" s="2144">
        <v>42852</v>
      </c>
      <c r="I211">
        <v>815972</v>
      </c>
    </row>
    <row r="212" spans="1:9" customFormat="1" hidden="1">
      <c r="A212" t="s">
        <v>6036</v>
      </c>
      <c r="B212" t="s">
        <v>3057</v>
      </c>
      <c r="C212" t="s">
        <v>3142</v>
      </c>
      <c r="D212">
        <v>416</v>
      </c>
      <c r="E212">
        <v>71.31</v>
      </c>
      <c r="F212">
        <v>18280</v>
      </c>
      <c r="G212">
        <v>1303546.8</v>
      </c>
      <c r="H212" s="2144">
        <v>42852</v>
      </c>
      <c r="I212">
        <v>1303547</v>
      </c>
    </row>
    <row r="213" spans="1:9" customFormat="1" hidden="1">
      <c r="A213" t="s">
        <v>6037</v>
      </c>
      <c r="B213" t="s">
        <v>3057</v>
      </c>
      <c r="C213" t="s">
        <v>3142</v>
      </c>
      <c r="D213">
        <v>417</v>
      </c>
      <c r="E213">
        <v>70.12</v>
      </c>
      <c r="F213">
        <v>18280</v>
      </c>
      <c r="G213">
        <v>1281793.6000000001</v>
      </c>
      <c r="H213" s="2144">
        <v>42852</v>
      </c>
      <c r="I213">
        <v>1281794</v>
      </c>
    </row>
    <row r="214" spans="1:9" customFormat="1" hidden="1">
      <c r="A214" t="s">
        <v>6038</v>
      </c>
      <c r="B214" t="s">
        <v>3057</v>
      </c>
      <c r="C214" t="s">
        <v>3142</v>
      </c>
      <c r="D214">
        <v>418</v>
      </c>
      <c r="E214">
        <v>70.959999999999994</v>
      </c>
      <c r="F214">
        <v>18280</v>
      </c>
      <c r="G214">
        <v>1297148.7999999998</v>
      </c>
      <c r="H214" s="2144">
        <v>42852</v>
      </c>
      <c r="I214">
        <v>1297149</v>
      </c>
    </row>
    <row r="215" spans="1:9" customFormat="1" hidden="1">
      <c r="A215" t="s">
        <v>6039</v>
      </c>
      <c r="B215" t="s">
        <v>3057</v>
      </c>
      <c r="C215" t="s">
        <v>3142</v>
      </c>
      <c r="D215">
        <v>419</v>
      </c>
      <c r="E215">
        <v>66.459999999999994</v>
      </c>
      <c r="F215">
        <v>18280</v>
      </c>
      <c r="G215">
        <v>1214888.7999999998</v>
      </c>
      <c r="H215" s="2144">
        <v>42852</v>
      </c>
      <c r="I215">
        <v>1214889</v>
      </c>
    </row>
    <row r="216" spans="1:9" customFormat="1" hidden="1">
      <c r="A216" t="s">
        <v>6040</v>
      </c>
      <c r="B216" t="s">
        <v>3057</v>
      </c>
      <c r="C216" t="s">
        <v>3142</v>
      </c>
      <c r="D216">
        <v>420</v>
      </c>
      <c r="E216">
        <v>70.959999999999994</v>
      </c>
      <c r="F216">
        <v>18280</v>
      </c>
      <c r="G216">
        <v>1297148.7999999998</v>
      </c>
      <c r="H216" s="2144">
        <v>42852</v>
      </c>
      <c r="I216">
        <v>1297149</v>
      </c>
    </row>
    <row r="217" spans="1:9" customFormat="1" hidden="1">
      <c r="A217" t="s">
        <v>6041</v>
      </c>
      <c r="B217" t="s">
        <v>3057</v>
      </c>
      <c r="C217" t="s">
        <v>3142</v>
      </c>
      <c r="D217">
        <v>421</v>
      </c>
      <c r="E217">
        <v>70.959999999999994</v>
      </c>
      <c r="F217">
        <v>18280</v>
      </c>
      <c r="G217">
        <v>1297148.7999999998</v>
      </c>
      <c r="H217" s="2144">
        <v>42852</v>
      </c>
      <c r="I217">
        <v>1297149</v>
      </c>
    </row>
    <row r="218" spans="1:9" customFormat="1" hidden="1">
      <c r="A218" t="s">
        <v>6042</v>
      </c>
      <c r="B218" t="s">
        <v>3057</v>
      </c>
      <c r="C218" t="s">
        <v>3142</v>
      </c>
      <c r="D218">
        <v>422</v>
      </c>
      <c r="E218">
        <v>70.959999999999994</v>
      </c>
      <c r="F218">
        <v>18280</v>
      </c>
      <c r="G218">
        <v>1297148.7999999998</v>
      </c>
      <c r="H218" s="2144">
        <v>42852</v>
      </c>
      <c r="I218">
        <v>1297149</v>
      </c>
    </row>
    <row r="219" spans="1:9" customFormat="1" hidden="1">
      <c r="A219" t="s">
        <v>6043</v>
      </c>
      <c r="B219" t="s">
        <v>3057</v>
      </c>
      <c r="C219" t="s">
        <v>3142</v>
      </c>
      <c r="D219">
        <v>423</v>
      </c>
      <c r="E219">
        <v>70.959999999999994</v>
      </c>
      <c r="F219">
        <v>18280</v>
      </c>
      <c r="G219">
        <v>1297148.7999999998</v>
      </c>
      <c r="H219" s="2144">
        <v>42852</v>
      </c>
      <c r="I219">
        <v>1297149</v>
      </c>
    </row>
    <row r="220" spans="1:9" customFormat="1" hidden="1">
      <c r="A220" t="s">
        <v>6044</v>
      </c>
      <c r="B220" t="s">
        <v>3057</v>
      </c>
      <c r="C220" t="s">
        <v>3142</v>
      </c>
      <c r="D220">
        <v>425</v>
      </c>
      <c r="E220">
        <v>70.959999999999994</v>
      </c>
      <c r="F220">
        <v>18280</v>
      </c>
      <c r="G220">
        <v>1297148.7999999998</v>
      </c>
      <c r="H220" s="2144">
        <v>42852</v>
      </c>
      <c r="I220">
        <v>1297149</v>
      </c>
    </row>
    <row r="221" spans="1:9" customFormat="1" hidden="1">
      <c r="A221" t="s">
        <v>6045</v>
      </c>
      <c r="B221" t="s">
        <v>3057</v>
      </c>
      <c r="C221" t="s">
        <v>3142</v>
      </c>
      <c r="D221">
        <v>426</v>
      </c>
      <c r="E221">
        <v>77.91</v>
      </c>
      <c r="F221">
        <v>18730</v>
      </c>
      <c r="G221">
        <v>1459254.3</v>
      </c>
      <c r="H221" s="2144">
        <v>42852</v>
      </c>
      <c r="I221">
        <v>1459254</v>
      </c>
    </row>
    <row r="222" spans="1:9" customFormat="1" hidden="1">
      <c r="A222" t="s">
        <v>4086</v>
      </c>
      <c r="B222" t="s">
        <v>3054</v>
      </c>
      <c r="C222" t="s">
        <v>3142</v>
      </c>
      <c r="D222">
        <v>28</v>
      </c>
      <c r="E222">
        <v>40.700000000000003</v>
      </c>
      <c r="F222">
        <v>16080.03</v>
      </c>
      <c r="G222">
        <v>654457.22100000002</v>
      </c>
      <c r="H222" s="2144">
        <v>42839</v>
      </c>
      <c r="I222">
        <v>654457</v>
      </c>
    </row>
    <row r="223" spans="1:9" customFormat="1" hidden="1">
      <c r="A223" t="s">
        <v>4152</v>
      </c>
      <c r="B223" t="s">
        <v>3054</v>
      </c>
      <c r="C223" t="s">
        <v>3142</v>
      </c>
      <c r="D223">
        <v>129</v>
      </c>
      <c r="E223">
        <v>114.76</v>
      </c>
      <c r="F223">
        <v>16300</v>
      </c>
      <c r="G223">
        <v>1870588</v>
      </c>
      <c r="H223" s="2144">
        <v>42838</v>
      </c>
      <c r="I223">
        <v>1767958</v>
      </c>
    </row>
    <row r="224" spans="1:9" customFormat="1" hidden="1">
      <c r="A224" t="s">
        <v>4257</v>
      </c>
      <c r="B224" t="s">
        <v>3054</v>
      </c>
      <c r="C224" t="s">
        <v>3142</v>
      </c>
      <c r="D224">
        <v>250</v>
      </c>
      <c r="E224">
        <v>34.619999999999997</v>
      </c>
      <c r="F224">
        <v>15423.01</v>
      </c>
      <c r="G224">
        <v>533944.60619999992</v>
      </c>
      <c r="H224" s="2144">
        <v>42836</v>
      </c>
      <c r="I224">
        <v>533945</v>
      </c>
    </row>
    <row r="225" spans="1:9" customFormat="1" hidden="1">
      <c r="A225" t="s">
        <v>5528</v>
      </c>
      <c r="B225" t="s">
        <v>3056</v>
      </c>
      <c r="C225" t="s">
        <v>3142</v>
      </c>
      <c r="D225">
        <v>312</v>
      </c>
      <c r="E225">
        <v>64.39</v>
      </c>
      <c r="F225">
        <v>14640</v>
      </c>
      <c r="G225">
        <v>942670</v>
      </c>
      <c r="H225" s="2144">
        <v>42835</v>
      </c>
      <c r="I225">
        <v>942670</v>
      </c>
    </row>
    <row r="226" spans="1:9" customFormat="1" hidden="1">
      <c r="A226" t="s">
        <v>4997</v>
      </c>
      <c r="B226" t="s">
        <v>3055</v>
      </c>
      <c r="C226" t="s">
        <v>3142</v>
      </c>
      <c r="D226">
        <v>267</v>
      </c>
      <c r="E226">
        <v>74.489999999999995</v>
      </c>
      <c r="F226">
        <v>15261.19</v>
      </c>
      <c r="G226">
        <v>1136806.0430999999</v>
      </c>
      <c r="H226" s="2144">
        <v>42832</v>
      </c>
      <c r="I226">
        <v>1136806</v>
      </c>
    </row>
    <row r="227" spans="1:9" customFormat="1" hidden="1">
      <c r="A227" t="s">
        <v>6833</v>
      </c>
      <c r="B227">
        <v>12</v>
      </c>
      <c r="C227" t="s">
        <v>3142</v>
      </c>
      <c r="D227">
        <v>138</v>
      </c>
      <c r="E227">
        <v>67.319999999999993</v>
      </c>
      <c r="F227">
        <v>20080</v>
      </c>
      <c r="G227">
        <v>1351785.5999999999</v>
      </c>
      <c r="H227" s="2144">
        <v>42824</v>
      </c>
      <c r="I227">
        <v>675762</v>
      </c>
    </row>
    <row r="228" spans="1:9" customFormat="1" hidden="1">
      <c r="A228" t="s">
        <v>6359</v>
      </c>
      <c r="B228">
        <v>9</v>
      </c>
      <c r="C228" t="s">
        <v>3142</v>
      </c>
      <c r="D228">
        <v>150</v>
      </c>
      <c r="E228">
        <v>86.35</v>
      </c>
      <c r="F228">
        <v>18982.906770000001</v>
      </c>
      <c r="G228">
        <v>1639173.9995895</v>
      </c>
      <c r="H228" s="2144">
        <v>42819</v>
      </c>
      <c r="I228">
        <v>1639174</v>
      </c>
    </row>
    <row r="229" spans="1:9" customFormat="1" hidden="1">
      <c r="A229" t="s">
        <v>4230</v>
      </c>
      <c r="B229" t="s">
        <v>3054</v>
      </c>
      <c r="C229" t="s">
        <v>3142</v>
      </c>
      <c r="D229">
        <v>220</v>
      </c>
      <c r="E229">
        <v>50.35</v>
      </c>
      <c r="F229">
        <v>18100</v>
      </c>
      <c r="G229">
        <v>911335</v>
      </c>
      <c r="H229" s="2144">
        <v>42797</v>
      </c>
      <c r="I229">
        <v>50000</v>
      </c>
    </row>
    <row r="230" spans="1:9" customFormat="1" hidden="1">
      <c r="A230" t="s">
        <v>5504</v>
      </c>
      <c r="B230" t="s">
        <v>3056</v>
      </c>
      <c r="C230" t="s">
        <v>3142</v>
      </c>
      <c r="D230">
        <v>270</v>
      </c>
      <c r="E230">
        <v>34.04</v>
      </c>
      <c r="F230">
        <v>16300</v>
      </c>
      <c r="G230">
        <v>554852</v>
      </c>
      <c r="H230" s="2144">
        <v>42797</v>
      </c>
      <c r="I230">
        <v>554852</v>
      </c>
    </row>
    <row r="231" spans="1:9" customFormat="1" hidden="1">
      <c r="A231" t="s">
        <v>5505</v>
      </c>
      <c r="B231" t="s">
        <v>3056</v>
      </c>
      <c r="C231" t="s">
        <v>3142</v>
      </c>
      <c r="D231">
        <v>271</v>
      </c>
      <c r="E231">
        <v>25.02</v>
      </c>
      <c r="F231">
        <v>16300</v>
      </c>
      <c r="G231">
        <v>407826</v>
      </c>
      <c r="H231" s="2144">
        <v>42797</v>
      </c>
      <c r="I231">
        <v>407826</v>
      </c>
    </row>
    <row r="232" spans="1:9" customFormat="1" hidden="1">
      <c r="A232" t="s">
        <v>5506</v>
      </c>
      <c r="B232" t="s">
        <v>3056</v>
      </c>
      <c r="C232" t="s">
        <v>3142</v>
      </c>
      <c r="D232">
        <v>272</v>
      </c>
      <c r="E232">
        <v>40.76</v>
      </c>
      <c r="F232">
        <v>19790</v>
      </c>
      <c r="G232">
        <v>806640.39999999991</v>
      </c>
      <c r="H232" s="2144">
        <v>42797</v>
      </c>
      <c r="I232">
        <v>806640</v>
      </c>
    </row>
    <row r="233" spans="1:9" customFormat="1" hidden="1">
      <c r="A233" t="s">
        <v>5507</v>
      </c>
      <c r="B233" t="s">
        <v>3056</v>
      </c>
      <c r="C233" t="s">
        <v>3142</v>
      </c>
      <c r="D233">
        <v>273</v>
      </c>
      <c r="E233">
        <v>61.96</v>
      </c>
      <c r="F233">
        <v>19790</v>
      </c>
      <c r="G233">
        <v>1226188.3999999999</v>
      </c>
      <c r="H233" s="2144">
        <v>42797</v>
      </c>
      <c r="I233">
        <v>1226188</v>
      </c>
    </row>
    <row r="234" spans="1:9" customFormat="1" hidden="1">
      <c r="A234" t="s">
        <v>5514</v>
      </c>
      <c r="B234" t="s">
        <v>3056</v>
      </c>
      <c r="C234" t="s">
        <v>3142</v>
      </c>
      <c r="D234">
        <v>281</v>
      </c>
      <c r="E234">
        <v>16.760000000000002</v>
      </c>
      <c r="F234">
        <v>19300</v>
      </c>
      <c r="G234">
        <v>323468.00000000006</v>
      </c>
      <c r="H234" s="2144">
        <v>42795</v>
      </c>
      <c r="I234">
        <v>335820</v>
      </c>
    </row>
    <row r="235" spans="1:9" customFormat="1" hidden="1">
      <c r="A235" t="s">
        <v>5933</v>
      </c>
      <c r="B235" t="s">
        <v>3057</v>
      </c>
      <c r="C235" t="s">
        <v>3142</v>
      </c>
      <c r="D235">
        <v>88</v>
      </c>
      <c r="E235">
        <v>31.03</v>
      </c>
      <c r="F235">
        <v>17908</v>
      </c>
      <c r="G235">
        <v>555685.24</v>
      </c>
      <c r="H235" s="2144">
        <v>42786</v>
      </c>
      <c r="I235">
        <v>555685</v>
      </c>
    </row>
    <row r="236" spans="1:9" customFormat="1" hidden="1">
      <c r="A236" t="s">
        <v>5932</v>
      </c>
      <c r="B236" t="s">
        <v>3057</v>
      </c>
      <c r="C236" t="s">
        <v>3142</v>
      </c>
      <c r="D236">
        <v>86</v>
      </c>
      <c r="E236">
        <v>79.73</v>
      </c>
      <c r="F236">
        <v>16697</v>
      </c>
      <c r="G236">
        <v>1331251.81</v>
      </c>
      <c r="H236" s="2144">
        <v>42759</v>
      </c>
      <c r="I236">
        <v>1331252</v>
      </c>
    </row>
    <row r="237" spans="1:9" customFormat="1" hidden="1">
      <c r="A237" t="s">
        <v>5984</v>
      </c>
      <c r="B237" t="s">
        <v>3057</v>
      </c>
      <c r="C237" t="s">
        <v>3142</v>
      </c>
      <c r="D237">
        <v>182</v>
      </c>
      <c r="E237">
        <v>44.25</v>
      </c>
      <c r="F237">
        <v>17843</v>
      </c>
      <c r="G237">
        <v>789552.75</v>
      </c>
      <c r="H237" s="2144">
        <v>42759</v>
      </c>
      <c r="I237">
        <v>789553</v>
      </c>
    </row>
    <row r="238" spans="1:9" customFormat="1" hidden="1">
      <c r="A238" t="s">
        <v>5985</v>
      </c>
      <c r="B238" t="s">
        <v>3057</v>
      </c>
      <c r="C238" t="s">
        <v>3142</v>
      </c>
      <c r="D238">
        <v>185</v>
      </c>
      <c r="E238">
        <v>54.18</v>
      </c>
      <c r="F238">
        <v>18208</v>
      </c>
      <c r="G238">
        <v>986509.44</v>
      </c>
      <c r="H238" s="2144">
        <v>42759</v>
      </c>
      <c r="I238">
        <v>986509</v>
      </c>
    </row>
    <row r="239" spans="1:9" customFormat="1" hidden="1">
      <c r="A239" t="s">
        <v>5986</v>
      </c>
      <c r="B239" t="s">
        <v>3057</v>
      </c>
      <c r="C239" t="s">
        <v>3142</v>
      </c>
      <c r="D239">
        <v>186</v>
      </c>
      <c r="E239">
        <v>59.08</v>
      </c>
      <c r="F239">
        <v>18343</v>
      </c>
      <c r="G239">
        <v>1083704.44</v>
      </c>
      <c r="H239" s="2144">
        <v>42759</v>
      </c>
      <c r="I239">
        <v>543704</v>
      </c>
    </row>
    <row r="240" spans="1:9" customFormat="1" hidden="1">
      <c r="A240" t="s">
        <v>5987</v>
      </c>
      <c r="B240" t="s">
        <v>3057</v>
      </c>
      <c r="C240" t="s">
        <v>3142</v>
      </c>
      <c r="D240">
        <v>188</v>
      </c>
      <c r="E240">
        <v>66.56</v>
      </c>
      <c r="F240">
        <v>18510</v>
      </c>
      <c r="G240">
        <v>1232025.6000000001</v>
      </c>
      <c r="H240" s="2144">
        <v>42759</v>
      </c>
      <c r="I240">
        <v>1232026</v>
      </c>
    </row>
    <row r="241" spans="1:9" customFormat="1" hidden="1">
      <c r="A241" t="s">
        <v>5992</v>
      </c>
      <c r="B241" t="s">
        <v>3057</v>
      </c>
      <c r="C241" t="s">
        <v>3142</v>
      </c>
      <c r="D241">
        <v>198</v>
      </c>
      <c r="E241">
        <v>33.6</v>
      </c>
      <c r="F241">
        <v>13649</v>
      </c>
      <c r="G241">
        <v>458606.4</v>
      </c>
      <c r="H241" s="2144">
        <v>42759</v>
      </c>
      <c r="I241">
        <v>238606</v>
      </c>
    </row>
    <row r="242" spans="1:9" customFormat="1" hidden="1">
      <c r="A242" t="s">
        <v>6006</v>
      </c>
      <c r="B242" t="s">
        <v>3057</v>
      </c>
      <c r="C242" t="s">
        <v>3142</v>
      </c>
      <c r="D242">
        <v>245</v>
      </c>
      <c r="E242">
        <v>67.09</v>
      </c>
      <c r="F242">
        <v>16222</v>
      </c>
      <c r="G242">
        <v>1088333.98</v>
      </c>
      <c r="H242" s="2144">
        <v>42759</v>
      </c>
      <c r="I242">
        <v>1088334</v>
      </c>
    </row>
    <row r="243" spans="1:9" customFormat="1" hidden="1">
      <c r="A243" t="s">
        <v>6007</v>
      </c>
      <c r="B243" t="s">
        <v>3057</v>
      </c>
      <c r="C243" t="s">
        <v>3142</v>
      </c>
      <c r="D243">
        <v>252</v>
      </c>
      <c r="E243">
        <v>33.24</v>
      </c>
      <c r="F243">
        <v>15204</v>
      </c>
      <c r="G243">
        <v>505380.96</v>
      </c>
      <c r="H243" s="2144">
        <v>42759</v>
      </c>
      <c r="I243">
        <v>255381</v>
      </c>
    </row>
    <row r="244" spans="1:9" customFormat="1" hidden="1">
      <c r="A244" t="s">
        <v>6011</v>
      </c>
      <c r="B244" t="s">
        <v>3057</v>
      </c>
      <c r="C244" t="s">
        <v>3142</v>
      </c>
      <c r="D244">
        <v>267</v>
      </c>
      <c r="E244">
        <v>113.87</v>
      </c>
      <c r="F244">
        <v>17627</v>
      </c>
      <c r="G244">
        <v>2007186.49</v>
      </c>
      <c r="H244" s="2144">
        <v>42759</v>
      </c>
      <c r="I244">
        <v>2007186</v>
      </c>
    </row>
    <row r="245" spans="1:9" customFormat="1" hidden="1">
      <c r="A245" t="s">
        <v>6012</v>
      </c>
      <c r="B245" t="s">
        <v>3057</v>
      </c>
      <c r="C245" t="s">
        <v>3142</v>
      </c>
      <c r="D245">
        <v>268</v>
      </c>
      <c r="E245">
        <v>60.03</v>
      </c>
      <c r="F245">
        <v>13358</v>
      </c>
      <c r="G245">
        <v>801880.74</v>
      </c>
      <c r="H245" s="2144">
        <v>42759</v>
      </c>
      <c r="I245">
        <v>801881</v>
      </c>
    </row>
    <row r="246" spans="1:9" customFormat="1" hidden="1">
      <c r="A246" t="s">
        <v>6013</v>
      </c>
      <c r="B246" t="s">
        <v>3057</v>
      </c>
      <c r="C246" t="s">
        <v>3142</v>
      </c>
      <c r="D246">
        <v>298</v>
      </c>
      <c r="E246">
        <v>67.02</v>
      </c>
      <c r="F246">
        <v>21575</v>
      </c>
      <c r="G246">
        <v>1445957</v>
      </c>
      <c r="H246" s="2144">
        <v>42759</v>
      </c>
      <c r="I246">
        <v>1428481</v>
      </c>
    </row>
    <row r="247" spans="1:9" customFormat="1" hidden="1">
      <c r="A247" t="s">
        <v>6019</v>
      </c>
      <c r="B247" t="s">
        <v>3057</v>
      </c>
      <c r="C247" t="s">
        <v>3142</v>
      </c>
      <c r="D247">
        <v>342</v>
      </c>
      <c r="E247">
        <v>61.35</v>
      </c>
      <c r="F247">
        <v>19166</v>
      </c>
      <c r="G247">
        <v>1175834.1000000001</v>
      </c>
      <c r="H247" s="2144">
        <v>42759</v>
      </c>
      <c r="I247">
        <v>1175834</v>
      </c>
    </row>
    <row r="248" spans="1:9" customFormat="1" hidden="1">
      <c r="A248" t="s">
        <v>6020</v>
      </c>
      <c r="B248" t="s">
        <v>3057</v>
      </c>
      <c r="C248" t="s">
        <v>3142</v>
      </c>
      <c r="D248">
        <v>343</v>
      </c>
      <c r="E248">
        <v>62.37</v>
      </c>
      <c r="F248">
        <v>18707</v>
      </c>
      <c r="G248">
        <v>1166755.5899999999</v>
      </c>
      <c r="H248" s="2144">
        <v>42759</v>
      </c>
      <c r="I248">
        <v>1166756</v>
      </c>
    </row>
    <row r="249" spans="1:9" customFormat="1" hidden="1">
      <c r="A249" t="s">
        <v>6047</v>
      </c>
      <c r="B249" t="s">
        <v>3057</v>
      </c>
      <c r="C249" t="s">
        <v>3142</v>
      </c>
      <c r="D249">
        <v>458</v>
      </c>
      <c r="E249">
        <v>40.72</v>
      </c>
      <c r="F249">
        <v>15597</v>
      </c>
      <c r="G249">
        <v>635109.84</v>
      </c>
      <c r="H249" s="2144">
        <v>42759</v>
      </c>
      <c r="I249">
        <v>635110</v>
      </c>
    </row>
    <row r="250" spans="1:9" customFormat="1" hidden="1">
      <c r="A250" t="s">
        <v>4237</v>
      </c>
      <c r="B250" t="s">
        <v>3054</v>
      </c>
      <c r="C250" t="s">
        <v>3142</v>
      </c>
      <c r="D250">
        <v>228</v>
      </c>
      <c r="E250">
        <v>77.37</v>
      </c>
      <c r="F250">
        <v>17494.40352</v>
      </c>
      <c r="G250">
        <v>1353542.0003424</v>
      </c>
      <c r="H250" s="2144">
        <v>42757</v>
      </c>
      <c r="I250">
        <v>1353542</v>
      </c>
    </row>
    <row r="251" spans="1:9" customFormat="1" hidden="1">
      <c r="A251" t="s">
        <v>6781</v>
      </c>
      <c r="B251">
        <v>12</v>
      </c>
      <c r="C251" t="s">
        <v>3142</v>
      </c>
      <c r="D251">
        <v>20</v>
      </c>
      <c r="E251">
        <v>60.59</v>
      </c>
      <c r="F251">
        <v>15403.614100000001</v>
      </c>
      <c r="G251">
        <v>933304.9783190001</v>
      </c>
      <c r="H251" s="2144">
        <v>42755</v>
      </c>
      <c r="I251">
        <v>929146</v>
      </c>
    </row>
    <row r="252" spans="1:9" customFormat="1" hidden="1">
      <c r="A252" t="s">
        <v>5916</v>
      </c>
      <c r="B252" t="s">
        <v>3057</v>
      </c>
      <c r="C252" t="s">
        <v>3142</v>
      </c>
      <c r="D252">
        <v>51</v>
      </c>
      <c r="E252">
        <v>70.98</v>
      </c>
      <c r="F252">
        <v>19981.994928</v>
      </c>
      <c r="G252">
        <v>1418321.9999894402</v>
      </c>
      <c r="H252" s="2144">
        <v>42746</v>
      </c>
      <c r="I252">
        <v>1418322</v>
      </c>
    </row>
    <row r="253" spans="1:9" customFormat="1" hidden="1">
      <c r="A253" t="s">
        <v>4252</v>
      </c>
      <c r="B253" t="s">
        <v>3054</v>
      </c>
      <c r="C253" t="s">
        <v>3142</v>
      </c>
      <c r="D253">
        <v>245</v>
      </c>
      <c r="E253">
        <v>37.520000000000003</v>
      </c>
      <c r="F253">
        <v>15766.95</v>
      </c>
      <c r="G253">
        <v>591575.96400000004</v>
      </c>
      <c r="H253" s="2144">
        <v>42744</v>
      </c>
      <c r="I253">
        <v>591576</v>
      </c>
    </row>
    <row r="254" spans="1:9" customFormat="1" hidden="1">
      <c r="A254" t="s">
        <v>5929</v>
      </c>
      <c r="B254" t="s">
        <v>3057</v>
      </c>
      <c r="C254" t="s">
        <v>3142</v>
      </c>
      <c r="D254">
        <v>79</v>
      </c>
      <c r="E254">
        <v>29.42</v>
      </c>
      <c r="F254">
        <v>18477</v>
      </c>
      <c r="G254">
        <v>543593.34000000008</v>
      </c>
      <c r="H254" s="2144">
        <v>42726</v>
      </c>
      <c r="I254">
        <v>273593</v>
      </c>
    </row>
    <row r="255" spans="1:9" customFormat="1" hidden="1">
      <c r="A255" t="s">
        <v>5930</v>
      </c>
      <c r="B255" t="s">
        <v>3057</v>
      </c>
      <c r="C255" t="s">
        <v>3142</v>
      </c>
      <c r="D255">
        <v>80</v>
      </c>
      <c r="E255">
        <v>79.739999999999995</v>
      </c>
      <c r="F255">
        <v>19626</v>
      </c>
      <c r="G255">
        <v>1564977.24</v>
      </c>
      <c r="H255" s="2144">
        <v>42726</v>
      </c>
      <c r="I255">
        <v>784977</v>
      </c>
    </row>
    <row r="256" spans="1:9" customFormat="1" hidden="1">
      <c r="A256" t="s">
        <v>5931</v>
      </c>
      <c r="B256" t="s">
        <v>3057</v>
      </c>
      <c r="C256" t="s">
        <v>3142</v>
      </c>
      <c r="D256">
        <v>81</v>
      </c>
      <c r="E256">
        <v>74.36</v>
      </c>
      <c r="F256">
        <v>19287</v>
      </c>
      <c r="G256">
        <v>1434181.32</v>
      </c>
      <c r="H256" s="2144">
        <v>42726</v>
      </c>
      <c r="I256">
        <v>724181</v>
      </c>
    </row>
    <row r="257" spans="1:9" customFormat="1" hidden="1">
      <c r="A257" t="s">
        <v>5934</v>
      </c>
      <c r="B257" t="s">
        <v>3057</v>
      </c>
      <c r="C257" t="s">
        <v>3142</v>
      </c>
      <c r="D257">
        <v>90</v>
      </c>
      <c r="E257">
        <v>31.4</v>
      </c>
      <c r="F257">
        <v>17908</v>
      </c>
      <c r="G257">
        <v>562311.19999999995</v>
      </c>
      <c r="H257" s="2144">
        <v>42726</v>
      </c>
      <c r="I257">
        <v>282311</v>
      </c>
    </row>
    <row r="258" spans="1:9" customFormat="1" hidden="1">
      <c r="A258" t="s">
        <v>5935</v>
      </c>
      <c r="B258" t="s">
        <v>3057</v>
      </c>
      <c r="C258" t="s">
        <v>3142</v>
      </c>
      <c r="D258">
        <v>91</v>
      </c>
      <c r="E258">
        <v>30.66</v>
      </c>
      <c r="F258">
        <v>17908</v>
      </c>
      <c r="G258">
        <v>549059.28</v>
      </c>
      <c r="H258" s="2144">
        <v>42726</v>
      </c>
      <c r="I258">
        <v>279059</v>
      </c>
    </row>
    <row r="259" spans="1:9" customFormat="1" hidden="1">
      <c r="A259" t="s">
        <v>5966</v>
      </c>
      <c r="B259" t="s">
        <v>3057</v>
      </c>
      <c r="C259" t="s">
        <v>3142</v>
      </c>
      <c r="D259">
        <v>160</v>
      </c>
      <c r="E259">
        <v>11.74</v>
      </c>
      <c r="F259">
        <v>19227</v>
      </c>
      <c r="G259">
        <v>225724.98</v>
      </c>
      <c r="H259" s="2144">
        <v>42726</v>
      </c>
      <c r="I259">
        <v>225725</v>
      </c>
    </row>
    <row r="260" spans="1:9" customFormat="1" hidden="1">
      <c r="A260" t="s">
        <v>5989</v>
      </c>
      <c r="B260" t="s">
        <v>3057</v>
      </c>
      <c r="C260" t="s">
        <v>3142</v>
      </c>
      <c r="D260">
        <v>192</v>
      </c>
      <c r="E260">
        <v>69.97</v>
      </c>
      <c r="F260">
        <v>17884</v>
      </c>
      <c r="G260">
        <v>1251343.48</v>
      </c>
      <c r="H260" s="2144">
        <v>42726</v>
      </c>
      <c r="I260">
        <v>631343</v>
      </c>
    </row>
    <row r="261" spans="1:9" customFormat="1" hidden="1">
      <c r="A261" t="s">
        <v>5990</v>
      </c>
      <c r="B261" t="s">
        <v>3057</v>
      </c>
      <c r="C261" t="s">
        <v>3142</v>
      </c>
      <c r="D261">
        <v>196</v>
      </c>
      <c r="E261">
        <v>62.26</v>
      </c>
      <c r="F261">
        <v>17884</v>
      </c>
      <c r="G261">
        <v>1113457.8399999999</v>
      </c>
      <c r="H261" s="2144">
        <v>42726</v>
      </c>
      <c r="I261">
        <v>563458</v>
      </c>
    </row>
    <row r="262" spans="1:9" customFormat="1" hidden="1">
      <c r="A262" t="s">
        <v>5991</v>
      </c>
      <c r="B262" t="s">
        <v>3057</v>
      </c>
      <c r="C262" t="s">
        <v>3142</v>
      </c>
      <c r="D262">
        <v>197</v>
      </c>
      <c r="E262">
        <v>31.81</v>
      </c>
      <c r="F262">
        <v>17908</v>
      </c>
      <c r="G262">
        <v>569653.48</v>
      </c>
      <c r="H262" s="2144">
        <v>42726</v>
      </c>
      <c r="I262">
        <v>289653</v>
      </c>
    </row>
    <row r="263" spans="1:9" customFormat="1" hidden="1">
      <c r="A263" t="s">
        <v>6021</v>
      </c>
      <c r="B263" t="s">
        <v>3057</v>
      </c>
      <c r="C263" t="s">
        <v>3142</v>
      </c>
      <c r="D263">
        <v>345</v>
      </c>
      <c r="E263">
        <v>48.29</v>
      </c>
      <c r="F263">
        <v>18707</v>
      </c>
      <c r="G263">
        <v>903361.03</v>
      </c>
      <c r="H263" s="2144">
        <v>42726</v>
      </c>
      <c r="I263">
        <v>453361</v>
      </c>
    </row>
    <row r="264" spans="1:9" customFormat="1" hidden="1">
      <c r="A264" t="s">
        <v>6022</v>
      </c>
      <c r="B264" t="s">
        <v>3057</v>
      </c>
      <c r="C264" t="s">
        <v>3142</v>
      </c>
      <c r="D264">
        <v>346</v>
      </c>
      <c r="E264">
        <v>47.56</v>
      </c>
      <c r="F264">
        <v>18707</v>
      </c>
      <c r="G264">
        <v>889704.92</v>
      </c>
      <c r="H264" s="2144">
        <v>42726</v>
      </c>
      <c r="I264">
        <v>449705</v>
      </c>
    </row>
    <row r="265" spans="1:9" customFormat="1" hidden="1">
      <c r="A265" t="s">
        <v>6025</v>
      </c>
      <c r="B265" t="s">
        <v>3057</v>
      </c>
      <c r="C265" t="s">
        <v>3142</v>
      </c>
      <c r="D265">
        <v>371</v>
      </c>
      <c r="E265">
        <v>34.979999999999997</v>
      </c>
      <c r="F265">
        <v>18707</v>
      </c>
      <c r="G265">
        <v>654370.86</v>
      </c>
      <c r="H265" s="2144">
        <v>42726</v>
      </c>
      <c r="I265">
        <v>654371</v>
      </c>
    </row>
    <row r="266" spans="1:9" customFormat="1" hidden="1">
      <c r="A266" t="s">
        <v>5926</v>
      </c>
      <c r="B266" t="s">
        <v>3057</v>
      </c>
      <c r="C266" t="s">
        <v>3142</v>
      </c>
      <c r="D266">
        <v>66</v>
      </c>
      <c r="E266">
        <v>22.01</v>
      </c>
      <c r="F266">
        <v>19227</v>
      </c>
      <c r="G266">
        <v>423186.27</v>
      </c>
      <c r="H266" s="2144">
        <v>42725</v>
      </c>
      <c r="I266">
        <v>213186</v>
      </c>
    </row>
    <row r="267" spans="1:9" customFormat="1" hidden="1">
      <c r="A267" t="s">
        <v>5005</v>
      </c>
      <c r="B267" t="s">
        <v>3055</v>
      </c>
      <c r="C267" t="s">
        <v>3142</v>
      </c>
      <c r="D267">
        <v>279</v>
      </c>
      <c r="E267">
        <v>62.68</v>
      </c>
      <c r="F267">
        <v>18100</v>
      </c>
      <c r="G267">
        <v>1134508</v>
      </c>
      <c r="H267" s="2144">
        <v>42715</v>
      </c>
      <c r="I267">
        <v>1134508</v>
      </c>
    </row>
    <row r="268" spans="1:9" customFormat="1" hidden="1">
      <c r="A268" t="s">
        <v>6776</v>
      </c>
      <c r="B268">
        <v>12</v>
      </c>
      <c r="C268" t="s">
        <v>3142</v>
      </c>
      <c r="D268">
        <v>1</v>
      </c>
      <c r="E268">
        <v>76.14</v>
      </c>
      <c r="F268">
        <v>18610</v>
      </c>
      <c r="G268">
        <v>1416965.4</v>
      </c>
      <c r="H268" s="2144">
        <v>42713</v>
      </c>
      <c r="I268">
        <v>50000</v>
      </c>
    </row>
    <row r="269" spans="1:9" customFormat="1" hidden="1">
      <c r="A269" t="s">
        <v>6793</v>
      </c>
      <c r="B269">
        <v>12</v>
      </c>
      <c r="C269" t="s">
        <v>3142</v>
      </c>
      <c r="D269">
        <v>60</v>
      </c>
      <c r="E269">
        <v>63.96</v>
      </c>
      <c r="F269">
        <v>20130</v>
      </c>
      <c r="G269">
        <v>1287514.8</v>
      </c>
      <c r="H269" s="2144">
        <v>42713</v>
      </c>
      <c r="I269">
        <v>50000</v>
      </c>
    </row>
    <row r="270" spans="1:9" customFormat="1" hidden="1">
      <c r="A270" t="s">
        <v>6794</v>
      </c>
      <c r="B270">
        <v>12</v>
      </c>
      <c r="C270" t="s">
        <v>3142</v>
      </c>
      <c r="D270">
        <v>61</v>
      </c>
      <c r="E270">
        <v>65.180000000000007</v>
      </c>
      <c r="F270">
        <v>22150</v>
      </c>
      <c r="G270">
        <v>1443737.0000000002</v>
      </c>
      <c r="H270" s="2144">
        <v>42713</v>
      </c>
      <c r="I270">
        <v>50000</v>
      </c>
    </row>
    <row r="271" spans="1:9" customFormat="1" hidden="1">
      <c r="A271" t="s">
        <v>6805</v>
      </c>
      <c r="B271">
        <v>12</v>
      </c>
      <c r="C271" t="s">
        <v>3142</v>
      </c>
      <c r="D271">
        <v>77</v>
      </c>
      <c r="E271">
        <v>54.11</v>
      </c>
      <c r="F271">
        <v>20030</v>
      </c>
      <c r="G271">
        <v>1083823.3</v>
      </c>
      <c r="H271" s="2144">
        <v>42713</v>
      </c>
      <c r="I271">
        <v>1079016</v>
      </c>
    </row>
    <row r="272" spans="1:9" customFormat="1" hidden="1">
      <c r="A272" t="s">
        <v>6845</v>
      </c>
      <c r="B272">
        <v>12</v>
      </c>
      <c r="C272" t="s">
        <v>3142</v>
      </c>
      <c r="D272">
        <v>159</v>
      </c>
      <c r="E272">
        <v>85.79</v>
      </c>
      <c r="F272">
        <v>20080</v>
      </c>
      <c r="G272">
        <v>1722663.2000000002</v>
      </c>
      <c r="H272" s="2144">
        <v>42713</v>
      </c>
      <c r="I272">
        <v>1715033</v>
      </c>
    </row>
    <row r="273" spans="1:9" customFormat="1" hidden="1">
      <c r="A273" t="s">
        <v>6874</v>
      </c>
      <c r="B273">
        <v>12</v>
      </c>
      <c r="C273" t="s">
        <v>3142</v>
      </c>
      <c r="D273">
        <v>221</v>
      </c>
      <c r="E273">
        <v>25.39</v>
      </c>
      <c r="F273">
        <v>19000</v>
      </c>
      <c r="G273">
        <v>482410</v>
      </c>
      <c r="H273" s="2144">
        <v>42713</v>
      </c>
      <c r="I273">
        <v>240320</v>
      </c>
    </row>
    <row r="274" spans="1:9" customFormat="1" hidden="1">
      <c r="A274" t="s">
        <v>6323</v>
      </c>
      <c r="B274">
        <v>9</v>
      </c>
      <c r="C274" t="s">
        <v>3142</v>
      </c>
      <c r="D274">
        <v>32</v>
      </c>
      <c r="E274">
        <v>80.510000000000005</v>
      </c>
      <c r="F274">
        <v>18025</v>
      </c>
      <c r="G274">
        <v>1451192.75</v>
      </c>
      <c r="H274" s="2144">
        <v>42703</v>
      </c>
      <c r="I274">
        <v>1451193</v>
      </c>
    </row>
    <row r="275" spans="1:9">
      <c r="A275" s="3386" t="s">
        <v>6601</v>
      </c>
      <c r="B275" s="3386">
        <v>11</v>
      </c>
      <c r="C275" s="3386" t="s">
        <v>3142</v>
      </c>
      <c r="D275" s="3386">
        <v>79</v>
      </c>
      <c r="E275" s="3386">
        <v>25.17</v>
      </c>
      <c r="F275" s="3386">
        <v>16984.72</v>
      </c>
      <c r="G275" s="3386">
        <v>427505.40240000008</v>
      </c>
      <c r="H275" s="3386">
        <v>42694</v>
      </c>
      <c r="I275" s="3386">
        <v>427845</v>
      </c>
    </row>
    <row r="276" spans="1:9" customFormat="1" hidden="1">
      <c r="A276" t="s">
        <v>6800</v>
      </c>
      <c r="B276">
        <v>12</v>
      </c>
      <c r="C276" t="s">
        <v>3142</v>
      </c>
      <c r="D276">
        <v>69</v>
      </c>
      <c r="E276">
        <v>65.489999999999995</v>
      </c>
      <c r="F276">
        <v>18930</v>
      </c>
      <c r="G276">
        <v>1239725.7</v>
      </c>
      <c r="H276" s="2144">
        <v>42678</v>
      </c>
      <c r="I276">
        <v>626129</v>
      </c>
    </row>
    <row r="277" spans="1:9" customFormat="1" hidden="1">
      <c r="A277" t="s">
        <v>6848</v>
      </c>
      <c r="B277">
        <v>12</v>
      </c>
      <c r="C277" t="s">
        <v>3142</v>
      </c>
      <c r="D277">
        <v>163</v>
      </c>
      <c r="E277">
        <v>51.77</v>
      </c>
      <c r="F277">
        <v>18459.09</v>
      </c>
      <c r="G277">
        <v>955627.08930000011</v>
      </c>
      <c r="H277" s="2144">
        <v>42675</v>
      </c>
      <c r="I277">
        <v>951381</v>
      </c>
    </row>
  </sheetData>
  <autoFilter ref="A1:I277">
    <filterColumn colId="1">
      <filters>
        <filter val="11"/>
      </filters>
    </filterColumn>
  </autoFilter>
  <phoneticPr fontId="143" type="noConversion"/>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I135"/>
  <sheetViews>
    <sheetView workbookViewId="0">
      <selection sqref="A1:XFD1048576"/>
    </sheetView>
  </sheetViews>
  <sheetFormatPr defaultRowHeight="13.5"/>
  <cols>
    <col min="1" max="5" width="9" style="3386"/>
    <col min="6" max="7" width="17.875" style="3386" customWidth="1"/>
    <col min="8" max="8" width="13.75" style="3386" customWidth="1"/>
    <col min="9" max="9" width="14.5" style="3386" customWidth="1"/>
    <col min="10" max="16384" width="9" style="3386"/>
  </cols>
  <sheetData>
    <row r="1" spans="1:9">
      <c r="A1" s="3390" t="s">
        <v>3132</v>
      </c>
      <c r="B1" s="3390" t="s">
        <v>3133</v>
      </c>
      <c r="C1" s="3390" t="s">
        <v>3134</v>
      </c>
      <c r="D1" s="3391" t="s">
        <v>3135</v>
      </c>
      <c r="E1" s="3392" t="s">
        <v>3136</v>
      </c>
      <c r="F1" s="3393" t="s">
        <v>3137</v>
      </c>
      <c r="G1" s="3392" t="s">
        <v>3138</v>
      </c>
      <c r="H1" s="3392" t="s">
        <v>3139</v>
      </c>
      <c r="I1" s="3392" t="s">
        <v>3140</v>
      </c>
    </row>
    <row r="2" spans="1:9" customFormat="1" hidden="1">
      <c r="A2" s="2140" t="s">
        <v>6077</v>
      </c>
      <c r="B2" s="2141" t="s">
        <v>3057</v>
      </c>
      <c r="C2" s="2141" t="s">
        <v>3151</v>
      </c>
      <c r="D2" s="2141">
        <v>226</v>
      </c>
      <c r="E2" s="2142">
        <v>72.25</v>
      </c>
      <c r="F2" s="2142">
        <v>13800</v>
      </c>
      <c r="G2" s="2142">
        <v>997050</v>
      </c>
      <c r="H2" s="2143">
        <v>43006</v>
      </c>
      <c r="I2" s="2142">
        <v>997050</v>
      </c>
    </row>
    <row r="3" spans="1:9">
      <c r="A3" s="3395" t="s">
        <v>6909</v>
      </c>
      <c r="B3" s="3396">
        <v>12</v>
      </c>
      <c r="C3" s="3396" t="s">
        <v>3151</v>
      </c>
      <c r="D3" s="3396">
        <v>65</v>
      </c>
      <c r="E3" s="3397">
        <v>97.22</v>
      </c>
      <c r="F3" s="3397">
        <v>12527.54</v>
      </c>
      <c r="G3" s="3397">
        <v>1217927</v>
      </c>
      <c r="H3" s="3395">
        <v>43006</v>
      </c>
      <c r="I3" s="3397">
        <v>1217927</v>
      </c>
    </row>
    <row r="4" spans="1:9">
      <c r="A4" s="3395" t="s">
        <v>7007</v>
      </c>
      <c r="B4" s="3396">
        <v>12</v>
      </c>
      <c r="C4" s="3396" t="s">
        <v>3151</v>
      </c>
      <c r="D4" s="3396">
        <v>190</v>
      </c>
      <c r="E4" s="3397">
        <v>21.11</v>
      </c>
      <c r="F4" s="3397">
        <v>12600</v>
      </c>
      <c r="G4" s="3397">
        <v>265986</v>
      </c>
      <c r="H4" s="3395">
        <v>43006</v>
      </c>
      <c r="I4" s="3397">
        <v>265986</v>
      </c>
    </row>
    <row r="5" spans="1:9" customFormat="1" hidden="1">
      <c r="A5" s="2140" t="s">
        <v>5618</v>
      </c>
      <c r="B5" s="2141" t="s">
        <v>3056</v>
      </c>
      <c r="C5" s="2141" t="s">
        <v>3151</v>
      </c>
      <c r="D5" s="2141">
        <v>155</v>
      </c>
      <c r="E5" s="2142">
        <v>52</v>
      </c>
      <c r="F5" s="2142">
        <v>14080</v>
      </c>
      <c r="G5" s="2142">
        <v>732160</v>
      </c>
      <c r="H5" s="2143">
        <v>43005</v>
      </c>
      <c r="I5" s="2142">
        <v>732160</v>
      </c>
    </row>
    <row r="6" spans="1:9" customFormat="1" hidden="1">
      <c r="A6" s="2140" t="s">
        <v>6658</v>
      </c>
      <c r="B6" s="2141">
        <v>11</v>
      </c>
      <c r="C6" s="2141" t="s">
        <v>3151</v>
      </c>
      <c r="D6" s="2141">
        <v>26</v>
      </c>
      <c r="E6" s="2142">
        <v>47.58</v>
      </c>
      <c r="F6" s="2142">
        <v>14593.905002101725</v>
      </c>
      <c r="G6" s="2142">
        <v>694378</v>
      </c>
      <c r="H6" s="2143">
        <v>43005</v>
      </c>
      <c r="I6" s="2142">
        <v>694378</v>
      </c>
    </row>
    <row r="7" spans="1:9" customFormat="1" hidden="1">
      <c r="A7" s="2140" t="s">
        <v>6659</v>
      </c>
      <c r="B7" s="2141">
        <v>11</v>
      </c>
      <c r="C7" s="2141" t="s">
        <v>3151</v>
      </c>
      <c r="D7" s="2141">
        <v>27</v>
      </c>
      <c r="E7" s="2142">
        <v>47.58</v>
      </c>
      <c r="F7" s="2142">
        <v>14593.905002101725</v>
      </c>
      <c r="G7" s="2142">
        <v>694378</v>
      </c>
      <c r="H7" s="2143">
        <v>43005</v>
      </c>
      <c r="I7" s="2142">
        <v>694378</v>
      </c>
    </row>
    <row r="8" spans="1:9" customFormat="1" hidden="1">
      <c r="A8" s="2140" t="s">
        <v>6666</v>
      </c>
      <c r="B8" s="2141">
        <v>11</v>
      </c>
      <c r="C8" s="2141" t="s">
        <v>3151</v>
      </c>
      <c r="D8" s="2141">
        <v>35</v>
      </c>
      <c r="E8" s="2142">
        <v>46.64</v>
      </c>
      <c r="F8" s="2142">
        <v>11521.612349914236</v>
      </c>
      <c r="G8" s="2142">
        <v>537368</v>
      </c>
      <c r="H8" s="2143">
        <v>43005</v>
      </c>
      <c r="I8" s="2142">
        <v>537368</v>
      </c>
    </row>
    <row r="9" spans="1:9" customFormat="1" hidden="1">
      <c r="A9" s="2140" t="s">
        <v>6667</v>
      </c>
      <c r="B9" s="2141">
        <v>11</v>
      </c>
      <c r="C9" s="2141" t="s">
        <v>3151</v>
      </c>
      <c r="D9" s="2141">
        <v>36</v>
      </c>
      <c r="E9" s="2142">
        <v>46.64</v>
      </c>
      <c r="F9" s="2142">
        <v>11521.612349914236</v>
      </c>
      <c r="G9" s="2142">
        <v>537368</v>
      </c>
      <c r="H9" s="2143">
        <v>43005</v>
      </c>
      <c r="I9" s="2142">
        <v>537368</v>
      </c>
    </row>
    <row r="10" spans="1:9" customFormat="1" hidden="1">
      <c r="A10" s="2140" t="s">
        <v>5632</v>
      </c>
      <c r="B10" s="2141" t="s">
        <v>3056</v>
      </c>
      <c r="C10" s="2141" t="s">
        <v>3151</v>
      </c>
      <c r="D10" s="2141">
        <v>240</v>
      </c>
      <c r="E10" s="2142">
        <v>67.08</v>
      </c>
      <c r="F10" s="2142">
        <v>18800</v>
      </c>
      <c r="G10" s="2142">
        <v>1261104</v>
      </c>
      <c r="H10" s="2143">
        <v>43004</v>
      </c>
      <c r="I10" s="2142">
        <v>1049171</v>
      </c>
    </row>
    <row r="11" spans="1:9">
      <c r="A11" s="3395" t="s">
        <v>6938</v>
      </c>
      <c r="B11" s="3396">
        <v>12</v>
      </c>
      <c r="C11" s="3396" t="s">
        <v>3151</v>
      </c>
      <c r="D11" s="3396">
        <v>116</v>
      </c>
      <c r="E11" s="3397">
        <v>59.56</v>
      </c>
      <c r="F11" s="3397">
        <v>13440</v>
      </c>
      <c r="G11" s="3397">
        <v>800486</v>
      </c>
      <c r="H11" s="3395">
        <v>43004</v>
      </c>
      <c r="I11" s="3397">
        <v>800486</v>
      </c>
    </row>
    <row r="12" spans="1:9" customFormat="1" hidden="1">
      <c r="A12" s="2140" t="s">
        <v>6131</v>
      </c>
      <c r="B12" s="2141" t="s">
        <v>3057</v>
      </c>
      <c r="C12" s="2141" t="s">
        <v>3151</v>
      </c>
      <c r="D12" s="2141">
        <v>448</v>
      </c>
      <c r="E12" s="2142">
        <v>49.92</v>
      </c>
      <c r="F12" s="2142">
        <v>15500</v>
      </c>
      <c r="G12" s="2142">
        <v>773760</v>
      </c>
      <c r="H12" s="2143">
        <v>43003</v>
      </c>
      <c r="I12" s="2142">
        <v>773760</v>
      </c>
    </row>
    <row r="13" spans="1:9" customFormat="1" hidden="1">
      <c r="A13" s="2140" t="s">
        <v>6138</v>
      </c>
      <c r="B13" s="2141" t="s">
        <v>3057</v>
      </c>
      <c r="C13" s="2141" t="s">
        <v>3151</v>
      </c>
      <c r="D13" s="2141">
        <v>482</v>
      </c>
      <c r="E13" s="2142">
        <v>84.42</v>
      </c>
      <c r="F13" s="2142">
        <v>20100</v>
      </c>
      <c r="G13" s="2142">
        <v>1696842</v>
      </c>
      <c r="H13" s="2143">
        <v>43003</v>
      </c>
      <c r="I13" s="2142">
        <v>1696842</v>
      </c>
    </row>
    <row r="14" spans="1:9" customFormat="1" hidden="1">
      <c r="A14" s="2140" t="s">
        <v>6375</v>
      </c>
      <c r="B14" s="2141">
        <v>9</v>
      </c>
      <c r="C14" s="2141" t="s">
        <v>3151</v>
      </c>
      <c r="D14" s="2141">
        <v>12</v>
      </c>
      <c r="E14" s="2142">
        <v>78.59</v>
      </c>
      <c r="F14" s="2142">
        <v>15553</v>
      </c>
      <c r="G14" s="2142">
        <v>1222310</v>
      </c>
      <c r="H14" s="2143">
        <v>43003</v>
      </c>
      <c r="I14" s="2142">
        <v>1222310</v>
      </c>
    </row>
    <row r="15" spans="1:9" customFormat="1" hidden="1">
      <c r="A15" s="2140" t="s">
        <v>6391</v>
      </c>
      <c r="B15" s="2141">
        <v>9</v>
      </c>
      <c r="C15" s="2141" t="s">
        <v>3151</v>
      </c>
      <c r="D15" s="2141">
        <v>55</v>
      </c>
      <c r="E15" s="2142">
        <v>44.97</v>
      </c>
      <c r="F15" s="2142">
        <v>11489.64</v>
      </c>
      <c r="G15" s="2142">
        <v>516689</v>
      </c>
      <c r="H15" s="2143">
        <v>43003</v>
      </c>
      <c r="I15" s="2142">
        <v>516689</v>
      </c>
    </row>
    <row r="16" spans="1:9">
      <c r="A16" s="3395" t="s">
        <v>7031</v>
      </c>
      <c r="B16" s="3396">
        <v>12</v>
      </c>
      <c r="C16" s="3396" t="s">
        <v>3151</v>
      </c>
      <c r="D16" s="3396">
        <v>222</v>
      </c>
      <c r="E16" s="3397">
        <v>42.72</v>
      </c>
      <c r="F16" s="3397">
        <v>14414.2</v>
      </c>
      <c r="G16" s="3397">
        <v>615775</v>
      </c>
      <c r="H16" s="3395">
        <v>43003</v>
      </c>
      <c r="I16" s="3397">
        <v>615775</v>
      </c>
    </row>
    <row r="17" spans="1:9" customFormat="1" hidden="1">
      <c r="A17" s="2140" t="s">
        <v>6677</v>
      </c>
      <c r="B17" s="2141">
        <v>11</v>
      </c>
      <c r="C17" s="2141" t="s">
        <v>3151</v>
      </c>
      <c r="D17" s="2141">
        <v>71</v>
      </c>
      <c r="E17" s="2142">
        <v>12.52</v>
      </c>
      <c r="F17" s="2142">
        <v>17608</v>
      </c>
      <c r="G17" s="2142">
        <v>220452</v>
      </c>
      <c r="H17" s="2143">
        <v>43002</v>
      </c>
      <c r="I17" s="2142">
        <v>220452</v>
      </c>
    </row>
    <row r="18" spans="1:9" customFormat="1" hidden="1">
      <c r="A18" s="2140" t="s">
        <v>6691</v>
      </c>
      <c r="B18" s="2141">
        <v>11</v>
      </c>
      <c r="C18" s="2141" t="s">
        <v>3151</v>
      </c>
      <c r="D18" s="2141">
        <v>123</v>
      </c>
      <c r="E18" s="2142">
        <v>19.989999999999998</v>
      </c>
      <c r="F18" s="2142">
        <v>17800</v>
      </c>
      <c r="G18" s="2142">
        <v>355822</v>
      </c>
      <c r="H18" s="2143">
        <v>43002</v>
      </c>
      <c r="I18" s="2142">
        <v>355822</v>
      </c>
    </row>
    <row r="19" spans="1:9" customFormat="1" hidden="1">
      <c r="A19" s="2140" t="s">
        <v>6709</v>
      </c>
      <c r="B19" s="2141">
        <v>11</v>
      </c>
      <c r="C19" s="2141" t="s">
        <v>3151</v>
      </c>
      <c r="D19" s="2141">
        <v>160</v>
      </c>
      <c r="E19" s="2142">
        <v>46.64</v>
      </c>
      <c r="F19" s="2142">
        <v>14526</v>
      </c>
      <c r="G19" s="2142">
        <v>677493</v>
      </c>
      <c r="H19" s="2143">
        <v>43002</v>
      </c>
      <c r="I19" s="2142">
        <v>677493</v>
      </c>
    </row>
    <row r="20" spans="1:9">
      <c r="A20" s="3395" t="s">
        <v>7059</v>
      </c>
      <c r="B20" s="3396">
        <v>12</v>
      </c>
      <c r="C20" s="3396" t="s">
        <v>3151</v>
      </c>
      <c r="D20" s="3396">
        <v>252</v>
      </c>
      <c r="E20" s="3397">
        <v>94.1</v>
      </c>
      <c r="F20" s="3397" t="s">
        <v>7060</v>
      </c>
      <c r="G20" s="3397">
        <v>1594336</v>
      </c>
      <c r="H20" s="3395">
        <v>43002</v>
      </c>
      <c r="I20" s="3397">
        <v>1594336</v>
      </c>
    </row>
    <row r="21" spans="1:9">
      <c r="A21" s="3395" t="s">
        <v>7069</v>
      </c>
      <c r="B21" s="3396">
        <v>12</v>
      </c>
      <c r="C21" s="3396" t="s">
        <v>3151</v>
      </c>
      <c r="D21" s="3396">
        <v>266</v>
      </c>
      <c r="E21" s="3397">
        <v>79.010000000000005</v>
      </c>
      <c r="F21" s="3397" t="s">
        <v>7070</v>
      </c>
      <c r="G21" s="3397">
        <v>1407105</v>
      </c>
      <c r="H21" s="3395">
        <v>43002</v>
      </c>
      <c r="I21" s="3397">
        <v>1407105</v>
      </c>
    </row>
    <row r="22" spans="1:9">
      <c r="A22" s="3395" t="s">
        <v>6956</v>
      </c>
      <c r="B22" s="3396">
        <v>12</v>
      </c>
      <c r="C22" s="3396" t="s">
        <v>3151</v>
      </c>
      <c r="D22" s="3396">
        <v>136</v>
      </c>
      <c r="E22" s="3397">
        <v>58.71</v>
      </c>
      <c r="F22" s="3397">
        <v>15583.05</v>
      </c>
      <c r="G22" s="3397">
        <v>914881</v>
      </c>
      <c r="H22" s="3395">
        <v>43001</v>
      </c>
      <c r="I22" s="3397">
        <v>914881</v>
      </c>
    </row>
    <row r="23" spans="1:9" customFormat="1" hidden="1">
      <c r="A23" s="2140" t="s">
        <v>5654</v>
      </c>
      <c r="B23" s="2141" t="s">
        <v>3056</v>
      </c>
      <c r="C23" s="2141" t="s">
        <v>3151</v>
      </c>
      <c r="D23" s="2141">
        <v>292</v>
      </c>
      <c r="E23" s="2142">
        <v>43.58</v>
      </c>
      <c r="F23" s="2142">
        <v>14080</v>
      </c>
      <c r="G23" s="2142">
        <v>613606</v>
      </c>
      <c r="H23" s="2143">
        <v>43000</v>
      </c>
      <c r="I23" s="2142">
        <v>613606</v>
      </c>
    </row>
    <row r="24" spans="1:9" customFormat="1" hidden="1">
      <c r="A24" s="2140" t="s">
        <v>5656</v>
      </c>
      <c r="B24" s="2141" t="s">
        <v>3056</v>
      </c>
      <c r="C24" s="2141" t="s">
        <v>3151</v>
      </c>
      <c r="D24" s="2141">
        <v>295</v>
      </c>
      <c r="E24" s="2142">
        <v>44.02</v>
      </c>
      <c r="F24" s="2142">
        <v>12590.6</v>
      </c>
      <c r="G24" s="2142">
        <v>554238</v>
      </c>
      <c r="H24" s="2143">
        <v>43000</v>
      </c>
      <c r="I24" s="2142">
        <v>554238</v>
      </c>
    </row>
    <row r="25" spans="1:9" customFormat="1" hidden="1">
      <c r="A25" s="2140" t="s">
        <v>5671</v>
      </c>
      <c r="B25" s="2141" t="s">
        <v>3056</v>
      </c>
      <c r="C25" s="2141" t="s">
        <v>3151</v>
      </c>
      <c r="D25" s="2141">
        <v>340</v>
      </c>
      <c r="E25" s="2142">
        <v>62.76</v>
      </c>
      <c r="F25" s="2142">
        <v>15578.19</v>
      </c>
      <c r="G25" s="2142">
        <v>977687</v>
      </c>
      <c r="H25" s="2143">
        <v>43000</v>
      </c>
      <c r="I25" s="2142">
        <v>977687</v>
      </c>
    </row>
    <row r="26" spans="1:9" customFormat="1" hidden="1">
      <c r="A26" s="2140" t="s">
        <v>5673</v>
      </c>
      <c r="B26" s="2141" t="s">
        <v>3056</v>
      </c>
      <c r="C26" s="2141" t="s">
        <v>3151</v>
      </c>
      <c r="D26" s="2141">
        <v>342</v>
      </c>
      <c r="E26" s="2142">
        <v>62.76</v>
      </c>
      <c r="F26" s="2142">
        <v>16060</v>
      </c>
      <c r="G26" s="2142">
        <v>1007926</v>
      </c>
      <c r="H26" s="2143">
        <v>43000</v>
      </c>
      <c r="I26" s="2142">
        <v>1007926</v>
      </c>
    </row>
    <row r="27" spans="1:9">
      <c r="A27" s="3395" t="s">
        <v>6944</v>
      </c>
      <c r="B27" s="3396">
        <v>12</v>
      </c>
      <c r="C27" s="3396" t="s">
        <v>3151</v>
      </c>
      <c r="D27" s="3396">
        <v>125</v>
      </c>
      <c r="E27" s="3397">
        <v>91.55</v>
      </c>
      <c r="F27" s="3397">
        <v>11760</v>
      </c>
      <c r="G27" s="3397">
        <v>1076628</v>
      </c>
      <c r="H27" s="3395">
        <v>43000</v>
      </c>
      <c r="I27" s="3397">
        <v>1076628</v>
      </c>
    </row>
    <row r="28" spans="1:9">
      <c r="A28" s="3395" t="s">
        <v>6976</v>
      </c>
      <c r="B28" s="3396">
        <v>12</v>
      </c>
      <c r="C28" s="3396" t="s">
        <v>3151</v>
      </c>
      <c r="D28" s="3396">
        <v>153</v>
      </c>
      <c r="E28" s="3397">
        <v>58.86</v>
      </c>
      <c r="F28" s="3397">
        <v>11235</v>
      </c>
      <c r="G28" s="3397">
        <v>661292</v>
      </c>
      <c r="H28" s="3395">
        <v>43000</v>
      </c>
      <c r="I28" s="3397">
        <v>661292</v>
      </c>
    </row>
    <row r="29" spans="1:9">
      <c r="A29" s="3395" t="s">
        <v>7010</v>
      </c>
      <c r="B29" s="3396">
        <v>12</v>
      </c>
      <c r="C29" s="3396" t="s">
        <v>3151</v>
      </c>
      <c r="D29" s="3396">
        <v>193</v>
      </c>
      <c r="E29" s="3397">
        <v>19.62</v>
      </c>
      <c r="F29" s="3397">
        <v>12600</v>
      </c>
      <c r="G29" s="3397">
        <v>247212</v>
      </c>
      <c r="H29" s="3395">
        <v>43000</v>
      </c>
      <c r="I29" s="3397">
        <v>247212</v>
      </c>
    </row>
    <row r="30" spans="1:9">
      <c r="A30" s="3395" t="s">
        <v>7011</v>
      </c>
      <c r="B30" s="3396">
        <v>12</v>
      </c>
      <c r="C30" s="3396" t="s">
        <v>3151</v>
      </c>
      <c r="D30" s="3396">
        <v>195</v>
      </c>
      <c r="E30" s="3397">
        <v>20.74</v>
      </c>
      <c r="F30" s="3397">
        <v>12600</v>
      </c>
      <c r="G30" s="3397">
        <v>261323.99999999997</v>
      </c>
      <c r="H30" s="3395">
        <v>43000</v>
      </c>
      <c r="I30" s="3397">
        <v>261324</v>
      </c>
    </row>
    <row r="31" spans="1:9" customFormat="1" hidden="1">
      <c r="A31" s="2140" t="s">
        <v>5567</v>
      </c>
      <c r="B31" s="2141" t="s">
        <v>3056</v>
      </c>
      <c r="C31" s="2141" t="s">
        <v>3151</v>
      </c>
      <c r="D31" s="2141">
        <v>57</v>
      </c>
      <c r="E31" s="2142">
        <v>41.5</v>
      </c>
      <c r="F31" s="2142">
        <v>15800</v>
      </c>
      <c r="G31" s="2142">
        <v>655700</v>
      </c>
      <c r="H31" s="2143">
        <v>42999</v>
      </c>
      <c r="I31" s="2142">
        <v>655700</v>
      </c>
    </row>
    <row r="32" spans="1:9" customFormat="1" hidden="1">
      <c r="A32" s="2140" t="s">
        <v>6419</v>
      </c>
      <c r="B32" s="2141">
        <v>9</v>
      </c>
      <c r="C32" s="2141" t="s">
        <v>3151</v>
      </c>
      <c r="D32" s="2141">
        <v>137</v>
      </c>
      <c r="E32" s="2142">
        <v>79.680000000000007</v>
      </c>
      <c r="F32" s="2142">
        <v>12669</v>
      </c>
      <c r="G32" s="2142">
        <v>1009466</v>
      </c>
      <c r="H32" s="2143">
        <v>42999</v>
      </c>
      <c r="I32" s="2142">
        <v>1009466</v>
      </c>
    </row>
    <row r="33" spans="1:9" customFormat="1" hidden="1">
      <c r="A33" s="2140" t="s">
        <v>6424</v>
      </c>
      <c r="B33" s="2141">
        <v>9</v>
      </c>
      <c r="C33" s="2141" t="s">
        <v>3151</v>
      </c>
      <c r="D33" s="2141">
        <v>176</v>
      </c>
      <c r="E33" s="2142">
        <v>43.61</v>
      </c>
      <c r="F33" s="2142">
        <v>11845</v>
      </c>
      <c r="G33" s="2142">
        <v>516560</v>
      </c>
      <c r="H33" s="2143">
        <v>42999</v>
      </c>
      <c r="I33" s="2142">
        <v>516560</v>
      </c>
    </row>
    <row r="34" spans="1:9">
      <c r="A34" s="3395" t="s">
        <v>7002</v>
      </c>
      <c r="B34" s="3396">
        <v>12</v>
      </c>
      <c r="C34" s="3396" t="s">
        <v>3151</v>
      </c>
      <c r="D34" s="3396">
        <v>185</v>
      </c>
      <c r="E34" s="3397">
        <v>35.65</v>
      </c>
      <c r="F34" s="3397">
        <v>17000</v>
      </c>
      <c r="G34" s="3397">
        <v>606050</v>
      </c>
      <c r="H34" s="3395">
        <v>42999</v>
      </c>
      <c r="I34" s="3397">
        <v>606050</v>
      </c>
    </row>
    <row r="35" spans="1:9" customFormat="1" hidden="1">
      <c r="A35" s="2140" t="s">
        <v>6054</v>
      </c>
      <c r="B35" s="2141" t="s">
        <v>3057</v>
      </c>
      <c r="C35" s="2141" t="s">
        <v>3151</v>
      </c>
      <c r="D35" s="2141">
        <v>160</v>
      </c>
      <c r="E35" s="2142">
        <v>70.45</v>
      </c>
      <c r="F35" s="2142">
        <v>16600</v>
      </c>
      <c r="G35" s="2142">
        <v>1169470</v>
      </c>
      <c r="H35" s="2143">
        <v>42998</v>
      </c>
      <c r="I35" s="2142">
        <v>1169470</v>
      </c>
    </row>
    <row r="36" spans="1:9" customFormat="1" hidden="1">
      <c r="A36" s="2140" t="s">
        <v>6061</v>
      </c>
      <c r="B36" s="2141" t="s">
        <v>3057</v>
      </c>
      <c r="C36" s="2141" t="s">
        <v>3151</v>
      </c>
      <c r="D36" s="2141">
        <v>177</v>
      </c>
      <c r="E36" s="2142">
        <v>46.1</v>
      </c>
      <c r="F36" s="2142">
        <v>12800</v>
      </c>
      <c r="G36" s="2142">
        <v>590080</v>
      </c>
      <c r="H36" s="2143">
        <v>42998</v>
      </c>
      <c r="I36" s="2142">
        <v>590080</v>
      </c>
    </row>
    <row r="37" spans="1:9" customFormat="1" hidden="1">
      <c r="A37" s="2140" t="s">
        <v>6066</v>
      </c>
      <c r="B37" s="2141" t="s">
        <v>3057</v>
      </c>
      <c r="C37" s="2141" t="s">
        <v>3151</v>
      </c>
      <c r="D37" s="2141">
        <v>182</v>
      </c>
      <c r="E37" s="2142">
        <v>70.78</v>
      </c>
      <c r="F37" s="2142">
        <v>15800</v>
      </c>
      <c r="G37" s="2142">
        <v>1118324</v>
      </c>
      <c r="H37" s="2143">
        <v>42998</v>
      </c>
      <c r="I37" s="2142">
        <v>1118324</v>
      </c>
    </row>
    <row r="38" spans="1:9" customFormat="1" hidden="1">
      <c r="A38" s="2140" t="s">
        <v>6411</v>
      </c>
      <c r="B38" s="2141">
        <v>9</v>
      </c>
      <c r="C38" s="2141" t="s">
        <v>3151</v>
      </c>
      <c r="D38" s="2141">
        <v>102</v>
      </c>
      <c r="E38" s="2142">
        <v>96.63</v>
      </c>
      <c r="F38" s="2142">
        <v>11845</v>
      </c>
      <c r="G38" s="2142">
        <v>1144582</v>
      </c>
      <c r="H38" s="2143">
        <v>42998</v>
      </c>
      <c r="I38" s="2142">
        <v>1144582</v>
      </c>
    </row>
    <row r="39" spans="1:9" customFormat="1" hidden="1">
      <c r="A39" s="2140" t="s">
        <v>6115</v>
      </c>
      <c r="B39" s="2141" t="s">
        <v>3057</v>
      </c>
      <c r="C39" s="2141" t="s">
        <v>3151</v>
      </c>
      <c r="D39" s="2141">
        <v>417</v>
      </c>
      <c r="E39" s="2142">
        <v>45.45</v>
      </c>
      <c r="F39" s="2142">
        <v>12800</v>
      </c>
      <c r="G39" s="2142">
        <v>581760</v>
      </c>
      <c r="H39" s="2143">
        <v>42996</v>
      </c>
      <c r="I39" s="2142">
        <v>291760</v>
      </c>
    </row>
    <row r="40" spans="1:9" customFormat="1" hidden="1">
      <c r="A40" s="2140" t="s">
        <v>6121</v>
      </c>
      <c r="B40" s="2141" t="s">
        <v>3057</v>
      </c>
      <c r="C40" s="2141" t="s">
        <v>3151</v>
      </c>
      <c r="D40" s="2141">
        <v>430</v>
      </c>
      <c r="E40" s="2142">
        <v>65.92</v>
      </c>
      <c r="F40" s="2142">
        <v>16102</v>
      </c>
      <c r="G40" s="2142">
        <v>1061444</v>
      </c>
      <c r="H40" s="2143">
        <v>42996</v>
      </c>
      <c r="I40" s="2142">
        <v>1061444</v>
      </c>
    </row>
    <row r="41" spans="1:9" customFormat="1" hidden="1">
      <c r="A41" s="2140" t="s">
        <v>6128</v>
      </c>
      <c r="B41" s="2141" t="s">
        <v>3057</v>
      </c>
      <c r="C41" s="2141" t="s">
        <v>3151</v>
      </c>
      <c r="D41" s="2141">
        <v>438</v>
      </c>
      <c r="E41" s="2142">
        <v>70.45</v>
      </c>
      <c r="F41" s="2142">
        <v>16600</v>
      </c>
      <c r="G41" s="2142">
        <v>1169470</v>
      </c>
      <c r="H41" s="2143">
        <v>42996</v>
      </c>
      <c r="I41" s="2142">
        <v>589470</v>
      </c>
    </row>
    <row r="42" spans="1:9">
      <c r="A42" s="3395" t="s">
        <v>6980</v>
      </c>
      <c r="B42" s="3396">
        <v>12</v>
      </c>
      <c r="C42" s="3396" t="s">
        <v>3151</v>
      </c>
      <c r="D42" s="3396">
        <v>159</v>
      </c>
      <c r="E42" s="3397">
        <v>62.78</v>
      </c>
      <c r="F42" s="3397">
        <v>12222</v>
      </c>
      <c r="G42" s="3397">
        <v>767297</v>
      </c>
      <c r="H42" s="3395">
        <v>42996</v>
      </c>
      <c r="I42" s="3397">
        <v>767297</v>
      </c>
    </row>
    <row r="43" spans="1:9" customFormat="1" hidden="1">
      <c r="A43" s="2140" t="s">
        <v>5623</v>
      </c>
      <c r="B43" s="2141" t="s">
        <v>3056</v>
      </c>
      <c r="C43" s="2141" t="s">
        <v>3151</v>
      </c>
      <c r="D43" s="2141">
        <v>162</v>
      </c>
      <c r="E43" s="2142">
        <v>56.21</v>
      </c>
      <c r="F43" s="2142">
        <v>14080</v>
      </c>
      <c r="G43" s="2142">
        <v>791437</v>
      </c>
      <c r="H43" s="2143">
        <v>42995</v>
      </c>
      <c r="I43" s="2142">
        <v>791437</v>
      </c>
    </row>
    <row r="44" spans="1:9" customFormat="1" hidden="1">
      <c r="A44" s="2140" t="s">
        <v>5652</v>
      </c>
      <c r="B44" s="2141" t="s">
        <v>3056</v>
      </c>
      <c r="C44" s="2141" t="s">
        <v>3151</v>
      </c>
      <c r="D44" s="2141">
        <v>289</v>
      </c>
      <c r="E44" s="2142">
        <v>85.69</v>
      </c>
      <c r="F44" s="2142">
        <v>19774</v>
      </c>
      <c r="G44" s="2142">
        <v>1694434</v>
      </c>
      <c r="H44" s="2143">
        <v>42995</v>
      </c>
      <c r="I44" s="2142">
        <v>1694434</v>
      </c>
    </row>
    <row r="45" spans="1:9">
      <c r="A45" s="3395" t="s">
        <v>6960</v>
      </c>
      <c r="B45" s="3396">
        <v>12</v>
      </c>
      <c r="C45" s="3396" t="s">
        <v>3151</v>
      </c>
      <c r="D45" s="3396">
        <v>140</v>
      </c>
      <c r="E45" s="3397">
        <v>40.26</v>
      </c>
      <c r="F45" s="3397">
        <v>14926</v>
      </c>
      <c r="G45" s="3397">
        <v>600921</v>
      </c>
      <c r="H45" s="3395">
        <v>42995</v>
      </c>
      <c r="I45" s="3397">
        <v>600921</v>
      </c>
    </row>
    <row r="46" spans="1:9" customFormat="1" hidden="1">
      <c r="A46" s="2140" t="s">
        <v>6387</v>
      </c>
      <c r="B46" s="2141">
        <v>9</v>
      </c>
      <c r="C46" s="2141" t="s">
        <v>3151</v>
      </c>
      <c r="D46" s="2141">
        <v>43</v>
      </c>
      <c r="E46" s="2142">
        <v>44.97</v>
      </c>
      <c r="F46" s="2142">
        <v>11845</v>
      </c>
      <c r="G46" s="2142">
        <v>532670</v>
      </c>
      <c r="H46" s="2143">
        <v>42994</v>
      </c>
      <c r="I46" s="2142">
        <v>532670</v>
      </c>
    </row>
    <row r="47" spans="1:9" customFormat="1" hidden="1">
      <c r="A47" s="2140" t="s">
        <v>6388</v>
      </c>
      <c r="B47" s="2141">
        <v>9</v>
      </c>
      <c r="C47" s="2141" t="s">
        <v>3151</v>
      </c>
      <c r="D47" s="2141">
        <v>45</v>
      </c>
      <c r="E47" s="2142">
        <v>42.93</v>
      </c>
      <c r="F47" s="2142">
        <v>11021</v>
      </c>
      <c r="G47" s="2142">
        <v>473132</v>
      </c>
      <c r="H47" s="2143">
        <v>42994</v>
      </c>
      <c r="I47" s="2142">
        <v>473132</v>
      </c>
    </row>
    <row r="48" spans="1:9">
      <c r="A48" s="3395" t="s">
        <v>7038</v>
      </c>
      <c r="B48" s="3396">
        <v>12</v>
      </c>
      <c r="C48" s="3396" t="s">
        <v>3151</v>
      </c>
      <c r="D48" s="3396">
        <v>228</v>
      </c>
      <c r="E48" s="3397">
        <v>18.600000000000001</v>
      </c>
      <c r="F48" s="3397">
        <v>13036.81</v>
      </c>
      <c r="G48" s="3397">
        <v>242485</v>
      </c>
      <c r="H48" s="3395">
        <v>42994</v>
      </c>
      <c r="I48" s="3397">
        <v>242485</v>
      </c>
    </row>
    <row r="49" spans="1:9" customFormat="1" hidden="1">
      <c r="A49" s="2140" t="s">
        <v>6106</v>
      </c>
      <c r="B49" s="2141" t="s">
        <v>3057</v>
      </c>
      <c r="C49" s="2141" t="s">
        <v>3151</v>
      </c>
      <c r="D49" s="2141">
        <v>400</v>
      </c>
      <c r="E49" s="2142">
        <v>64.23</v>
      </c>
      <c r="F49" s="2142">
        <v>15800</v>
      </c>
      <c r="G49" s="2142">
        <v>1014834.0000000001</v>
      </c>
      <c r="H49" s="2143">
        <v>42993</v>
      </c>
      <c r="I49" s="2142">
        <v>1014834</v>
      </c>
    </row>
    <row r="50" spans="1:9" customFormat="1" hidden="1">
      <c r="A50" s="2140" t="s">
        <v>6107</v>
      </c>
      <c r="B50" s="2141" t="s">
        <v>3057</v>
      </c>
      <c r="C50" s="2141" t="s">
        <v>3151</v>
      </c>
      <c r="D50" s="2141">
        <v>401</v>
      </c>
      <c r="E50" s="2142">
        <v>124.94</v>
      </c>
      <c r="F50" s="2142">
        <v>10800</v>
      </c>
      <c r="G50" s="2142">
        <v>1349352</v>
      </c>
      <c r="H50" s="2143">
        <v>42993</v>
      </c>
      <c r="I50" s="2142">
        <v>1349352</v>
      </c>
    </row>
    <row r="51" spans="1:9">
      <c r="A51" s="3395" t="s">
        <v>6913</v>
      </c>
      <c r="B51" s="3396">
        <v>12</v>
      </c>
      <c r="C51" s="3396" t="s">
        <v>3151</v>
      </c>
      <c r="D51" s="3396">
        <v>70</v>
      </c>
      <c r="E51" s="3397">
        <v>32.880000000000003</v>
      </c>
      <c r="F51" s="3397">
        <v>15175.67</v>
      </c>
      <c r="G51" s="3397">
        <v>498976</v>
      </c>
      <c r="H51" s="3395">
        <v>42992</v>
      </c>
      <c r="I51" s="3397">
        <v>498976</v>
      </c>
    </row>
    <row r="52" spans="1:9">
      <c r="A52" s="3395" t="s">
        <v>7008</v>
      </c>
      <c r="B52" s="3396">
        <v>12</v>
      </c>
      <c r="C52" s="3396" t="s">
        <v>3151</v>
      </c>
      <c r="D52" s="3396">
        <v>191</v>
      </c>
      <c r="E52" s="3397">
        <v>18.87</v>
      </c>
      <c r="F52" s="3397">
        <v>12600</v>
      </c>
      <c r="G52" s="3397">
        <v>237762</v>
      </c>
      <c r="H52" s="3395">
        <v>42991</v>
      </c>
      <c r="I52" s="3397">
        <v>237762</v>
      </c>
    </row>
    <row r="53" spans="1:9">
      <c r="A53" s="3395" t="s">
        <v>7009</v>
      </c>
      <c r="B53" s="3396">
        <v>12</v>
      </c>
      <c r="C53" s="3396" t="s">
        <v>3151</v>
      </c>
      <c r="D53" s="3396">
        <v>192</v>
      </c>
      <c r="E53" s="3397">
        <v>19.62</v>
      </c>
      <c r="F53" s="3397">
        <v>12600</v>
      </c>
      <c r="G53" s="3397">
        <v>247212</v>
      </c>
      <c r="H53" s="3395">
        <v>42991</v>
      </c>
      <c r="I53" s="3397">
        <v>247212</v>
      </c>
    </row>
    <row r="54" spans="1:9" customFormat="1" hidden="1">
      <c r="A54" s="2140" t="s">
        <v>6417</v>
      </c>
      <c r="B54" s="2141">
        <v>9</v>
      </c>
      <c r="C54" s="2141" t="s">
        <v>3151</v>
      </c>
      <c r="D54" s="2141">
        <v>131</v>
      </c>
      <c r="E54" s="2142">
        <v>150.25</v>
      </c>
      <c r="F54" s="2142">
        <v>15200</v>
      </c>
      <c r="G54" s="2142">
        <v>2283800</v>
      </c>
      <c r="H54" s="2143">
        <v>42990</v>
      </c>
      <c r="I54" s="2142">
        <v>2283800</v>
      </c>
    </row>
    <row r="55" spans="1:9" customFormat="1" hidden="1">
      <c r="A55" s="2140" t="s">
        <v>6418</v>
      </c>
      <c r="B55" s="2141">
        <v>9</v>
      </c>
      <c r="C55" s="2141" t="s">
        <v>3151</v>
      </c>
      <c r="D55" s="2141">
        <v>132</v>
      </c>
      <c r="E55" s="2142">
        <v>79.69</v>
      </c>
      <c r="F55" s="2142">
        <v>11931.002899999999</v>
      </c>
      <c r="G55" s="2142">
        <v>950781</v>
      </c>
      <c r="H55" s="2143">
        <v>42990</v>
      </c>
      <c r="I55" s="2142">
        <v>950781</v>
      </c>
    </row>
    <row r="56" spans="1:9" customFormat="1" hidden="1">
      <c r="A56" s="2140" t="s">
        <v>6425</v>
      </c>
      <c r="B56" s="2141">
        <v>9</v>
      </c>
      <c r="C56" s="2141" t="s">
        <v>3151</v>
      </c>
      <c r="D56" s="2141">
        <v>180</v>
      </c>
      <c r="E56" s="2142">
        <v>43.61</v>
      </c>
      <c r="F56" s="2142">
        <v>11155</v>
      </c>
      <c r="G56" s="2142">
        <v>486470</v>
      </c>
      <c r="H56" s="2143">
        <v>42990</v>
      </c>
      <c r="I56" s="2142">
        <v>486470</v>
      </c>
    </row>
    <row r="57" spans="1:9" customFormat="1" hidden="1">
      <c r="A57" s="2140" t="s">
        <v>6426</v>
      </c>
      <c r="B57" s="2141">
        <v>9</v>
      </c>
      <c r="C57" s="2141" t="s">
        <v>3151</v>
      </c>
      <c r="D57" s="2141">
        <v>181</v>
      </c>
      <c r="E57" s="2142">
        <v>77</v>
      </c>
      <c r="F57" s="2142">
        <v>14725.0065</v>
      </c>
      <c r="G57" s="2142">
        <v>1133825</v>
      </c>
      <c r="H57" s="2143">
        <v>42990</v>
      </c>
      <c r="I57" s="2142">
        <v>1133825</v>
      </c>
    </row>
    <row r="58" spans="1:9">
      <c r="A58" s="3395" t="s">
        <v>6924</v>
      </c>
      <c r="B58" s="3396">
        <v>12</v>
      </c>
      <c r="C58" s="3396" t="s">
        <v>3151</v>
      </c>
      <c r="D58" s="3396">
        <v>97</v>
      </c>
      <c r="E58" s="3397">
        <v>86.5</v>
      </c>
      <c r="F58" s="3397">
        <v>15200</v>
      </c>
      <c r="G58" s="3397">
        <v>1314800</v>
      </c>
      <c r="H58" s="3395">
        <v>42990</v>
      </c>
      <c r="I58" s="3397">
        <v>1314800</v>
      </c>
    </row>
    <row r="59" spans="1:9">
      <c r="A59" s="3395" t="s">
        <v>6951</v>
      </c>
      <c r="B59" s="3396">
        <v>12</v>
      </c>
      <c r="C59" s="3396" t="s">
        <v>3151</v>
      </c>
      <c r="D59" s="3396">
        <v>131</v>
      </c>
      <c r="E59" s="3397">
        <v>59.86</v>
      </c>
      <c r="F59" s="3397">
        <v>13305.6</v>
      </c>
      <c r="G59" s="3397">
        <v>796473</v>
      </c>
      <c r="H59" s="3395">
        <v>42990</v>
      </c>
      <c r="I59" s="3397">
        <v>796473</v>
      </c>
    </row>
    <row r="60" spans="1:9">
      <c r="A60" s="3395" t="s">
        <v>6984</v>
      </c>
      <c r="B60" s="3396">
        <v>12</v>
      </c>
      <c r="C60" s="3396" t="s">
        <v>3151</v>
      </c>
      <c r="D60" s="3396">
        <v>163</v>
      </c>
      <c r="E60" s="3397">
        <v>21.49</v>
      </c>
      <c r="F60" s="3397">
        <v>18300</v>
      </c>
      <c r="G60" s="3397">
        <v>393267</v>
      </c>
      <c r="H60" s="3395">
        <v>42990</v>
      </c>
      <c r="I60" s="3397">
        <v>393267</v>
      </c>
    </row>
    <row r="61" spans="1:9">
      <c r="A61" s="3395" t="s">
        <v>7001</v>
      </c>
      <c r="B61" s="3396">
        <v>12</v>
      </c>
      <c r="C61" s="3396" t="s">
        <v>3151</v>
      </c>
      <c r="D61" s="3396">
        <v>183</v>
      </c>
      <c r="E61" s="3397">
        <v>36.06</v>
      </c>
      <c r="F61" s="3397">
        <v>14283.26</v>
      </c>
      <c r="G61" s="3397">
        <v>515054</v>
      </c>
      <c r="H61" s="3395">
        <v>42990</v>
      </c>
      <c r="I61" s="3397">
        <v>515054</v>
      </c>
    </row>
    <row r="62" spans="1:9" customFormat="1" hidden="1">
      <c r="A62" s="2140" t="s">
        <v>5571</v>
      </c>
      <c r="B62" s="2141" t="s">
        <v>3056</v>
      </c>
      <c r="C62" s="2141" t="s">
        <v>3151</v>
      </c>
      <c r="D62" s="2141">
        <v>61</v>
      </c>
      <c r="E62" s="2142">
        <v>31.34</v>
      </c>
      <c r="F62" s="2142">
        <v>15730.01</v>
      </c>
      <c r="G62" s="2142">
        <v>492978</v>
      </c>
      <c r="H62" s="2143">
        <v>42988</v>
      </c>
      <c r="I62" s="2142">
        <v>492978</v>
      </c>
    </row>
    <row r="63" spans="1:9" customFormat="1" hidden="1">
      <c r="A63" s="2140" t="s">
        <v>5572</v>
      </c>
      <c r="B63" s="2141" t="s">
        <v>3056</v>
      </c>
      <c r="C63" s="2141" t="s">
        <v>3151</v>
      </c>
      <c r="D63" s="2141">
        <v>63</v>
      </c>
      <c r="E63" s="2142">
        <v>38.380000000000003</v>
      </c>
      <c r="F63" s="2142">
        <v>14563.95</v>
      </c>
      <c r="G63" s="2142">
        <v>558964</v>
      </c>
      <c r="H63" s="2143">
        <v>42988</v>
      </c>
      <c r="I63" s="2142">
        <v>558964</v>
      </c>
    </row>
    <row r="64" spans="1:9" customFormat="1" hidden="1">
      <c r="A64" s="2140" t="s">
        <v>5589</v>
      </c>
      <c r="B64" s="2141" t="s">
        <v>3056</v>
      </c>
      <c r="C64" s="2141" t="s">
        <v>3151</v>
      </c>
      <c r="D64" s="2141">
        <v>92</v>
      </c>
      <c r="E64" s="2142">
        <v>55.5</v>
      </c>
      <c r="F64" s="2142">
        <v>12800</v>
      </c>
      <c r="G64" s="2142">
        <v>710400</v>
      </c>
      <c r="H64" s="2143">
        <v>42988</v>
      </c>
      <c r="I64" s="2142">
        <v>710400</v>
      </c>
    </row>
    <row r="65" spans="1:9" customFormat="1" hidden="1">
      <c r="A65" s="2140" t="s">
        <v>5592</v>
      </c>
      <c r="B65" s="2141" t="s">
        <v>3056</v>
      </c>
      <c r="C65" s="2141" t="s">
        <v>3151</v>
      </c>
      <c r="D65" s="2141">
        <v>102</v>
      </c>
      <c r="E65" s="2142">
        <v>52.41</v>
      </c>
      <c r="F65" s="2142">
        <v>15730</v>
      </c>
      <c r="G65" s="2142">
        <v>824409</v>
      </c>
      <c r="H65" s="2143">
        <v>42988</v>
      </c>
      <c r="I65" s="2142">
        <v>824409</v>
      </c>
    </row>
    <row r="66" spans="1:9" customFormat="1" hidden="1">
      <c r="A66" s="2140" t="s">
        <v>5593</v>
      </c>
      <c r="B66" s="2141" t="s">
        <v>3056</v>
      </c>
      <c r="C66" s="2141" t="s">
        <v>3151</v>
      </c>
      <c r="D66" s="2141">
        <v>103</v>
      </c>
      <c r="E66" s="2142">
        <v>52.41</v>
      </c>
      <c r="F66" s="2142">
        <v>15730</v>
      </c>
      <c r="G66" s="2142">
        <v>824409</v>
      </c>
      <c r="H66" s="2143">
        <v>42988</v>
      </c>
      <c r="I66" s="2142">
        <v>824409</v>
      </c>
    </row>
    <row r="67" spans="1:9" customFormat="1" hidden="1">
      <c r="A67" s="2140" t="s">
        <v>5617</v>
      </c>
      <c r="B67" s="2141" t="s">
        <v>3056</v>
      </c>
      <c r="C67" s="2141" t="s">
        <v>3151</v>
      </c>
      <c r="D67" s="2141">
        <v>152</v>
      </c>
      <c r="E67" s="2142">
        <v>50.45</v>
      </c>
      <c r="F67" s="2142">
        <v>15488</v>
      </c>
      <c r="G67" s="2142">
        <v>781370</v>
      </c>
      <c r="H67" s="2143">
        <v>42988</v>
      </c>
      <c r="I67" s="2142">
        <v>781370</v>
      </c>
    </row>
    <row r="68" spans="1:9" customFormat="1" hidden="1">
      <c r="A68" s="2140" t="s">
        <v>6071</v>
      </c>
      <c r="B68" s="2141" t="s">
        <v>3057</v>
      </c>
      <c r="C68" s="2141" t="s">
        <v>3151</v>
      </c>
      <c r="D68" s="2141">
        <v>189</v>
      </c>
      <c r="E68" s="2142">
        <v>99.33</v>
      </c>
      <c r="F68" s="2142">
        <v>15800</v>
      </c>
      <c r="G68" s="2142">
        <v>1569414</v>
      </c>
      <c r="H68" s="2143">
        <v>42988</v>
      </c>
      <c r="I68" s="2142">
        <v>1569414</v>
      </c>
    </row>
    <row r="69" spans="1:9" customFormat="1" hidden="1">
      <c r="A69" s="2140" t="s">
        <v>6696</v>
      </c>
      <c r="B69" s="2141">
        <v>11</v>
      </c>
      <c r="C69" s="2141" t="s">
        <v>3151</v>
      </c>
      <c r="D69" s="2141">
        <v>140</v>
      </c>
      <c r="E69" s="2142">
        <v>38.770000000000003</v>
      </c>
      <c r="F69" s="2142">
        <v>11330</v>
      </c>
      <c r="G69" s="2142">
        <v>439264</v>
      </c>
      <c r="H69" s="2143">
        <v>42988</v>
      </c>
      <c r="I69" s="2142">
        <v>439264</v>
      </c>
    </row>
    <row r="70" spans="1:9" customFormat="1" hidden="1">
      <c r="A70" s="2140" t="s">
        <v>6697</v>
      </c>
      <c r="B70" s="2141">
        <v>11</v>
      </c>
      <c r="C70" s="2141" t="s">
        <v>3151</v>
      </c>
      <c r="D70" s="2141">
        <v>141</v>
      </c>
      <c r="E70" s="2142">
        <v>38.770000000000003</v>
      </c>
      <c r="F70" s="2142">
        <v>11330</v>
      </c>
      <c r="G70" s="2142">
        <v>439264</v>
      </c>
      <c r="H70" s="2143">
        <v>42988</v>
      </c>
      <c r="I70" s="2142">
        <v>439264</v>
      </c>
    </row>
    <row r="71" spans="1:9">
      <c r="A71" s="3395" t="s">
        <v>6965</v>
      </c>
      <c r="B71" s="3396">
        <v>12</v>
      </c>
      <c r="C71" s="3396" t="s">
        <v>3151</v>
      </c>
      <c r="D71" s="3396">
        <v>143</v>
      </c>
      <c r="E71" s="3397">
        <v>61.04</v>
      </c>
      <c r="F71" s="3397" t="s">
        <v>6966</v>
      </c>
      <c r="G71" s="3397">
        <v>1102688</v>
      </c>
      <c r="H71" s="3395">
        <v>42988</v>
      </c>
      <c r="I71" s="3397">
        <v>1102688</v>
      </c>
    </row>
    <row r="72" spans="1:9" customFormat="1" hidden="1">
      <c r="A72" s="2140" t="s">
        <v>5585</v>
      </c>
      <c r="B72" s="2141" t="s">
        <v>3056</v>
      </c>
      <c r="C72" s="2141" t="s">
        <v>3151</v>
      </c>
      <c r="D72" s="2141">
        <v>87</v>
      </c>
      <c r="E72" s="2142">
        <v>62.34</v>
      </c>
      <c r="F72" s="2142">
        <v>18779.2</v>
      </c>
      <c r="G72" s="2142">
        <v>1170695</v>
      </c>
      <c r="H72" s="2143">
        <v>42987</v>
      </c>
      <c r="I72" s="2142">
        <v>1170695</v>
      </c>
    </row>
    <row r="73" spans="1:9" customFormat="1" hidden="1">
      <c r="A73" s="2140" t="s">
        <v>5590</v>
      </c>
      <c r="B73" s="2141" t="s">
        <v>3056</v>
      </c>
      <c r="C73" s="2141" t="s">
        <v>3151</v>
      </c>
      <c r="D73" s="2141">
        <v>95</v>
      </c>
      <c r="E73" s="2142">
        <v>32.9</v>
      </c>
      <c r="F73" s="2142">
        <v>16858.599999999999</v>
      </c>
      <c r="G73" s="2142">
        <v>554648</v>
      </c>
      <c r="H73" s="2143">
        <v>42987</v>
      </c>
      <c r="I73" s="2142">
        <v>554648</v>
      </c>
    </row>
    <row r="74" spans="1:9" customFormat="1" hidden="1">
      <c r="A74" s="2140" t="s">
        <v>6423</v>
      </c>
      <c r="B74" s="2141">
        <v>9</v>
      </c>
      <c r="C74" s="2141" t="s">
        <v>3151</v>
      </c>
      <c r="D74" s="2141">
        <v>173</v>
      </c>
      <c r="E74" s="2142">
        <v>40.97</v>
      </c>
      <c r="F74" s="2142">
        <v>11489.65</v>
      </c>
      <c r="G74" s="2142">
        <v>470731</v>
      </c>
      <c r="H74" s="2143">
        <v>42987</v>
      </c>
      <c r="I74" s="2142">
        <v>470731</v>
      </c>
    </row>
    <row r="75" spans="1:9" customFormat="1" hidden="1">
      <c r="A75" s="2140" t="s">
        <v>6432</v>
      </c>
      <c r="B75" s="2141">
        <v>9</v>
      </c>
      <c r="C75" s="2141" t="s">
        <v>3151</v>
      </c>
      <c r="D75" s="2141">
        <v>219</v>
      </c>
      <c r="E75" s="2142">
        <v>117.5</v>
      </c>
      <c r="F75" s="2142">
        <v>15244</v>
      </c>
      <c r="G75" s="2142">
        <v>1791170</v>
      </c>
      <c r="H75" s="2143">
        <v>42987</v>
      </c>
      <c r="I75" s="2142">
        <v>1791170</v>
      </c>
    </row>
    <row r="76" spans="1:9" customFormat="1" hidden="1">
      <c r="A76" s="2140" t="s">
        <v>6433</v>
      </c>
      <c r="B76" s="2141">
        <v>9</v>
      </c>
      <c r="C76" s="2141" t="s">
        <v>3151</v>
      </c>
      <c r="D76" s="2141">
        <v>220</v>
      </c>
      <c r="E76" s="2142">
        <v>117.5</v>
      </c>
      <c r="F76" s="2142">
        <v>15244</v>
      </c>
      <c r="G76" s="2142">
        <v>1791170</v>
      </c>
      <c r="H76" s="2143">
        <v>42987</v>
      </c>
      <c r="I76" s="2142">
        <v>1791170</v>
      </c>
    </row>
    <row r="77" spans="1:9" customFormat="1" hidden="1">
      <c r="A77" s="2140" t="s">
        <v>6678</v>
      </c>
      <c r="B77" s="2141">
        <v>11</v>
      </c>
      <c r="C77" s="2141" t="s">
        <v>3151</v>
      </c>
      <c r="D77" s="2141">
        <v>77</v>
      </c>
      <c r="E77" s="2142">
        <v>21.5</v>
      </c>
      <c r="F77" s="2142">
        <v>10490.56</v>
      </c>
      <c r="G77" s="2142">
        <v>225547</v>
      </c>
      <c r="H77" s="2143">
        <v>42987</v>
      </c>
      <c r="I77" s="2142">
        <v>225547</v>
      </c>
    </row>
    <row r="78" spans="1:9" customFormat="1" hidden="1">
      <c r="A78" s="2140" t="s">
        <v>5614</v>
      </c>
      <c r="B78" s="2141" t="s">
        <v>3056</v>
      </c>
      <c r="C78" s="2141" t="s">
        <v>3151</v>
      </c>
      <c r="D78" s="2141">
        <v>146</v>
      </c>
      <c r="E78" s="2142">
        <v>75.31</v>
      </c>
      <c r="F78" s="2142">
        <v>16413</v>
      </c>
      <c r="G78" s="2142">
        <v>1236063</v>
      </c>
      <c r="H78" s="2143">
        <v>42986</v>
      </c>
      <c r="I78" s="2142">
        <v>1236063</v>
      </c>
    </row>
    <row r="79" spans="1:9" customFormat="1" hidden="1">
      <c r="A79" s="2140" t="s">
        <v>5615</v>
      </c>
      <c r="B79" s="2141" t="s">
        <v>3056</v>
      </c>
      <c r="C79" s="2141" t="s">
        <v>3151</v>
      </c>
      <c r="D79" s="2141">
        <v>147</v>
      </c>
      <c r="E79" s="2142">
        <v>75.319999999999993</v>
      </c>
      <c r="F79" s="2142">
        <v>16413</v>
      </c>
      <c r="G79" s="2142">
        <v>1236227</v>
      </c>
      <c r="H79" s="2143">
        <v>42986</v>
      </c>
      <c r="I79" s="2142">
        <v>1236227</v>
      </c>
    </row>
    <row r="80" spans="1:9" customFormat="1" hidden="1">
      <c r="A80" s="2140" t="s">
        <v>5672</v>
      </c>
      <c r="B80" s="2141" t="s">
        <v>3056</v>
      </c>
      <c r="C80" s="2141" t="s">
        <v>3151</v>
      </c>
      <c r="D80" s="2141">
        <v>341</v>
      </c>
      <c r="E80" s="2142">
        <v>62.76</v>
      </c>
      <c r="F80" s="2142">
        <v>16060</v>
      </c>
      <c r="G80" s="2142">
        <v>1007926</v>
      </c>
      <c r="H80" s="2143">
        <v>42986</v>
      </c>
      <c r="I80" s="2142">
        <v>1007926</v>
      </c>
    </row>
    <row r="81" spans="1:9">
      <c r="A81" s="3395" t="s">
        <v>6927</v>
      </c>
      <c r="B81" s="3396">
        <v>12</v>
      </c>
      <c r="C81" s="3396" t="s">
        <v>3151</v>
      </c>
      <c r="D81" s="3396">
        <v>102</v>
      </c>
      <c r="E81" s="3397">
        <v>91.64</v>
      </c>
      <c r="F81" s="3397">
        <v>11235</v>
      </c>
      <c r="G81" s="3397">
        <v>1029575</v>
      </c>
      <c r="H81" s="3395">
        <v>42986</v>
      </c>
      <c r="I81" s="3397">
        <v>1029575</v>
      </c>
    </row>
    <row r="82" spans="1:9" customFormat="1" hidden="1">
      <c r="A82" s="2140" t="s">
        <v>6710</v>
      </c>
      <c r="B82" s="2141">
        <v>11</v>
      </c>
      <c r="C82" s="2141" t="s">
        <v>3151</v>
      </c>
      <c r="D82" s="2141">
        <v>162</v>
      </c>
      <c r="E82" s="2142">
        <v>25.76</v>
      </c>
      <c r="F82" s="2142">
        <v>11737.018679999999</v>
      </c>
      <c r="G82" s="2142">
        <v>302345</v>
      </c>
      <c r="H82" s="2143">
        <v>42985</v>
      </c>
      <c r="I82" s="2142">
        <v>302345</v>
      </c>
    </row>
    <row r="83" spans="1:9">
      <c r="A83" s="3395" t="s">
        <v>6917</v>
      </c>
      <c r="B83" s="3396">
        <v>12</v>
      </c>
      <c r="C83" s="3396" t="s">
        <v>3151</v>
      </c>
      <c r="D83" s="3396">
        <v>79</v>
      </c>
      <c r="E83" s="3397">
        <v>140.44999999999999</v>
      </c>
      <c r="F83" s="3397" t="s">
        <v>6918</v>
      </c>
      <c r="G83" s="3397">
        <v>1945457</v>
      </c>
      <c r="H83" s="3395">
        <v>42985</v>
      </c>
      <c r="I83" s="3397">
        <v>1945457</v>
      </c>
    </row>
    <row r="84" spans="1:9" customFormat="1" hidden="1">
      <c r="A84" s="2140" t="s">
        <v>5560</v>
      </c>
      <c r="B84" s="2141" t="s">
        <v>3056</v>
      </c>
      <c r="C84" s="2141" t="s">
        <v>3151</v>
      </c>
      <c r="D84" s="2141">
        <v>49</v>
      </c>
      <c r="E84" s="2142">
        <v>24.44</v>
      </c>
      <c r="F84" s="2142">
        <v>15791.62</v>
      </c>
      <c r="G84" s="2142">
        <v>385947</v>
      </c>
      <c r="H84" s="2143">
        <v>42984</v>
      </c>
      <c r="I84" s="2142">
        <v>385947</v>
      </c>
    </row>
    <row r="85" spans="1:9" customFormat="1" hidden="1">
      <c r="A85" s="2140" t="s">
        <v>5561</v>
      </c>
      <c r="B85" s="2141" t="s">
        <v>3056</v>
      </c>
      <c r="C85" s="2141" t="s">
        <v>3151</v>
      </c>
      <c r="D85" s="2141">
        <v>50</v>
      </c>
      <c r="E85" s="2142">
        <v>60.48</v>
      </c>
      <c r="F85" s="2142">
        <v>15791.6</v>
      </c>
      <c r="G85" s="2142">
        <v>955076</v>
      </c>
      <c r="H85" s="2143">
        <v>42984</v>
      </c>
      <c r="I85" s="2142">
        <v>955076</v>
      </c>
    </row>
    <row r="86" spans="1:9" customFormat="1" hidden="1">
      <c r="A86" s="2140" t="s">
        <v>6119</v>
      </c>
      <c r="B86" s="2141" t="s">
        <v>3057</v>
      </c>
      <c r="C86" s="2141" t="s">
        <v>3151</v>
      </c>
      <c r="D86" s="2141">
        <v>422</v>
      </c>
      <c r="E86" s="2142">
        <v>10.69</v>
      </c>
      <c r="F86" s="2142">
        <v>17460.02</v>
      </c>
      <c r="G86" s="2142">
        <v>186648</v>
      </c>
      <c r="H86" s="2143">
        <v>42983</v>
      </c>
      <c r="I86" s="2142">
        <v>186648</v>
      </c>
    </row>
    <row r="87" spans="1:9" customFormat="1" hidden="1">
      <c r="A87" s="2140" t="s">
        <v>6120</v>
      </c>
      <c r="B87" s="2141" t="s">
        <v>3057</v>
      </c>
      <c r="C87" s="2141" t="s">
        <v>3151</v>
      </c>
      <c r="D87" s="2141">
        <v>423</v>
      </c>
      <c r="E87" s="2142">
        <v>11.37</v>
      </c>
      <c r="F87" s="2142">
        <v>17460.02</v>
      </c>
      <c r="G87" s="2142">
        <v>198520</v>
      </c>
      <c r="H87" s="2143">
        <v>42983</v>
      </c>
      <c r="I87" s="2142">
        <v>198520</v>
      </c>
    </row>
    <row r="88" spans="1:9" customFormat="1" hidden="1">
      <c r="A88" s="2140" t="s">
        <v>6114</v>
      </c>
      <c r="B88" s="2141" t="s">
        <v>3057</v>
      </c>
      <c r="C88" s="2141" t="s">
        <v>3151</v>
      </c>
      <c r="D88" s="2141">
        <v>416</v>
      </c>
      <c r="E88" s="2142">
        <v>54.66</v>
      </c>
      <c r="F88" s="2142">
        <v>12160.007250000001</v>
      </c>
      <c r="G88" s="2142">
        <v>664666</v>
      </c>
      <c r="H88" s="2143">
        <v>42982</v>
      </c>
      <c r="I88" s="2142">
        <v>664666</v>
      </c>
    </row>
    <row r="89" spans="1:9" customFormat="1" hidden="1">
      <c r="A89" s="2140" t="s">
        <v>6116</v>
      </c>
      <c r="B89" s="2141" t="s">
        <v>3057</v>
      </c>
      <c r="C89" s="2141" t="s">
        <v>3151</v>
      </c>
      <c r="D89" s="2141">
        <v>418</v>
      </c>
      <c r="E89" s="2142">
        <v>45.46</v>
      </c>
      <c r="F89" s="2142">
        <v>10944</v>
      </c>
      <c r="G89" s="2142">
        <v>497514</v>
      </c>
      <c r="H89" s="2143">
        <v>42982</v>
      </c>
      <c r="I89" s="2142">
        <v>497514</v>
      </c>
    </row>
    <row r="90" spans="1:9" customFormat="1" hidden="1">
      <c r="A90" s="2140" t="s">
        <v>6127</v>
      </c>
      <c r="B90" s="2141" t="s">
        <v>3057</v>
      </c>
      <c r="C90" s="2141" t="s">
        <v>3151</v>
      </c>
      <c r="D90" s="2141">
        <v>437</v>
      </c>
      <c r="E90" s="2142">
        <v>70.459999999999994</v>
      </c>
      <c r="F90" s="2142">
        <v>14193</v>
      </c>
      <c r="G90" s="2142">
        <v>1000039</v>
      </c>
      <c r="H90" s="2143">
        <v>42982</v>
      </c>
      <c r="I90" s="2142">
        <v>1000039</v>
      </c>
    </row>
    <row r="91" spans="1:9" customFormat="1" hidden="1">
      <c r="A91" s="2140" t="s">
        <v>5564</v>
      </c>
      <c r="B91" s="2141" t="s">
        <v>3056</v>
      </c>
      <c r="C91" s="2141" t="s">
        <v>3151</v>
      </c>
      <c r="D91" s="2141">
        <v>53</v>
      </c>
      <c r="E91" s="2142">
        <v>44.38</v>
      </c>
      <c r="F91" s="2142">
        <v>10670</v>
      </c>
      <c r="G91" s="2142">
        <v>473535</v>
      </c>
      <c r="H91" s="2143">
        <v>42980</v>
      </c>
      <c r="I91" s="2142">
        <v>473535</v>
      </c>
    </row>
    <row r="92" spans="1:9" customFormat="1" hidden="1">
      <c r="A92" s="2140" t="s">
        <v>5641</v>
      </c>
      <c r="B92" s="2141" t="s">
        <v>3056</v>
      </c>
      <c r="C92" s="2141" t="s">
        <v>3151</v>
      </c>
      <c r="D92" s="2141">
        <v>271</v>
      </c>
      <c r="E92" s="2142">
        <v>55.42</v>
      </c>
      <c r="F92" s="2142">
        <v>14080</v>
      </c>
      <c r="G92" s="2142">
        <v>780314</v>
      </c>
      <c r="H92" s="2143">
        <v>42980</v>
      </c>
      <c r="I92" s="2142">
        <v>780314</v>
      </c>
    </row>
    <row r="93" spans="1:9">
      <c r="A93" s="3395" t="s">
        <v>6914</v>
      </c>
      <c r="B93" s="3396">
        <v>12</v>
      </c>
      <c r="C93" s="3396" t="s">
        <v>3151</v>
      </c>
      <c r="D93" s="3396">
        <v>71</v>
      </c>
      <c r="E93" s="3397">
        <v>37</v>
      </c>
      <c r="F93" s="3397">
        <v>10897.94</v>
      </c>
      <c r="G93" s="3397">
        <v>403224</v>
      </c>
      <c r="H93" s="3395">
        <v>42980</v>
      </c>
      <c r="I93" s="3397">
        <v>403224</v>
      </c>
    </row>
    <row r="94" spans="1:9">
      <c r="A94" s="3395" t="s">
        <v>6972</v>
      </c>
      <c r="B94" s="3396">
        <v>12</v>
      </c>
      <c r="C94" s="3396" t="s">
        <v>3151</v>
      </c>
      <c r="D94" s="3396">
        <v>150</v>
      </c>
      <c r="E94" s="3397">
        <v>58.86</v>
      </c>
      <c r="F94" s="3397" t="s">
        <v>6973</v>
      </c>
      <c r="G94" s="3397">
        <v>641454</v>
      </c>
      <c r="H94" s="3395">
        <v>42980</v>
      </c>
      <c r="I94" s="3397">
        <v>641454</v>
      </c>
    </row>
    <row r="95" spans="1:9" customFormat="1" hidden="1">
      <c r="A95" s="2140" t="s">
        <v>6124</v>
      </c>
      <c r="B95" s="2141" t="s">
        <v>3057</v>
      </c>
      <c r="C95" s="2141" t="s">
        <v>3151</v>
      </c>
      <c r="D95" s="2141">
        <v>433</v>
      </c>
      <c r="E95" s="2142">
        <v>66.23</v>
      </c>
      <c r="F95" s="2142">
        <v>14193</v>
      </c>
      <c r="G95" s="2142">
        <v>940002</v>
      </c>
      <c r="H95" s="2143">
        <v>42979</v>
      </c>
      <c r="I95" s="2142">
        <v>940002</v>
      </c>
    </row>
    <row r="96" spans="1:9" customFormat="1" hidden="1">
      <c r="A96" s="2140" t="s">
        <v>6134</v>
      </c>
      <c r="B96" s="2141" t="s">
        <v>3057</v>
      </c>
      <c r="C96" s="2141" t="s">
        <v>3151</v>
      </c>
      <c r="D96" s="2141">
        <v>456</v>
      </c>
      <c r="E96" s="2142">
        <v>49.92</v>
      </c>
      <c r="F96" s="2142">
        <v>11520</v>
      </c>
      <c r="G96" s="2142">
        <v>575078</v>
      </c>
      <c r="H96" s="2143">
        <v>42979</v>
      </c>
      <c r="I96" s="2142">
        <v>305078</v>
      </c>
    </row>
    <row r="97" spans="1:9" customFormat="1" hidden="1">
      <c r="A97" s="2140" t="s">
        <v>6135</v>
      </c>
      <c r="B97" s="2141" t="s">
        <v>3057</v>
      </c>
      <c r="C97" s="2141" t="s">
        <v>3151</v>
      </c>
      <c r="D97" s="2141">
        <v>470</v>
      </c>
      <c r="E97" s="2142">
        <v>84.23</v>
      </c>
      <c r="F97" s="2142">
        <v>14940</v>
      </c>
      <c r="G97" s="2142">
        <v>1258396</v>
      </c>
      <c r="H97" s="2143">
        <v>42979</v>
      </c>
      <c r="I97" s="2142">
        <v>638396</v>
      </c>
    </row>
    <row r="98" spans="1:9">
      <c r="A98" s="3395" t="s">
        <v>7018</v>
      </c>
      <c r="B98" s="3396">
        <v>12</v>
      </c>
      <c r="C98" s="3396" t="s">
        <v>3151</v>
      </c>
      <c r="D98" s="3396">
        <v>207</v>
      </c>
      <c r="E98" s="3397">
        <v>48.41</v>
      </c>
      <c r="F98" s="3397">
        <v>13440</v>
      </c>
      <c r="G98" s="3397">
        <v>650630.39999999991</v>
      </c>
      <c r="H98" s="3395">
        <v>42960</v>
      </c>
      <c r="I98" s="3397">
        <v>139690</v>
      </c>
    </row>
    <row r="99" spans="1:9">
      <c r="A99" s="3395" t="s">
        <v>6905</v>
      </c>
      <c r="B99" s="3396">
        <v>12</v>
      </c>
      <c r="C99" s="3396" t="s">
        <v>3151</v>
      </c>
      <c r="D99" s="3396">
        <v>53</v>
      </c>
      <c r="E99" s="3397">
        <v>99.13</v>
      </c>
      <c r="F99" s="3397">
        <v>12915</v>
      </c>
      <c r="G99" s="3397">
        <v>1280263.95</v>
      </c>
      <c r="H99" s="3395">
        <v>42948</v>
      </c>
      <c r="I99" s="3397">
        <v>268456</v>
      </c>
    </row>
    <row r="100" spans="1:9" customFormat="1" hidden="1">
      <c r="A100" s="2140" t="s">
        <v>6416</v>
      </c>
      <c r="B100" s="2141">
        <v>9</v>
      </c>
      <c r="C100" s="2141" t="s">
        <v>3151</v>
      </c>
      <c r="D100" s="2141">
        <v>116</v>
      </c>
      <c r="E100" s="2142">
        <v>77.16</v>
      </c>
      <c r="F100" s="2142">
        <v>14419.99741</v>
      </c>
      <c r="G100" s="2142">
        <v>1112647.0001556</v>
      </c>
      <c r="H100" s="2143">
        <v>42947</v>
      </c>
      <c r="I100" s="2142">
        <v>562647</v>
      </c>
    </row>
    <row r="101" spans="1:9" customFormat="1" hidden="1">
      <c r="A101" s="2140" t="s">
        <v>6108</v>
      </c>
      <c r="B101" s="2141" t="s">
        <v>3057</v>
      </c>
      <c r="C101" s="2141" t="s">
        <v>3151</v>
      </c>
      <c r="D101" s="2141">
        <v>408</v>
      </c>
      <c r="E101" s="2142">
        <v>16.809999999999999</v>
      </c>
      <c r="F101" s="2142">
        <v>15770.01785</v>
      </c>
      <c r="G101" s="2142">
        <v>265094.00005849998</v>
      </c>
      <c r="H101" s="2143">
        <v>42941</v>
      </c>
      <c r="I101" s="2142">
        <v>265094</v>
      </c>
    </row>
    <row r="102" spans="1:9" customFormat="1" hidden="1">
      <c r="A102" s="2140" t="s">
        <v>6109</v>
      </c>
      <c r="B102" s="2141" t="s">
        <v>3057</v>
      </c>
      <c r="C102" s="2141" t="s">
        <v>3151</v>
      </c>
      <c r="D102" s="2141">
        <v>409</v>
      </c>
      <c r="E102" s="2142">
        <v>25.12</v>
      </c>
      <c r="F102" s="2142">
        <v>13109.9920382</v>
      </c>
      <c r="G102" s="2142">
        <v>329322.99999958399</v>
      </c>
      <c r="H102" s="2143">
        <v>42941</v>
      </c>
      <c r="I102" s="2142">
        <v>329323</v>
      </c>
    </row>
    <row r="103" spans="1:9" customFormat="1" hidden="1">
      <c r="A103" s="2140" t="s">
        <v>6080</v>
      </c>
      <c r="B103" s="2141" t="s">
        <v>3057</v>
      </c>
      <c r="C103" s="2141" t="s">
        <v>3151</v>
      </c>
      <c r="D103" s="2141">
        <v>229</v>
      </c>
      <c r="E103" s="2142">
        <v>70.61</v>
      </c>
      <c r="F103" s="2142">
        <v>13109.998600000001</v>
      </c>
      <c r="G103" s="2142">
        <v>925697.001146</v>
      </c>
      <c r="H103" s="2143">
        <v>42936</v>
      </c>
      <c r="I103" s="2142">
        <v>925697</v>
      </c>
    </row>
    <row r="104" spans="1:9" customFormat="1" hidden="1">
      <c r="A104" s="2140" t="s">
        <v>5014</v>
      </c>
      <c r="B104" s="2141" t="s">
        <v>3055</v>
      </c>
      <c r="C104" s="2141" t="s">
        <v>3151</v>
      </c>
      <c r="D104" s="2141">
        <v>15</v>
      </c>
      <c r="E104" s="2142">
        <v>41.18</v>
      </c>
      <c r="F104" s="2142">
        <v>10184.99272</v>
      </c>
      <c r="G104" s="2142">
        <v>419418.00020960002</v>
      </c>
      <c r="H104" s="2143">
        <v>42935</v>
      </c>
      <c r="I104" s="2142">
        <v>419418</v>
      </c>
    </row>
    <row r="105" spans="1:9" customFormat="1" hidden="1">
      <c r="A105" s="2140" t="s">
        <v>5008</v>
      </c>
      <c r="B105" s="2141" t="s">
        <v>3055</v>
      </c>
      <c r="C105" s="2141" t="s">
        <v>3151</v>
      </c>
      <c r="D105" s="2141">
        <v>8</v>
      </c>
      <c r="E105" s="2142">
        <v>71.959999999999994</v>
      </c>
      <c r="F105" s="2142">
        <v>15326.00056</v>
      </c>
      <c r="G105" s="2142">
        <v>1102859.0002975999</v>
      </c>
      <c r="H105" s="2143">
        <v>42934</v>
      </c>
      <c r="I105" s="2142">
        <v>1102859</v>
      </c>
    </row>
    <row r="106" spans="1:9" customFormat="1" hidden="1">
      <c r="A106" s="2140" t="s">
        <v>5009</v>
      </c>
      <c r="B106" s="2141" t="s">
        <v>3055</v>
      </c>
      <c r="C106" s="2141" t="s">
        <v>3151</v>
      </c>
      <c r="D106" s="2141">
        <v>9</v>
      </c>
      <c r="E106" s="2142">
        <v>71.959999999999994</v>
      </c>
      <c r="F106" s="2142">
        <v>15800</v>
      </c>
      <c r="G106" s="2142">
        <v>1136968</v>
      </c>
      <c r="H106" s="2143">
        <v>42934</v>
      </c>
      <c r="I106" s="2142">
        <v>576968</v>
      </c>
    </row>
    <row r="107" spans="1:9" customFormat="1" hidden="1">
      <c r="A107" s="2140" t="s">
        <v>5646</v>
      </c>
      <c r="B107" s="2141" t="s">
        <v>3056</v>
      </c>
      <c r="C107" s="2141" t="s">
        <v>3151</v>
      </c>
      <c r="D107" s="2141">
        <v>279</v>
      </c>
      <c r="E107" s="2142">
        <v>40.6</v>
      </c>
      <c r="F107" s="2142">
        <v>19360</v>
      </c>
      <c r="G107" s="2142">
        <v>786016</v>
      </c>
      <c r="H107" s="2143">
        <v>42932</v>
      </c>
      <c r="I107" s="2142">
        <v>406016</v>
      </c>
    </row>
    <row r="108" spans="1:9" customFormat="1" hidden="1">
      <c r="A108" s="2140" t="s">
        <v>5631</v>
      </c>
      <c r="B108" s="2141" t="s">
        <v>3056</v>
      </c>
      <c r="C108" s="2141" t="s">
        <v>3151</v>
      </c>
      <c r="D108" s="2141">
        <v>188</v>
      </c>
      <c r="E108" s="2142">
        <v>126.72</v>
      </c>
      <c r="F108" s="2142">
        <v>21060.85859</v>
      </c>
      <c r="G108" s="2142">
        <v>2668832.0005247998</v>
      </c>
      <c r="H108" s="2143">
        <v>42919</v>
      </c>
      <c r="I108" s="2142">
        <v>538832</v>
      </c>
    </row>
    <row r="109" spans="1:9">
      <c r="A109" s="3395" t="s">
        <v>7012</v>
      </c>
      <c r="B109" s="3396">
        <v>12</v>
      </c>
      <c r="C109" s="3396" t="s">
        <v>3151</v>
      </c>
      <c r="D109" s="3396">
        <v>196</v>
      </c>
      <c r="E109" s="3397">
        <v>18.68</v>
      </c>
      <c r="F109" s="3397">
        <v>16077.97428</v>
      </c>
      <c r="G109" s="3397">
        <v>300336.55955040001</v>
      </c>
      <c r="H109" s="3395">
        <v>42901</v>
      </c>
      <c r="I109" s="3397">
        <v>150015</v>
      </c>
    </row>
    <row r="110" spans="1:9">
      <c r="A110" s="3395" t="s">
        <v>6921</v>
      </c>
      <c r="B110" s="3396">
        <v>12</v>
      </c>
      <c r="C110" s="3396" t="s">
        <v>3151</v>
      </c>
      <c r="D110" s="3396">
        <v>87</v>
      </c>
      <c r="E110" s="3397">
        <v>46.78</v>
      </c>
      <c r="F110" s="3397">
        <v>13000</v>
      </c>
      <c r="G110" s="3397">
        <v>608140</v>
      </c>
      <c r="H110" s="3395">
        <v>42895</v>
      </c>
      <c r="I110" s="3397">
        <v>307230</v>
      </c>
    </row>
    <row r="111" spans="1:9" customFormat="1" hidden="1">
      <c r="A111" s="2140" t="s">
        <v>5613</v>
      </c>
      <c r="B111" s="2141" t="s">
        <v>3056</v>
      </c>
      <c r="C111" s="2141" t="s">
        <v>3151</v>
      </c>
      <c r="D111" s="2141">
        <v>141</v>
      </c>
      <c r="E111" s="2142">
        <v>76.3</v>
      </c>
      <c r="F111" s="2142">
        <v>16800</v>
      </c>
      <c r="G111" s="2142">
        <v>1281840</v>
      </c>
      <c r="H111" s="2143">
        <v>42887</v>
      </c>
      <c r="I111" s="2142">
        <v>641840</v>
      </c>
    </row>
    <row r="112" spans="1:9" customFormat="1" hidden="1">
      <c r="A112" s="2140" t="s">
        <v>6680</v>
      </c>
      <c r="B112" s="2141">
        <v>11</v>
      </c>
      <c r="C112" s="2141" t="s">
        <v>3151</v>
      </c>
      <c r="D112" s="2141">
        <v>81</v>
      </c>
      <c r="E112" s="2142">
        <v>50.07</v>
      </c>
      <c r="F112" s="2142">
        <v>13390</v>
      </c>
      <c r="G112" s="2142">
        <v>670437.30000000005</v>
      </c>
      <c r="H112" s="2143">
        <v>42871</v>
      </c>
      <c r="I112" s="2142">
        <v>340973</v>
      </c>
    </row>
    <row r="113" spans="1:9" customFormat="1" hidden="1">
      <c r="A113" s="2140" t="s">
        <v>5644</v>
      </c>
      <c r="B113" s="2141" t="s">
        <v>3056</v>
      </c>
      <c r="C113" s="2141" t="s">
        <v>3151</v>
      </c>
      <c r="D113" s="2141">
        <v>277</v>
      </c>
      <c r="E113" s="2142">
        <v>34.11</v>
      </c>
      <c r="F113" s="2142">
        <v>13657.6077</v>
      </c>
      <c r="G113" s="2142">
        <v>465860.998647</v>
      </c>
      <c r="H113" s="2143">
        <v>42858</v>
      </c>
      <c r="I113" s="2142">
        <v>465861</v>
      </c>
    </row>
    <row r="114" spans="1:9" customFormat="1" hidden="1">
      <c r="A114" s="2140" t="s">
        <v>6652</v>
      </c>
      <c r="B114" s="2141">
        <v>11</v>
      </c>
      <c r="C114" s="2141" t="s">
        <v>3151</v>
      </c>
      <c r="D114" s="2141">
        <v>17</v>
      </c>
      <c r="E114" s="2142">
        <v>47.58</v>
      </c>
      <c r="F114" s="2142">
        <v>14287.127259999999</v>
      </c>
      <c r="G114" s="2142">
        <v>679781.5150307999</v>
      </c>
      <c r="H114" s="2143">
        <v>42844</v>
      </c>
      <c r="I114" s="2142">
        <v>680353</v>
      </c>
    </row>
    <row r="115" spans="1:9" customFormat="1" hidden="1">
      <c r="A115" s="2140" t="s">
        <v>6653</v>
      </c>
      <c r="B115" s="2141">
        <v>11</v>
      </c>
      <c r="C115" s="2141" t="s">
        <v>3151</v>
      </c>
      <c r="D115" s="2141">
        <v>18</v>
      </c>
      <c r="E115" s="2142">
        <v>47.58</v>
      </c>
      <c r="F115" s="2142">
        <v>14287.127259999999</v>
      </c>
      <c r="G115" s="2142">
        <v>679781.5150307999</v>
      </c>
      <c r="H115" s="2143">
        <v>42844</v>
      </c>
      <c r="I115" s="2142">
        <v>680353</v>
      </c>
    </row>
    <row r="116" spans="1:9" customFormat="1" hidden="1">
      <c r="A116" s="2140" t="s">
        <v>6117</v>
      </c>
      <c r="B116" s="2141" t="s">
        <v>3057</v>
      </c>
      <c r="C116" s="2141" t="s">
        <v>3151</v>
      </c>
      <c r="D116" s="2141">
        <v>419</v>
      </c>
      <c r="E116" s="2142">
        <v>45.92</v>
      </c>
      <c r="F116" s="2142">
        <v>11519.99129</v>
      </c>
      <c r="G116" s="2142">
        <v>528998.00003680005</v>
      </c>
      <c r="H116" s="2143">
        <v>42832</v>
      </c>
      <c r="I116" s="2142">
        <v>268998</v>
      </c>
    </row>
    <row r="117" spans="1:9" customFormat="1" hidden="1">
      <c r="A117" s="2140" t="s">
        <v>6126</v>
      </c>
      <c r="B117" s="2141" t="s">
        <v>3057</v>
      </c>
      <c r="C117" s="2141" t="s">
        <v>3151</v>
      </c>
      <c r="D117" s="2141">
        <v>436</v>
      </c>
      <c r="E117" s="2142">
        <v>70.02</v>
      </c>
      <c r="F117" s="2142">
        <v>14940</v>
      </c>
      <c r="G117" s="2142">
        <v>1046098.7999999999</v>
      </c>
      <c r="H117" s="2143">
        <v>42832</v>
      </c>
      <c r="I117" s="2142">
        <v>526099</v>
      </c>
    </row>
    <row r="118" spans="1:9" customFormat="1" hidden="1">
      <c r="A118" s="2140" t="s">
        <v>6429</v>
      </c>
      <c r="B118" s="2141">
        <v>9</v>
      </c>
      <c r="C118" s="2141" t="s">
        <v>3151</v>
      </c>
      <c r="D118" s="2141">
        <v>198</v>
      </c>
      <c r="E118" s="2142">
        <v>75</v>
      </c>
      <c r="F118" s="2142">
        <v>13487.85333</v>
      </c>
      <c r="G118" s="2142">
        <v>1011588.99975</v>
      </c>
      <c r="H118" s="2143">
        <v>42817</v>
      </c>
      <c r="I118" s="2142">
        <v>1011589</v>
      </c>
    </row>
    <row r="119" spans="1:9" customFormat="1" hidden="1">
      <c r="A119" s="2140" t="s">
        <v>6078</v>
      </c>
      <c r="B119" s="2141" t="s">
        <v>3057</v>
      </c>
      <c r="C119" s="2141" t="s">
        <v>3151</v>
      </c>
      <c r="D119" s="2141">
        <v>227</v>
      </c>
      <c r="E119" s="2142">
        <v>68.19</v>
      </c>
      <c r="F119" s="2142">
        <v>13800</v>
      </c>
      <c r="G119" s="2142">
        <v>941022</v>
      </c>
      <c r="H119" s="2143">
        <v>42815</v>
      </c>
      <c r="I119" s="2142">
        <v>471022</v>
      </c>
    </row>
    <row r="120" spans="1:9">
      <c r="A120" s="3395" t="s">
        <v>7032</v>
      </c>
      <c r="B120" s="3396">
        <v>12</v>
      </c>
      <c r="C120" s="3396" t="s">
        <v>3151</v>
      </c>
      <c r="D120" s="3396">
        <v>223</v>
      </c>
      <c r="E120" s="3397">
        <v>51.94</v>
      </c>
      <c r="F120" s="3397">
        <v>11760</v>
      </c>
      <c r="G120" s="3397">
        <v>610814.4</v>
      </c>
      <c r="H120" s="3395">
        <v>42815</v>
      </c>
      <c r="I120" s="3397">
        <v>229991</v>
      </c>
    </row>
    <row r="121" spans="1:9" customFormat="1" hidden="1">
      <c r="A121" s="2140" t="s">
        <v>6660</v>
      </c>
      <c r="B121" s="2141">
        <v>11</v>
      </c>
      <c r="C121" s="2141" t="s">
        <v>3151</v>
      </c>
      <c r="D121" s="2141">
        <v>28</v>
      </c>
      <c r="E121" s="2142">
        <v>47.58</v>
      </c>
      <c r="F121" s="2142">
        <v>15361.990760000001</v>
      </c>
      <c r="G121" s="2142">
        <v>730923.52036079997</v>
      </c>
      <c r="H121" s="2143">
        <v>42787</v>
      </c>
      <c r="I121" s="2142">
        <v>371538</v>
      </c>
    </row>
    <row r="122" spans="1:9" customFormat="1" hidden="1">
      <c r="A122" s="2140" t="s">
        <v>6661</v>
      </c>
      <c r="B122" s="2141">
        <v>11</v>
      </c>
      <c r="C122" s="2141" t="s">
        <v>3151</v>
      </c>
      <c r="D122" s="2141">
        <v>29</v>
      </c>
      <c r="E122" s="2142">
        <v>47.58</v>
      </c>
      <c r="F122" s="2142">
        <v>15361.990760000001</v>
      </c>
      <c r="G122" s="2142">
        <v>730923.52036079997</v>
      </c>
      <c r="H122" s="2143">
        <v>42787</v>
      </c>
      <c r="I122" s="2142">
        <v>371538</v>
      </c>
    </row>
    <row r="123" spans="1:9" customFormat="1" hidden="1">
      <c r="A123" s="2140" t="s">
        <v>6662</v>
      </c>
      <c r="B123" s="2141">
        <v>11</v>
      </c>
      <c r="C123" s="2141" t="s">
        <v>3151</v>
      </c>
      <c r="D123" s="2141">
        <v>30</v>
      </c>
      <c r="E123" s="2142">
        <v>84.29</v>
      </c>
      <c r="F123" s="2142">
        <v>15939</v>
      </c>
      <c r="G123" s="2142">
        <v>1343498.31</v>
      </c>
      <c r="H123" s="2143">
        <v>42787</v>
      </c>
      <c r="I123" s="2142">
        <v>674614</v>
      </c>
    </row>
    <row r="124" spans="1:9" customFormat="1" hidden="1">
      <c r="A124" s="2140" t="s">
        <v>6663</v>
      </c>
      <c r="B124" s="2141">
        <v>11</v>
      </c>
      <c r="C124" s="2141" t="s">
        <v>3151</v>
      </c>
      <c r="D124" s="2141">
        <v>31</v>
      </c>
      <c r="E124" s="2142">
        <v>82.62</v>
      </c>
      <c r="F124" s="2142">
        <v>14438</v>
      </c>
      <c r="G124" s="2142">
        <v>1192867.56</v>
      </c>
      <c r="H124" s="2143">
        <v>42787</v>
      </c>
      <c r="I124" s="2142">
        <v>603878</v>
      </c>
    </row>
    <row r="125" spans="1:9" customFormat="1" hidden="1">
      <c r="A125" s="2140" t="s">
        <v>6664</v>
      </c>
      <c r="B125" s="2141">
        <v>11</v>
      </c>
      <c r="C125" s="2141" t="s">
        <v>3151</v>
      </c>
      <c r="D125" s="2141">
        <v>32</v>
      </c>
      <c r="E125" s="2142">
        <v>46.64</v>
      </c>
      <c r="F125" s="2142">
        <v>12128</v>
      </c>
      <c r="G125" s="2142">
        <v>565649.92000000004</v>
      </c>
      <c r="H125" s="2143">
        <v>42787</v>
      </c>
      <c r="I125" s="2142">
        <v>286135</v>
      </c>
    </row>
    <row r="126" spans="1:9" customFormat="1" hidden="1">
      <c r="A126" s="2140" t="s">
        <v>6665</v>
      </c>
      <c r="B126" s="2141">
        <v>11</v>
      </c>
      <c r="C126" s="2141" t="s">
        <v>3151</v>
      </c>
      <c r="D126" s="2141">
        <v>33</v>
      </c>
      <c r="E126" s="2142">
        <v>46.64</v>
      </c>
      <c r="F126" s="2142">
        <v>12128</v>
      </c>
      <c r="G126" s="2142">
        <v>565649.92000000004</v>
      </c>
      <c r="H126" s="2143">
        <v>42787</v>
      </c>
      <c r="I126" s="2142">
        <v>286135</v>
      </c>
    </row>
    <row r="127" spans="1:9" customFormat="1" hidden="1">
      <c r="A127" s="2140" t="s">
        <v>6692</v>
      </c>
      <c r="B127" s="2141">
        <v>11</v>
      </c>
      <c r="C127" s="2141" t="s">
        <v>3151</v>
      </c>
      <c r="D127" s="2141">
        <v>133</v>
      </c>
      <c r="E127" s="2142">
        <v>88.25</v>
      </c>
      <c r="F127" s="2142">
        <v>12463</v>
      </c>
      <c r="G127" s="2142">
        <v>1099859.75</v>
      </c>
      <c r="H127" s="2143">
        <v>42771</v>
      </c>
      <c r="I127" s="2142">
        <v>551024</v>
      </c>
    </row>
    <row r="128" spans="1:9" customFormat="1" hidden="1">
      <c r="A128" s="2140" t="s">
        <v>6693</v>
      </c>
      <c r="B128" s="2141">
        <v>11</v>
      </c>
      <c r="C128" s="2141" t="s">
        <v>3151</v>
      </c>
      <c r="D128" s="2141">
        <v>135</v>
      </c>
      <c r="E128" s="2142">
        <v>82.38</v>
      </c>
      <c r="F128" s="2142">
        <v>12462.995755</v>
      </c>
      <c r="G128" s="2142">
        <v>1026701.5902968999</v>
      </c>
      <c r="H128" s="2143">
        <v>42771</v>
      </c>
      <c r="I128" s="2142">
        <v>520062</v>
      </c>
    </row>
    <row r="129" spans="1:9" customFormat="1" hidden="1">
      <c r="A129" s="2140" t="s">
        <v>6686</v>
      </c>
      <c r="B129" s="2141">
        <v>11</v>
      </c>
      <c r="C129" s="2141" t="s">
        <v>3151</v>
      </c>
      <c r="D129" s="2141">
        <v>100</v>
      </c>
      <c r="E129" s="2142">
        <v>203.27</v>
      </c>
      <c r="F129" s="2142">
        <v>16285.326647899999</v>
      </c>
      <c r="G129" s="2142">
        <v>3310319</v>
      </c>
      <c r="H129" s="2143">
        <v>42761</v>
      </c>
      <c r="I129" s="2142">
        <v>3312924</v>
      </c>
    </row>
    <row r="130" spans="1:9" customFormat="1" hidden="1">
      <c r="A130" s="2140" t="s">
        <v>5634</v>
      </c>
      <c r="B130" s="2141" t="s">
        <v>3056</v>
      </c>
      <c r="C130" s="2141" t="s">
        <v>3151</v>
      </c>
      <c r="D130" s="2141">
        <v>242</v>
      </c>
      <c r="E130" s="2142">
        <v>67.75</v>
      </c>
      <c r="F130" s="2142">
        <v>13200</v>
      </c>
      <c r="G130" s="2142">
        <v>894300</v>
      </c>
      <c r="H130" s="2143">
        <v>42759</v>
      </c>
      <c r="I130" s="2142">
        <v>454300</v>
      </c>
    </row>
    <row r="131" spans="1:9" customFormat="1" hidden="1">
      <c r="A131" s="2140" t="s">
        <v>6672</v>
      </c>
      <c r="B131" s="2141">
        <v>11</v>
      </c>
      <c r="C131" s="2141" t="s">
        <v>3151</v>
      </c>
      <c r="D131" s="2141">
        <v>42</v>
      </c>
      <c r="E131" s="2142">
        <v>46.64</v>
      </c>
      <c r="F131" s="2142">
        <v>10990.081399999999</v>
      </c>
      <c r="G131" s="2142">
        <v>512577.39649599994</v>
      </c>
      <c r="H131" s="2143">
        <v>42758</v>
      </c>
      <c r="I131" s="2142">
        <v>513017</v>
      </c>
    </row>
    <row r="132" spans="1:9" customFormat="1" hidden="1">
      <c r="A132" s="2140" t="s">
        <v>6673</v>
      </c>
      <c r="B132" s="2141">
        <v>11</v>
      </c>
      <c r="C132" s="2141" t="s">
        <v>3151</v>
      </c>
      <c r="D132" s="2141">
        <v>43</v>
      </c>
      <c r="E132" s="2142">
        <v>46.64</v>
      </c>
      <c r="F132" s="2142">
        <v>10990.081399999999</v>
      </c>
      <c r="G132" s="2142">
        <v>512577.39649599994</v>
      </c>
      <c r="H132" s="2143">
        <v>42758</v>
      </c>
      <c r="I132" s="2142">
        <v>513017</v>
      </c>
    </row>
    <row r="133" spans="1:9">
      <c r="A133" s="3395" t="s">
        <v>7019</v>
      </c>
      <c r="B133" s="3396">
        <v>12</v>
      </c>
      <c r="C133" s="3396" t="s">
        <v>3151</v>
      </c>
      <c r="D133" s="3396">
        <v>208</v>
      </c>
      <c r="E133" s="3397">
        <v>37.32</v>
      </c>
      <c r="F133" s="3397">
        <v>12551.8</v>
      </c>
      <c r="G133" s="3397">
        <v>468433.17599999998</v>
      </c>
      <c r="H133" s="3395">
        <v>42741</v>
      </c>
      <c r="I133" s="3397">
        <v>471948</v>
      </c>
    </row>
    <row r="134" spans="1:9" customFormat="1" hidden="1">
      <c r="A134" s="2140" t="s">
        <v>5633</v>
      </c>
      <c r="B134" s="2141" t="s">
        <v>3056</v>
      </c>
      <c r="C134" s="2141" t="s">
        <v>3151</v>
      </c>
      <c r="D134" s="2141">
        <v>241</v>
      </c>
      <c r="E134" s="2142">
        <v>67.760000000000005</v>
      </c>
      <c r="F134" s="2142">
        <v>13200</v>
      </c>
      <c r="G134" s="2142">
        <v>894432.00000000012</v>
      </c>
      <c r="H134" s="2143">
        <v>42736</v>
      </c>
      <c r="I134" s="2142">
        <v>454432</v>
      </c>
    </row>
    <row r="135" spans="1:9" customFormat="1" hidden="1">
      <c r="A135" s="2140" t="s">
        <v>6399</v>
      </c>
      <c r="B135" s="2141">
        <v>9</v>
      </c>
      <c r="C135" s="2141" t="s">
        <v>3151</v>
      </c>
      <c r="D135" s="2141">
        <v>87</v>
      </c>
      <c r="E135" s="2142">
        <v>46.43</v>
      </c>
      <c r="F135" s="2142">
        <v>10490.54</v>
      </c>
      <c r="G135" s="2142">
        <v>487075.77220000006</v>
      </c>
      <c r="H135" s="2143">
        <v>42736</v>
      </c>
      <c r="I135" s="2142">
        <v>487076</v>
      </c>
    </row>
  </sheetData>
  <autoFilter ref="A1:I135">
    <filterColumn colId="1">
      <filters>
        <filter val="12"/>
      </filters>
    </filterColumn>
  </autoFilter>
  <phoneticPr fontId="143" type="noConversion"/>
  <pageMargins left="0.7" right="0.7" top="0.75" bottom="0.75" header="0.3" footer="0.3"/>
  <pageSetup paperSize="9"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I668"/>
  <sheetViews>
    <sheetView workbookViewId="0">
      <selection activeCell="I160" sqref="I160"/>
    </sheetView>
  </sheetViews>
  <sheetFormatPr defaultRowHeight="13.5"/>
  <cols>
    <col min="1" max="1" width="8.625" style="3584" customWidth="1"/>
    <col min="2" max="2" width="36.5" style="3386" customWidth="1"/>
    <col min="3" max="3" width="9.75" style="3584" customWidth="1"/>
    <col min="4" max="4" width="8.625" style="3584" customWidth="1"/>
    <col min="5" max="5" width="9.875" style="3584" customWidth="1"/>
    <col min="6" max="6" width="11.875" style="3386" customWidth="1"/>
    <col min="7" max="7" width="10.875" style="3386" customWidth="1"/>
    <col min="8" max="8" width="10.5" style="3590" bestFit="1" customWidth="1"/>
    <col min="9" max="9" width="20.5" style="3386" bestFit="1" customWidth="1"/>
    <col min="10" max="16384" width="9" style="3386"/>
  </cols>
  <sheetData>
    <row r="1" spans="1:9" ht="22.5">
      <c r="A1" s="4020" t="s">
        <v>7456</v>
      </c>
      <c r="B1" s="4021"/>
      <c r="C1" s="4022"/>
      <c r="D1" s="4021"/>
      <c r="E1" s="4022"/>
      <c r="F1" s="4021"/>
      <c r="G1" s="4021"/>
    </row>
    <row r="2" spans="1:9" ht="24">
      <c r="A2" s="3582" t="s">
        <v>3049</v>
      </c>
      <c r="B2" s="3575" t="s">
        <v>7457</v>
      </c>
      <c r="C2" s="3582" t="s">
        <v>3050</v>
      </c>
      <c r="D2" s="3582" t="s">
        <v>3051</v>
      </c>
      <c r="E2" s="3582" t="s">
        <v>3052</v>
      </c>
      <c r="F2" s="3574" t="s">
        <v>7458</v>
      </c>
      <c r="G2" s="3575" t="s">
        <v>7459</v>
      </c>
      <c r="H2" s="3591" t="s">
        <v>7463</v>
      </c>
      <c r="I2" s="3575" t="s">
        <v>7464</v>
      </c>
    </row>
    <row r="3" spans="1:9" hidden="1">
      <c r="A3" s="3521">
        <v>1</v>
      </c>
      <c r="B3" s="3459" t="s">
        <v>7460</v>
      </c>
      <c r="C3" s="3585" t="s">
        <v>3054</v>
      </c>
      <c r="D3" s="3585">
        <v>1</v>
      </c>
      <c r="E3" s="3585">
        <v>22</v>
      </c>
      <c r="F3" s="3576">
        <v>71.430000000000007</v>
      </c>
      <c r="G3" s="3459" t="s">
        <v>7461</v>
      </c>
      <c r="H3" s="3590">
        <f ca="1">'典型户型修正(先权重后修正)'!$R$24</f>
        <v>35065</v>
      </c>
      <c r="I3" s="3386">
        <f ca="1">ROUND(H3*F3/10000,2)</f>
        <v>250.47</v>
      </c>
    </row>
    <row r="4" spans="1:9" hidden="1">
      <c r="A4" s="3521">
        <v>2</v>
      </c>
      <c r="B4" s="3388" t="s">
        <v>7170</v>
      </c>
      <c r="C4" s="3585" t="s">
        <v>3054</v>
      </c>
      <c r="D4" s="3585">
        <v>1</v>
      </c>
      <c r="E4" s="3585">
        <v>23</v>
      </c>
      <c r="F4" s="3576">
        <v>69.5</v>
      </c>
      <c r="G4" s="3459" t="s">
        <v>7461</v>
      </c>
      <c r="H4" s="3590">
        <f ca="1">'典型户型修正(先权重后修正)'!$R$24</f>
        <v>35065</v>
      </c>
      <c r="I4" s="3386">
        <f t="shared" ref="I4:I67" ca="1" si="0">ROUND(H4*F4/10000,2)</f>
        <v>243.7</v>
      </c>
    </row>
    <row r="5" spans="1:9" hidden="1">
      <c r="A5" s="3521">
        <v>3</v>
      </c>
      <c r="B5" s="3388" t="s">
        <v>7171</v>
      </c>
      <c r="C5" s="3585" t="s">
        <v>3054</v>
      </c>
      <c r="D5" s="3585">
        <v>1</v>
      </c>
      <c r="E5" s="3585">
        <v>26</v>
      </c>
      <c r="F5" s="3576">
        <v>95.51</v>
      </c>
      <c r="G5" s="3459" t="s">
        <v>7461</v>
      </c>
      <c r="H5" s="3590">
        <f ca="1">'典型户型修正(先权重后修正)'!$R$24</f>
        <v>35065</v>
      </c>
      <c r="I5" s="3386">
        <f t="shared" ca="1" si="0"/>
        <v>334.91</v>
      </c>
    </row>
    <row r="6" spans="1:9" hidden="1">
      <c r="A6" s="3521">
        <v>4</v>
      </c>
      <c r="B6" s="3388" t="s">
        <v>7172</v>
      </c>
      <c r="C6" s="3585" t="s">
        <v>3054</v>
      </c>
      <c r="D6" s="3585">
        <v>1</v>
      </c>
      <c r="E6" s="3585">
        <v>171</v>
      </c>
      <c r="F6" s="3576">
        <v>43.46</v>
      </c>
      <c r="G6" s="3459" t="s">
        <v>7461</v>
      </c>
      <c r="H6" s="3590">
        <f ca="1">'典型户型修正(先权重后修正)'!$R$24</f>
        <v>35065</v>
      </c>
      <c r="I6" s="3386">
        <f t="shared" ca="1" si="0"/>
        <v>152.38999999999999</v>
      </c>
    </row>
    <row r="7" spans="1:9" hidden="1">
      <c r="A7" s="3521">
        <v>5</v>
      </c>
      <c r="B7" s="3388" t="s">
        <v>7173</v>
      </c>
      <c r="C7" s="3585" t="s">
        <v>3054</v>
      </c>
      <c r="D7" s="3585">
        <v>1</v>
      </c>
      <c r="E7" s="3585">
        <v>186</v>
      </c>
      <c r="F7" s="3576">
        <v>89.77</v>
      </c>
      <c r="G7" s="3459" t="s">
        <v>7461</v>
      </c>
      <c r="H7" s="3590">
        <f ca="1">'典型户型修正(先权重后修正)'!$R$24</f>
        <v>35065</v>
      </c>
      <c r="I7" s="3386">
        <f t="shared" ca="1" si="0"/>
        <v>314.77999999999997</v>
      </c>
    </row>
    <row r="8" spans="1:9" hidden="1">
      <c r="A8" s="3521">
        <v>6</v>
      </c>
      <c r="B8" s="3388" t="s">
        <v>7174</v>
      </c>
      <c r="C8" s="3586" t="s">
        <v>3054</v>
      </c>
      <c r="D8" s="3586">
        <v>1</v>
      </c>
      <c r="E8" s="3586">
        <v>27</v>
      </c>
      <c r="F8" s="3574">
        <v>95.27</v>
      </c>
      <c r="G8" s="3459" t="s">
        <v>7461</v>
      </c>
      <c r="H8" s="3590">
        <f ca="1">'典型户型修正(先权重后修正)'!$R$24</f>
        <v>35065</v>
      </c>
      <c r="I8" s="3386">
        <f t="shared" ca="1" si="0"/>
        <v>334.06</v>
      </c>
    </row>
    <row r="9" spans="1:9" hidden="1">
      <c r="A9" s="3521">
        <v>7</v>
      </c>
      <c r="B9" s="3388" t="s">
        <v>7175</v>
      </c>
      <c r="C9" s="3586" t="s">
        <v>3054</v>
      </c>
      <c r="D9" s="3586">
        <v>1</v>
      </c>
      <c r="E9" s="3586">
        <v>183</v>
      </c>
      <c r="F9" s="3574">
        <v>71.5</v>
      </c>
      <c r="G9" s="3459" t="s">
        <v>7461</v>
      </c>
      <c r="H9" s="3590">
        <f ca="1">'典型户型修正(先权重后修正)'!$R$24</f>
        <v>35065</v>
      </c>
      <c r="I9" s="3386">
        <f t="shared" ca="1" si="0"/>
        <v>250.71</v>
      </c>
    </row>
    <row r="10" spans="1:9" hidden="1">
      <c r="A10" s="3521">
        <v>8</v>
      </c>
      <c r="B10" s="3388" t="s">
        <v>7176</v>
      </c>
      <c r="C10" s="3586" t="s">
        <v>3054</v>
      </c>
      <c r="D10" s="3586">
        <v>1</v>
      </c>
      <c r="E10" s="3586">
        <v>185</v>
      </c>
      <c r="F10" s="3574">
        <v>66.72</v>
      </c>
      <c r="G10" s="3459" t="s">
        <v>7461</v>
      </c>
      <c r="H10" s="3590">
        <f ca="1">'典型户型修正(先权重后修正)'!$R$24</f>
        <v>35065</v>
      </c>
      <c r="I10" s="3386">
        <f t="shared" ca="1" si="0"/>
        <v>233.95</v>
      </c>
    </row>
    <row r="11" spans="1:9" hidden="1">
      <c r="A11" s="3521">
        <v>9</v>
      </c>
      <c r="B11" s="3388"/>
      <c r="C11" s="3587" t="s">
        <v>3054</v>
      </c>
      <c r="D11" s="3587">
        <v>1</v>
      </c>
      <c r="E11" s="3587">
        <v>7</v>
      </c>
      <c r="F11" s="3578">
        <v>88.99</v>
      </c>
      <c r="G11" s="3459" t="s">
        <v>7461</v>
      </c>
      <c r="H11" s="3590">
        <f ca="1">'典型户型修正(先权重后修正)'!$R$24</f>
        <v>35065</v>
      </c>
      <c r="I11" s="3386">
        <f t="shared" ca="1" si="0"/>
        <v>312.04000000000002</v>
      </c>
    </row>
    <row r="12" spans="1:9" hidden="1">
      <c r="A12" s="3521">
        <v>10</v>
      </c>
      <c r="B12" s="3388"/>
      <c r="C12" s="3587" t="s">
        <v>3054</v>
      </c>
      <c r="D12" s="3587">
        <v>1</v>
      </c>
      <c r="E12" s="3587">
        <v>3</v>
      </c>
      <c r="F12" s="3578">
        <v>178.15</v>
      </c>
      <c r="G12" s="3459" t="s">
        <v>7461</v>
      </c>
      <c r="H12" s="3590">
        <f ca="1">'典型户型修正(先权重后修正)'!$R$24</f>
        <v>35065</v>
      </c>
      <c r="I12" s="3386">
        <f t="shared" ca="1" si="0"/>
        <v>624.67999999999995</v>
      </c>
    </row>
    <row r="13" spans="1:9" hidden="1">
      <c r="A13" s="3521">
        <v>11</v>
      </c>
      <c r="B13" s="3388" t="s">
        <v>7177</v>
      </c>
      <c r="C13" s="3585" t="s">
        <v>3054</v>
      </c>
      <c r="D13" s="3585">
        <v>2</v>
      </c>
      <c r="E13" s="3585">
        <v>41</v>
      </c>
      <c r="F13" s="3576">
        <v>48.27</v>
      </c>
      <c r="G13" s="3459" t="s">
        <v>7461</v>
      </c>
      <c r="H13" s="3590">
        <f ca="1">'典型户型修正(先权重后修正)'!$R$25</f>
        <v>24546</v>
      </c>
      <c r="I13" s="3386">
        <f ca="1">ROUND(H13*F13/10000,2)</f>
        <v>118.48</v>
      </c>
    </row>
    <row r="14" spans="1:9" hidden="1">
      <c r="A14" s="3521">
        <v>12</v>
      </c>
      <c r="B14" s="3388" t="s">
        <v>7178</v>
      </c>
      <c r="C14" s="3585" t="s">
        <v>3054</v>
      </c>
      <c r="D14" s="3585">
        <v>2</v>
      </c>
      <c r="E14" s="3585">
        <v>42</v>
      </c>
      <c r="F14" s="3576">
        <v>62.79</v>
      </c>
      <c r="G14" s="3459" t="s">
        <v>7461</v>
      </c>
      <c r="H14" s="3590">
        <f ca="1">'典型户型修正(先权重后修正)'!$R$25</f>
        <v>24546</v>
      </c>
      <c r="I14" s="3386">
        <f t="shared" ca="1" si="0"/>
        <v>154.12</v>
      </c>
    </row>
    <row r="15" spans="1:9" hidden="1">
      <c r="A15" s="3521">
        <v>13</v>
      </c>
      <c r="B15" s="3388" t="s">
        <v>7179</v>
      </c>
      <c r="C15" s="3585" t="s">
        <v>3054</v>
      </c>
      <c r="D15" s="3585">
        <v>2</v>
      </c>
      <c r="E15" s="3585">
        <v>43</v>
      </c>
      <c r="F15" s="3576">
        <v>33.92</v>
      </c>
      <c r="G15" s="3459" t="s">
        <v>7461</v>
      </c>
      <c r="H15" s="3590">
        <f ca="1">'典型户型修正(先权重后修正)'!$R$25</f>
        <v>24546</v>
      </c>
      <c r="I15" s="3386">
        <f t="shared" ca="1" si="0"/>
        <v>83.26</v>
      </c>
    </row>
    <row r="16" spans="1:9" hidden="1">
      <c r="A16" s="3521">
        <v>14</v>
      </c>
      <c r="B16" s="3388" t="s">
        <v>7180</v>
      </c>
      <c r="C16" s="3585" t="s">
        <v>3054</v>
      </c>
      <c r="D16" s="3585">
        <v>2</v>
      </c>
      <c r="E16" s="3585">
        <v>57</v>
      </c>
      <c r="F16" s="3576">
        <v>25.38</v>
      </c>
      <c r="G16" s="3459" t="s">
        <v>7461</v>
      </c>
      <c r="H16" s="3590">
        <f ca="1">'典型户型修正(先权重后修正)'!$R$25</f>
        <v>24546</v>
      </c>
      <c r="I16" s="3386">
        <f t="shared" ca="1" si="0"/>
        <v>62.3</v>
      </c>
    </row>
    <row r="17" spans="1:9" hidden="1">
      <c r="A17" s="3521">
        <v>15</v>
      </c>
      <c r="B17" s="3388" t="s">
        <v>7181</v>
      </c>
      <c r="C17" s="3585" t="s">
        <v>3054</v>
      </c>
      <c r="D17" s="3585">
        <v>2</v>
      </c>
      <c r="E17" s="3585">
        <v>128</v>
      </c>
      <c r="F17" s="3576">
        <v>115.72</v>
      </c>
      <c r="G17" s="3459" t="s">
        <v>7461</v>
      </c>
      <c r="H17" s="3590">
        <f ca="1">'典型户型修正(先权重后修正)'!$R$25</f>
        <v>24546</v>
      </c>
      <c r="I17" s="3386">
        <f t="shared" ca="1" si="0"/>
        <v>284.05</v>
      </c>
    </row>
    <row r="18" spans="1:9" hidden="1">
      <c r="A18" s="3521">
        <v>16</v>
      </c>
      <c r="B18" s="3388" t="s">
        <v>7182</v>
      </c>
      <c r="C18" s="3585" t="s">
        <v>3054</v>
      </c>
      <c r="D18" s="3585">
        <v>2</v>
      </c>
      <c r="E18" s="3585">
        <v>233</v>
      </c>
      <c r="F18" s="3576">
        <v>42.78</v>
      </c>
      <c r="G18" s="3459" t="s">
        <v>7461</v>
      </c>
      <c r="H18" s="3590">
        <f ca="1">'典型户型修正(先权重后修正)'!$R$25</f>
        <v>24546</v>
      </c>
      <c r="I18" s="3386">
        <f t="shared" ca="1" si="0"/>
        <v>105.01</v>
      </c>
    </row>
    <row r="19" spans="1:9" hidden="1">
      <c r="A19" s="3521">
        <v>17</v>
      </c>
      <c r="B19" s="3388" t="s">
        <v>7183</v>
      </c>
      <c r="C19" s="3585" t="s">
        <v>3054</v>
      </c>
      <c r="D19" s="3585">
        <v>2</v>
      </c>
      <c r="E19" s="3585">
        <v>235</v>
      </c>
      <c r="F19" s="3576">
        <v>42.78</v>
      </c>
      <c r="G19" s="3459" t="s">
        <v>7461</v>
      </c>
      <c r="H19" s="3590">
        <f ca="1">'典型户型修正(先权重后修正)'!$R$25</f>
        <v>24546</v>
      </c>
      <c r="I19" s="3386">
        <f t="shared" ca="1" si="0"/>
        <v>105.01</v>
      </c>
    </row>
    <row r="20" spans="1:9" hidden="1">
      <c r="A20" s="3521">
        <v>18</v>
      </c>
      <c r="B20" s="3388" t="s">
        <v>7184</v>
      </c>
      <c r="C20" s="3585" t="s">
        <v>3054</v>
      </c>
      <c r="D20" s="3585">
        <v>3</v>
      </c>
      <c r="E20" s="3585">
        <v>65</v>
      </c>
      <c r="F20" s="3576">
        <v>60.66</v>
      </c>
      <c r="G20" s="3459" t="s">
        <v>7461</v>
      </c>
      <c r="H20" s="3590">
        <f ca="1">'典型户型修正(先权重后修正)'!$R$26</f>
        <v>17533</v>
      </c>
      <c r="I20" s="3386">
        <f ca="1">ROUND(H20*F20/10000,2)</f>
        <v>106.36</v>
      </c>
    </row>
    <row r="21" spans="1:9" hidden="1">
      <c r="A21" s="3521">
        <v>19</v>
      </c>
      <c r="B21" s="3388" t="s">
        <v>7185</v>
      </c>
      <c r="C21" s="3585" t="s">
        <v>3054</v>
      </c>
      <c r="D21" s="3585">
        <v>3</v>
      </c>
      <c r="E21" s="3585">
        <v>75</v>
      </c>
      <c r="F21" s="3576">
        <v>55.2</v>
      </c>
      <c r="G21" s="3459" t="s">
        <v>7461</v>
      </c>
      <c r="H21" s="3590">
        <f ca="1">'典型户型修正(先权重后修正)'!$R$26</f>
        <v>17533</v>
      </c>
      <c r="I21" s="3386">
        <f t="shared" ca="1" si="0"/>
        <v>96.78</v>
      </c>
    </row>
    <row r="22" spans="1:9" hidden="1">
      <c r="A22" s="3521">
        <v>20</v>
      </c>
      <c r="B22" s="3388" t="s">
        <v>7186</v>
      </c>
      <c r="C22" s="3586" t="s">
        <v>3054</v>
      </c>
      <c r="D22" s="3582">
        <v>3</v>
      </c>
      <c r="E22" s="3582">
        <v>38</v>
      </c>
      <c r="F22" s="3574">
        <v>86.31</v>
      </c>
      <c r="G22" s="3459" t="s">
        <v>7461</v>
      </c>
      <c r="H22" s="3590">
        <f ca="1">'典型户型修正(先权重后修正)'!$R$26</f>
        <v>17533</v>
      </c>
      <c r="I22" s="3386">
        <f t="shared" ca="1" si="0"/>
        <v>151.33000000000001</v>
      </c>
    </row>
    <row r="23" spans="1:9" hidden="1">
      <c r="A23" s="3521">
        <v>21</v>
      </c>
      <c r="B23" s="3388" t="s">
        <v>7187</v>
      </c>
      <c r="C23" s="3586" t="s">
        <v>3054</v>
      </c>
      <c r="D23" s="3582">
        <v>3</v>
      </c>
      <c r="E23" s="3582">
        <v>97</v>
      </c>
      <c r="F23" s="3574">
        <v>45.54</v>
      </c>
      <c r="G23" s="3459" t="s">
        <v>7461</v>
      </c>
      <c r="H23" s="3590">
        <f ca="1">'典型户型修正(先权重后修正)'!$R$26</f>
        <v>17533</v>
      </c>
      <c r="I23" s="3386">
        <f t="shared" ca="1" si="0"/>
        <v>79.849999999999994</v>
      </c>
    </row>
    <row r="24" spans="1:9" hidden="1">
      <c r="A24" s="3521">
        <v>22</v>
      </c>
      <c r="B24" s="3388"/>
      <c r="C24" s="3587" t="s">
        <v>3054</v>
      </c>
      <c r="D24" s="3587">
        <v>3</v>
      </c>
      <c r="E24" s="3587">
        <v>76</v>
      </c>
      <c r="F24" s="3578">
        <v>106.31</v>
      </c>
      <c r="G24" s="3459" t="s">
        <v>7461</v>
      </c>
      <c r="H24" s="3590">
        <f ca="1">'典型户型修正(先权重后修正)'!$R$26</f>
        <v>17533</v>
      </c>
      <c r="I24" s="3386">
        <f t="shared" ca="1" si="0"/>
        <v>186.39</v>
      </c>
    </row>
    <row r="25" spans="1:9" hidden="1">
      <c r="A25" s="3521">
        <v>23</v>
      </c>
      <c r="B25" s="3388"/>
      <c r="C25" s="3587" t="s">
        <v>3054</v>
      </c>
      <c r="D25" s="3587">
        <v>4</v>
      </c>
      <c r="E25" s="3587">
        <v>1</v>
      </c>
      <c r="F25" s="3578">
        <v>97.37</v>
      </c>
      <c r="G25" s="3459" t="s">
        <v>7461</v>
      </c>
      <c r="H25" s="3590">
        <f ca="1">'典型户型修正(先权重后修正)'!$R$27</f>
        <v>17533</v>
      </c>
      <c r="I25" s="3386">
        <f ca="1">ROUND(H25*F25/10000,2)</f>
        <v>170.72</v>
      </c>
    </row>
    <row r="26" spans="1:9" hidden="1">
      <c r="A26" s="3521">
        <v>24</v>
      </c>
      <c r="B26" s="3388"/>
      <c r="C26" s="3587" t="s">
        <v>3054</v>
      </c>
      <c r="D26" s="3587">
        <v>4</v>
      </c>
      <c r="E26" s="3587">
        <v>2</v>
      </c>
      <c r="F26" s="3578">
        <v>65.58</v>
      </c>
      <c r="G26" s="3459" t="s">
        <v>7461</v>
      </c>
      <c r="H26" s="3590">
        <f ca="1">'典型户型修正(先权重后修正)'!$R$27</f>
        <v>17533</v>
      </c>
      <c r="I26" s="3386">
        <f t="shared" ca="1" si="0"/>
        <v>114.98</v>
      </c>
    </row>
    <row r="27" spans="1:9" hidden="1">
      <c r="A27" s="3521">
        <v>25</v>
      </c>
      <c r="B27" s="3388"/>
      <c r="C27" s="3587" t="s">
        <v>3054</v>
      </c>
      <c r="D27" s="3587">
        <v>4</v>
      </c>
      <c r="E27" s="3587">
        <v>3</v>
      </c>
      <c r="F27" s="3578">
        <v>65.62</v>
      </c>
      <c r="G27" s="3459" t="s">
        <v>7461</v>
      </c>
      <c r="H27" s="3590">
        <f ca="1">'典型户型修正(先权重后修正)'!$R$27</f>
        <v>17533</v>
      </c>
      <c r="I27" s="3386">
        <f t="shared" ca="1" si="0"/>
        <v>115.05</v>
      </c>
    </row>
    <row r="28" spans="1:9" hidden="1">
      <c r="A28" s="3521">
        <v>26</v>
      </c>
      <c r="B28" s="3388"/>
      <c r="C28" s="3587" t="s">
        <v>3054</v>
      </c>
      <c r="D28" s="3587">
        <v>4</v>
      </c>
      <c r="E28" s="3587">
        <v>5</v>
      </c>
      <c r="F28" s="3578">
        <v>117.18</v>
      </c>
      <c r="G28" s="3459" t="s">
        <v>7461</v>
      </c>
      <c r="H28" s="3590">
        <f ca="1">'典型户型修正(先权重后修正)'!$R$27</f>
        <v>17533</v>
      </c>
      <c r="I28" s="3386">
        <f t="shared" ca="1" si="0"/>
        <v>205.45</v>
      </c>
    </row>
    <row r="29" spans="1:9" hidden="1">
      <c r="A29" s="3521">
        <v>27</v>
      </c>
      <c r="B29" s="3388"/>
      <c r="C29" s="3587" t="s">
        <v>3054</v>
      </c>
      <c r="D29" s="3587">
        <v>4</v>
      </c>
      <c r="E29" s="3587">
        <v>7</v>
      </c>
      <c r="F29" s="3578">
        <v>123.51</v>
      </c>
      <c r="G29" s="3459" t="s">
        <v>7461</v>
      </c>
      <c r="H29" s="3590">
        <f ca="1">'典型户型修正(先权重后修正)'!$R$27</f>
        <v>17533</v>
      </c>
      <c r="I29" s="3386">
        <f t="shared" ca="1" si="0"/>
        <v>216.55</v>
      </c>
    </row>
    <row r="30" spans="1:9" hidden="1">
      <c r="A30" s="3521">
        <v>28</v>
      </c>
      <c r="B30" s="3388"/>
      <c r="C30" s="3587" t="s">
        <v>3054</v>
      </c>
      <c r="D30" s="3587">
        <v>4</v>
      </c>
      <c r="E30" s="3587">
        <v>8</v>
      </c>
      <c r="F30" s="3578">
        <v>65.61</v>
      </c>
      <c r="G30" s="3459" t="s">
        <v>7461</v>
      </c>
      <c r="H30" s="3590">
        <f ca="1">'典型户型修正(先权重后修正)'!$R$27</f>
        <v>17533</v>
      </c>
      <c r="I30" s="3386">
        <f t="shared" ca="1" si="0"/>
        <v>115.03</v>
      </c>
    </row>
    <row r="31" spans="1:9" hidden="1">
      <c r="A31" s="3521">
        <v>29</v>
      </c>
      <c r="B31" s="3388"/>
      <c r="C31" s="3587" t="s">
        <v>3054</v>
      </c>
      <c r="D31" s="3587">
        <v>4</v>
      </c>
      <c r="E31" s="3587">
        <v>9</v>
      </c>
      <c r="F31" s="3578">
        <v>65.59</v>
      </c>
      <c r="G31" s="3459" t="s">
        <v>7461</v>
      </c>
      <c r="H31" s="3590">
        <f ca="1">'典型户型修正(先权重后修正)'!$R$27</f>
        <v>17533</v>
      </c>
      <c r="I31" s="3386">
        <f t="shared" ca="1" si="0"/>
        <v>115</v>
      </c>
    </row>
    <row r="32" spans="1:9" hidden="1">
      <c r="A32" s="3521">
        <v>30</v>
      </c>
      <c r="B32" s="3388"/>
      <c r="C32" s="3587" t="s">
        <v>3054</v>
      </c>
      <c r="D32" s="3587">
        <v>4</v>
      </c>
      <c r="E32" s="3587">
        <v>20</v>
      </c>
      <c r="F32" s="3578">
        <v>65.239999999999995</v>
      </c>
      <c r="G32" s="3459" t="s">
        <v>7461</v>
      </c>
      <c r="H32" s="3590">
        <f ca="1">'典型户型修正(先权重后修正)'!$R$27</f>
        <v>17533</v>
      </c>
      <c r="I32" s="3386">
        <f t="shared" ca="1" si="0"/>
        <v>114.39</v>
      </c>
    </row>
    <row r="33" spans="1:9" hidden="1">
      <c r="A33" s="3521">
        <v>31</v>
      </c>
      <c r="B33" s="3388"/>
      <c r="C33" s="3587" t="s">
        <v>3054</v>
      </c>
      <c r="D33" s="3587">
        <v>4</v>
      </c>
      <c r="E33" s="3587">
        <v>21</v>
      </c>
      <c r="F33" s="3578">
        <v>78.19</v>
      </c>
      <c r="G33" s="3459" t="s">
        <v>7461</v>
      </c>
      <c r="H33" s="3590">
        <f ca="1">'典型户型修正(先权重后修正)'!$R$27</f>
        <v>17533</v>
      </c>
      <c r="I33" s="3386">
        <f t="shared" ca="1" si="0"/>
        <v>137.09</v>
      </c>
    </row>
    <row r="34" spans="1:9" hidden="1">
      <c r="A34" s="3521">
        <v>32</v>
      </c>
      <c r="B34" s="3388"/>
      <c r="C34" s="3587" t="s">
        <v>3054</v>
      </c>
      <c r="D34" s="3587">
        <v>4</v>
      </c>
      <c r="E34" s="3587">
        <v>22</v>
      </c>
      <c r="F34" s="3578">
        <v>74.260000000000005</v>
      </c>
      <c r="G34" s="3459" t="s">
        <v>7461</v>
      </c>
      <c r="H34" s="3590">
        <f ca="1">'典型户型修正(先权重后修正)'!$R$27</f>
        <v>17533</v>
      </c>
      <c r="I34" s="3386">
        <f t="shared" ca="1" si="0"/>
        <v>130.19999999999999</v>
      </c>
    </row>
    <row r="35" spans="1:9" hidden="1">
      <c r="A35" s="3521">
        <v>33</v>
      </c>
      <c r="B35" s="3388"/>
      <c r="C35" s="3587" t="s">
        <v>3054</v>
      </c>
      <c r="D35" s="3587">
        <v>4</v>
      </c>
      <c r="E35" s="3587">
        <v>23</v>
      </c>
      <c r="F35" s="3578">
        <v>80.44</v>
      </c>
      <c r="G35" s="3459" t="s">
        <v>7461</v>
      </c>
      <c r="H35" s="3590">
        <f ca="1">'典型户型修正(先权重后修正)'!$R$27</f>
        <v>17533</v>
      </c>
      <c r="I35" s="3386">
        <f t="shared" ca="1" si="0"/>
        <v>141.04</v>
      </c>
    </row>
    <row r="36" spans="1:9" hidden="1">
      <c r="A36" s="3521">
        <v>34</v>
      </c>
      <c r="B36" s="3388"/>
      <c r="C36" s="3587" t="s">
        <v>3054</v>
      </c>
      <c r="D36" s="3587">
        <v>4</v>
      </c>
      <c r="E36" s="3587">
        <v>25</v>
      </c>
      <c r="F36" s="3578">
        <v>67.17</v>
      </c>
      <c r="G36" s="3459" t="s">
        <v>7461</v>
      </c>
      <c r="H36" s="3590">
        <f ca="1">'典型户型修正(先权重后修正)'!$R$27</f>
        <v>17533</v>
      </c>
      <c r="I36" s="3386">
        <f t="shared" ca="1" si="0"/>
        <v>117.77</v>
      </c>
    </row>
    <row r="37" spans="1:9" hidden="1">
      <c r="A37" s="3521">
        <v>35</v>
      </c>
      <c r="B37" s="3388"/>
      <c r="C37" s="3587" t="s">
        <v>3054</v>
      </c>
      <c r="D37" s="3587">
        <v>4</v>
      </c>
      <c r="E37" s="3587">
        <v>37</v>
      </c>
      <c r="F37" s="3578">
        <v>55.5</v>
      </c>
      <c r="G37" s="3459" t="s">
        <v>7461</v>
      </c>
      <c r="H37" s="3590">
        <f ca="1">'典型户型修正(先权重后修正)'!$R$27</f>
        <v>17533</v>
      </c>
      <c r="I37" s="3386">
        <f t="shared" ca="1" si="0"/>
        <v>97.31</v>
      </c>
    </row>
    <row r="38" spans="1:9" hidden="1">
      <c r="A38" s="3521">
        <v>36</v>
      </c>
      <c r="B38" s="3388"/>
      <c r="C38" s="3587" t="s">
        <v>3054</v>
      </c>
      <c r="D38" s="3587">
        <v>4</v>
      </c>
      <c r="E38" s="3587">
        <v>38</v>
      </c>
      <c r="F38" s="3578">
        <v>49.95</v>
      </c>
      <c r="G38" s="3459" t="s">
        <v>7461</v>
      </c>
      <c r="H38" s="3590">
        <f ca="1">'典型户型修正(先权重后修正)'!$R$27</f>
        <v>17533</v>
      </c>
      <c r="I38" s="3386">
        <f t="shared" ca="1" si="0"/>
        <v>87.58</v>
      </c>
    </row>
    <row r="39" spans="1:9" hidden="1">
      <c r="A39" s="3521">
        <v>37</v>
      </c>
      <c r="B39" s="3388"/>
      <c r="C39" s="3587" t="s">
        <v>3054</v>
      </c>
      <c r="D39" s="3587">
        <v>4</v>
      </c>
      <c r="E39" s="3587">
        <v>39</v>
      </c>
      <c r="F39" s="3578">
        <v>43.21</v>
      </c>
      <c r="G39" s="3459" t="s">
        <v>7461</v>
      </c>
      <c r="H39" s="3590">
        <f ca="1">'典型户型修正(先权重后修正)'!$R$27</f>
        <v>17533</v>
      </c>
      <c r="I39" s="3386">
        <f t="shared" ca="1" si="0"/>
        <v>75.760000000000005</v>
      </c>
    </row>
    <row r="40" spans="1:9" hidden="1">
      <c r="A40" s="3521">
        <v>38</v>
      </c>
      <c r="B40" s="3388"/>
      <c r="C40" s="3587" t="s">
        <v>3054</v>
      </c>
      <c r="D40" s="3587">
        <v>4</v>
      </c>
      <c r="E40" s="3587">
        <v>40</v>
      </c>
      <c r="F40" s="3578">
        <v>73.55</v>
      </c>
      <c r="G40" s="3459" t="s">
        <v>7461</v>
      </c>
      <c r="H40" s="3590">
        <f ca="1">'典型户型修正(先权重后修正)'!$R$27</f>
        <v>17533</v>
      </c>
      <c r="I40" s="3386">
        <f t="shared" ca="1" si="0"/>
        <v>128.96</v>
      </c>
    </row>
    <row r="41" spans="1:9" hidden="1">
      <c r="A41" s="3521">
        <v>39</v>
      </c>
      <c r="B41" s="3388"/>
      <c r="C41" s="3587" t="s">
        <v>3054</v>
      </c>
      <c r="D41" s="3587">
        <v>4</v>
      </c>
      <c r="E41" s="3587">
        <v>41</v>
      </c>
      <c r="F41" s="3578">
        <v>79.77</v>
      </c>
      <c r="G41" s="3459" t="s">
        <v>7461</v>
      </c>
      <c r="H41" s="3590">
        <f ca="1">'典型户型修正(先权重后修正)'!$R$27</f>
        <v>17533</v>
      </c>
      <c r="I41" s="3386">
        <f t="shared" ca="1" si="0"/>
        <v>139.86000000000001</v>
      </c>
    </row>
    <row r="42" spans="1:9" hidden="1">
      <c r="A42" s="3521">
        <v>40</v>
      </c>
      <c r="B42" s="3388"/>
      <c r="C42" s="3587" t="s">
        <v>3054</v>
      </c>
      <c r="D42" s="3587">
        <v>4</v>
      </c>
      <c r="E42" s="3587">
        <v>42</v>
      </c>
      <c r="F42" s="3578">
        <v>67.489999999999995</v>
      </c>
      <c r="G42" s="3459" t="s">
        <v>7461</v>
      </c>
      <c r="H42" s="3590">
        <f ca="1">'典型户型修正(先权重后修正)'!$R$27</f>
        <v>17533</v>
      </c>
      <c r="I42" s="3386">
        <f t="shared" ca="1" si="0"/>
        <v>118.33</v>
      </c>
    </row>
    <row r="43" spans="1:9" hidden="1">
      <c r="A43" s="3521">
        <v>41</v>
      </c>
      <c r="B43" s="3388"/>
      <c r="C43" s="3587" t="s">
        <v>3054</v>
      </c>
      <c r="D43" s="3587">
        <v>4</v>
      </c>
      <c r="E43" s="3587">
        <v>43</v>
      </c>
      <c r="F43" s="3578">
        <v>75.489999999999995</v>
      </c>
      <c r="G43" s="3459" t="s">
        <v>7461</v>
      </c>
      <c r="H43" s="3590">
        <f ca="1">'典型户型修正(先权重后修正)'!$R$27</f>
        <v>17533</v>
      </c>
      <c r="I43" s="3386">
        <f t="shared" ca="1" si="0"/>
        <v>132.36000000000001</v>
      </c>
    </row>
    <row r="44" spans="1:9" hidden="1">
      <c r="A44" s="3521">
        <v>42</v>
      </c>
      <c r="B44" s="3388"/>
      <c r="C44" s="3587" t="s">
        <v>3054</v>
      </c>
      <c r="D44" s="3587">
        <v>4</v>
      </c>
      <c r="E44" s="3587">
        <v>45</v>
      </c>
      <c r="F44" s="3578">
        <v>74.62</v>
      </c>
      <c r="G44" s="3459" t="s">
        <v>7461</v>
      </c>
      <c r="H44" s="3590">
        <f ca="1">'典型户型修正(先权重后修正)'!$R$27</f>
        <v>17533</v>
      </c>
      <c r="I44" s="3386">
        <f t="shared" ca="1" si="0"/>
        <v>130.83000000000001</v>
      </c>
    </row>
    <row r="45" spans="1:9" hidden="1">
      <c r="A45" s="3521">
        <v>43</v>
      </c>
      <c r="B45" s="3388"/>
      <c r="C45" s="3587" t="s">
        <v>3054</v>
      </c>
      <c r="D45" s="3587">
        <v>4</v>
      </c>
      <c r="E45" s="3587">
        <v>46</v>
      </c>
      <c r="F45" s="3578">
        <v>71.92</v>
      </c>
      <c r="G45" s="3459" t="s">
        <v>7461</v>
      </c>
      <c r="H45" s="3590">
        <f ca="1">'典型户型修正(先权重后修正)'!$R$27</f>
        <v>17533</v>
      </c>
      <c r="I45" s="3386">
        <f t="shared" ca="1" si="0"/>
        <v>126.1</v>
      </c>
    </row>
    <row r="46" spans="1:9" hidden="1">
      <c r="A46" s="3521">
        <v>44</v>
      </c>
      <c r="B46" s="3388"/>
      <c r="C46" s="3587" t="s">
        <v>3054</v>
      </c>
      <c r="D46" s="3587">
        <v>4</v>
      </c>
      <c r="E46" s="3587">
        <v>47</v>
      </c>
      <c r="F46" s="3578">
        <v>43.13</v>
      </c>
      <c r="G46" s="3459" t="s">
        <v>7461</v>
      </c>
      <c r="H46" s="3590">
        <f ca="1">'典型户型修正(先权重后修正)'!$R$27</f>
        <v>17533</v>
      </c>
      <c r="I46" s="3386">
        <f t="shared" ca="1" si="0"/>
        <v>75.62</v>
      </c>
    </row>
    <row r="47" spans="1:9" hidden="1">
      <c r="A47" s="3521">
        <v>45</v>
      </c>
      <c r="B47" s="3388"/>
      <c r="C47" s="3587" t="s">
        <v>3054</v>
      </c>
      <c r="D47" s="3587">
        <v>4</v>
      </c>
      <c r="E47" s="3587">
        <v>48</v>
      </c>
      <c r="F47" s="3578">
        <v>67.3</v>
      </c>
      <c r="G47" s="3459" t="s">
        <v>7461</v>
      </c>
      <c r="H47" s="3590">
        <f ca="1">'典型户型修正(先权重后修正)'!$R$27</f>
        <v>17533</v>
      </c>
      <c r="I47" s="3386">
        <f t="shared" ca="1" si="0"/>
        <v>118</v>
      </c>
    </row>
    <row r="48" spans="1:9" hidden="1">
      <c r="A48" s="3521">
        <v>46</v>
      </c>
      <c r="B48" s="3388"/>
      <c r="C48" s="3587" t="s">
        <v>3054</v>
      </c>
      <c r="D48" s="3587">
        <v>4</v>
      </c>
      <c r="E48" s="3587">
        <v>49</v>
      </c>
      <c r="F48" s="3578">
        <v>72.59</v>
      </c>
      <c r="G48" s="3459" t="s">
        <v>7461</v>
      </c>
      <c r="H48" s="3590">
        <f ca="1">'典型户型修正(先权重后修正)'!$R$27</f>
        <v>17533</v>
      </c>
      <c r="I48" s="3386">
        <f t="shared" ca="1" si="0"/>
        <v>127.27</v>
      </c>
    </row>
    <row r="49" spans="1:9" hidden="1">
      <c r="A49" s="3521">
        <v>47</v>
      </c>
      <c r="B49" s="3388"/>
      <c r="C49" s="3587" t="s">
        <v>3054</v>
      </c>
      <c r="D49" s="3587">
        <v>4</v>
      </c>
      <c r="E49" s="3587">
        <v>50</v>
      </c>
      <c r="F49" s="3578">
        <v>72.540000000000006</v>
      </c>
      <c r="G49" s="3459" t="s">
        <v>7461</v>
      </c>
      <c r="H49" s="3590">
        <f ca="1">'典型户型修正(先权重后修正)'!$R$27</f>
        <v>17533</v>
      </c>
      <c r="I49" s="3386">
        <f t="shared" ca="1" si="0"/>
        <v>127.18</v>
      </c>
    </row>
    <row r="50" spans="1:9" hidden="1">
      <c r="A50" s="3521">
        <v>48</v>
      </c>
      <c r="B50" s="3388"/>
      <c r="C50" s="3587" t="s">
        <v>3054</v>
      </c>
      <c r="D50" s="3587">
        <v>4</v>
      </c>
      <c r="E50" s="3587">
        <v>51</v>
      </c>
      <c r="F50" s="3578">
        <v>66.900000000000006</v>
      </c>
      <c r="G50" s="3459" t="s">
        <v>7461</v>
      </c>
      <c r="H50" s="3590">
        <f ca="1">'典型户型修正(先权重后修正)'!$R$27</f>
        <v>17533</v>
      </c>
      <c r="I50" s="3386">
        <f t="shared" ca="1" si="0"/>
        <v>117.3</v>
      </c>
    </row>
    <row r="51" spans="1:9" hidden="1">
      <c r="A51" s="3521">
        <v>49</v>
      </c>
      <c r="B51" s="3388"/>
      <c r="C51" s="3587" t="s">
        <v>3054</v>
      </c>
      <c r="D51" s="3587">
        <v>4</v>
      </c>
      <c r="E51" s="3587">
        <v>53</v>
      </c>
      <c r="F51" s="3578">
        <v>54.81</v>
      </c>
      <c r="G51" s="3459" t="s">
        <v>7461</v>
      </c>
      <c r="H51" s="3590">
        <f ca="1">'典型户型修正(先权重后修正)'!$R$27</f>
        <v>17533</v>
      </c>
      <c r="I51" s="3386">
        <f t="shared" ca="1" si="0"/>
        <v>96.1</v>
      </c>
    </row>
    <row r="52" spans="1:9" hidden="1">
      <c r="A52" s="3521">
        <v>50</v>
      </c>
      <c r="B52" s="3388"/>
      <c r="C52" s="3587" t="s">
        <v>3054</v>
      </c>
      <c r="D52" s="3587">
        <v>4</v>
      </c>
      <c r="E52" s="3587">
        <v>55</v>
      </c>
      <c r="F52" s="3578">
        <v>41.72</v>
      </c>
      <c r="G52" s="3459" t="s">
        <v>7461</v>
      </c>
      <c r="H52" s="3590">
        <f ca="1">'典型户型修正(先权重后修正)'!$R$27</f>
        <v>17533</v>
      </c>
      <c r="I52" s="3386">
        <f t="shared" ca="1" si="0"/>
        <v>73.150000000000006</v>
      </c>
    </row>
    <row r="53" spans="1:9" hidden="1">
      <c r="A53" s="3521">
        <v>51</v>
      </c>
      <c r="B53" s="3388"/>
      <c r="C53" s="3587" t="s">
        <v>3054</v>
      </c>
      <c r="D53" s="3587">
        <v>4</v>
      </c>
      <c r="E53" s="3587">
        <v>56</v>
      </c>
      <c r="F53" s="3578">
        <v>91.99</v>
      </c>
      <c r="G53" s="3459" t="s">
        <v>7461</v>
      </c>
      <c r="H53" s="3590">
        <f ca="1">'典型户型修正(先权重后修正)'!$R$27</f>
        <v>17533</v>
      </c>
      <c r="I53" s="3386">
        <f t="shared" ca="1" si="0"/>
        <v>161.29</v>
      </c>
    </row>
    <row r="54" spans="1:9" hidden="1">
      <c r="A54" s="3521">
        <v>52</v>
      </c>
      <c r="B54" s="3388"/>
      <c r="C54" s="3587" t="s">
        <v>3054</v>
      </c>
      <c r="D54" s="3587">
        <v>4</v>
      </c>
      <c r="E54" s="3587">
        <v>57</v>
      </c>
      <c r="F54" s="3578">
        <v>91.99</v>
      </c>
      <c r="G54" s="3459" t="s">
        <v>7461</v>
      </c>
      <c r="H54" s="3590">
        <f ca="1">'典型户型修正(先权重后修正)'!$R$27</f>
        <v>17533</v>
      </c>
      <c r="I54" s="3386">
        <f t="shared" ca="1" si="0"/>
        <v>161.29</v>
      </c>
    </row>
    <row r="55" spans="1:9" hidden="1">
      <c r="A55" s="3521">
        <v>53</v>
      </c>
      <c r="B55" s="3388"/>
      <c r="C55" s="3587" t="s">
        <v>3054</v>
      </c>
      <c r="D55" s="3587">
        <v>4</v>
      </c>
      <c r="E55" s="3587">
        <v>58</v>
      </c>
      <c r="F55" s="3578">
        <v>63.08</v>
      </c>
      <c r="G55" s="3459" t="s">
        <v>7461</v>
      </c>
      <c r="H55" s="3590">
        <f ca="1">'典型户型修正(先权重后修正)'!$R$27</f>
        <v>17533</v>
      </c>
      <c r="I55" s="3386">
        <f t="shared" ca="1" si="0"/>
        <v>110.6</v>
      </c>
    </row>
    <row r="56" spans="1:9" hidden="1">
      <c r="A56" s="3521">
        <v>54</v>
      </c>
      <c r="B56" s="3388"/>
      <c r="C56" s="3587" t="s">
        <v>3054</v>
      </c>
      <c r="D56" s="3587">
        <v>4</v>
      </c>
      <c r="E56" s="3587">
        <v>62</v>
      </c>
      <c r="F56" s="3578">
        <v>44.34</v>
      </c>
      <c r="G56" s="3459" t="s">
        <v>7461</v>
      </c>
      <c r="H56" s="3590">
        <f ca="1">'典型户型修正(先权重后修正)'!$R$27</f>
        <v>17533</v>
      </c>
      <c r="I56" s="3386">
        <f t="shared" ca="1" si="0"/>
        <v>77.739999999999995</v>
      </c>
    </row>
    <row r="57" spans="1:9" hidden="1">
      <c r="A57" s="3521">
        <v>55</v>
      </c>
      <c r="B57" s="3388"/>
      <c r="C57" s="3587" t="s">
        <v>3054</v>
      </c>
      <c r="D57" s="3587">
        <v>4</v>
      </c>
      <c r="E57" s="3587">
        <v>76</v>
      </c>
      <c r="F57" s="3578">
        <v>67.28</v>
      </c>
      <c r="G57" s="3459" t="s">
        <v>7461</v>
      </c>
      <c r="H57" s="3590">
        <f ca="1">'典型户型修正(先权重后修正)'!$R$27</f>
        <v>17533</v>
      </c>
      <c r="I57" s="3386">
        <f t="shared" ca="1" si="0"/>
        <v>117.96</v>
      </c>
    </row>
    <row r="58" spans="1:9" hidden="1">
      <c r="A58" s="3521">
        <v>56</v>
      </c>
      <c r="B58" s="3388"/>
      <c r="C58" s="3587" t="s">
        <v>3054</v>
      </c>
      <c r="D58" s="3587">
        <v>4</v>
      </c>
      <c r="E58" s="3587">
        <v>77</v>
      </c>
      <c r="F58" s="3578">
        <v>53.86</v>
      </c>
      <c r="G58" s="3459" t="s">
        <v>7461</v>
      </c>
      <c r="H58" s="3590">
        <f ca="1">'典型户型修正(先权重后修正)'!$R$27</f>
        <v>17533</v>
      </c>
      <c r="I58" s="3386">
        <f t="shared" ca="1" si="0"/>
        <v>94.43</v>
      </c>
    </row>
    <row r="59" spans="1:9" hidden="1">
      <c r="A59" s="3521">
        <v>57</v>
      </c>
      <c r="B59" s="3388"/>
      <c r="C59" s="3587" t="s">
        <v>3054</v>
      </c>
      <c r="D59" s="3587">
        <v>4</v>
      </c>
      <c r="E59" s="3587">
        <v>78</v>
      </c>
      <c r="F59" s="3578">
        <v>63.5</v>
      </c>
      <c r="G59" s="3459" t="s">
        <v>7461</v>
      </c>
      <c r="H59" s="3590">
        <f ca="1">'典型户型修正(先权重后修正)'!$R$27</f>
        <v>17533</v>
      </c>
      <c r="I59" s="3386">
        <f t="shared" ca="1" si="0"/>
        <v>111.33</v>
      </c>
    </row>
    <row r="60" spans="1:9" hidden="1">
      <c r="A60" s="3521">
        <v>58</v>
      </c>
      <c r="B60" s="3388"/>
      <c r="C60" s="3587" t="s">
        <v>3054</v>
      </c>
      <c r="D60" s="3587">
        <v>4</v>
      </c>
      <c r="E60" s="3587">
        <v>79</v>
      </c>
      <c r="F60" s="3578">
        <v>59.16</v>
      </c>
      <c r="G60" s="3459" t="s">
        <v>7461</v>
      </c>
      <c r="H60" s="3590">
        <f ca="1">'典型户型修正(先权重后修正)'!$R$27</f>
        <v>17533</v>
      </c>
      <c r="I60" s="3386">
        <f t="shared" ca="1" si="0"/>
        <v>103.73</v>
      </c>
    </row>
    <row r="61" spans="1:9" hidden="1">
      <c r="A61" s="3521">
        <v>59</v>
      </c>
      <c r="B61" s="3388"/>
      <c r="C61" s="3587" t="s">
        <v>3054</v>
      </c>
      <c r="D61" s="3587">
        <v>4</v>
      </c>
      <c r="E61" s="3587">
        <v>80</v>
      </c>
      <c r="F61" s="3578">
        <v>58.82</v>
      </c>
      <c r="G61" s="3459" t="s">
        <v>7461</v>
      </c>
      <c r="H61" s="3590">
        <f ca="1">'典型户型修正(先权重后修正)'!$R$27</f>
        <v>17533</v>
      </c>
      <c r="I61" s="3386">
        <f t="shared" ca="1" si="0"/>
        <v>103.13</v>
      </c>
    </row>
    <row r="62" spans="1:9" hidden="1">
      <c r="A62" s="3521">
        <v>60</v>
      </c>
      <c r="B62" s="3388"/>
      <c r="C62" s="3587" t="s">
        <v>3054</v>
      </c>
      <c r="D62" s="3587">
        <v>4</v>
      </c>
      <c r="E62" s="3587">
        <v>82</v>
      </c>
      <c r="F62" s="3578">
        <v>80.790000000000006</v>
      </c>
      <c r="G62" s="3459" t="s">
        <v>7461</v>
      </c>
      <c r="H62" s="3590">
        <f ca="1">'典型户型修正(先权重后修正)'!$R$27</f>
        <v>17533</v>
      </c>
      <c r="I62" s="3386">
        <f t="shared" ca="1" si="0"/>
        <v>141.65</v>
      </c>
    </row>
    <row r="63" spans="1:9" hidden="1">
      <c r="A63" s="3521">
        <v>61</v>
      </c>
      <c r="B63" s="3388"/>
      <c r="C63" s="3587" t="s">
        <v>3054</v>
      </c>
      <c r="D63" s="3587">
        <v>4</v>
      </c>
      <c r="E63" s="3587">
        <v>83</v>
      </c>
      <c r="F63" s="3578">
        <v>107.3</v>
      </c>
      <c r="G63" s="3459" t="s">
        <v>7461</v>
      </c>
      <c r="H63" s="3590">
        <f ca="1">'典型户型修正(先权重后修正)'!$R$27</f>
        <v>17533</v>
      </c>
      <c r="I63" s="3386">
        <f t="shared" ca="1" si="0"/>
        <v>188.13</v>
      </c>
    </row>
    <row r="64" spans="1:9" hidden="1">
      <c r="A64" s="3521">
        <v>62</v>
      </c>
      <c r="B64" s="3388"/>
      <c r="C64" s="3587" t="s">
        <v>3054</v>
      </c>
      <c r="D64" s="3587">
        <v>4</v>
      </c>
      <c r="E64" s="3587">
        <v>85</v>
      </c>
      <c r="F64" s="3578">
        <v>88.89</v>
      </c>
      <c r="G64" s="3459" t="s">
        <v>7461</v>
      </c>
      <c r="H64" s="3590">
        <f ca="1">'典型户型修正(先权重后修正)'!$R$27</f>
        <v>17533</v>
      </c>
      <c r="I64" s="3386">
        <f t="shared" ca="1" si="0"/>
        <v>155.85</v>
      </c>
    </row>
    <row r="65" spans="1:9" hidden="1">
      <c r="A65" s="3521">
        <v>63</v>
      </c>
      <c r="B65" s="3388"/>
      <c r="C65" s="3587" t="s">
        <v>3054</v>
      </c>
      <c r="D65" s="3587">
        <v>4</v>
      </c>
      <c r="E65" s="3587">
        <v>92</v>
      </c>
      <c r="F65" s="3578">
        <v>54.99</v>
      </c>
      <c r="G65" s="3459" t="s">
        <v>7461</v>
      </c>
      <c r="H65" s="3590">
        <f ca="1">'典型户型修正(先权重后修正)'!$R$27</f>
        <v>17533</v>
      </c>
      <c r="I65" s="3386">
        <f t="shared" ca="1" si="0"/>
        <v>96.41</v>
      </c>
    </row>
    <row r="66" spans="1:9" hidden="1">
      <c r="A66" s="3521">
        <v>64</v>
      </c>
      <c r="B66" s="3388"/>
      <c r="C66" s="3587" t="s">
        <v>3054</v>
      </c>
      <c r="D66" s="3587">
        <v>4</v>
      </c>
      <c r="E66" s="3587">
        <v>117</v>
      </c>
      <c r="F66" s="3578">
        <v>43.64</v>
      </c>
      <c r="G66" s="3459" t="s">
        <v>7461</v>
      </c>
      <c r="H66" s="3590">
        <f ca="1">'典型户型修正(先权重后修正)'!$R$27</f>
        <v>17533</v>
      </c>
      <c r="I66" s="3386">
        <f t="shared" ca="1" si="0"/>
        <v>76.510000000000005</v>
      </c>
    </row>
    <row r="67" spans="1:9" hidden="1">
      <c r="A67" s="3521">
        <v>65</v>
      </c>
      <c r="B67" s="3388"/>
      <c r="C67" s="3587" t="s">
        <v>3054</v>
      </c>
      <c r="D67" s="3587">
        <v>4</v>
      </c>
      <c r="E67" s="3587">
        <v>127</v>
      </c>
      <c r="F67" s="3578">
        <v>110.33</v>
      </c>
      <c r="G67" s="3459" t="s">
        <v>7461</v>
      </c>
      <c r="H67" s="3590">
        <f ca="1">'典型户型修正(先权重后修正)'!$R$27</f>
        <v>17533</v>
      </c>
      <c r="I67" s="3386">
        <f t="shared" ca="1" si="0"/>
        <v>193.44</v>
      </c>
    </row>
    <row r="68" spans="1:9" hidden="1">
      <c r="A68" s="3521">
        <v>66</v>
      </c>
      <c r="B68" s="3388" t="s">
        <v>7188</v>
      </c>
      <c r="C68" s="3585" t="s">
        <v>3054</v>
      </c>
      <c r="D68" s="3585">
        <v>-1</v>
      </c>
      <c r="E68" s="3585">
        <v>31</v>
      </c>
      <c r="F68" s="3576">
        <v>45.97</v>
      </c>
      <c r="G68" s="3459" t="s">
        <v>7461</v>
      </c>
      <c r="H68" s="3590">
        <f ca="1">'典型户型修正(先权重后修正)'!$R$29</f>
        <v>17533</v>
      </c>
      <c r="I68" s="3386">
        <f ca="1">ROUND(H68*F68/10000,2)</f>
        <v>80.599999999999994</v>
      </c>
    </row>
    <row r="69" spans="1:9" hidden="1">
      <c r="A69" s="3521">
        <v>67</v>
      </c>
      <c r="B69" s="3388" t="s">
        <v>7189</v>
      </c>
      <c r="C69" s="3585" t="s">
        <v>3054</v>
      </c>
      <c r="D69" s="3585">
        <v>-1</v>
      </c>
      <c r="E69" s="3585">
        <v>42</v>
      </c>
      <c r="F69" s="3576">
        <v>23.9</v>
      </c>
      <c r="G69" s="3459" t="s">
        <v>7461</v>
      </c>
      <c r="H69" s="3590">
        <f ca="1">'典型户型修正(先权重后修正)'!$R$29</f>
        <v>17533</v>
      </c>
      <c r="I69" s="3386">
        <f t="shared" ref="I69:I131" ca="1" si="1">ROUND(H69*F69/10000,2)</f>
        <v>41.9</v>
      </c>
    </row>
    <row r="70" spans="1:9" hidden="1">
      <c r="A70" s="3521">
        <v>68</v>
      </c>
      <c r="B70" s="3388" t="s">
        <v>7190</v>
      </c>
      <c r="C70" s="3585" t="s">
        <v>3054</v>
      </c>
      <c r="D70" s="3585">
        <v>-1</v>
      </c>
      <c r="E70" s="3585">
        <v>96</v>
      </c>
      <c r="F70" s="3576">
        <v>76.540000000000006</v>
      </c>
      <c r="G70" s="3459" t="s">
        <v>7461</v>
      </c>
      <c r="H70" s="3590">
        <f ca="1">'典型户型修正(先权重后修正)'!$R$29</f>
        <v>17533</v>
      </c>
      <c r="I70" s="3386">
        <f t="shared" ca="1" si="1"/>
        <v>134.19999999999999</v>
      </c>
    </row>
    <row r="71" spans="1:9" hidden="1">
      <c r="A71" s="3521">
        <v>69</v>
      </c>
      <c r="B71" s="3388" t="s">
        <v>7191</v>
      </c>
      <c r="C71" s="3585" t="s">
        <v>3054</v>
      </c>
      <c r="D71" s="3585">
        <v>-1</v>
      </c>
      <c r="E71" s="3585">
        <v>153</v>
      </c>
      <c r="F71" s="3576">
        <v>85.33</v>
      </c>
      <c r="G71" s="3459" t="s">
        <v>7461</v>
      </c>
      <c r="H71" s="3590">
        <f ca="1">'典型户型修正(先权重后修正)'!$R$29</f>
        <v>17533</v>
      </c>
      <c r="I71" s="3386">
        <f t="shared" ca="1" si="1"/>
        <v>149.61000000000001</v>
      </c>
    </row>
    <row r="72" spans="1:9" hidden="1">
      <c r="A72" s="3521">
        <v>70</v>
      </c>
      <c r="B72" s="3388" t="s">
        <v>7192</v>
      </c>
      <c r="C72" s="3585" t="s">
        <v>3054</v>
      </c>
      <c r="D72" s="3585">
        <v>-1</v>
      </c>
      <c r="E72" s="3585">
        <v>157</v>
      </c>
      <c r="F72" s="3576">
        <v>51.08</v>
      </c>
      <c r="G72" s="3459" t="s">
        <v>7461</v>
      </c>
      <c r="H72" s="3590">
        <f ca="1">'典型户型修正(先权重后修正)'!$R$29</f>
        <v>17533</v>
      </c>
      <c r="I72" s="3386">
        <f t="shared" ca="1" si="1"/>
        <v>89.56</v>
      </c>
    </row>
    <row r="73" spans="1:9" hidden="1">
      <c r="A73" s="3521">
        <v>71</v>
      </c>
      <c r="B73" s="3388" t="s">
        <v>7193</v>
      </c>
      <c r="C73" s="3585" t="s">
        <v>3054</v>
      </c>
      <c r="D73" s="3585">
        <v>-1</v>
      </c>
      <c r="E73" s="3585">
        <v>160</v>
      </c>
      <c r="F73" s="3576">
        <v>48.86</v>
      </c>
      <c r="G73" s="3459" t="s">
        <v>7461</v>
      </c>
      <c r="H73" s="3590">
        <f ca="1">'典型户型修正(先权重后修正)'!$R$29</f>
        <v>17533</v>
      </c>
      <c r="I73" s="3386">
        <f t="shared" ca="1" si="1"/>
        <v>85.67</v>
      </c>
    </row>
    <row r="74" spans="1:9" hidden="1">
      <c r="A74" s="3521">
        <v>72</v>
      </c>
      <c r="B74" s="3388" t="s">
        <v>7194</v>
      </c>
      <c r="C74" s="3585" t="s">
        <v>3054</v>
      </c>
      <c r="D74" s="3585">
        <v>-1</v>
      </c>
      <c r="E74" s="3585">
        <v>279</v>
      </c>
      <c r="F74" s="3576">
        <v>84.5</v>
      </c>
      <c r="G74" s="3459" t="s">
        <v>7461</v>
      </c>
      <c r="H74" s="3590">
        <f ca="1">'典型户型修正(先权重后修正)'!$R$29</f>
        <v>17533</v>
      </c>
      <c r="I74" s="3386">
        <f t="shared" ca="1" si="1"/>
        <v>148.15</v>
      </c>
    </row>
    <row r="75" spans="1:9" hidden="1">
      <c r="A75" s="3521">
        <v>73</v>
      </c>
      <c r="B75" s="3388"/>
      <c r="C75" s="3587" t="s">
        <v>3054</v>
      </c>
      <c r="D75" s="3587">
        <v>-1</v>
      </c>
      <c r="E75" s="3587">
        <v>56</v>
      </c>
      <c r="F75" s="3578">
        <v>42.93</v>
      </c>
      <c r="G75" s="3459" t="s">
        <v>7461</v>
      </c>
      <c r="H75" s="3590">
        <f ca="1">'典型户型修正(先权重后修正)'!$R$29</f>
        <v>17533</v>
      </c>
      <c r="I75" s="3386">
        <f t="shared" ca="1" si="1"/>
        <v>75.27</v>
      </c>
    </row>
    <row r="76" spans="1:9" hidden="1">
      <c r="A76" s="3521">
        <v>74</v>
      </c>
      <c r="B76" s="3388"/>
      <c r="C76" s="3587" t="s">
        <v>3054</v>
      </c>
      <c r="D76" s="3587">
        <v>-1</v>
      </c>
      <c r="E76" s="3587">
        <v>57</v>
      </c>
      <c r="F76" s="3578">
        <v>58.53</v>
      </c>
      <c r="G76" s="3459" t="s">
        <v>7461</v>
      </c>
      <c r="H76" s="3590">
        <f ca="1">'典型户型修正(先权重后修正)'!$R$29</f>
        <v>17533</v>
      </c>
      <c r="I76" s="3386">
        <f t="shared" ca="1" si="1"/>
        <v>102.62</v>
      </c>
    </row>
    <row r="77" spans="1:9" hidden="1">
      <c r="A77" s="3521">
        <v>75</v>
      </c>
      <c r="B77" s="3388"/>
      <c r="C77" s="3587" t="s">
        <v>3054</v>
      </c>
      <c r="D77" s="3587">
        <v>-1</v>
      </c>
      <c r="E77" s="3587">
        <v>58</v>
      </c>
      <c r="F77" s="3578">
        <v>67.930000000000007</v>
      </c>
      <c r="G77" s="3459" t="s">
        <v>7461</v>
      </c>
      <c r="H77" s="3590">
        <f ca="1">'典型户型修正(先权重后修正)'!$R$29</f>
        <v>17533</v>
      </c>
      <c r="I77" s="3386">
        <f t="shared" ca="1" si="1"/>
        <v>119.1</v>
      </c>
    </row>
    <row r="78" spans="1:9" hidden="1">
      <c r="A78" s="3521">
        <v>76</v>
      </c>
      <c r="B78" s="3388"/>
      <c r="C78" s="3587" t="s">
        <v>3054</v>
      </c>
      <c r="D78" s="3587">
        <v>-1</v>
      </c>
      <c r="E78" s="3587">
        <v>113</v>
      </c>
      <c r="F78" s="3578">
        <v>60.57</v>
      </c>
      <c r="G78" s="3459" t="s">
        <v>7461</v>
      </c>
      <c r="H78" s="3590">
        <f ca="1">'典型户型修正(先权重后修正)'!$R$29</f>
        <v>17533</v>
      </c>
      <c r="I78" s="3386">
        <f t="shared" ca="1" si="1"/>
        <v>106.2</v>
      </c>
    </row>
    <row r="79" spans="1:9" hidden="1">
      <c r="A79" s="3521">
        <v>77</v>
      </c>
      <c r="B79" s="3388"/>
      <c r="C79" s="3587" t="s">
        <v>3054</v>
      </c>
      <c r="D79" s="3587">
        <v>-1</v>
      </c>
      <c r="E79" s="3587">
        <v>300</v>
      </c>
      <c r="F79" s="3578">
        <v>49.07</v>
      </c>
      <c r="G79" s="3459" t="s">
        <v>7461</v>
      </c>
      <c r="H79" s="3590">
        <f ca="1">'典型户型修正(先权重后修正)'!$R$29</f>
        <v>17533</v>
      </c>
      <c r="I79" s="3386">
        <f t="shared" ca="1" si="1"/>
        <v>86.03</v>
      </c>
    </row>
    <row r="80" spans="1:9" hidden="1">
      <c r="A80" s="3521">
        <v>78</v>
      </c>
      <c r="B80" s="3388"/>
      <c r="C80" s="3587" t="s">
        <v>3054</v>
      </c>
      <c r="D80" s="3587">
        <v>-1</v>
      </c>
      <c r="E80" s="3587">
        <v>301</v>
      </c>
      <c r="F80" s="3578">
        <v>68.34</v>
      </c>
      <c r="G80" s="3459" t="s">
        <v>7461</v>
      </c>
      <c r="H80" s="3590">
        <f ca="1">'典型户型修正(先权重后修正)'!$R$29</f>
        <v>17533</v>
      </c>
      <c r="I80" s="3386">
        <f t="shared" ca="1" si="1"/>
        <v>119.82</v>
      </c>
    </row>
    <row r="81" spans="1:9" hidden="1">
      <c r="A81" s="3521">
        <v>79</v>
      </c>
      <c r="B81" s="3388"/>
      <c r="C81" s="3587" t="s">
        <v>3054</v>
      </c>
      <c r="D81" s="3587">
        <v>-1</v>
      </c>
      <c r="E81" s="3587">
        <v>302</v>
      </c>
      <c r="F81" s="3578">
        <v>43.49</v>
      </c>
      <c r="G81" s="3459" t="s">
        <v>7461</v>
      </c>
      <c r="H81" s="3590">
        <f ca="1">'典型户型修正(先权重后修正)'!$R$29</f>
        <v>17533</v>
      </c>
      <c r="I81" s="3386">
        <f t="shared" ca="1" si="1"/>
        <v>76.25</v>
      </c>
    </row>
    <row r="82" spans="1:9" hidden="1">
      <c r="A82" s="3521">
        <v>80</v>
      </c>
      <c r="B82" s="3388"/>
      <c r="C82" s="3587" t="s">
        <v>3054</v>
      </c>
      <c r="D82" s="3587">
        <v>-1</v>
      </c>
      <c r="E82" s="3587">
        <v>303</v>
      </c>
      <c r="F82" s="3578">
        <v>42.61</v>
      </c>
      <c r="G82" s="3459" t="s">
        <v>7461</v>
      </c>
      <c r="H82" s="3590">
        <f ca="1">'典型户型修正(先权重后修正)'!$R$29</f>
        <v>17533</v>
      </c>
      <c r="I82" s="3386">
        <f t="shared" ca="1" si="1"/>
        <v>74.709999999999994</v>
      </c>
    </row>
    <row r="83" spans="1:9" hidden="1">
      <c r="A83" s="3521">
        <v>81</v>
      </c>
      <c r="B83" s="3388"/>
      <c r="C83" s="3587" t="s">
        <v>3054</v>
      </c>
      <c r="D83" s="3587">
        <v>-1</v>
      </c>
      <c r="E83" s="3587">
        <v>305</v>
      </c>
      <c r="F83" s="3578">
        <v>61.51</v>
      </c>
      <c r="G83" s="3459" t="s">
        <v>7461</v>
      </c>
      <c r="H83" s="3590">
        <f ca="1">'典型户型修正(先权重后修正)'!$R$29</f>
        <v>17533</v>
      </c>
      <c r="I83" s="3386">
        <f t="shared" ca="1" si="1"/>
        <v>107.85</v>
      </c>
    </row>
    <row r="84" spans="1:9" hidden="1">
      <c r="A84" s="3521">
        <v>82</v>
      </c>
      <c r="B84" s="3388"/>
      <c r="C84" s="3587" t="s">
        <v>3054</v>
      </c>
      <c r="D84" s="3587">
        <v>-1</v>
      </c>
      <c r="E84" s="3587">
        <v>306</v>
      </c>
      <c r="F84" s="3578">
        <v>60.41</v>
      </c>
      <c r="G84" s="3459" t="s">
        <v>7461</v>
      </c>
      <c r="H84" s="3590">
        <f ca="1">'典型户型修正(先权重后修正)'!$R$29</f>
        <v>17533</v>
      </c>
      <c r="I84" s="3386">
        <f t="shared" ca="1" si="1"/>
        <v>105.92</v>
      </c>
    </row>
    <row r="85" spans="1:9" hidden="1">
      <c r="A85" s="3521">
        <v>83</v>
      </c>
      <c r="B85" s="3388"/>
      <c r="C85" s="3587" t="s">
        <v>3054</v>
      </c>
      <c r="D85" s="3587">
        <v>-1</v>
      </c>
      <c r="E85" s="3587">
        <v>307</v>
      </c>
      <c r="F85" s="3578">
        <v>58.18</v>
      </c>
      <c r="G85" s="3459" t="s">
        <v>7461</v>
      </c>
      <c r="H85" s="3590">
        <f ca="1">'典型户型修正(先权重后修正)'!$R$29</f>
        <v>17533</v>
      </c>
      <c r="I85" s="3386">
        <f t="shared" ca="1" si="1"/>
        <v>102.01</v>
      </c>
    </row>
    <row r="86" spans="1:9" hidden="1">
      <c r="A86" s="3521">
        <v>84</v>
      </c>
      <c r="B86" s="3388"/>
      <c r="C86" s="3587" t="s">
        <v>3054</v>
      </c>
      <c r="D86" s="3587">
        <v>-1</v>
      </c>
      <c r="E86" s="3587">
        <v>17</v>
      </c>
      <c r="F86" s="3578">
        <v>73.14</v>
      </c>
      <c r="G86" s="3459" t="s">
        <v>7461</v>
      </c>
      <c r="H86" s="3590">
        <f ca="1">'典型户型修正(先权重后修正)'!$R$29</f>
        <v>17533</v>
      </c>
      <c r="I86" s="3386">
        <f t="shared" ca="1" si="1"/>
        <v>128.24</v>
      </c>
    </row>
    <row r="87" spans="1:9" hidden="1">
      <c r="A87" s="3521">
        <v>85</v>
      </c>
      <c r="B87" s="3388"/>
      <c r="C87" s="3587" t="s">
        <v>3054</v>
      </c>
      <c r="D87" s="3587">
        <v>-1</v>
      </c>
      <c r="E87" s="3587">
        <v>329</v>
      </c>
      <c r="F87" s="3578">
        <v>64.66</v>
      </c>
      <c r="G87" s="3459" t="s">
        <v>7461</v>
      </c>
      <c r="H87" s="3590">
        <f ca="1">'典型户型修正(先权重后修正)'!$R$29</f>
        <v>17533</v>
      </c>
      <c r="I87" s="3386">
        <f t="shared" ca="1" si="1"/>
        <v>113.37</v>
      </c>
    </row>
    <row r="88" spans="1:9" hidden="1">
      <c r="A88" s="3521">
        <v>86</v>
      </c>
      <c r="B88" s="3388"/>
      <c r="C88" s="3587" t="s">
        <v>3054</v>
      </c>
      <c r="D88" s="3587">
        <v>-1</v>
      </c>
      <c r="E88" s="3587">
        <v>336</v>
      </c>
      <c r="F88" s="3578">
        <v>73.52</v>
      </c>
      <c r="G88" s="3459" t="s">
        <v>7461</v>
      </c>
      <c r="H88" s="3590">
        <f ca="1">'典型户型修正(先权重后修正)'!$R$29</f>
        <v>17533</v>
      </c>
      <c r="I88" s="3386">
        <f t="shared" ca="1" si="1"/>
        <v>128.9</v>
      </c>
    </row>
    <row r="89" spans="1:9" hidden="1">
      <c r="A89" s="3521">
        <v>87</v>
      </c>
      <c r="B89" s="3388"/>
      <c r="C89" s="3587" t="s">
        <v>3054</v>
      </c>
      <c r="D89" s="3587">
        <v>-1</v>
      </c>
      <c r="E89" s="3587">
        <v>337</v>
      </c>
      <c r="F89" s="3578">
        <v>73.55</v>
      </c>
      <c r="G89" s="3459" t="s">
        <v>7461</v>
      </c>
      <c r="H89" s="3590">
        <f ca="1">'典型户型修正(先权重后修正)'!$R$29</f>
        <v>17533</v>
      </c>
      <c r="I89" s="3386">
        <f t="shared" ca="1" si="1"/>
        <v>128.96</v>
      </c>
    </row>
    <row r="90" spans="1:9" hidden="1">
      <c r="A90" s="3521">
        <v>88</v>
      </c>
      <c r="B90" s="3388"/>
      <c r="C90" s="3587" t="s">
        <v>3054</v>
      </c>
      <c r="D90" s="3587">
        <v>-1</v>
      </c>
      <c r="E90" s="3587">
        <v>338</v>
      </c>
      <c r="F90" s="3578">
        <v>73.55</v>
      </c>
      <c r="G90" s="3459" t="s">
        <v>7461</v>
      </c>
      <c r="H90" s="3590">
        <f ca="1">'典型户型修正(先权重后修正)'!$R$29</f>
        <v>17533</v>
      </c>
      <c r="I90" s="3386">
        <f t="shared" ca="1" si="1"/>
        <v>128.96</v>
      </c>
    </row>
    <row r="91" spans="1:9" hidden="1">
      <c r="A91" s="3521">
        <v>89</v>
      </c>
      <c r="B91" s="3388"/>
      <c r="C91" s="3587" t="s">
        <v>3054</v>
      </c>
      <c r="D91" s="3587">
        <v>-1</v>
      </c>
      <c r="E91" s="3587">
        <v>339</v>
      </c>
      <c r="F91" s="3578">
        <v>71.16</v>
      </c>
      <c r="G91" s="3459" t="s">
        <v>7461</v>
      </c>
      <c r="H91" s="3590">
        <f ca="1">'典型户型修正(先权重后修正)'!$R$29</f>
        <v>17533</v>
      </c>
      <c r="I91" s="3386">
        <f t="shared" ca="1" si="1"/>
        <v>124.76</v>
      </c>
    </row>
    <row r="92" spans="1:9" hidden="1">
      <c r="A92" s="3521">
        <v>90</v>
      </c>
      <c r="B92" s="3388"/>
      <c r="C92" s="3587" t="s">
        <v>3054</v>
      </c>
      <c r="D92" s="3587">
        <v>-1</v>
      </c>
      <c r="E92" s="3587">
        <v>340</v>
      </c>
      <c r="F92" s="3578">
        <v>74.25</v>
      </c>
      <c r="G92" s="3459" t="s">
        <v>7461</v>
      </c>
      <c r="H92" s="3590">
        <f ca="1">'典型户型修正(先权重后修正)'!$R$29</f>
        <v>17533</v>
      </c>
      <c r="I92" s="3386">
        <f t="shared" ca="1" si="1"/>
        <v>130.18</v>
      </c>
    </row>
    <row r="93" spans="1:9" hidden="1">
      <c r="A93" s="3521">
        <v>91</v>
      </c>
      <c r="B93" s="3388"/>
      <c r="C93" s="3587" t="s">
        <v>3054</v>
      </c>
      <c r="D93" s="3587">
        <v>-1</v>
      </c>
      <c r="E93" s="3587">
        <v>341</v>
      </c>
      <c r="F93" s="3578">
        <v>72.42</v>
      </c>
      <c r="G93" s="3459" t="s">
        <v>7461</v>
      </c>
      <c r="H93" s="3590">
        <f ca="1">'典型户型修正(先权重后修正)'!$R$29</f>
        <v>17533</v>
      </c>
      <c r="I93" s="3386">
        <f t="shared" ca="1" si="1"/>
        <v>126.97</v>
      </c>
    </row>
    <row r="94" spans="1:9" hidden="1">
      <c r="A94" s="3521">
        <v>92</v>
      </c>
      <c r="B94" s="3388" t="s">
        <v>7194</v>
      </c>
      <c r="C94" s="3585" t="s">
        <v>3055</v>
      </c>
      <c r="D94" s="3585">
        <v>1</v>
      </c>
      <c r="E94" s="3585">
        <v>71</v>
      </c>
      <c r="F94" s="3576">
        <v>138.15</v>
      </c>
      <c r="G94" s="3459" t="s">
        <v>7461</v>
      </c>
      <c r="H94" s="3590">
        <f ca="1">'典型户型修正(先权重后修正)'!$R$24</f>
        <v>35065</v>
      </c>
      <c r="I94" s="3386">
        <f t="shared" ca="1" si="1"/>
        <v>484.42</v>
      </c>
    </row>
    <row r="95" spans="1:9" hidden="1">
      <c r="A95" s="3521">
        <v>93</v>
      </c>
      <c r="B95" s="3388" t="s">
        <v>7195</v>
      </c>
      <c r="C95" s="3585" t="s">
        <v>3055</v>
      </c>
      <c r="D95" s="3585">
        <v>1</v>
      </c>
      <c r="E95" s="3585">
        <v>130</v>
      </c>
      <c r="F95" s="3576">
        <v>44.39</v>
      </c>
      <c r="G95" s="3459" t="s">
        <v>7461</v>
      </c>
      <c r="H95" s="3590">
        <f ca="1">'典型户型修正(先权重后修正)'!$R$24</f>
        <v>35065</v>
      </c>
      <c r="I95" s="3386">
        <f t="shared" ca="1" si="1"/>
        <v>155.65</v>
      </c>
    </row>
    <row r="96" spans="1:9" hidden="1">
      <c r="A96" s="3521">
        <v>94</v>
      </c>
      <c r="B96" s="3388" t="s">
        <v>7196</v>
      </c>
      <c r="C96" s="3586" t="s">
        <v>3055</v>
      </c>
      <c r="D96" s="3586">
        <v>1</v>
      </c>
      <c r="E96" s="3586">
        <v>155</v>
      </c>
      <c r="F96" s="3577">
        <v>127.21</v>
      </c>
      <c r="G96" s="3459" t="s">
        <v>7461</v>
      </c>
      <c r="H96" s="3590">
        <f ca="1">'典型户型修正(先权重后修正)'!$R$24</f>
        <v>35065</v>
      </c>
      <c r="I96" s="3386">
        <f t="shared" ca="1" si="1"/>
        <v>446.06</v>
      </c>
    </row>
    <row r="97" spans="1:9" hidden="1">
      <c r="A97" s="3521">
        <v>95</v>
      </c>
      <c r="B97" s="3388"/>
      <c r="C97" s="3587" t="s">
        <v>3055</v>
      </c>
      <c r="D97" s="3587">
        <v>1</v>
      </c>
      <c r="E97" s="3587">
        <v>145</v>
      </c>
      <c r="F97" s="3578">
        <v>45.36</v>
      </c>
      <c r="G97" s="3459" t="s">
        <v>7461</v>
      </c>
      <c r="H97" s="3590">
        <f ca="1">'典型户型修正(先权重后修正)'!$R$24</f>
        <v>35065</v>
      </c>
      <c r="I97" s="3386">
        <f t="shared" ca="1" si="1"/>
        <v>159.05000000000001</v>
      </c>
    </row>
    <row r="98" spans="1:9" hidden="1">
      <c r="A98" s="3521">
        <v>96</v>
      </c>
      <c r="B98" s="3388"/>
      <c r="C98" s="3587" t="s">
        <v>3055</v>
      </c>
      <c r="D98" s="3587">
        <v>1</v>
      </c>
      <c r="E98" s="3587">
        <v>165</v>
      </c>
      <c r="F98" s="3578">
        <v>73.38</v>
      </c>
      <c r="G98" s="3459" t="s">
        <v>7461</v>
      </c>
      <c r="H98" s="3590">
        <f ca="1">'典型户型修正(先权重后修正)'!$R$24</f>
        <v>35065</v>
      </c>
      <c r="I98" s="3386">
        <f t="shared" ca="1" si="1"/>
        <v>257.31</v>
      </c>
    </row>
    <row r="99" spans="1:9" hidden="1">
      <c r="A99" s="3521">
        <v>97</v>
      </c>
      <c r="B99" s="3388" t="s">
        <v>7197</v>
      </c>
      <c r="C99" s="3585" t="s">
        <v>3055</v>
      </c>
      <c r="D99" s="3585">
        <v>2</v>
      </c>
      <c r="E99" s="3585">
        <v>3</v>
      </c>
      <c r="F99" s="3576">
        <v>38.96</v>
      </c>
      <c r="G99" s="3459" t="s">
        <v>7461</v>
      </c>
      <c r="H99" s="3590">
        <f ca="1">'典型户型修正(先权重后修正)'!$R$25</f>
        <v>24546</v>
      </c>
      <c r="I99" s="3386">
        <f t="shared" ca="1" si="1"/>
        <v>95.63</v>
      </c>
    </row>
    <row r="100" spans="1:9" hidden="1">
      <c r="A100" s="3521">
        <v>98</v>
      </c>
      <c r="B100" s="3388" t="s">
        <v>7198</v>
      </c>
      <c r="C100" s="3585" t="s">
        <v>3055</v>
      </c>
      <c r="D100" s="3585">
        <v>2</v>
      </c>
      <c r="E100" s="3585">
        <v>82</v>
      </c>
      <c r="F100" s="3576">
        <v>39.94</v>
      </c>
      <c r="G100" s="3459" t="s">
        <v>7461</v>
      </c>
      <c r="H100" s="3590">
        <f ca="1">'典型户型修正(先权重后修正)'!$R$25</f>
        <v>24546</v>
      </c>
      <c r="I100" s="3386">
        <f t="shared" ca="1" si="1"/>
        <v>98.04</v>
      </c>
    </row>
    <row r="101" spans="1:9" hidden="1">
      <c r="A101" s="3521">
        <v>99</v>
      </c>
      <c r="B101" s="3388" t="s">
        <v>7199</v>
      </c>
      <c r="C101" s="3585" t="s">
        <v>3055</v>
      </c>
      <c r="D101" s="3585">
        <v>2</v>
      </c>
      <c r="E101" s="3585">
        <v>83</v>
      </c>
      <c r="F101" s="3576">
        <v>27.96</v>
      </c>
      <c r="G101" s="3459" t="s">
        <v>7461</v>
      </c>
      <c r="H101" s="3590">
        <f ca="1">'典型户型修正(先权重后修正)'!$R$25</f>
        <v>24546</v>
      </c>
      <c r="I101" s="3386">
        <f t="shared" ca="1" si="1"/>
        <v>68.63</v>
      </c>
    </row>
    <row r="102" spans="1:9" hidden="1">
      <c r="A102" s="3521">
        <v>100</v>
      </c>
      <c r="B102" s="3388" t="s">
        <v>7200</v>
      </c>
      <c r="C102" s="3585" t="s">
        <v>3055</v>
      </c>
      <c r="D102" s="3585">
        <v>2</v>
      </c>
      <c r="E102" s="3585">
        <v>108</v>
      </c>
      <c r="F102" s="3576">
        <v>79.03</v>
      </c>
      <c r="G102" s="3459" t="s">
        <v>7461</v>
      </c>
      <c r="H102" s="3590">
        <f ca="1">'典型户型修正(先权重后修正)'!$R$25</f>
        <v>24546</v>
      </c>
      <c r="I102" s="3386">
        <f t="shared" ca="1" si="1"/>
        <v>193.99</v>
      </c>
    </row>
    <row r="103" spans="1:9" hidden="1">
      <c r="A103" s="3521">
        <v>101</v>
      </c>
      <c r="B103" s="3388" t="s">
        <v>7201</v>
      </c>
      <c r="C103" s="3585" t="s">
        <v>3055</v>
      </c>
      <c r="D103" s="3585">
        <v>2</v>
      </c>
      <c r="E103" s="3585">
        <v>116</v>
      </c>
      <c r="F103" s="3576">
        <v>118.85</v>
      </c>
      <c r="G103" s="3459" t="s">
        <v>7461</v>
      </c>
      <c r="H103" s="3590">
        <f ca="1">'典型户型修正(先权重后修正)'!$R$25</f>
        <v>24546</v>
      </c>
      <c r="I103" s="3386">
        <f t="shared" ca="1" si="1"/>
        <v>291.73</v>
      </c>
    </row>
    <row r="104" spans="1:9" hidden="1">
      <c r="A104" s="3521">
        <v>102</v>
      </c>
      <c r="B104" s="3388" t="s">
        <v>7202</v>
      </c>
      <c r="C104" s="3585" t="s">
        <v>3055</v>
      </c>
      <c r="D104" s="3585">
        <v>2</v>
      </c>
      <c r="E104" s="3585">
        <v>131</v>
      </c>
      <c r="F104" s="3576">
        <v>79.17</v>
      </c>
      <c r="G104" s="3459" t="s">
        <v>7461</v>
      </c>
      <c r="H104" s="3590">
        <f ca="1">'典型户型修正(先权重后修正)'!$R$25</f>
        <v>24546</v>
      </c>
      <c r="I104" s="3386">
        <f t="shared" ca="1" si="1"/>
        <v>194.33</v>
      </c>
    </row>
    <row r="105" spans="1:9" hidden="1">
      <c r="A105" s="3521">
        <v>103</v>
      </c>
      <c r="B105" s="3388" t="s">
        <v>7203</v>
      </c>
      <c r="C105" s="3585" t="s">
        <v>3055</v>
      </c>
      <c r="D105" s="3585">
        <v>2</v>
      </c>
      <c r="E105" s="3585">
        <v>132</v>
      </c>
      <c r="F105" s="3576">
        <v>44.03</v>
      </c>
      <c r="G105" s="3459" t="s">
        <v>7461</v>
      </c>
      <c r="H105" s="3590">
        <f ca="1">'典型户型修正(先权重后修正)'!$R$25</f>
        <v>24546</v>
      </c>
      <c r="I105" s="3386">
        <f t="shared" ca="1" si="1"/>
        <v>108.08</v>
      </c>
    </row>
    <row r="106" spans="1:9" hidden="1">
      <c r="A106" s="3521">
        <v>104</v>
      </c>
      <c r="B106" s="3388" t="s">
        <v>7204</v>
      </c>
      <c r="C106" s="3585" t="s">
        <v>3055</v>
      </c>
      <c r="D106" s="3585">
        <v>2</v>
      </c>
      <c r="E106" s="3585">
        <v>133</v>
      </c>
      <c r="F106" s="3576">
        <v>45.29</v>
      </c>
      <c r="G106" s="3459" t="s">
        <v>7461</v>
      </c>
      <c r="H106" s="3590">
        <f ca="1">'典型户型修正(先权重后修正)'!$R$25</f>
        <v>24546</v>
      </c>
      <c r="I106" s="3386">
        <f t="shared" ca="1" si="1"/>
        <v>111.17</v>
      </c>
    </row>
    <row r="107" spans="1:9" hidden="1">
      <c r="A107" s="3521">
        <v>105</v>
      </c>
      <c r="B107" s="3388" t="s">
        <v>7205</v>
      </c>
      <c r="C107" s="3585" t="s">
        <v>3055</v>
      </c>
      <c r="D107" s="3585">
        <v>2</v>
      </c>
      <c r="E107" s="3585">
        <v>189</v>
      </c>
      <c r="F107" s="3576">
        <v>25.73</v>
      </c>
      <c r="G107" s="3459" t="s">
        <v>7461</v>
      </c>
      <c r="H107" s="3590">
        <f ca="1">'典型户型修正(先权重后修正)'!$R$25</f>
        <v>24546</v>
      </c>
      <c r="I107" s="3386">
        <f t="shared" ca="1" si="1"/>
        <v>63.16</v>
      </c>
    </row>
    <row r="108" spans="1:9" hidden="1">
      <c r="A108" s="3521">
        <v>106</v>
      </c>
      <c r="B108" s="3388" t="s">
        <v>7206</v>
      </c>
      <c r="C108" s="3585" t="s">
        <v>3055</v>
      </c>
      <c r="D108" s="3585">
        <v>2</v>
      </c>
      <c r="E108" s="3585">
        <v>190</v>
      </c>
      <c r="F108" s="3576">
        <v>44.85</v>
      </c>
      <c r="G108" s="3459" t="s">
        <v>7461</v>
      </c>
      <c r="H108" s="3590">
        <f ca="1">'典型户型修正(先权重后修正)'!$R$25</f>
        <v>24546</v>
      </c>
      <c r="I108" s="3386">
        <f t="shared" ca="1" si="1"/>
        <v>110.09</v>
      </c>
    </row>
    <row r="109" spans="1:9" hidden="1">
      <c r="A109" s="3521">
        <v>107</v>
      </c>
      <c r="B109" s="3388" t="s">
        <v>7207</v>
      </c>
      <c r="C109" s="3585" t="s">
        <v>3055</v>
      </c>
      <c r="D109" s="3585">
        <v>2</v>
      </c>
      <c r="E109" s="3585">
        <v>195</v>
      </c>
      <c r="F109" s="3576">
        <v>42.84</v>
      </c>
      <c r="G109" s="3459" t="s">
        <v>7461</v>
      </c>
      <c r="H109" s="3590">
        <f ca="1">'典型户型修正(先权重后修正)'!$R$25</f>
        <v>24546</v>
      </c>
      <c r="I109" s="3386">
        <f t="shared" ca="1" si="1"/>
        <v>105.16</v>
      </c>
    </row>
    <row r="110" spans="1:9" hidden="1">
      <c r="A110" s="3521">
        <v>108</v>
      </c>
      <c r="B110" s="3388" t="s">
        <v>7208</v>
      </c>
      <c r="C110" s="3585" t="s">
        <v>3055</v>
      </c>
      <c r="D110" s="3585">
        <v>2</v>
      </c>
      <c r="E110" s="3585">
        <v>196</v>
      </c>
      <c r="F110" s="3576">
        <v>42.84</v>
      </c>
      <c r="G110" s="3459" t="s">
        <v>7461</v>
      </c>
      <c r="H110" s="3590">
        <f ca="1">'典型户型修正(先权重后修正)'!$R$25</f>
        <v>24546</v>
      </c>
      <c r="I110" s="3386">
        <f t="shared" ca="1" si="1"/>
        <v>105.16</v>
      </c>
    </row>
    <row r="111" spans="1:9" hidden="1">
      <c r="A111" s="3521">
        <v>109</v>
      </c>
      <c r="B111" s="3388" t="s">
        <v>7209</v>
      </c>
      <c r="C111" s="3585" t="s">
        <v>3055</v>
      </c>
      <c r="D111" s="3585">
        <v>2</v>
      </c>
      <c r="E111" s="3585">
        <v>226</v>
      </c>
      <c r="F111" s="3576">
        <v>39.51</v>
      </c>
      <c r="G111" s="3459" t="s">
        <v>7461</v>
      </c>
      <c r="H111" s="3590">
        <f ca="1">'典型户型修正(先权重后修正)'!$R$25</f>
        <v>24546</v>
      </c>
      <c r="I111" s="3386">
        <f t="shared" ca="1" si="1"/>
        <v>96.98</v>
      </c>
    </row>
    <row r="112" spans="1:9" hidden="1">
      <c r="A112" s="3521">
        <v>110</v>
      </c>
      <c r="B112" s="3388" t="s">
        <v>7210</v>
      </c>
      <c r="C112" s="3585" t="s">
        <v>3055</v>
      </c>
      <c r="D112" s="3585">
        <v>2</v>
      </c>
      <c r="E112" s="3585">
        <v>239</v>
      </c>
      <c r="F112" s="3576">
        <v>39.49</v>
      </c>
      <c r="G112" s="3459" t="s">
        <v>7461</v>
      </c>
      <c r="H112" s="3590">
        <f ca="1">'典型户型修正(先权重后修正)'!$R$25</f>
        <v>24546</v>
      </c>
      <c r="I112" s="3386">
        <f t="shared" ca="1" si="1"/>
        <v>96.93</v>
      </c>
    </row>
    <row r="113" spans="1:9" hidden="1">
      <c r="A113" s="3521">
        <v>111</v>
      </c>
      <c r="B113" s="3388"/>
      <c r="C113" s="3587" t="s">
        <v>3055</v>
      </c>
      <c r="D113" s="3587">
        <v>2</v>
      </c>
      <c r="E113" s="3587">
        <v>26</v>
      </c>
      <c r="F113" s="3578">
        <v>38.96</v>
      </c>
      <c r="G113" s="3459" t="s">
        <v>7461</v>
      </c>
      <c r="H113" s="3590">
        <f ca="1">'典型户型修正(先权重后修正)'!$R$25</f>
        <v>24546</v>
      </c>
      <c r="I113" s="3386">
        <f t="shared" ca="1" si="1"/>
        <v>95.63</v>
      </c>
    </row>
    <row r="114" spans="1:9" hidden="1">
      <c r="A114" s="3521">
        <v>112</v>
      </c>
      <c r="B114" s="3388"/>
      <c r="C114" s="3587" t="s">
        <v>3055</v>
      </c>
      <c r="D114" s="3587">
        <v>2</v>
      </c>
      <c r="E114" s="3587">
        <v>65</v>
      </c>
      <c r="F114" s="3578">
        <v>118.41</v>
      </c>
      <c r="G114" s="3459" t="s">
        <v>7461</v>
      </c>
      <c r="H114" s="3590">
        <f ca="1">'典型户型修正(先权重后修正)'!$R$25</f>
        <v>24546</v>
      </c>
      <c r="I114" s="3386">
        <f t="shared" ca="1" si="1"/>
        <v>290.64999999999998</v>
      </c>
    </row>
    <row r="115" spans="1:9" hidden="1">
      <c r="A115" s="3521">
        <v>113</v>
      </c>
      <c r="B115" s="3388"/>
      <c r="C115" s="3587" t="s">
        <v>3055</v>
      </c>
      <c r="D115" s="3587">
        <v>2</v>
      </c>
      <c r="E115" s="3587">
        <v>103</v>
      </c>
      <c r="F115" s="3578">
        <v>120.99</v>
      </c>
      <c r="G115" s="3459" t="s">
        <v>7461</v>
      </c>
      <c r="H115" s="3590">
        <f ca="1">'典型户型修正(先权重后修正)'!$R$25</f>
        <v>24546</v>
      </c>
      <c r="I115" s="3386">
        <f t="shared" ca="1" si="1"/>
        <v>296.98</v>
      </c>
    </row>
    <row r="116" spans="1:9" hidden="1">
      <c r="A116" s="3521">
        <v>114</v>
      </c>
      <c r="B116" s="3388"/>
      <c r="C116" s="3587" t="s">
        <v>3055</v>
      </c>
      <c r="D116" s="3587">
        <v>2</v>
      </c>
      <c r="E116" s="3587">
        <v>146</v>
      </c>
      <c r="F116" s="3578">
        <v>68.010000000000005</v>
      </c>
      <c r="G116" s="3459" t="s">
        <v>7461</v>
      </c>
      <c r="H116" s="3590">
        <f ca="1">'典型户型修正(先权重后修正)'!$R$25</f>
        <v>24546</v>
      </c>
      <c r="I116" s="3386">
        <f t="shared" ca="1" si="1"/>
        <v>166.94</v>
      </c>
    </row>
    <row r="117" spans="1:9" hidden="1">
      <c r="A117" s="3521">
        <v>115</v>
      </c>
      <c r="B117" s="3388"/>
      <c r="C117" s="3587" t="s">
        <v>3055</v>
      </c>
      <c r="D117" s="3587">
        <v>2</v>
      </c>
      <c r="E117" s="3587">
        <v>168</v>
      </c>
      <c r="F117" s="3578">
        <v>69.709999999999994</v>
      </c>
      <c r="G117" s="3459" t="s">
        <v>7461</v>
      </c>
      <c r="H117" s="3590">
        <f ca="1">'典型户型修正(先权重后修正)'!$R$25</f>
        <v>24546</v>
      </c>
      <c r="I117" s="3386">
        <f t="shared" ca="1" si="1"/>
        <v>171.11</v>
      </c>
    </row>
    <row r="118" spans="1:9" hidden="1">
      <c r="A118" s="3521">
        <v>116</v>
      </c>
      <c r="B118" s="3388"/>
      <c r="C118" s="3587" t="s">
        <v>3055</v>
      </c>
      <c r="D118" s="3587">
        <v>2</v>
      </c>
      <c r="E118" s="3587">
        <v>245</v>
      </c>
      <c r="F118" s="3578">
        <v>59.14</v>
      </c>
      <c r="G118" s="3459" t="s">
        <v>7461</v>
      </c>
      <c r="H118" s="3590">
        <f ca="1">'典型户型修正(先权重后修正)'!$R$25</f>
        <v>24546</v>
      </c>
      <c r="I118" s="3386">
        <f t="shared" ca="1" si="1"/>
        <v>145.16999999999999</v>
      </c>
    </row>
    <row r="119" spans="1:9" hidden="1">
      <c r="A119" s="3521">
        <v>117</v>
      </c>
      <c r="B119" s="3388" t="s">
        <v>7211</v>
      </c>
      <c r="C119" s="3585" t="s">
        <v>3055</v>
      </c>
      <c r="D119" s="3585">
        <v>3</v>
      </c>
      <c r="E119" s="3585">
        <v>77</v>
      </c>
      <c r="F119" s="3576">
        <v>39.79</v>
      </c>
      <c r="G119" s="3459" t="s">
        <v>7461</v>
      </c>
      <c r="H119" s="3590">
        <f ca="1">'典型户型修正(先权重后修正)'!$R$26</f>
        <v>17533</v>
      </c>
      <c r="I119" s="3386">
        <f t="shared" ca="1" si="1"/>
        <v>69.760000000000005</v>
      </c>
    </row>
    <row r="120" spans="1:9" hidden="1">
      <c r="A120" s="3521">
        <v>118</v>
      </c>
      <c r="B120" s="3388" t="s">
        <v>7212</v>
      </c>
      <c r="C120" s="3585" t="s">
        <v>3055</v>
      </c>
      <c r="D120" s="3585">
        <v>3</v>
      </c>
      <c r="E120" s="3585">
        <v>78</v>
      </c>
      <c r="F120" s="3576">
        <v>27.85</v>
      </c>
      <c r="G120" s="3459" t="s">
        <v>7461</v>
      </c>
      <c r="H120" s="3590">
        <f ca="1">'典型户型修正(先权重后修正)'!$R$26</f>
        <v>17533</v>
      </c>
      <c r="I120" s="3386">
        <f t="shared" ca="1" si="1"/>
        <v>48.83</v>
      </c>
    </row>
    <row r="121" spans="1:9" hidden="1">
      <c r="A121" s="3521">
        <v>119</v>
      </c>
      <c r="B121" s="3388" t="s">
        <v>7213</v>
      </c>
      <c r="C121" s="3585" t="s">
        <v>3055</v>
      </c>
      <c r="D121" s="3585">
        <v>3</v>
      </c>
      <c r="E121" s="3585">
        <v>146</v>
      </c>
      <c r="F121" s="3576">
        <v>131</v>
      </c>
      <c r="G121" s="3459" t="s">
        <v>7461</v>
      </c>
      <c r="H121" s="3590">
        <f ca="1">'典型户型修正(先权重后修正)'!$R$26</f>
        <v>17533</v>
      </c>
      <c r="I121" s="3386">
        <f t="shared" ca="1" si="1"/>
        <v>229.68</v>
      </c>
    </row>
    <row r="122" spans="1:9" hidden="1">
      <c r="A122" s="3521">
        <v>120</v>
      </c>
      <c r="B122" s="3388" t="s">
        <v>7214</v>
      </c>
      <c r="C122" s="3585" t="s">
        <v>3055</v>
      </c>
      <c r="D122" s="3585">
        <v>3</v>
      </c>
      <c r="E122" s="3585">
        <v>175</v>
      </c>
      <c r="F122" s="3576">
        <v>105.82</v>
      </c>
      <c r="G122" s="3459" t="s">
        <v>7461</v>
      </c>
      <c r="H122" s="3590">
        <f ca="1">'典型户型修正(先权重后修正)'!$R$26</f>
        <v>17533</v>
      </c>
      <c r="I122" s="3386">
        <f t="shared" ca="1" si="1"/>
        <v>185.53</v>
      </c>
    </row>
    <row r="123" spans="1:9" hidden="1">
      <c r="A123" s="3521">
        <v>121</v>
      </c>
      <c r="B123" s="3388" t="s">
        <v>7215</v>
      </c>
      <c r="C123" s="3586" t="s">
        <v>3055</v>
      </c>
      <c r="D123" s="3586">
        <v>3</v>
      </c>
      <c r="E123" s="3586">
        <v>62</v>
      </c>
      <c r="F123" s="3577">
        <v>67.33</v>
      </c>
      <c r="G123" s="3459" t="s">
        <v>7461</v>
      </c>
      <c r="H123" s="3590">
        <f ca="1">'典型户型修正(先权重后修正)'!$R$26</f>
        <v>17533</v>
      </c>
      <c r="I123" s="3386">
        <f t="shared" ca="1" si="1"/>
        <v>118.05</v>
      </c>
    </row>
    <row r="124" spans="1:9" hidden="1">
      <c r="A124" s="3521">
        <v>122</v>
      </c>
      <c r="B124" s="3388" t="s">
        <v>7216</v>
      </c>
      <c r="C124" s="3586" t="s">
        <v>3055</v>
      </c>
      <c r="D124" s="3586">
        <v>3</v>
      </c>
      <c r="E124" s="3586">
        <v>75</v>
      </c>
      <c r="F124" s="3577">
        <v>84.13</v>
      </c>
      <c r="G124" s="3459" t="s">
        <v>7461</v>
      </c>
      <c r="H124" s="3590">
        <f ca="1">'典型户型修正(先权重后修正)'!$R$26</f>
        <v>17533</v>
      </c>
      <c r="I124" s="3386">
        <f t="shared" ca="1" si="1"/>
        <v>147.51</v>
      </c>
    </row>
    <row r="125" spans="1:9" hidden="1">
      <c r="A125" s="3521">
        <v>123</v>
      </c>
      <c r="B125" s="3388"/>
      <c r="C125" s="3587" t="s">
        <v>3055</v>
      </c>
      <c r="D125" s="3587">
        <v>3</v>
      </c>
      <c r="E125" s="3587">
        <v>166</v>
      </c>
      <c r="F125" s="3578">
        <v>90.46</v>
      </c>
      <c r="G125" s="3459" t="s">
        <v>7461</v>
      </c>
      <c r="H125" s="3590">
        <f ca="1">'典型户型修正(先权重后修正)'!$R$26</f>
        <v>17533</v>
      </c>
      <c r="I125" s="3386">
        <f t="shared" ca="1" si="1"/>
        <v>158.6</v>
      </c>
    </row>
    <row r="126" spans="1:9" hidden="1">
      <c r="A126" s="3521">
        <v>124</v>
      </c>
      <c r="B126" s="3388" t="s">
        <v>7217</v>
      </c>
      <c r="C126" s="3585" t="s">
        <v>3055</v>
      </c>
      <c r="D126" s="3585">
        <v>4</v>
      </c>
      <c r="E126" s="3585">
        <v>40</v>
      </c>
      <c r="F126" s="3576">
        <v>64.8</v>
      </c>
      <c r="G126" s="3459" t="s">
        <v>7461</v>
      </c>
      <c r="H126" s="3590">
        <f ca="1">'典型户型修正(先权重后修正)'!$R$27</f>
        <v>17533</v>
      </c>
      <c r="I126" s="3386">
        <f t="shared" ca="1" si="1"/>
        <v>113.61</v>
      </c>
    </row>
    <row r="127" spans="1:9" hidden="1">
      <c r="A127" s="3521">
        <v>125</v>
      </c>
      <c r="B127" s="3388" t="s">
        <v>7218</v>
      </c>
      <c r="C127" s="3585" t="s">
        <v>3055</v>
      </c>
      <c r="D127" s="3585">
        <v>4</v>
      </c>
      <c r="E127" s="3585">
        <v>55</v>
      </c>
      <c r="F127" s="3576">
        <v>63.09</v>
      </c>
      <c r="G127" s="3459" t="s">
        <v>7461</v>
      </c>
      <c r="H127" s="3590">
        <f ca="1">'典型户型修正(先权重后修正)'!$R$27</f>
        <v>17533</v>
      </c>
      <c r="I127" s="3386">
        <f t="shared" ca="1" si="1"/>
        <v>110.62</v>
      </c>
    </row>
    <row r="128" spans="1:9" hidden="1">
      <c r="A128" s="3521">
        <v>126</v>
      </c>
      <c r="B128" s="3388" t="s">
        <v>7219</v>
      </c>
      <c r="C128" s="3585" t="s">
        <v>3055</v>
      </c>
      <c r="D128" s="3585">
        <v>4</v>
      </c>
      <c r="E128" s="3585">
        <v>56</v>
      </c>
      <c r="F128" s="3576">
        <v>65.05</v>
      </c>
      <c r="G128" s="3459" t="s">
        <v>7461</v>
      </c>
      <c r="H128" s="3590">
        <f ca="1">'典型户型修正(先权重后修正)'!$R$27</f>
        <v>17533</v>
      </c>
      <c r="I128" s="3386">
        <f t="shared" ca="1" si="1"/>
        <v>114.05</v>
      </c>
    </row>
    <row r="129" spans="1:9" hidden="1">
      <c r="A129" s="3521">
        <v>127</v>
      </c>
      <c r="B129" s="3388" t="s">
        <v>7220</v>
      </c>
      <c r="C129" s="3585" t="s">
        <v>3055</v>
      </c>
      <c r="D129" s="3585">
        <v>4</v>
      </c>
      <c r="E129" s="3585">
        <v>57</v>
      </c>
      <c r="F129" s="3576">
        <v>122.68</v>
      </c>
      <c r="G129" s="3459" t="s">
        <v>7461</v>
      </c>
      <c r="H129" s="3590">
        <f ca="1">'典型户型修正(先权重后修正)'!$R$27</f>
        <v>17533</v>
      </c>
      <c r="I129" s="3386">
        <f t="shared" ca="1" si="1"/>
        <v>215.09</v>
      </c>
    </row>
    <row r="130" spans="1:9" hidden="1">
      <c r="A130" s="3521">
        <v>128</v>
      </c>
      <c r="B130" s="3388" t="s">
        <v>7221</v>
      </c>
      <c r="C130" s="3585" t="s">
        <v>3055</v>
      </c>
      <c r="D130" s="3585">
        <v>4</v>
      </c>
      <c r="E130" s="3585">
        <v>58</v>
      </c>
      <c r="F130" s="3576">
        <v>136.9</v>
      </c>
      <c r="G130" s="3459" t="s">
        <v>7461</v>
      </c>
      <c r="H130" s="3590">
        <f ca="1">'典型户型修正(先权重后修正)'!$R$27</f>
        <v>17533</v>
      </c>
      <c r="I130" s="3386">
        <f t="shared" ca="1" si="1"/>
        <v>240.03</v>
      </c>
    </row>
    <row r="131" spans="1:9" hidden="1">
      <c r="A131" s="3521">
        <v>129</v>
      </c>
      <c r="B131" s="3388"/>
      <c r="C131" s="3587" t="s">
        <v>3055</v>
      </c>
      <c r="D131" s="3587">
        <v>4</v>
      </c>
      <c r="E131" s="3587">
        <v>1</v>
      </c>
      <c r="F131" s="3578">
        <v>87.79</v>
      </c>
      <c r="G131" s="3459" t="s">
        <v>7461</v>
      </c>
      <c r="H131" s="3590">
        <f ca="1">'典型户型修正(先权重后修正)'!$R$27</f>
        <v>17533</v>
      </c>
      <c r="I131" s="3386">
        <f t="shared" ca="1" si="1"/>
        <v>153.91999999999999</v>
      </c>
    </row>
    <row r="132" spans="1:9" hidden="1">
      <c r="A132" s="3521">
        <v>130</v>
      </c>
      <c r="B132" s="3388"/>
      <c r="C132" s="3587" t="s">
        <v>3055</v>
      </c>
      <c r="D132" s="3587">
        <v>4</v>
      </c>
      <c r="E132" s="3587">
        <v>2</v>
      </c>
      <c r="F132" s="3578">
        <v>69.7</v>
      </c>
      <c r="G132" s="3459" t="s">
        <v>7461</v>
      </c>
      <c r="H132" s="3590">
        <f ca="1">'典型户型修正(先权重后修正)'!$R$27</f>
        <v>17533</v>
      </c>
      <c r="I132" s="3386">
        <f t="shared" ref="I132:I195" ca="1" si="2">ROUND(H132*F132/10000,2)</f>
        <v>122.21</v>
      </c>
    </row>
    <row r="133" spans="1:9" hidden="1">
      <c r="A133" s="3521">
        <v>131</v>
      </c>
      <c r="B133" s="3388"/>
      <c r="C133" s="3587" t="s">
        <v>3055</v>
      </c>
      <c r="D133" s="3587">
        <v>4</v>
      </c>
      <c r="E133" s="3587">
        <v>5</v>
      </c>
      <c r="F133" s="3578">
        <v>47.97</v>
      </c>
      <c r="G133" s="3459" t="s">
        <v>7461</v>
      </c>
      <c r="H133" s="3590">
        <f ca="1">'典型户型修正(先权重后修正)'!$R$27</f>
        <v>17533</v>
      </c>
      <c r="I133" s="3386">
        <f t="shared" ca="1" si="2"/>
        <v>84.11</v>
      </c>
    </row>
    <row r="134" spans="1:9" hidden="1">
      <c r="A134" s="3521">
        <v>132</v>
      </c>
      <c r="B134" s="3388"/>
      <c r="C134" s="3587" t="s">
        <v>3055</v>
      </c>
      <c r="D134" s="3587">
        <v>4</v>
      </c>
      <c r="E134" s="3587">
        <v>6</v>
      </c>
      <c r="F134" s="3578">
        <v>77.56</v>
      </c>
      <c r="G134" s="3459" t="s">
        <v>7461</v>
      </c>
      <c r="H134" s="3590">
        <f ca="1">'典型户型修正(先权重后修正)'!$R$27</f>
        <v>17533</v>
      </c>
      <c r="I134" s="3386">
        <f t="shared" ca="1" si="2"/>
        <v>135.99</v>
      </c>
    </row>
    <row r="135" spans="1:9" hidden="1">
      <c r="A135" s="3521">
        <v>133</v>
      </c>
      <c r="B135" s="3388"/>
      <c r="C135" s="3587" t="s">
        <v>3055</v>
      </c>
      <c r="D135" s="3587">
        <v>4</v>
      </c>
      <c r="E135" s="3587">
        <v>13</v>
      </c>
      <c r="F135" s="3578">
        <v>69.47</v>
      </c>
      <c r="G135" s="3459" t="s">
        <v>7461</v>
      </c>
      <c r="H135" s="3590">
        <f ca="1">'典型户型修正(先权重后修正)'!$R$27</f>
        <v>17533</v>
      </c>
      <c r="I135" s="3386">
        <f t="shared" ca="1" si="2"/>
        <v>121.8</v>
      </c>
    </row>
    <row r="136" spans="1:9" hidden="1">
      <c r="A136" s="3521">
        <v>134</v>
      </c>
      <c r="B136" s="3388"/>
      <c r="C136" s="3587" t="s">
        <v>3055</v>
      </c>
      <c r="D136" s="3587">
        <v>4</v>
      </c>
      <c r="E136" s="3587">
        <v>15</v>
      </c>
      <c r="F136" s="3578">
        <v>69.47</v>
      </c>
      <c r="G136" s="3459" t="s">
        <v>7461</v>
      </c>
      <c r="H136" s="3590">
        <f ca="1">'典型户型修正(先权重后修正)'!$R$27</f>
        <v>17533</v>
      </c>
      <c r="I136" s="3386">
        <f t="shared" ca="1" si="2"/>
        <v>121.8</v>
      </c>
    </row>
    <row r="137" spans="1:9" hidden="1">
      <c r="A137" s="3521">
        <v>135</v>
      </c>
      <c r="B137" s="3388"/>
      <c r="C137" s="3587" t="s">
        <v>3055</v>
      </c>
      <c r="D137" s="3587">
        <v>4</v>
      </c>
      <c r="E137" s="3587">
        <v>25</v>
      </c>
      <c r="F137" s="3578">
        <v>45.56</v>
      </c>
      <c r="G137" s="3459" t="s">
        <v>7461</v>
      </c>
      <c r="H137" s="3590">
        <f ca="1">'典型户型修正(先权重后修正)'!$R$27</f>
        <v>17533</v>
      </c>
      <c r="I137" s="3386">
        <f t="shared" ca="1" si="2"/>
        <v>79.88</v>
      </c>
    </row>
    <row r="138" spans="1:9" hidden="1">
      <c r="A138" s="3521">
        <v>136</v>
      </c>
      <c r="B138" s="3388"/>
      <c r="C138" s="3587" t="s">
        <v>3055</v>
      </c>
      <c r="D138" s="3587">
        <v>4</v>
      </c>
      <c r="E138" s="3587">
        <v>26</v>
      </c>
      <c r="F138" s="3578">
        <v>44.45</v>
      </c>
      <c r="G138" s="3459" t="s">
        <v>7461</v>
      </c>
      <c r="H138" s="3590">
        <f ca="1">'典型户型修正(先权重后修正)'!$R$27</f>
        <v>17533</v>
      </c>
      <c r="I138" s="3386">
        <f t="shared" ca="1" si="2"/>
        <v>77.930000000000007</v>
      </c>
    </row>
    <row r="139" spans="1:9" hidden="1">
      <c r="A139" s="3521">
        <v>137</v>
      </c>
      <c r="B139" s="3388"/>
      <c r="C139" s="3587" t="s">
        <v>3055</v>
      </c>
      <c r="D139" s="3587">
        <v>4</v>
      </c>
      <c r="E139" s="3587">
        <v>107</v>
      </c>
      <c r="F139" s="3578">
        <v>42.18</v>
      </c>
      <c r="G139" s="3459" t="s">
        <v>7461</v>
      </c>
      <c r="H139" s="3590">
        <f ca="1">'典型户型修正(先权重后修正)'!$R$27</f>
        <v>17533</v>
      </c>
      <c r="I139" s="3386">
        <f t="shared" ca="1" si="2"/>
        <v>73.95</v>
      </c>
    </row>
    <row r="140" spans="1:9" hidden="1">
      <c r="A140" s="3521">
        <v>138</v>
      </c>
      <c r="B140" s="3388"/>
      <c r="C140" s="3587" t="s">
        <v>3055</v>
      </c>
      <c r="D140" s="3587">
        <v>4</v>
      </c>
      <c r="E140" s="3587">
        <v>108</v>
      </c>
      <c r="F140" s="3578">
        <v>35.06</v>
      </c>
      <c r="G140" s="3459" t="s">
        <v>7461</v>
      </c>
      <c r="H140" s="3590">
        <f ca="1">'典型户型修正(先权重后修正)'!$R$27</f>
        <v>17533</v>
      </c>
      <c r="I140" s="3386">
        <f t="shared" ca="1" si="2"/>
        <v>61.47</v>
      </c>
    </row>
    <row r="141" spans="1:9" hidden="1">
      <c r="A141" s="3521">
        <v>139</v>
      </c>
      <c r="B141" s="3388" t="s">
        <v>7222</v>
      </c>
      <c r="C141" s="3585" t="s">
        <v>3055</v>
      </c>
      <c r="D141" s="3585">
        <v>5</v>
      </c>
      <c r="E141" s="3585">
        <v>47</v>
      </c>
      <c r="F141" s="3576">
        <v>39.909999999999997</v>
      </c>
      <c r="G141" s="3459" t="s">
        <v>7461</v>
      </c>
      <c r="H141" s="3590">
        <f ca="1">I141/F141*10000</f>
        <v>17464.294662991688</v>
      </c>
      <c r="I141" s="3386">
        <f ca="1">'典型户型修正(先权重后修正)'!S27-7185.3</f>
        <v>69.699999999999818</v>
      </c>
    </row>
    <row r="142" spans="1:9" hidden="1">
      <c r="A142" s="3521">
        <v>140</v>
      </c>
      <c r="B142" s="3388" t="s">
        <v>7223</v>
      </c>
      <c r="C142" s="3585" t="s">
        <v>3055</v>
      </c>
      <c r="D142" s="3585">
        <v>-1</v>
      </c>
      <c r="E142" s="3585">
        <v>85</v>
      </c>
      <c r="F142" s="3576">
        <v>51.7</v>
      </c>
      <c r="G142" s="3459" t="s">
        <v>7461</v>
      </c>
      <c r="H142" s="3590">
        <f ca="1">'典型户型修正(先权重后修正)'!$R$29</f>
        <v>17533</v>
      </c>
      <c r="I142" s="3386">
        <f t="shared" ca="1" si="2"/>
        <v>90.65</v>
      </c>
    </row>
    <row r="143" spans="1:9" hidden="1">
      <c r="A143" s="3521">
        <v>141</v>
      </c>
      <c r="B143" s="3388" t="s">
        <v>7224</v>
      </c>
      <c r="C143" s="3585" t="s">
        <v>3055</v>
      </c>
      <c r="D143" s="3585">
        <v>-1</v>
      </c>
      <c r="E143" s="3585">
        <v>96</v>
      </c>
      <c r="F143" s="3576">
        <v>75.13</v>
      </c>
      <c r="G143" s="3459" t="s">
        <v>7461</v>
      </c>
      <c r="H143" s="3590">
        <f ca="1">'典型户型修正(先权重后修正)'!$R$29</f>
        <v>17533</v>
      </c>
      <c r="I143" s="3386">
        <f t="shared" ca="1" si="2"/>
        <v>131.72999999999999</v>
      </c>
    </row>
    <row r="144" spans="1:9" hidden="1">
      <c r="A144" s="3521">
        <v>142</v>
      </c>
      <c r="B144" s="3388" t="s">
        <v>7225</v>
      </c>
      <c r="C144" s="3585" t="s">
        <v>3055</v>
      </c>
      <c r="D144" s="3585">
        <v>-1</v>
      </c>
      <c r="E144" s="3585">
        <v>105</v>
      </c>
      <c r="F144" s="3576">
        <v>27.26</v>
      </c>
      <c r="G144" s="3459" t="s">
        <v>7461</v>
      </c>
      <c r="H144" s="3590">
        <f ca="1">'典型户型修正(先权重后修正)'!$R$29</f>
        <v>17533</v>
      </c>
      <c r="I144" s="3386">
        <f t="shared" ca="1" si="2"/>
        <v>47.79</v>
      </c>
    </row>
    <row r="145" spans="1:9" hidden="1">
      <c r="A145" s="3521">
        <v>143</v>
      </c>
      <c r="B145" s="3388" t="s">
        <v>7226</v>
      </c>
      <c r="C145" s="3585" t="s">
        <v>3055</v>
      </c>
      <c r="D145" s="3585">
        <v>-1</v>
      </c>
      <c r="E145" s="3585">
        <v>183</v>
      </c>
      <c r="F145" s="3576">
        <v>101.16</v>
      </c>
      <c r="G145" s="3459" t="s">
        <v>7461</v>
      </c>
      <c r="H145" s="3590">
        <f ca="1">'典型户型修正(先权重后修正)'!$R$29</f>
        <v>17533</v>
      </c>
      <c r="I145" s="3386">
        <f t="shared" ca="1" si="2"/>
        <v>177.36</v>
      </c>
    </row>
    <row r="146" spans="1:9" hidden="1">
      <c r="A146" s="3521">
        <v>144</v>
      </c>
      <c r="B146" s="3388" t="s">
        <v>7227</v>
      </c>
      <c r="C146" s="3585" t="s">
        <v>3055</v>
      </c>
      <c r="D146" s="3585">
        <v>-1</v>
      </c>
      <c r="E146" s="3585">
        <v>230</v>
      </c>
      <c r="F146" s="3576">
        <v>56.53</v>
      </c>
      <c r="G146" s="3459" t="s">
        <v>7461</v>
      </c>
      <c r="H146" s="3590">
        <f ca="1">'典型户型修正(先权重后修正)'!$R$29</f>
        <v>17533</v>
      </c>
      <c r="I146" s="3386">
        <f t="shared" ca="1" si="2"/>
        <v>99.11</v>
      </c>
    </row>
    <row r="147" spans="1:9" hidden="1">
      <c r="A147" s="3521">
        <v>145</v>
      </c>
      <c r="B147" s="3388"/>
      <c r="C147" s="3587" t="s">
        <v>3055</v>
      </c>
      <c r="D147" s="3587">
        <v>-1</v>
      </c>
      <c r="E147" s="3587">
        <v>71</v>
      </c>
      <c r="F147" s="3578">
        <v>57.51</v>
      </c>
      <c r="G147" s="3459" t="s">
        <v>7461</v>
      </c>
      <c r="H147" s="3590">
        <f ca="1">'典型户型修正(先权重后修正)'!$R$29</f>
        <v>17533</v>
      </c>
      <c r="I147" s="3386">
        <f t="shared" ca="1" si="2"/>
        <v>100.83</v>
      </c>
    </row>
    <row r="148" spans="1:9" hidden="1">
      <c r="A148" s="3521">
        <v>146</v>
      </c>
      <c r="B148" s="3388"/>
      <c r="C148" s="3587" t="s">
        <v>3055</v>
      </c>
      <c r="D148" s="3587">
        <v>-1</v>
      </c>
      <c r="E148" s="3587">
        <v>90</v>
      </c>
      <c r="F148" s="3578">
        <v>92.41</v>
      </c>
      <c r="G148" s="3459" t="s">
        <v>7461</v>
      </c>
      <c r="H148" s="3590">
        <f ca="1">'典型户型修正(先权重后修正)'!$R$29</f>
        <v>17533</v>
      </c>
      <c r="I148" s="3386">
        <f t="shared" ca="1" si="2"/>
        <v>162.02000000000001</v>
      </c>
    </row>
    <row r="149" spans="1:9" hidden="1">
      <c r="A149" s="3521">
        <v>147</v>
      </c>
      <c r="B149" s="3388"/>
      <c r="C149" s="3587" t="s">
        <v>3055</v>
      </c>
      <c r="D149" s="3587">
        <v>-1</v>
      </c>
      <c r="E149" s="3587">
        <v>185</v>
      </c>
      <c r="F149" s="3578">
        <v>155.72</v>
      </c>
      <c r="G149" s="3459" t="s">
        <v>7461</v>
      </c>
      <c r="H149" s="3590">
        <f ca="1">'典型户型修正(先权重后修正)'!$R$29</f>
        <v>17533</v>
      </c>
      <c r="I149" s="3386">
        <f t="shared" ca="1" si="2"/>
        <v>273.02</v>
      </c>
    </row>
    <row r="150" spans="1:9" hidden="1">
      <c r="A150" s="3521">
        <v>148</v>
      </c>
      <c r="B150" s="3388"/>
      <c r="C150" s="3587" t="s">
        <v>3055</v>
      </c>
      <c r="D150" s="3587">
        <v>-1</v>
      </c>
      <c r="E150" s="3587">
        <v>192</v>
      </c>
      <c r="F150" s="3578">
        <v>41.14</v>
      </c>
      <c r="G150" s="3459" t="s">
        <v>7461</v>
      </c>
      <c r="H150" s="3590">
        <f ca="1">'典型户型修正(先权重后修正)'!$R$29</f>
        <v>17533</v>
      </c>
      <c r="I150" s="3386">
        <f t="shared" ca="1" si="2"/>
        <v>72.13</v>
      </c>
    </row>
    <row r="151" spans="1:9" hidden="1">
      <c r="A151" s="3521">
        <v>149</v>
      </c>
      <c r="B151" s="3388"/>
      <c r="C151" s="3587" t="s">
        <v>3055</v>
      </c>
      <c r="D151" s="3587">
        <v>-1</v>
      </c>
      <c r="E151" s="3587">
        <v>193</v>
      </c>
      <c r="F151" s="3578">
        <v>15.36</v>
      </c>
      <c r="G151" s="3459" t="s">
        <v>7461</v>
      </c>
      <c r="H151" s="3590">
        <f ca="1">'典型户型修正(先权重后修正)'!$R$29</f>
        <v>17533</v>
      </c>
      <c r="I151" s="3386">
        <f t="shared" ca="1" si="2"/>
        <v>26.93</v>
      </c>
    </row>
    <row r="152" spans="1:9" hidden="1">
      <c r="A152" s="3521">
        <v>150</v>
      </c>
      <c r="B152" s="3388"/>
      <c r="C152" s="3587" t="s">
        <v>3055</v>
      </c>
      <c r="D152" s="3587">
        <v>-1</v>
      </c>
      <c r="E152" s="3587">
        <v>261</v>
      </c>
      <c r="F152" s="3578">
        <v>108.8</v>
      </c>
      <c r="G152" s="3459" t="s">
        <v>7461</v>
      </c>
      <c r="H152" s="3590">
        <f ca="1">'典型户型修正(先权重后修正)'!$R$29</f>
        <v>17533</v>
      </c>
      <c r="I152" s="3386">
        <f t="shared" ca="1" si="2"/>
        <v>190.76</v>
      </c>
    </row>
    <row r="153" spans="1:9" hidden="1">
      <c r="A153" s="3521">
        <v>151</v>
      </c>
      <c r="B153" s="3388"/>
      <c r="C153" s="3587" t="s">
        <v>3055</v>
      </c>
      <c r="D153" s="3587">
        <v>-1</v>
      </c>
      <c r="E153" s="3587">
        <v>262</v>
      </c>
      <c r="F153" s="3578">
        <v>125.96</v>
      </c>
      <c r="G153" s="3459" t="s">
        <v>7461</v>
      </c>
      <c r="H153" s="3590">
        <f ca="1">'典型户型修正(先权重后修正)'!$R$29</f>
        <v>17533</v>
      </c>
      <c r="I153" s="3386">
        <f t="shared" ca="1" si="2"/>
        <v>220.85</v>
      </c>
    </row>
    <row r="154" spans="1:9" hidden="1">
      <c r="A154" s="3521">
        <v>152</v>
      </c>
      <c r="B154" s="3388"/>
      <c r="C154" s="3587" t="s">
        <v>3055</v>
      </c>
      <c r="D154" s="3587">
        <v>-1</v>
      </c>
      <c r="E154" s="3587">
        <v>265</v>
      </c>
      <c r="F154" s="3578">
        <v>74.36</v>
      </c>
      <c r="G154" s="3459" t="s">
        <v>7461</v>
      </c>
      <c r="H154" s="3590">
        <f ca="1">'典型户型修正(先权重后修正)'!$R$29</f>
        <v>17533</v>
      </c>
      <c r="I154" s="3386">
        <f t="shared" ca="1" si="2"/>
        <v>130.38</v>
      </c>
    </row>
    <row r="155" spans="1:9" hidden="1">
      <c r="A155" s="3521">
        <v>153</v>
      </c>
      <c r="B155" s="3388"/>
      <c r="C155" s="3587" t="s">
        <v>3055</v>
      </c>
      <c r="D155" s="3587">
        <v>-1</v>
      </c>
      <c r="E155" s="3587">
        <v>266</v>
      </c>
      <c r="F155" s="3578">
        <v>74.349999999999994</v>
      </c>
      <c r="G155" s="3459" t="s">
        <v>7461</v>
      </c>
      <c r="H155" s="3590">
        <f ca="1">'典型户型修正(先权重后修正)'!$R$29</f>
        <v>17533</v>
      </c>
      <c r="I155" s="3386">
        <f t="shared" ca="1" si="2"/>
        <v>130.36000000000001</v>
      </c>
    </row>
    <row r="156" spans="1:9" hidden="1">
      <c r="A156" s="3521">
        <v>154</v>
      </c>
      <c r="B156" s="3388"/>
      <c r="C156" s="3587" t="s">
        <v>3055</v>
      </c>
      <c r="D156" s="3587">
        <v>-1</v>
      </c>
      <c r="E156" s="3587">
        <v>268</v>
      </c>
      <c r="F156" s="3578">
        <v>74.41</v>
      </c>
      <c r="G156" s="3459" t="s">
        <v>7461</v>
      </c>
      <c r="H156" s="3590">
        <f ca="1">'典型户型修正(先权重后修正)'!$R$29</f>
        <v>17533</v>
      </c>
      <c r="I156" s="3386">
        <f t="shared" ca="1" si="2"/>
        <v>130.46</v>
      </c>
    </row>
    <row r="157" spans="1:9" hidden="1">
      <c r="A157" s="3521">
        <v>155</v>
      </c>
      <c r="B157" s="3388"/>
      <c r="C157" s="3587" t="s">
        <v>3055</v>
      </c>
      <c r="D157" s="3587">
        <v>-1</v>
      </c>
      <c r="E157" s="3587">
        <v>269</v>
      </c>
      <c r="F157" s="3578">
        <v>78.56</v>
      </c>
      <c r="G157" s="3459" t="s">
        <v>7461</v>
      </c>
      <c r="H157" s="3590">
        <f ca="1">'典型户型修正(先权重后修正)'!$R$29</f>
        <v>17533</v>
      </c>
      <c r="I157" s="3386">
        <f t="shared" ca="1" si="2"/>
        <v>137.74</v>
      </c>
    </row>
    <row r="158" spans="1:9" hidden="1">
      <c r="A158" s="3521">
        <v>156</v>
      </c>
      <c r="B158" s="3388"/>
      <c r="C158" s="3587" t="s">
        <v>3055</v>
      </c>
      <c r="D158" s="3587">
        <v>-1</v>
      </c>
      <c r="E158" s="3587">
        <v>271</v>
      </c>
      <c r="F158" s="3578">
        <v>69.52</v>
      </c>
      <c r="G158" s="3459" t="s">
        <v>7461</v>
      </c>
      <c r="H158" s="3590">
        <f ca="1">'典型户型修正(先权重后修正)'!$R$29</f>
        <v>17533</v>
      </c>
      <c r="I158" s="3386">
        <f t="shared" ca="1" si="2"/>
        <v>121.89</v>
      </c>
    </row>
    <row r="159" spans="1:9">
      <c r="A159" s="3521">
        <v>157</v>
      </c>
      <c r="B159" s="3388" t="s">
        <v>7228</v>
      </c>
      <c r="C159" s="3585" t="s">
        <v>3055</v>
      </c>
      <c r="D159" s="3585">
        <v>-2</v>
      </c>
      <c r="E159" s="3585">
        <v>105</v>
      </c>
      <c r="F159" s="3576">
        <v>74.87</v>
      </c>
      <c r="G159" s="3459" t="s">
        <v>7461</v>
      </c>
      <c r="H159" s="3590">
        <f ca="1">'典型户型修正(先权重后修正)'!$R$30</f>
        <v>14026</v>
      </c>
      <c r="I159" s="3386">
        <f ca="1">ROUND(H159*F159/10000,2)</f>
        <v>105.01</v>
      </c>
    </row>
    <row r="160" spans="1:9">
      <c r="A160" s="3521">
        <v>158</v>
      </c>
      <c r="B160" s="3388" t="s">
        <v>7229</v>
      </c>
      <c r="C160" s="3585" t="s">
        <v>3055</v>
      </c>
      <c r="D160" s="3585">
        <v>-2</v>
      </c>
      <c r="E160" s="3585">
        <v>106</v>
      </c>
      <c r="F160" s="3576">
        <v>125.62</v>
      </c>
      <c r="G160" s="3459" t="s">
        <v>7461</v>
      </c>
      <c r="H160" s="3590">
        <f ca="1">'典型户型修正(先权重后修正)'!$R$30</f>
        <v>14026</v>
      </c>
      <c r="I160" s="3386">
        <f t="shared" ca="1" si="2"/>
        <v>176.19</v>
      </c>
    </row>
    <row r="161" spans="1:9">
      <c r="A161" s="3521">
        <v>159</v>
      </c>
      <c r="B161" s="3388"/>
      <c r="C161" s="3587" t="s">
        <v>3055</v>
      </c>
      <c r="D161" s="3587">
        <v>-2</v>
      </c>
      <c r="E161" s="3587">
        <v>7</v>
      </c>
      <c r="F161" s="3578">
        <v>71.959999999999994</v>
      </c>
      <c r="G161" s="3459" t="s">
        <v>7461</v>
      </c>
      <c r="H161" s="3590">
        <f ca="1">'典型户型修正(先权重后修正)'!$R$30</f>
        <v>14026</v>
      </c>
      <c r="I161" s="3386">
        <f t="shared" ca="1" si="2"/>
        <v>100.93</v>
      </c>
    </row>
    <row r="162" spans="1:9">
      <c r="A162" s="3521">
        <v>160</v>
      </c>
      <c r="B162" s="3388"/>
      <c r="C162" s="3587" t="s">
        <v>3055</v>
      </c>
      <c r="D162" s="3587">
        <v>-2</v>
      </c>
      <c r="E162" s="3587">
        <v>53</v>
      </c>
      <c r="F162" s="3578">
        <v>48.66</v>
      </c>
      <c r="G162" s="3459" t="s">
        <v>7461</v>
      </c>
      <c r="H162" s="3590">
        <f ca="1">'典型户型修正(先权重后修正)'!$R$30</f>
        <v>14026</v>
      </c>
      <c r="I162" s="3386">
        <f t="shared" ca="1" si="2"/>
        <v>68.25</v>
      </c>
    </row>
    <row r="163" spans="1:9">
      <c r="A163" s="3521">
        <v>161</v>
      </c>
      <c r="B163" s="3388"/>
      <c r="C163" s="3587" t="s">
        <v>3055</v>
      </c>
      <c r="D163" s="3587">
        <v>-2</v>
      </c>
      <c r="E163" s="3587">
        <v>55</v>
      </c>
      <c r="F163" s="3578">
        <v>48.36</v>
      </c>
      <c r="G163" s="3459" t="s">
        <v>7461</v>
      </c>
      <c r="H163" s="3590">
        <f ca="1">'典型户型修正(先权重后修正)'!$R$30</f>
        <v>14026</v>
      </c>
      <c r="I163" s="3386">
        <f t="shared" ca="1" si="2"/>
        <v>67.83</v>
      </c>
    </row>
    <row r="164" spans="1:9">
      <c r="A164" s="3521">
        <v>162</v>
      </c>
      <c r="B164" s="3388"/>
      <c r="C164" s="3587" t="s">
        <v>3055</v>
      </c>
      <c r="D164" s="3587">
        <v>-2</v>
      </c>
      <c r="E164" s="3587">
        <v>76</v>
      </c>
      <c r="F164" s="3578">
        <v>76.66</v>
      </c>
      <c r="G164" s="3459" t="s">
        <v>7461</v>
      </c>
      <c r="H164" s="3590">
        <f ca="1">'典型户型修正(先权重后修正)'!$R$30</f>
        <v>14026</v>
      </c>
      <c r="I164" s="3386">
        <f t="shared" ca="1" si="2"/>
        <v>107.52</v>
      </c>
    </row>
    <row r="165" spans="1:9">
      <c r="A165" s="3521">
        <v>163</v>
      </c>
      <c r="B165" s="3388"/>
      <c r="C165" s="3587" t="s">
        <v>3055</v>
      </c>
      <c r="D165" s="3587">
        <v>-2</v>
      </c>
      <c r="E165" s="3587">
        <v>91</v>
      </c>
      <c r="F165" s="3578">
        <v>48.39</v>
      </c>
      <c r="G165" s="3459" t="s">
        <v>7461</v>
      </c>
      <c r="H165" s="3590">
        <f ca="1">'典型户型修正(先权重后修正)'!$R$30</f>
        <v>14026</v>
      </c>
      <c r="I165" s="3386">
        <f t="shared" ca="1" si="2"/>
        <v>67.87</v>
      </c>
    </row>
    <row r="166" spans="1:9">
      <c r="A166" s="3521">
        <v>164</v>
      </c>
      <c r="B166" s="3388"/>
      <c r="C166" s="3587" t="s">
        <v>3055</v>
      </c>
      <c r="D166" s="3587">
        <v>-2</v>
      </c>
      <c r="E166" s="3587">
        <v>108</v>
      </c>
      <c r="F166" s="3578">
        <v>182.42</v>
      </c>
      <c r="G166" s="3459" t="s">
        <v>7461</v>
      </c>
      <c r="H166" s="3590">
        <f ca="1">'典型户型修正(先权重后修正)'!$R$30</f>
        <v>14026</v>
      </c>
      <c r="I166" s="3386">
        <f t="shared" ca="1" si="2"/>
        <v>255.86</v>
      </c>
    </row>
    <row r="167" spans="1:9">
      <c r="A167" s="3521">
        <v>165</v>
      </c>
      <c r="B167" s="3388"/>
      <c r="C167" s="3587" t="s">
        <v>3055</v>
      </c>
      <c r="D167" s="3587">
        <v>-2</v>
      </c>
      <c r="E167" s="3587">
        <v>109</v>
      </c>
      <c r="F167" s="3578">
        <v>94.19</v>
      </c>
      <c r="G167" s="3459" t="s">
        <v>7461</v>
      </c>
      <c r="H167" s="3590">
        <f ca="1">'典型户型修正(先权重后修正)'!$R$30</f>
        <v>14026</v>
      </c>
      <c r="I167" s="3386">
        <f t="shared" ca="1" si="2"/>
        <v>132.11000000000001</v>
      </c>
    </row>
    <row r="168" spans="1:9">
      <c r="A168" s="3521">
        <v>166</v>
      </c>
      <c r="B168" s="3388"/>
      <c r="C168" s="3587" t="s">
        <v>3055</v>
      </c>
      <c r="D168" s="3587">
        <v>-2</v>
      </c>
      <c r="E168" s="3587">
        <v>176</v>
      </c>
      <c r="F168" s="3578">
        <v>60.56</v>
      </c>
      <c r="G168" s="3459" t="s">
        <v>7461</v>
      </c>
      <c r="H168" s="3590">
        <f ca="1">'典型户型修正(先权重后修正)'!$R$30</f>
        <v>14026</v>
      </c>
      <c r="I168" s="3386">
        <f t="shared" ca="1" si="2"/>
        <v>84.94</v>
      </c>
    </row>
    <row r="169" spans="1:9">
      <c r="A169" s="3521">
        <v>167</v>
      </c>
      <c r="B169" s="3388"/>
      <c r="C169" s="3587" t="s">
        <v>3055</v>
      </c>
      <c r="D169" s="3587">
        <v>-2</v>
      </c>
      <c r="E169" s="3587">
        <v>177</v>
      </c>
      <c r="F169" s="3578">
        <v>60.56</v>
      </c>
      <c r="G169" s="3459" t="s">
        <v>7461</v>
      </c>
      <c r="H169" s="3590">
        <f ca="1">'典型户型修正(先权重后修正)'!$R$30</f>
        <v>14026</v>
      </c>
      <c r="I169" s="3386">
        <f t="shared" ca="1" si="2"/>
        <v>84.94</v>
      </c>
    </row>
    <row r="170" spans="1:9">
      <c r="A170" s="3521">
        <v>168</v>
      </c>
      <c r="B170" s="3388"/>
      <c r="C170" s="3587" t="s">
        <v>3055</v>
      </c>
      <c r="D170" s="3587">
        <v>-2</v>
      </c>
      <c r="E170" s="3587">
        <v>178</v>
      </c>
      <c r="F170" s="3578">
        <v>49</v>
      </c>
      <c r="G170" s="3459" t="s">
        <v>7461</v>
      </c>
      <c r="H170" s="3590">
        <f ca="1">'典型户型修正(先权重后修正)'!$R$30</f>
        <v>14026</v>
      </c>
      <c r="I170" s="3386">
        <f t="shared" ca="1" si="2"/>
        <v>68.73</v>
      </c>
    </row>
    <row r="171" spans="1:9">
      <c r="A171" s="3521">
        <v>169</v>
      </c>
      <c r="B171" s="3388"/>
      <c r="C171" s="3587" t="s">
        <v>3055</v>
      </c>
      <c r="D171" s="3587">
        <v>-2</v>
      </c>
      <c r="E171" s="3587">
        <v>179</v>
      </c>
      <c r="F171" s="3578">
        <v>58.17</v>
      </c>
      <c r="G171" s="3459" t="s">
        <v>7461</v>
      </c>
      <c r="H171" s="3590">
        <f ca="1">'典型户型修正(先权重后修正)'!$R$30</f>
        <v>14026</v>
      </c>
      <c r="I171" s="3386">
        <f t="shared" ca="1" si="2"/>
        <v>81.59</v>
      </c>
    </row>
    <row r="172" spans="1:9">
      <c r="A172" s="3521">
        <v>170</v>
      </c>
      <c r="B172" s="3388"/>
      <c r="C172" s="3587" t="s">
        <v>3055</v>
      </c>
      <c r="D172" s="3587">
        <v>-2</v>
      </c>
      <c r="E172" s="3587">
        <v>180</v>
      </c>
      <c r="F172" s="3578">
        <v>44.61</v>
      </c>
      <c r="G172" s="3459" t="s">
        <v>7461</v>
      </c>
      <c r="H172" s="3590">
        <f ca="1">'典型户型修正(先权重后修正)'!$R$30</f>
        <v>14026</v>
      </c>
      <c r="I172" s="3386">
        <f t="shared" ca="1" si="2"/>
        <v>62.57</v>
      </c>
    </row>
    <row r="173" spans="1:9">
      <c r="A173" s="3521">
        <v>171</v>
      </c>
      <c r="B173" s="3388"/>
      <c r="C173" s="3587" t="s">
        <v>3055</v>
      </c>
      <c r="D173" s="3587">
        <v>-2</v>
      </c>
      <c r="E173" s="3587">
        <v>183</v>
      </c>
      <c r="F173" s="3578">
        <v>72.44</v>
      </c>
      <c r="G173" s="3459" t="s">
        <v>7461</v>
      </c>
      <c r="H173" s="3590">
        <f ca="1">'典型户型修正(先权重后修正)'!$R$30</f>
        <v>14026</v>
      </c>
      <c r="I173" s="3386">
        <f t="shared" ca="1" si="2"/>
        <v>101.6</v>
      </c>
    </row>
    <row r="174" spans="1:9">
      <c r="A174" s="3521">
        <v>172</v>
      </c>
      <c r="B174" s="3388"/>
      <c r="C174" s="3587" t="s">
        <v>3055</v>
      </c>
      <c r="D174" s="3587">
        <v>-2</v>
      </c>
      <c r="E174" s="3587">
        <v>185</v>
      </c>
      <c r="F174" s="3578">
        <v>78.680000000000007</v>
      </c>
      <c r="G174" s="3459" t="s">
        <v>7461</v>
      </c>
      <c r="H174" s="3590">
        <f ca="1">'典型户型修正(先权重后修正)'!$R$30</f>
        <v>14026</v>
      </c>
      <c r="I174" s="3386">
        <f t="shared" ca="1" si="2"/>
        <v>110.36</v>
      </c>
    </row>
    <row r="175" spans="1:9">
      <c r="A175" s="3521">
        <v>173</v>
      </c>
      <c r="B175" s="3388"/>
      <c r="C175" s="3587" t="s">
        <v>3055</v>
      </c>
      <c r="D175" s="3587">
        <v>-2</v>
      </c>
      <c r="E175" s="3587">
        <v>186</v>
      </c>
      <c r="F175" s="3578">
        <v>167.72</v>
      </c>
      <c r="G175" s="3459" t="s">
        <v>7461</v>
      </c>
      <c r="H175" s="3590">
        <f ca="1">'典型户型修正(先权重后修正)'!$R$30</f>
        <v>14026</v>
      </c>
      <c r="I175" s="3386">
        <f t="shared" ca="1" si="2"/>
        <v>235.24</v>
      </c>
    </row>
    <row r="176" spans="1:9">
      <c r="A176" s="3521">
        <v>174</v>
      </c>
      <c r="B176" s="3388"/>
      <c r="C176" s="3587" t="s">
        <v>3055</v>
      </c>
      <c r="D176" s="3587">
        <v>-2</v>
      </c>
      <c r="E176" s="3587">
        <v>187</v>
      </c>
      <c r="F176" s="3578">
        <v>94.21</v>
      </c>
      <c r="G176" s="3459" t="s">
        <v>7461</v>
      </c>
      <c r="H176" s="3590">
        <f ca="1">'典型户型修正(先权重后修正)'!$R$30</f>
        <v>14026</v>
      </c>
      <c r="I176" s="3386">
        <f t="shared" ca="1" si="2"/>
        <v>132.13999999999999</v>
      </c>
    </row>
    <row r="177" spans="1:9">
      <c r="A177" s="3521">
        <v>175</v>
      </c>
      <c r="B177" s="3388"/>
      <c r="C177" s="3587" t="s">
        <v>3055</v>
      </c>
      <c r="D177" s="3587">
        <v>-2</v>
      </c>
      <c r="E177" s="3587">
        <v>188</v>
      </c>
      <c r="F177" s="3578">
        <v>95.09</v>
      </c>
      <c r="G177" s="3459" t="s">
        <v>7461</v>
      </c>
      <c r="H177" s="3590">
        <f ca="1">'典型户型修正(先权重后修正)'!$R$30</f>
        <v>14026</v>
      </c>
      <c r="I177" s="3386">
        <f t="shared" ca="1" si="2"/>
        <v>133.37</v>
      </c>
    </row>
    <row r="178" spans="1:9">
      <c r="A178" s="3521">
        <v>176</v>
      </c>
      <c r="B178" s="3388"/>
      <c r="C178" s="3587" t="s">
        <v>3055</v>
      </c>
      <c r="D178" s="3587">
        <v>-2</v>
      </c>
      <c r="E178" s="3587">
        <v>189</v>
      </c>
      <c r="F178" s="3578">
        <v>85.55</v>
      </c>
      <c r="G178" s="3459" t="s">
        <v>7461</v>
      </c>
      <c r="H178" s="3590">
        <f ca="1">'典型户型修正(先权重后修正)'!$R$30</f>
        <v>14026</v>
      </c>
      <c r="I178" s="3386">
        <f t="shared" ca="1" si="2"/>
        <v>119.99</v>
      </c>
    </row>
    <row r="179" spans="1:9">
      <c r="A179" s="3521">
        <v>177</v>
      </c>
      <c r="B179" s="3388"/>
      <c r="C179" s="3587" t="s">
        <v>3055</v>
      </c>
      <c r="D179" s="3587">
        <v>-2</v>
      </c>
      <c r="E179" s="3587">
        <v>192</v>
      </c>
      <c r="F179" s="3578">
        <v>56.02</v>
      </c>
      <c r="G179" s="3459" t="s">
        <v>7461</v>
      </c>
      <c r="H179" s="3590">
        <f ca="1">'典型户型修正(先权重后修正)'!$R$30</f>
        <v>14026</v>
      </c>
      <c r="I179" s="3386">
        <f t="shared" ca="1" si="2"/>
        <v>78.569999999999993</v>
      </c>
    </row>
    <row r="180" spans="1:9">
      <c r="A180" s="3521">
        <v>178</v>
      </c>
      <c r="B180" s="3388"/>
      <c r="C180" s="3587" t="s">
        <v>3055</v>
      </c>
      <c r="D180" s="3587">
        <v>-2</v>
      </c>
      <c r="E180" s="3587">
        <v>193</v>
      </c>
      <c r="F180" s="3578">
        <v>70.66</v>
      </c>
      <c r="G180" s="3459" t="s">
        <v>7461</v>
      </c>
      <c r="H180" s="3590">
        <f ca="1">'典型户型修正(先权重后修正)'!$R$30</f>
        <v>14026</v>
      </c>
      <c r="I180" s="3386">
        <f t="shared" ca="1" si="2"/>
        <v>99.11</v>
      </c>
    </row>
    <row r="181" spans="1:9">
      <c r="A181" s="3521">
        <v>179</v>
      </c>
      <c r="B181" s="3388"/>
      <c r="C181" s="3587" t="s">
        <v>3055</v>
      </c>
      <c r="D181" s="3587">
        <v>-2</v>
      </c>
      <c r="E181" s="3587">
        <v>195</v>
      </c>
      <c r="F181" s="3578">
        <v>54.8</v>
      </c>
      <c r="G181" s="3459" t="s">
        <v>7461</v>
      </c>
      <c r="H181" s="3590">
        <f ca="1">'典型户型修正(先权重后修正)'!$R$30</f>
        <v>14026</v>
      </c>
      <c r="I181" s="3386">
        <f t="shared" ca="1" si="2"/>
        <v>76.86</v>
      </c>
    </row>
    <row r="182" spans="1:9">
      <c r="A182" s="3521">
        <v>180</v>
      </c>
      <c r="B182" s="3388"/>
      <c r="C182" s="3587" t="s">
        <v>3055</v>
      </c>
      <c r="D182" s="3587">
        <v>-2</v>
      </c>
      <c r="E182" s="3587">
        <v>196</v>
      </c>
      <c r="F182" s="3578">
        <v>71.27</v>
      </c>
      <c r="G182" s="3459" t="s">
        <v>7461</v>
      </c>
      <c r="H182" s="3590">
        <f ca="1">'典型户型修正(先权重后修正)'!$R$30</f>
        <v>14026</v>
      </c>
      <c r="I182" s="3386">
        <f t="shared" ca="1" si="2"/>
        <v>99.96</v>
      </c>
    </row>
    <row r="183" spans="1:9">
      <c r="A183" s="3521">
        <v>181</v>
      </c>
      <c r="B183" s="3388"/>
      <c r="C183" s="3587" t="s">
        <v>3055</v>
      </c>
      <c r="D183" s="3587">
        <v>-2</v>
      </c>
      <c r="E183" s="3587">
        <v>197</v>
      </c>
      <c r="F183" s="3578">
        <v>76.78</v>
      </c>
      <c r="G183" s="3459" t="s">
        <v>7461</v>
      </c>
      <c r="H183" s="3590">
        <f ca="1">'典型户型修正(先权重后修正)'!$R$30</f>
        <v>14026</v>
      </c>
      <c r="I183" s="3386">
        <f t="shared" ca="1" si="2"/>
        <v>107.69</v>
      </c>
    </row>
    <row r="184" spans="1:9">
      <c r="A184" s="3521">
        <v>182</v>
      </c>
      <c r="B184" s="3388"/>
      <c r="C184" s="3587" t="s">
        <v>3055</v>
      </c>
      <c r="D184" s="3587">
        <v>-2</v>
      </c>
      <c r="E184" s="3587">
        <v>202</v>
      </c>
      <c r="F184" s="3578">
        <v>156.22999999999999</v>
      </c>
      <c r="G184" s="3459" t="s">
        <v>7461</v>
      </c>
      <c r="H184" s="3590">
        <f ca="1">'典型户型修正(先权重后修正)'!$R$30</f>
        <v>14026</v>
      </c>
      <c r="I184" s="3386">
        <f t="shared" ca="1" si="2"/>
        <v>219.13</v>
      </c>
    </row>
    <row r="185" spans="1:9">
      <c r="A185" s="3521">
        <v>183</v>
      </c>
      <c r="B185" s="3388"/>
      <c r="C185" s="3587" t="s">
        <v>3055</v>
      </c>
      <c r="D185" s="3587">
        <v>-2</v>
      </c>
      <c r="E185" s="3587">
        <v>203</v>
      </c>
      <c r="F185" s="3578">
        <v>64.56</v>
      </c>
      <c r="G185" s="3459" t="s">
        <v>7461</v>
      </c>
      <c r="H185" s="3590">
        <f ca="1">'典型户型修正(先权重后修正)'!$R$30</f>
        <v>14026</v>
      </c>
      <c r="I185" s="3386">
        <f t="shared" ca="1" si="2"/>
        <v>90.55</v>
      </c>
    </row>
    <row r="186" spans="1:9">
      <c r="A186" s="3521">
        <v>184</v>
      </c>
      <c r="B186" s="3388"/>
      <c r="C186" s="3587" t="s">
        <v>3055</v>
      </c>
      <c r="D186" s="3587">
        <v>-2</v>
      </c>
      <c r="E186" s="3587">
        <v>205</v>
      </c>
      <c r="F186" s="3578">
        <v>63.78</v>
      </c>
      <c r="G186" s="3459" t="s">
        <v>7461</v>
      </c>
      <c r="H186" s="3590">
        <f ca="1">'典型户型修正(先权重后修正)'!$R$30</f>
        <v>14026</v>
      </c>
      <c r="I186" s="3386">
        <f t="shared" ca="1" si="2"/>
        <v>89.46</v>
      </c>
    </row>
    <row r="187" spans="1:9">
      <c r="A187" s="3521">
        <v>185</v>
      </c>
      <c r="B187" s="3388"/>
      <c r="C187" s="3587" t="s">
        <v>3055</v>
      </c>
      <c r="D187" s="3587">
        <v>-2</v>
      </c>
      <c r="E187" s="3587">
        <v>208</v>
      </c>
      <c r="F187" s="3578">
        <v>33.94</v>
      </c>
      <c r="G187" s="3459" t="s">
        <v>7461</v>
      </c>
      <c r="H187" s="3590">
        <f ca="1">'典型户型修正(先权重后修正)'!$R$30</f>
        <v>14026</v>
      </c>
      <c r="I187" s="3386">
        <f t="shared" ca="1" si="2"/>
        <v>47.6</v>
      </c>
    </row>
    <row r="188" spans="1:9">
      <c r="A188" s="3521">
        <v>186</v>
      </c>
      <c r="B188" s="3388"/>
      <c r="C188" s="3587" t="s">
        <v>3055</v>
      </c>
      <c r="D188" s="3587">
        <v>-2</v>
      </c>
      <c r="E188" s="3587">
        <v>209</v>
      </c>
      <c r="F188" s="3578">
        <v>33.94</v>
      </c>
      <c r="G188" s="3459" t="s">
        <v>7461</v>
      </c>
      <c r="H188" s="3590">
        <f ca="1">'典型户型修正(先权重后修正)'!$R$30</f>
        <v>14026</v>
      </c>
      <c r="I188" s="3386">
        <f t="shared" ca="1" si="2"/>
        <v>47.6</v>
      </c>
    </row>
    <row r="189" spans="1:9">
      <c r="A189" s="3521">
        <v>187</v>
      </c>
      <c r="B189" s="3388"/>
      <c r="C189" s="3587" t="s">
        <v>3055</v>
      </c>
      <c r="D189" s="3587">
        <v>-2</v>
      </c>
      <c r="E189" s="3587">
        <v>212</v>
      </c>
      <c r="F189" s="3578">
        <v>74.849999999999994</v>
      </c>
      <c r="G189" s="3459" t="s">
        <v>7461</v>
      </c>
      <c r="H189" s="3590">
        <f ca="1">'典型户型修正(先权重后修正)'!$R$30</f>
        <v>14026</v>
      </c>
      <c r="I189" s="3386">
        <f t="shared" ca="1" si="2"/>
        <v>104.98</v>
      </c>
    </row>
    <row r="190" spans="1:9">
      <c r="A190" s="3521">
        <v>188</v>
      </c>
      <c r="B190" s="3388"/>
      <c r="C190" s="3587" t="s">
        <v>3055</v>
      </c>
      <c r="D190" s="3587">
        <v>-2</v>
      </c>
      <c r="E190" s="3587">
        <v>232</v>
      </c>
      <c r="F190" s="3578">
        <v>76.02</v>
      </c>
      <c r="G190" s="3459" t="s">
        <v>7461</v>
      </c>
      <c r="H190" s="3590">
        <f ca="1">'典型户型修正(先权重后修正)'!$R$30</f>
        <v>14026</v>
      </c>
      <c r="I190" s="3386">
        <f t="shared" ca="1" si="2"/>
        <v>106.63</v>
      </c>
    </row>
    <row r="191" spans="1:9">
      <c r="A191" s="3521">
        <v>189</v>
      </c>
      <c r="B191" s="3388"/>
      <c r="C191" s="3587" t="s">
        <v>3055</v>
      </c>
      <c r="D191" s="3587">
        <v>-2</v>
      </c>
      <c r="E191" s="3587">
        <v>233</v>
      </c>
      <c r="F191" s="3578">
        <v>41.18</v>
      </c>
      <c r="G191" s="3459" t="s">
        <v>7461</v>
      </c>
      <c r="H191" s="3590">
        <f ca="1">'典型户型修正(先权重后修正)'!$R$30</f>
        <v>14026</v>
      </c>
      <c r="I191" s="3386">
        <f t="shared" ca="1" si="2"/>
        <v>57.76</v>
      </c>
    </row>
    <row r="192" spans="1:9">
      <c r="A192" s="3521">
        <v>190</v>
      </c>
      <c r="B192" s="3388"/>
      <c r="C192" s="3587" t="s">
        <v>3055</v>
      </c>
      <c r="D192" s="3587">
        <v>-2</v>
      </c>
      <c r="E192" s="3587">
        <v>235</v>
      </c>
      <c r="F192" s="3578">
        <v>41.16</v>
      </c>
      <c r="G192" s="3459" t="s">
        <v>7461</v>
      </c>
      <c r="H192" s="3590">
        <f ca="1">'典型户型修正(先权重后修正)'!$R$30</f>
        <v>14026</v>
      </c>
      <c r="I192" s="3386">
        <f t="shared" ca="1" si="2"/>
        <v>57.73</v>
      </c>
    </row>
    <row r="193" spans="1:9">
      <c r="A193" s="3521">
        <v>191</v>
      </c>
      <c r="B193" s="3388"/>
      <c r="C193" s="3587" t="s">
        <v>3055</v>
      </c>
      <c r="D193" s="3587">
        <v>-2</v>
      </c>
      <c r="E193" s="3587">
        <v>236</v>
      </c>
      <c r="F193" s="3578">
        <v>41.17</v>
      </c>
      <c r="G193" s="3459" t="s">
        <v>7461</v>
      </c>
      <c r="H193" s="3590">
        <f ca="1">'典型户型修正(先权重后修正)'!$R$30</f>
        <v>14026</v>
      </c>
      <c r="I193" s="3386">
        <f t="shared" ca="1" si="2"/>
        <v>57.75</v>
      </c>
    </row>
    <row r="194" spans="1:9">
      <c r="A194" s="3521">
        <v>192</v>
      </c>
      <c r="B194" s="3388"/>
      <c r="C194" s="3587" t="s">
        <v>3055</v>
      </c>
      <c r="D194" s="3587">
        <v>-2</v>
      </c>
      <c r="E194" s="3587">
        <v>237</v>
      </c>
      <c r="F194" s="3578">
        <v>41.18</v>
      </c>
      <c r="G194" s="3459" t="s">
        <v>7461</v>
      </c>
      <c r="H194" s="3590">
        <f ca="1">'典型户型修正(先权重后修正)'!$R$30</f>
        <v>14026</v>
      </c>
      <c r="I194" s="3386">
        <f t="shared" ca="1" si="2"/>
        <v>57.76</v>
      </c>
    </row>
    <row r="195" spans="1:9">
      <c r="A195" s="3521">
        <v>193</v>
      </c>
      <c r="B195" s="3388"/>
      <c r="C195" s="3587" t="s">
        <v>3055</v>
      </c>
      <c r="D195" s="3587">
        <v>-2</v>
      </c>
      <c r="E195" s="3587">
        <v>238</v>
      </c>
      <c r="F195" s="3578">
        <v>43.35</v>
      </c>
      <c r="G195" s="3459" t="s">
        <v>7461</v>
      </c>
      <c r="H195" s="3590">
        <f ca="1">'典型户型修正(先权重后修正)'!$R$30</f>
        <v>14026</v>
      </c>
      <c r="I195" s="3386">
        <f t="shared" ca="1" si="2"/>
        <v>60.8</v>
      </c>
    </row>
    <row r="196" spans="1:9">
      <c r="A196" s="3521">
        <v>194</v>
      </c>
      <c r="B196" s="3388"/>
      <c r="C196" s="3587" t="s">
        <v>3055</v>
      </c>
      <c r="D196" s="3587">
        <v>-2</v>
      </c>
      <c r="E196" s="3587">
        <v>239</v>
      </c>
      <c r="F196" s="3578">
        <v>38.83</v>
      </c>
      <c r="G196" s="3459" t="s">
        <v>7461</v>
      </c>
      <c r="H196" s="3590">
        <f ca="1">'典型户型修正(先权重后修正)'!$R$30</f>
        <v>14026</v>
      </c>
      <c r="I196" s="3386">
        <f t="shared" ref="I196:I259" ca="1" si="3">ROUND(H196*F196/10000,2)</f>
        <v>54.46</v>
      </c>
    </row>
    <row r="197" spans="1:9">
      <c r="A197" s="3521">
        <v>195</v>
      </c>
      <c r="B197" s="3388"/>
      <c r="C197" s="3587" t="s">
        <v>3055</v>
      </c>
      <c r="D197" s="3587">
        <v>-2</v>
      </c>
      <c r="E197" s="3587">
        <v>240</v>
      </c>
      <c r="F197" s="3578">
        <v>43.92</v>
      </c>
      <c r="G197" s="3459" t="s">
        <v>7461</v>
      </c>
      <c r="H197" s="3590">
        <f ca="1">'典型户型修正(先权重后修正)'!$R$30</f>
        <v>14026</v>
      </c>
      <c r="I197" s="3386">
        <f t="shared" ca="1" si="3"/>
        <v>61.6</v>
      </c>
    </row>
    <row r="198" spans="1:9">
      <c r="A198" s="3521">
        <v>196</v>
      </c>
      <c r="B198" s="3388"/>
      <c r="C198" s="3587" t="s">
        <v>3055</v>
      </c>
      <c r="D198" s="3587">
        <v>-2</v>
      </c>
      <c r="E198" s="3587">
        <v>247</v>
      </c>
      <c r="F198" s="3578">
        <v>41.18</v>
      </c>
      <c r="G198" s="3459" t="s">
        <v>7461</v>
      </c>
      <c r="H198" s="3590">
        <f ca="1">'典型户型修正(先权重后修正)'!$R$30</f>
        <v>14026</v>
      </c>
      <c r="I198" s="3386">
        <f t="shared" ca="1" si="3"/>
        <v>57.76</v>
      </c>
    </row>
    <row r="199" spans="1:9">
      <c r="A199" s="3521">
        <v>197</v>
      </c>
      <c r="B199" s="3388"/>
      <c r="C199" s="3587" t="s">
        <v>3055</v>
      </c>
      <c r="D199" s="3587">
        <v>-2</v>
      </c>
      <c r="E199" s="3587">
        <v>248</v>
      </c>
      <c r="F199" s="3578">
        <v>41.18</v>
      </c>
      <c r="G199" s="3459" t="s">
        <v>7461</v>
      </c>
      <c r="H199" s="3590">
        <f ca="1">'典型户型修正(先权重后修正)'!$R$30</f>
        <v>14026</v>
      </c>
      <c r="I199" s="3386">
        <f t="shared" ca="1" si="3"/>
        <v>57.76</v>
      </c>
    </row>
    <row r="200" spans="1:9">
      <c r="A200" s="3521">
        <v>198</v>
      </c>
      <c r="B200" s="3388"/>
      <c r="C200" s="3587" t="s">
        <v>3055</v>
      </c>
      <c r="D200" s="3587">
        <v>-2</v>
      </c>
      <c r="E200" s="3587">
        <v>255</v>
      </c>
      <c r="F200" s="3578">
        <v>72.37</v>
      </c>
      <c r="G200" s="3459" t="s">
        <v>7461</v>
      </c>
      <c r="H200" s="3590">
        <f ca="1">'典型户型修正(先权重后修正)'!$R$30</f>
        <v>14026</v>
      </c>
      <c r="I200" s="3386">
        <f t="shared" ca="1" si="3"/>
        <v>101.51</v>
      </c>
    </row>
    <row r="201" spans="1:9">
      <c r="A201" s="3521">
        <v>199</v>
      </c>
      <c r="B201" s="3388"/>
      <c r="C201" s="3587" t="s">
        <v>3055</v>
      </c>
      <c r="D201" s="3587">
        <v>-2</v>
      </c>
      <c r="E201" s="3587">
        <v>256</v>
      </c>
      <c r="F201" s="3578">
        <v>72.39</v>
      </c>
      <c r="G201" s="3459" t="s">
        <v>7461</v>
      </c>
      <c r="H201" s="3590">
        <f ca="1">'典型户型修正(先权重后修正)'!$R$30</f>
        <v>14026</v>
      </c>
      <c r="I201" s="3386">
        <f t="shared" ca="1" si="3"/>
        <v>101.53</v>
      </c>
    </row>
    <row r="202" spans="1:9">
      <c r="A202" s="3521">
        <v>200</v>
      </c>
      <c r="B202" s="3388"/>
      <c r="C202" s="3587" t="s">
        <v>3055</v>
      </c>
      <c r="D202" s="3587">
        <v>-2</v>
      </c>
      <c r="E202" s="3587">
        <v>262</v>
      </c>
      <c r="F202" s="3578">
        <v>76.510000000000005</v>
      </c>
      <c r="G202" s="3459" t="s">
        <v>7461</v>
      </c>
      <c r="H202" s="3590">
        <f ca="1">'典型户型修正(先权重后修正)'!$R$30</f>
        <v>14026</v>
      </c>
      <c r="I202" s="3386">
        <f t="shared" ca="1" si="3"/>
        <v>107.31</v>
      </c>
    </row>
    <row r="203" spans="1:9">
      <c r="A203" s="3521">
        <v>201</v>
      </c>
      <c r="B203" s="3388"/>
      <c r="C203" s="3587" t="s">
        <v>3055</v>
      </c>
      <c r="D203" s="3587">
        <v>-2</v>
      </c>
      <c r="E203" s="3587">
        <v>263</v>
      </c>
      <c r="F203" s="3578">
        <v>68.260000000000005</v>
      </c>
      <c r="G203" s="3459" t="s">
        <v>7461</v>
      </c>
      <c r="H203" s="3590">
        <f ca="1">'典型户型修正(先权重后修正)'!$R$30</f>
        <v>14026</v>
      </c>
      <c r="I203" s="3386">
        <f t="shared" ca="1" si="3"/>
        <v>95.74</v>
      </c>
    </row>
    <row r="204" spans="1:9">
      <c r="A204" s="3521">
        <v>202</v>
      </c>
      <c r="B204" s="3388"/>
      <c r="C204" s="3587" t="s">
        <v>3055</v>
      </c>
      <c r="D204" s="3587">
        <v>-2</v>
      </c>
      <c r="E204" s="3587">
        <v>265</v>
      </c>
      <c r="F204" s="3578">
        <v>76.540000000000006</v>
      </c>
      <c r="G204" s="3459" t="s">
        <v>7461</v>
      </c>
      <c r="H204" s="3590">
        <f ca="1">'典型户型修正(先权重后修正)'!$R$30</f>
        <v>14026</v>
      </c>
      <c r="I204" s="3386">
        <f t="shared" ca="1" si="3"/>
        <v>107.36</v>
      </c>
    </row>
    <row r="205" spans="1:9">
      <c r="A205" s="3521">
        <v>203</v>
      </c>
      <c r="B205" s="3388"/>
      <c r="C205" s="3587" t="s">
        <v>3055</v>
      </c>
      <c r="D205" s="3587">
        <v>-2</v>
      </c>
      <c r="E205" s="3587">
        <v>266</v>
      </c>
      <c r="F205" s="3578">
        <v>72.38</v>
      </c>
      <c r="G205" s="3459" t="s">
        <v>7461</v>
      </c>
      <c r="H205" s="3590">
        <f ca="1">'典型户型修正(先权重后修正)'!$R$30</f>
        <v>14026</v>
      </c>
      <c r="I205" s="3386">
        <f t="shared" ca="1" si="3"/>
        <v>101.52</v>
      </c>
    </row>
    <row r="206" spans="1:9">
      <c r="A206" s="3521">
        <v>204</v>
      </c>
      <c r="B206" s="3388"/>
      <c r="C206" s="3587" t="s">
        <v>3055</v>
      </c>
      <c r="D206" s="3587">
        <v>-2</v>
      </c>
      <c r="E206" s="3587">
        <v>267</v>
      </c>
      <c r="F206" s="3578">
        <v>72.349999999999994</v>
      </c>
      <c r="G206" s="3459" t="s">
        <v>7461</v>
      </c>
      <c r="H206" s="3590">
        <f ca="1">'典型户型修正(先权重后修正)'!$R$30</f>
        <v>14026</v>
      </c>
      <c r="I206" s="3386">
        <f t="shared" ca="1" si="3"/>
        <v>101.48</v>
      </c>
    </row>
    <row r="207" spans="1:9">
      <c r="A207" s="3521">
        <v>205</v>
      </c>
      <c r="B207" s="3388"/>
      <c r="C207" s="3587" t="s">
        <v>3055</v>
      </c>
      <c r="D207" s="3587">
        <v>-2</v>
      </c>
      <c r="E207" s="3587">
        <v>268</v>
      </c>
      <c r="F207" s="3578">
        <v>72.349999999999994</v>
      </c>
      <c r="G207" s="3459" t="s">
        <v>7461</v>
      </c>
      <c r="H207" s="3590">
        <f ca="1">'典型户型修正(先权重后修正)'!$R$30</f>
        <v>14026</v>
      </c>
      <c r="I207" s="3386">
        <f t="shared" ca="1" si="3"/>
        <v>101.48</v>
      </c>
    </row>
    <row r="208" spans="1:9">
      <c r="A208" s="3521">
        <v>206</v>
      </c>
      <c r="B208" s="3388"/>
      <c r="C208" s="3587" t="s">
        <v>3055</v>
      </c>
      <c r="D208" s="3587">
        <v>-2</v>
      </c>
      <c r="E208" s="3587">
        <v>269</v>
      </c>
      <c r="F208" s="3578">
        <v>72.38</v>
      </c>
      <c r="G208" s="3459" t="s">
        <v>7461</v>
      </c>
      <c r="H208" s="3590">
        <f ca="1">'典型户型修正(先权重后修正)'!$R$30</f>
        <v>14026</v>
      </c>
      <c r="I208" s="3386">
        <f t="shared" ca="1" si="3"/>
        <v>101.52</v>
      </c>
    </row>
    <row r="209" spans="1:9">
      <c r="A209" s="3521">
        <v>207</v>
      </c>
      <c r="B209" s="3388"/>
      <c r="C209" s="3587" t="s">
        <v>3055</v>
      </c>
      <c r="D209" s="3587">
        <v>-2</v>
      </c>
      <c r="E209" s="3587">
        <v>270</v>
      </c>
      <c r="F209" s="3578">
        <v>72.39</v>
      </c>
      <c r="G209" s="3459" t="s">
        <v>7461</v>
      </c>
      <c r="H209" s="3590">
        <f ca="1">'典型户型修正(先权重后修正)'!$R$30</f>
        <v>14026</v>
      </c>
      <c r="I209" s="3386">
        <f t="shared" ca="1" si="3"/>
        <v>101.53</v>
      </c>
    </row>
    <row r="210" spans="1:9">
      <c r="A210" s="3521">
        <v>208</v>
      </c>
      <c r="B210" s="3388"/>
      <c r="C210" s="3587" t="s">
        <v>3055</v>
      </c>
      <c r="D210" s="3587">
        <v>-2</v>
      </c>
      <c r="E210" s="3587">
        <v>271</v>
      </c>
      <c r="F210" s="3578">
        <v>45.68</v>
      </c>
      <c r="G210" s="3459" t="s">
        <v>7461</v>
      </c>
      <c r="H210" s="3590">
        <f ca="1">'典型户型修正(先权重后修正)'!$R$30</f>
        <v>14026</v>
      </c>
      <c r="I210" s="3386">
        <f t="shared" ca="1" si="3"/>
        <v>64.069999999999993</v>
      </c>
    </row>
    <row r="211" spans="1:9" hidden="1">
      <c r="A211" s="3521">
        <v>209</v>
      </c>
      <c r="B211" s="3388" t="s">
        <v>7230</v>
      </c>
      <c r="C211" s="3585" t="s">
        <v>3056</v>
      </c>
      <c r="D211" s="3585">
        <v>1</v>
      </c>
      <c r="E211" s="3585">
        <v>69</v>
      </c>
      <c r="F211" s="3576">
        <v>52.16</v>
      </c>
      <c r="G211" s="3459" t="s">
        <v>7461</v>
      </c>
      <c r="H211" s="3590">
        <f ca="1">'典型户型修正(先权重后修正)'!$R$24</f>
        <v>35065</v>
      </c>
      <c r="I211" s="3386">
        <f t="shared" ca="1" si="3"/>
        <v>182.9</v>
      </c>
    </row>
    <row r="212" spans="1:9" hidden="1">
      <c r="A212" s="3521">
        <v>210</v>
      </c>
      <c r="B212" s="3388" t="s">
        <v>7231</v>
      </c>
      <c r="C212" s="3585" t="s">
        <v>3056</v>
      </c>
      <c r="D212" s="3585">
        <v>1</v>
      </c>
      <c r="E212" s="3585">
        <v>70</v>
      </c>
      <c r="F212" s="3576">
        <v>53.61</v>
      </c>
      <c r="G212" s="3459" t="s">
        <v>7461</v>
      </c>
      <c r="H212" s="3590">
        <f ca="1">'典型户型修正(先权重后修正)'!$R$24</f>
        <v>35065</v>
      </c>
      <c r="I212" s="3386">
        <f t="shared" ca="1" si="3"/>
        <v>187.98</v>
      </c>
    </row>
    <row r="213" spans="1:9" hidden="1">
      <c r="A213" s="3521">
        <v>211</v>
      </c>
      <c r="B213" s="3388" t="s">
        <v>7232</v>
      </c>
      <c r="C213" s="3585" t="s">
        <v>3056</v>
      </c>
      <c r="D213" s="3585">
        <v>1</v>
      </c>
      <c r="E213" s="3585">
        <v>71</v>
      </c>
      <c r="F213" s="3576">
        <v>54.96</v>
      </c>
      <c r="G213" s="3459" t="s">
        <v>7461</v>
      </c>
      <c r="H213" s="3590">
        <f ca="1">'典型户型修正(先权重后修正)'!$R$24</f>
        <v>35065</v>
      </c>
      <c r="I213" s="3386">
        <f t="shared" ca="1" si="3"/>
        <v>192.72</v>
      </c>
    </row>
    <row r="214" spans="1:9" hidden="1">
      <c r="A214" s="3521">
        <v>212</v>
      </c>
      <c r="B214" s="3388" t="s">
        <v>7233</v>
      </c>
      <c r="C214" s="3585" t="s">
        <v>3056</v>
      </c>
      <c r="D214" s="3585">
        <v>1</v>
      </c>
      <c r="E214" s="3585">
        <v>72</v>
      </c>
      <c r="F214" s="3576">
        <v>54.4</v>
      </c>
      <c r="G214" s="3459" t="s">
        <v>7461</v>
      </c>
      <c r="H214" s="3590">
        <f ca="1">'典型户型修正(先权重后修正)'!$R$24</f>
        <v>35065</v>
      </c>
      <c r="I214" s="3386">
        <f t="shared" ca="1" si="3"/>
        <v>190.75</v>
      </c>
    </row>
    <row r="215" spans="1:9" hidden="1">
      <c r="A215" s="3521">
        <v>213</v>
      </c>
      <c r="B215" s="3388" t="s">
        <v>7234</v>
      </c>
      <c r="C215" s="3585" t="s">
        <v>3056</v>
      </c>
      <c r="D215" s="3585">
        <v>1</v>
      </c>
      <c r="E215" s="3585">
        <v>73</v>
      </c>
      <c r="F215" s="3576">
        <v>66.37</v>
      </c>
      <c r="G215" s="3459" t="s">
        <v>7461</v>
      </c>
      <c r="H215" s="3590">
        <f ca="1">'典型户型修正(先权重后修正)'!$R$24</f>
        <v>35065</v>
      </c>
      <c r="I215" s="3386">
        <f t="shared" ca="1" si="3"/>
        <v>232.73</v>
      </c>
    </row>
    <row r="216" spans="1:9" hidden="1">
      <c r="A216" s="3521">
        <v>214</v>
      </c>
      <c r="B216" s="3388" t="s">
        <v>7235</v>
      </c>
      <c r="C216" s="3585" t="s">
        <v>3056</v>
      </c>
      <c r="D216" s="3585">
        <v>1</v>
      </c>
      <c r="E216" s="3585">
        <v>142</v>
      </c>
      <c r="F216" s="3576">
        <v>37.75</v>
      </c>
      <c r="G216" s="3459" t="s">
        <v>7461</v>
      </c>
      <c r="H216" s="3590">
        <f ca="1">'典型户型修正(先权重后修正)'!$R$24</f>
        <v>35065</v>
      </c>
      <c r="I216" s="3386">
        <f t="shared" ca="1" si="3"/>
        <v>132.37</v>
      </c>
    </row>
    <row r="217" spans="1:9" hidden="1">
      <c r="A217" s="3521">
        <v>215</v>
      </c>
      <c r="B217" s="3388"/>
      <c r="C217" s="3587" t="s">
        <v>3056</v>
      </c>
      <c r="D217" s="3587">
        <v>1</v>
      </c>
      <c r="E217" s="3587">
        <v>27</v>
      </c>
      <c r="F217" s="3578">
        <v>97.36</v>
      </c>
      <c r="G217" s="3459" t="s">
        <v>7461</v>
      </c>
      <c r="H217" s="3590">
        <f ca="1">'典型户型修正(先权重后修正)'!$R$24</f>
        <v>35065</v>
      </c>
      <c r="I217" s="3386">
        <f t="shared" ca="1" si="3"/>
        <v>341.39</v>
      </c>
    </row>
    <row r="218" spans="1:9" hidden="1">
      <c r="A218" s="3521">
        <v>216</v>
      </c>
      <c r="B218" s="3388" t="s">
        <v>7236</v>
      </c>
      <c r="C218" s="3585" t="s">
        <v>3056</v>
      </c>
      <c r="D218" s="3585">
        <v>2</v>
      </c>
      <c r="E218" s="3585">
        <v>223</v>
      </c>
      <c r="F218" s="3576">
        <v>47.97</v>
      </c>
      <c r="G218" s="3459" t="s">
        <v>7461</v>
      </c>
      <c r="H218" s="3590">
        <f ca="1">I218/F218*10000</f>
        <v>24584.115071919918</v>
      </c>
      <c r="I218" s="3589">
        <f ca="1">'典型户型修正(先权重后修正)'!S25-3818.07</f>
        <v>117.92999999999984</v>
      </c>
    </row>
    <row r="219" spans="1:9" hidden="1">
      <c r="A219" s="3521">
        <v>217</v>
      </c>
      <c r="B219" s="3388" t="s">
        <v>7237</v>
      </c>
      <c r="C219" s="3585" t="s">
        <v>3056</v>
      </c>
      <c r="D219" s="3585">
        <v>3</v>
      </c>
      <c r="E219" s="3585">
        <v>26</v>
      </c>
      <c r="F219" s="3576">
        <v>60.06</v>
      </c>
      <c r="G219" s="3459" t="s">
        <v>7461</v>
      </c>
      <c r="H219" s="3590">
        <f ca="1">'典型户型修正(先权重后修正)'!$R$26</f>
        <v>17533</v>
      </c>
      <c r="I219" s="3386">
        <f t="shared" ca="1" si="3"/>
        <v>105.3</v>
      </c>
    </row>
    <row r="220" spans="1:9" hidden="1">
      <c r="A220" s="3521">
        <v>218</v>
      </c>
      <c r="B220" s="3388" t="s">
        <v>7238</v>
      </c>
      <c r="C220" s="3585" t="s">
        <v>3056</v>
      </c>
      <c r="D220" s="3585">
        <v>3</v>
      </c>
      <c r="E220" s="3585">
        <v>37</v>
      </c>
      <c r="F220" s="3576">
        <v>80.92</v>
      </c>
      <c r="G220" s="3459" t="s">
        <v>7461</v>
      </c>
      <c r="H220" s="3590">
        <f ca="1">I220/F220*10000</f>
        <v>17539.545229856656</v>
      </c>
      <c r="I220" s="3386">
        <f ca="1">'典型户型修正(先权重后修正)'!S26-1684.07</f>
        <v>141.93000000000006</v>
      </c>
    </row>
    <row r="221" spans="1:9" hidden="1">
      <c r="A221" s="3521">
        <v>219</v>
      </c>
      <c r="B221" s="3388" t="s">
        <v>7239</v>
      </c>
      <c r="C221" s="3585" t="s">
        <v>3056</v>
      </c>
      <c r="D221" s="3585">
        <v>-1</v>
      </c>
      <c r="E221" s="3585">
        <v>16</v>
      </c>
      <c r="F221" s="3576">
        <v>40.42</v>
      </c>
      <c r="G221" s="3459" t="s">
        <v>7461</v>
      </c>
      <c r="H221" s="3590">
        <f ca="1">'典型户型修正(先权重后修正)'!$R$29</f>
        <v>17533</v>
      </c>
      <c r="I221" s="3386">
        <f t="shared" ca="1" si="3"/>
        <v>70.87</v>
      </c>
    </row>
    <row r="222" spans="1:9" hidden="1">
      <c r="A222" s="3521">
        <v>220</v>
      </c>
      <c r="B222" s="3388" t="s">
        <v>7240</v>
      </c>
      <c r="C222" s="3585" t="s">
        <v>3056</v>
      </c>
      <c r="D222" s="3585">
        <v>-1</v>
      </c>
      <c r="E222" s="3585">
        <v>17</v>
      </c>
      <c r="F222" s="3576">
        <v>45.64</v>
      </c>
      <c r="G222" s="3459" t="s">
        <v>7461</v>
      </c>
      <c r="H222" s="3590">
        <f ca="1">'典型户型修正(先权重后修正)'!$R$29</f>
        <v>17533</v>
      </c>
      <c r="I222" s="3386">
        <f t="shared" ca="1" si="3"/>
        <v>80.02</v>
      </c>
    </row>
    <row r="223" spans="1:9" hidden="1">
      <c r="A223" s="3521">
        <v>221</v>
      </c>
      <c r="B223" s="3388" t="s">
        <v>7241</v>
      </c>
      <c r="C223" s="3585" t="s">
        <v>3056</v>
      </c>
      <c r="D223" s="3585">
        <v>-1</v>
      </c>
      <c r="E223" s="3585">
        <v>18</v>
      </c>
      <c r="F223" s="3576">
        <v>45.64</v>
      </c>
      <c r="G223" s="3459" t="s">
        <v>7461</v>
      </c>
      <c r="H223" s="3590">
        <f ca="1">'典型户型修正(先权重后修正)'!$R$29</f>
        <v>17533</v>
      </c>
      <c r="I223" s="3386">
        <f t="shared" ca="1" si="3"/>
        <v>80.02</v>
      </c>
    </row>
    <row r="224" spans="1:9" hidden="1">
      <c r="A224" s="3521">
        <v>222</v>
      </c>
      <c r="B224" s="3388" t="s">
        <v>7242</v>
      </c>
      <c r="C224" s="3585" t="s">
        <v>3056</v>
      </c>
      <c r="D224" s="3585">
        <v>-1</v>
      </c>
      <c r="E224" s="3585">
        <v>19</v>
      </c>
      <c r="F224" s="3576">
        <v>45.56</v>
      </c>
      <c r="G224" s="3459" t="s">
        <v>7461</v>
      </c>
      <c r="H224" s="3590">
        <f ca="1">'典型户型修正(先权重后修正)'!$R$29</f>
        <v>17533</v>
      </c>
      <c r="I224" s="3386">
        <f t="shared" ca="1" si="3"/>
        <v>79.88</v>
      </c>
    </row>
    <row r="225" spans="1:9" hidden="1">
      <c r="A225" s="3521">
        <v>223</v>
      </c>
      <c r="B225" s="3388" t="s">
        <v>7243</v>
      </c>
      <c r="C225" s="3585" t="s">
        <v>3056</v>
      </c>
      <c r="D225" s="3585">
        <v>-1</v>
      </c>
      <c r="E225" s="3585">
        <v>20</v>
      </c>
      <c r="F225" s="3576">
        <v>45.38</v>
      </c>
      <c r="G225" s="3459" t="s">
        <v>7461</v>
      </c>
      <c r="H225" s="3590">
        <f ca="1">'典型户型修正(先权重后修正)'!$R$29</f>
        <v>17533</v>
      </c>
      <c r="I225" s="3386">
        <f t="shared" ca="1" si="3"/>
        <v>79.56</v>
      </c>
    </row>
    <row r="226" spans="1:9" hidden="1">
      <c r="A226" s="3521">
        <v>224</v>
      </c>
      <c r="B226" s="3388" t="s">
        <v>7244</v>
      </c>
      <c r="C226" s="3585" t="s">
        <v>3056</v>
      </c>
      <c r="D226" s="3585">
        <v>-1</v>
      </c>
      <c r="E226" s="3585">
        <v>21</v>
      </c>
      <c r="F226" s="3576">
        <v>45.2</v>
      </c>
      <c r="G226" s="3459" t="s">
        <v>7461</v>
      </c>
      <c r="H226" s="3590">
        <f ca="1">'典型户型修正(先权重后修正)'!$R$29</f>
        <v>17533</v>
      </c>
      <c r="I226" s="3386">
        <f t="shared" ca="1" si="3"/>
        <v>79.25</v>
      </c>
    </row>
    <row r="227" spans="1:9" hidden="1">
      <c r="A227" s="3521">
        <v>225</v>
      </c>
      <c r="B227" s="3388" t="s">
        <v>7245</v>
      </c>
      <c r="C227" s="3585" t="s">
        <v>3056</v>
      </c>
      <c r="D227" s="3585">
        <v>-1</v>
      </c>
      <c r="E227" s="3585">
        <v>35</v>
      </c>
      <c r="F227" s="3576">
        <v>63.81</v>
      </c>
      <c r="G227" s="3459" t="s">
        <v>7461</v>
      </c>
      <c r="H227" s="3590">
        <f ca="1">'典型户型修正(先权重后修正)'!$R$29</f>
        <v>17533</v>
      </c>
      <c r="I227" s="3386">
        <f t="shared" ca="1" si="3"/>
        <v>111.88</v>
      </c>
    </row>
    <row r="228" spans="1:9" hidden="1">
      <c r="A228" s="3521">
        <v>226</v>
      </c>
      <c r="B228" s="3388" t="s">
        <v>7246</v>
      </c>
      <c r="C228" s="3585" t="s">
        <v>3056</v>
      </c>
      <c r="D228" s="3585">
        <v>-1</v>
      </c>
      <c r="E228" s="3585">
        <v>42</v>
      </c>
      <c r="F228" s="3576">
        <v>75.260000000000005</v>
      </c>
      <c r="G228" s="3459" t="s">
        <v>7461</v>
      </c>
      <c r="H228" s="3590">
        <f ca="1">'典型户型修正(先权重后修正)'!$R$29</f>
        <v>17533</v>
      </c>
      <c r="I228" s="3386">
        <f t="shared" ca="1" si="3"/>
        <v>131.94999999999999</v>
      </c>
    </row>
    <row r="229" spans="1:9" hidden="1">
      <c r="A229" s="3521">
        <v>227</v>
      </c>
      <c r="B229" s="3388" t="s">
        <v>7247</v>
      </c>
      <c r="C229" s="3585" t="s">
        <v>3056</v>
      </c>
      <c r="D229" s="3585">
        <v>-1</v>
      </c>
      <c r="E229" s="3585">
        <v>43</v>
      </c>
      <c r="F229" s="3576">
        <v>43.48</v>
      </c>
      <c r="G229" s="3459" t="s">
        <v>7461</v>
      </c>
      <c r="H229" s="3590">
        <f ca="1">'典型户型修正(先权重后修正)'!$R$29</f>
        <v>17533</v>
      </c>
      <c r="I229" s="3386">
        <f t="shared" ca="1" si="3"/>
        <v>76.23</v>
      </c>
    </row>
    <row r="230" spans="1:9" hidden="1">
      <c r="A230" s="3521">
        <v>228</v>
      </c>
      <c r="B230" s="3388" t="s">
        <v>7248</v>
      </c>
      <c r="C230" s="3585" t="s">
        <v>3056</v>
      </c>
      <c r="D230" s="3585">
        <v>-1</v>
      </c>
      <c r="E230" s="3585">
        <v>45</v>
      </c>
      <c r="F230" s="3576">
        <v>33.69</v>
      </c>
      <c r="G230" s="3459" t="s">
        <v>7461</v>
      </c>
      <c r="H230" s="3590">
        <f ca="1">'典型户型修正(先权重后修正)'!$R$29</f>
        <v>17533</v>
      </c>
      <c r="I230" s="3386">
        <f t="shared" ca="1" si="3"/>
        <v>59.07</v>
      </c>
    </row>
    <row r="231" spans="1:9" hidden="1">
      <c r="A231" s="3521">
        <v>229</v>
      </c>
      <c r="B231" s="3388" t="s">
        <v>7249</v>
      </c>
      <c r="C231" s="3585" t="s">
        <v>3056</v>
      </c>
      <c r="D231" s="3585">
        <v>-1</v>
      </c>
      <c r="E231" s="3585">
        <v>46</v>
      </c>
      <c r="F231" s="3576">
        <v>19.23</v>
      </c>
      <c r="G231" s="3459" t="s">
        <v>7461</v>
      </c>
      <c r="H231" s="3590">
        <f ca="1">'典型户型修正(先权重后修正)'!$R$29</f>
        <v>17533</v>
      </c>
      <c r="I231" s="3386">
        <f t="shared" ca="1" si="3"/>
        <v>33.72</v>
      </c>
    </row>
    <row r="232" spans="1:9" hidden="1">
      <c r="A232" s="3521">
        <v>230</v>
      </c>
      <c r="B232" s="3388" t="s">
        <v>7250</v>
      </c>
      <c r="C232" s="3585" t="s">
        <v>3056</v>
      </c>
      <c r="D232" s="3585">
        <v>-1</v>
      </c>
      <c r="E232" s="3585">
        <v>59</v>
      </c>
      <c r="F232" s="3576">
        <v>42.59</v>
      </c>
      <c r="G232" s="3459" t="s">
        <v>7461</v>
      </c>
      <c r="H232" s="3590">
        <f ca="1">'典型户型修正(先权重后修正)'!$R$29</f>
        <v>17533</v>
      </c>
      <c r="I232" s="3386">
        <f t="shared" ca="1" si="3"/>
        <v>74.67</v>
      </c>
    </row>
    <row r="233" spans="1:9" hidden="1">
      <c r="A233" s="3521">
        <v>231</v>
      </c>
      <c r="B233" s="3388" t="s">
        <v>7251</v>
      </c>
      <c r="C233" s="3585" t="s">
        <v>3056</v>
      </c>
      <c r="D233" s="3585">
        <v>-1</v>
      </c>
      <c r="E233" s="3585">
        <v>98</v>
      </c>
      <c r="F233" s="3576">
        <v>34.43</v>
      </c>
      <c r="G233" s="3459" t="s">
        <v>7461</v>
      </c>
      <c r="H233" s="3590">
        <f ca="1">'典型户型修正(先权重后修正)'!$R$29</f>
        <v>17533</v>
      </c>
      <c r="I233" s="3386">
        <f t="shared" ca="1" si="3"/>
        <v>60.37</v>
      </c>
    </row>
    <row r="234" spans="1:9" hidden="1">
      <c r="A234" s="3521">
        <v>232</v>
      </c>
      <c r="B234" s="3388" t="s">
        <v>7252</v>
      </c>
      <c r="C234" s="3585" t="s">
        <v>3056</v>
      </c>
      <c r="D234" s="3585">
        <v>-1</v>
      </c>
      <c r="E234" s="3585">
        <v>99</v>
      </c>
      <c r="F234" s="3576">
        <v>34.43</v>
      </c>
      <c r="G234" s="3459" t="s">
        <v>7461</v>
      </c>
      <c r="H234" s="3590">
        <f ca="1">'典型户型修正(先权重后修正)'!$R$29</f>
        <v>17533</v>
      </c>
      <c r="I234" s="3386">
        <f t="shared" ca="1" si="3"/>
        <v>60.37</v>
      </c>
    </row>
    <row r="235" spans="1:9" hidden="1">
      <c r="A235" s="3521">
        <v>233</v>
      </c>
      <c r="B235" s="3388" t="s">
        <v>7253</v>
      </c>
      <c r="C235" s="3585" t="s">
        <v>3056</v>
      </c>
      <c r="D235" s="3585">
        <v>-1</v>
      </c>
      <c r="E235" s="3585">
        <v>101</v>
      </c>
      <c r="F235" s="3576">
        <v>52.46</v>
      </c>
      <c r="G235" s="3459" t="s">
        <v>7461</v>
      </c>
      <c r="H235" s="3590">
        <f ca="1">'典型户型修正(先权重后修正)'!$R$29</f>
        <v>17533</v>
      </c>
      <c r="I235" s="3386">
        <f t="shared" ca="1" si="3"/>
        <v>91.98</v>
      </c>
    </row>
    <row r="236" spans="1:9" hidden="1">
      <c r="A236" s="3521">
        <v>234</v>
      </c>
      <c r="B236" s="3388" t="s">
        <v>7254</v>
      </c>
      <c r="C236" s="3585" t="s">
        <v>3056</v>
      </c>
      <c r="D236" s="3585">
        <v>-1</v>
      </c>
      <c r="E236" s="3585">
        <v>110</v>
      </c>
      <c r="F236" s="3576">
        <v>62.79</v>
      </c>
      <c r="G236" s="3459" t="s">
        <v>7461</v>
      </c>
      <c r="H236" s="3590">
        <f ca="1">'典型户型修正(先权重后修正)'!$R$29</f>
        <v>17533</v>
      </c>
      <c r="I236" s="3386">
        <f t="shared" ca="1" si="3"/>
        <v>110.09</v>
      </c>
    </row>
    <row r="237" spans="1:9" hidden="1">
      <c r="A237" s="3521">
        <v>235</v>
      </c>
      <c r="B237" s="3388" t="s">
        <v>7255</v>
      </c>
      <c r="C237" s="3585" t="s">
        <v>3056</v>
      </c>
      <c r="D237" s="3585">
        <v>-1</v>
      </c>
      <c r="E237" s="3585">
        <v>113</v>
      </c>
      <c r="F237" s="3576">
        <v>79.95</v>
      </c>
      <c r="G237" s="3459" t="s">
        <v>7461</v>
      </c>
      <c r="H237" s="3590">
        <f ca="1">'典型户型修正(先权重后修正)'!$R$29</f>
        <v>17533</v>
      </c>
      <c r="I237" s="3386">
        <f t="shared" ca="1" si="3"/>
        <v>140.18</v>
      </c>
    </row>
    <row r="238" spans="1:9" hidden="1">
      <c r="A238" s="3521">
        <v>236</v>
      </c>
      <c r="B238" s="3388" t="s">
        <v>7256</v>
      </c>
      <c r="C238" s="3585" t="s">
        <v>3056</v>
      </c>
      <c r="D238" s="3585">
        <v>-1</v>
      </c>
      <c r="E238" s="3585">
        <v>115</v>
      </c>
      <c r="F238" s="3576">
        <v>85.55</v>
      </c>
      <c r="G238" s="3459" t="s">
        <v>7461</v>
      </c>
      <c r="H238" s="3590">
        <f ca="1">'典型户型修正(先权重后修正)'!$R$29</f>
        <v>17533</v>
      </c>
      <c r="I238" s="3386">
        <f t="shared" ca="1" si="3"/>
        <v>149.99</v>
      </c>
    </row>
    <row r="239" spans="1:9" hidden="1">
      <c r="A239" s="3521">
        <v>237</v>
      </c>
      <c r="B239" s="3388" t="s">
        <v>7257</v>
      </c>
      <c r="C239" s="3585" t="s">
        <v>3056</v>
      </c>
      <c r="D239" s="3585">
        <v>-1</v>
      </c>
      <c r="E239" s="3585">
        <v>116</v>
      </c>
      <c r="F239" s="3576">
        <v>63.14</v>
      </c>
      <c r="G239" s="3459" t="s">
        <v>7461</v>
      </c>
      <c r="H239" s="3590">
        <f ca="1">'典型户型修正(先权重后修正)'!$R$29</f>
        <v>17533</v>
      </c>
      <c r="I239" s="3386">
        <f t="shared" ca="1" si="3"/>
        <v>110.7</v>
      </c>
    </row>
    <row r="240" spans="1:9" hidden="1">
      <c r="A240" s="3521">
        <v>238</v>
      </c>
      <c r="B240" s="3388" t="s">
        <v>7258</v>
      </c>
      <c r="C240" s="3585" t="s">
        <v>3056</v>
      </c>
      <c r="D240" s="3585">
        <v>-1</v>
      </c>
      <c r="E240" s="3585">
        <v>117</v>
      </c>
      <c r="F240" s="3576">
        <v>64.78</v>
      </c>
      <c r="G240" s="3459" t="s">
        <v>7461</v>
      </c>
      <c r="H240" s="3590">
        <f ca="1">'典型户型修正(先权重后修正)'!$R$29</f>
        <v>17533</v>
      </c>
      <c r="I240" s="3386">
        <f t="shared" ca="1" si="3"/>
        <v>113.58</v>
      </c>
    </row>
    <row r="241" spans="1:9" hidden="1">
      <c r="A241" s="3521">
        <v>239</v>
      </c>
      <c r="B241" s="3388" t="s">
        <v>7259</v>
      </c>
      <c r="C241" s="3585" t="s">
        <v>3056</v>
      </c>
      <c r="D241" s="3585">
        <v>-1</v>
      </c>
      <c r="E241" s="3585">
        <v>130</v>
      </c>
      <c r="F241" s="3576">
        <v>91.33</v>
      </c>
      <c r="G241" s="3459" t="s">
        <v>7461</v>
      </c>
      <c r="H241" s="3590">
        <f ca="1">'典型户型修正(先权重后修正)'!$R$29</f>
        <v>17533</v>
      </c>
      <c r="I241" s="3386">
        <f t="shared" ca="1" si="3"/>
        <v>160.13</v>
      </c>
    </row>
    <row r="242" spans="1:9" hidden="1">
      <c r="A242" s="3521">
        <v>240</v>
      </c>
      <c r="B242" s="3388" t="s">
        <v>7260</v>
      </c>
      <c r="C242" s="3585" t="s">
        <v>3056</v>
      </c>
      <c r="D242" s="3585">
        <v>-1</v>
      </c>
      <c r="E242" s="3585">
        <v>131</v>
      </c>
      <c r="F242" s="3576">
        <v>113.26</v>
      </c>
      <c r="G242" s="3459" t="s">
        <v>7461</v>
      </c>
      <c r="H242" s="3590">
        <f ca="1">'典型户型修正(先权重后修正)'!$R$29</f>
        <v>17533</v>
      </c>
      <c r="I242" s="3386">
        <f t="shared" ca="1" si="3"/>
        <v>198.58</v>
      </c>
    </row>
    <row r="243" spans="1:9" hidden="1">
      <c r="A243" s="3521">
        <v>241</v>
      </c>
      <c r="B243" s="3388" t="s">
        <v>7261</v>
      </c>
      <c r="C243" s="3585" t="s">
        <v>3056</v>
      </c>
      <c r="D243" s="3585">
        <v>-1</v>
      </c>
      <c r="E243" s="3585">
        <v>146</v>
      </c>
      <c r="F243" s="3576">
        <v>67.39</v>
      </c>
      <c r="G243" s="3459" t="s">
        <v>7461</v>
      </c>
      <c r="H243" s="3590">
        <f ca="1">'典型户型修正(先权重后修正)'!$R$29</f>
        <v>17533</v>
      </c>
      <c r="I243" s="3386">
        <f t="shared" ca="1" si="3"/>
        <v>118.15</v>
      </c>
    </row>
    <row r="244" spans="1:9" hidden="1">
      <c r="A244" s="3521">
        <v>242</v>
      </c>
      <c r="B244" s="3388" t="s">
        <v>7262</v>
      </c>
      <c r="C244" s="3585" t="s">
        <v>3056</v>
      </c>
      <c r="D244" s="3585">
        <v>-1</v>
      </c>
      <c r="E244" s="3585">
        <v>148</v>
      </c>
      <c r="F244" s="3576">
        <v>53.31</v>
      </c>
      <c r="G244" s="3459" t="s">
        <v>7461</v>
      </c>
      <c r="H244" s="3590">
        <f ca="1">'典型户型修正(先权重后修正)'!$R$29</f>
        <v>17533</v>
      </c>
      <c r="I244" s="3386">
        <f t="shared" ca="1" si="3"/>
        <v>93.47</v>
      </c>
    </row>
    <row r="245" spans="1:9" hidden="1">
      <c r="A245" s="3521">
        <v>243</v>
      </c>
      <c r="B245" s="3388" t="s">
        <v>7263</v>
      </c>
      <c r="C245" s="3585" t="s">
        <v>3056</v>
      </c>
      <c r="D245" s="3585">
        <v>-1</v>
      </c>
      <c r="E245" s="3585">
        <v>153</v>
      </c>
      <c r="F245" s="3576">
        <v>61.26</v>
      </c>
      <c r="G245" s="3459" t="s">
        <v>7461</v>
      </c>
      <c r="H245" s="3590">
        <f ca="1">'典型户型修正(先权重后修正)'!$R$29</f>
        <v>17533</v>
      </c>
      <c r="I245" s="3386">
        <f t="shared" ca="1" si="3"/>
        <v>107.41</v>
      </c>
    </row>
    <row r="246" spans="1:9" hidden="1">
      <c r="A246" s="3521">
        <v>244</v>
      </c>
      <c r="B246" s="3388" t="s">
        <v>7264</v>
      </c>
      <c r="C246" s="3585" t="s">
        <v>3056</v>
      </c>
      <c r="D246" s="3585">
        <v>-1</v>
      </c>
      <c r="E246" s="3585">
        <v>155</v>
      </c>
      <c r="F246" s="3576">
        <v>61.78</v>
      </c>
      <c r="G246" s="3459" t="s">
        <v>7461</v>
      </c>
      <c r="H246" s="3590">
        <f ca="1">'典型户型修正(先权重后修正)'!$R$29</f>
        <v>17533</v>
      </c>
      <c r="I246" s="3386">
        <f t="shared" ca="1" si="3"/>
        <v>108.32</v>
      </c>
    </row>
    <row r="247" spans="1:9" hidden="1">
      <c r="A247" s="3521">
        <v>245</v>
      </c>
      <c r="B247" s="3388" t="s">
        <v>7265</v>
      </c>
      <c r="C247" s="3585" t="s">
        <v>3056</v>
      </c>
      <c r="D247" s="3585">
        <v>-1</v>
      </c>
      <c r="E247" s="3585">
        <v>156</v>
      </c>
      <c r="F247" s="3576">
        <v>63.18</v>
      </c>
      <c r="G247" s="3459" t="s">
        <v>7461</v>
      </c>
      <c r="H247" s="3590">
        <f ca="1">'典型户型修正(先权重后修正)'!$R$29</f>
        <v>17533</v>
      </c>
      <c r="I247" s="3386">
        <f t="shared" ca="1" si="3"/>
        <v>110.77</v>
      </c>
    </row>
    <row r="248" spans="1:9" hidden="1">
      <c r="A248" s="3521">
        <v>246</v>
      </c>
      <c r="B248" s="3388" t="s">
        <v>7266</v>
      </c>
      <c r="C248" s="3585" t="s">
        <v>3056</v>
      </c>
      <c r="D248" s="3585">
        <v>-1</v>
      </c>
      <c r="E248" s="3585">
        <v>159</v>
      </c>
      <c r="F248" s="3576">
        <v>194.41</v>
      </c>
      <c r="G248" s="3459" t="s">
        <v>7461</v>
      </c>
      <c r="H248" s="3590">
        <f ca="1">'典型户型修正(先权重后修正)'!$R$29</f>
        <v>17533</v>
      </c>
      <c r="I248" s="3386">
        <f t="shared" ca="1" si="3"/>
        <v>340.86</v>
      </c>
    </row>
    <row r="249" spans="1:9" hidden="1">
      <c r="A249" s="3521">
        <v>247</v>
      </c>
      <c r="B249" s="3388" t="s">
        <v>7267</v>
      </c>
      <c r="C249" s="3585" t="s">
        <v>3056</v>
      </c>
      <c r="D249" s="3585">
        <v>-1</v>
      </c>
      <c r="E249" s="3585">
        <v>190</v>
      </c>
      <c r="F249" s="3576">
        <v>70.83</v>
      </c>
      <c r="G249" s="3459" t="s">
        <v>7461</v>
      </c>
      <c r="H249" s="3590">
        <f ca="1">'典型户型修正(先权重后修正)'!$R$29</f>
        <v>17533</v>
      </c>
      <c r="I249" s="3386">
        <f t="shared" ca="1" si="3"/>
        <v>124.19</v>
      </c>
    </row>
    <row r="250" spans="1:9" hidden="1">
      <c r="A250" s="3521">
        <v>248</v>
      </c>
      <c r="B250" s="3388" t="s">
        <v>7268</v>
      </c>
      <c r="C250" s="3585" t="s">
        <v>3056</v>
      </c>
      <c r="D250" s="3585">
        <v>-1</v>
      </c>
      <c r="E250" s="3585">
        <v>195</v>
      </c>
      <c r="F250" s="3576">
        <v>62.67</v>
      </c>
      <c r="G250" s="3459" t="s">
        <v>7461</v>
      </c>
      <c r="H250" s="3590">
        <f ca="1">'典型户型修正(先权重后修正)'!$R$29</f>
        <v>17533</v>
      </c>
      <c r="I250" s="3386">
        <f t="shared" ca="1" si="3"/>
        <v>109.88</v>
      </c>
    </row>
    <row r="251" spans="1:9" hidden="1">
      <c r="A251" s="3521">
        <v>249</v>
      </c>
      <c r="B251" s="3388" t="s">
        <v>7269</v>
      </c>
      <c r="C251" s="3585" t="s">
        <v>3056</v>
      </c>
      <c r="D251" s="3585">
        <v>-1</v>
      </c>
      <c r="E251" s="3585">
        <v>202</v>
      </c>
      <c r="F251" s="3576">
        <v>78.87</v>
      </c>
      <c r="G251" s="3459" t="s">
        <v>7461</v>
      </c>
      <c r="H251" s="3590">
        <f ca="1">'典型户型修正(先权重后修正)'!$R$29</f>
        <v>17533</v>
      </c>
      <c r="I251" s="3386">
        <f t="shared" ca="1" si="3"/>
        <v>138.28</v>
      </c>
    </row>
    <row r="252" spans="1:9" hidden="1">
      <c r="A252" s="3521">
        <v>250</v>
      </c>
      <c r="B252" s="3388" t="s">
        <v>7270</v>
      </c>
      <c r="C252" s="3585" t="s">
        <v>3056</v>
      </c>
      <c r="D252" s="3585">
        <v>-1</v>
      </c>
      <c r="E252" s="3585">
        <v>208</v>
      </c>
      <c r="F252" s="3576">
        <v>73.37</v>
      </c>
      <c r="G252" s="3459" t="s">
        <v>7461</v>
      </c>
      <c r="H252" s="3590">
        <f ca="1">'典型户型修正(先权重后修正)'!$R$29</f>
        <v>17533</v>
      </c>
      <c r="I252" s="3386">
        <f t="shared" ca="1" si="3"/>
        <v>128.63999999999999</v>
      </c>
    </row>
    <row r="253" spans="1:9" hidden="1">
      <c r="A253" s="3521">
        <v>251</v>
      </c>
      <c r="B253" s="3388" t="s">
        <v>7271</v>
      </c>
      <c r="C253" s="3585" t="s">
        <v>3056</v>
      </c>
      <c r="D253" s="3585">
        <v>-1</v>
      </c>
      <c r="E253" s="3585">
        <v>211</v>
      </c>
      <c r="F253" s="3576">
        <v>43.83</v>
      </c>
      <c r="G253" s="3459" t="s">
        <v>7461</v>
      </c>
      <c r="H253" s="3590">
        <f ca="1">'典型户型修正(先权重后修正)'!$R$29</f>
        <v>17533</v>
      </c>
      <c r="I253" s="3386">
        <f t="shared" ca="1" si="3"/>
        <v>76.849999999999994</v>
      </c>
    </row>
    <row r="254" spans="1:9" hidden="1">
      <c r="A254" s="3521">
        <v>252</v>
      </c>
      <c r="B254" s="3388" t="s">
        <v>7272</v>
      </c>
      <c r="C254" s="3585" t="s">
        <v>3056</v>
      </c>
      <c r="D254" s="3585">
        <v>-1</v>
      </c>
      <c r="E254" s="3585">
        <v>213</v>
      </c>
      <c r="F254" s="3576">
        <v>45.59</v>
      </c>
      <c r="G254" s="3459" t="s">
        <v>7461</v>
      </c>
      <c r="H254" s="3590">
        <f ca="1">'典型户型修正(先权重后修正)'!$R$29</f>
        <v>17533</v>
      </c>
      <c r="I254" s="3386">
        <f t="shared" ca="1" si="3"/>
        <v>79.930000000000007</v>
      </c>
    </row>
    <row r="255" spans="1:9" hidden="1">
      <c r="A255" s="3521">
        <v>253</v>
      </c>
      <c r="B255" s="3388" t="s">
        <v>7273</v>
      </c>
      <c r="C255" s="3585" t="s">
        <v>3056</v>
      </c>
      <c r="D255" s="3585">
        <v>-1</v>
      </c>
      <c r="E255" s="3585">
        <v>215</v>
      </c>
      <c r="F255" s="3576">
        <v>65.5</v>
      </c>
      <c r="G255" s="3459" t="s">
        <v>7461</v>
      </c>
      <c r="H255" s="3590">
        <f ca="1">'典型户型修正(先权重后修正)'!$R$29</f>
        <v>17533</v>
      </c>
      <c r="I255" s="3386">
        <f t="shared" ca="1" si="3"/>
        <v>114.84</v>
      </c>
    </row>
    <row r="256" spans="1:9" hidden="1">
      <c r="A256" s="3521">
        <v>254</v>
      </c>
      <c r="B256" s="3388" t="s">
        <v>7274</v>
      </c>
      <c r="C256" s="3585" t="s">
        <v>3056</v>
      </c>
      <c r="D256" s="3585">
        <v>-1</v>
      </c>
      <c r="E256" s="3585">
        <v>221</v>
      </c>
      <c r="F256" s="3576">
        <v>83.41</v>
      </c>
      <c r="G256" s="3459" t="s">
        <v>7461</v>
      </c>
      <c r="H256" s="3590">
        <f ca="1">'典型户型修正(先权重后修正)'!$R$29</f>
        <v>17533</v>
      </c>
      <c r="I256" s="3386">
        <f t="shared" ca="1" si="3"/>
        <v>146.24</v>
      </c>
    </row>
    <row r="257" spans="1:9" hidden="1">
      <c r="A257" s="3521">
        <v>255</v>
      </c>
      <c r="B257" s="3388" t="s">
        <v>7273</v>
      </c>
      <c r="C257" s="3585" t="s">
        <v>3056</v>
      </c>
      <c r="D257" s="3585">
        <v>-1</v>
      </c>
      <c r="E257" s="3585">
        <v>226</v>
      </c>
      <c r="F257" s="3576">
        <v>66.86</v>
      </c>
      <c r="G257" s="3459" t="s">
        <v>7461</v>
      </c>
      <c r="H257" s="3590">
        <f ca="1">'典型户型修正(先权重后修正)'!$R$29</f>
        <v>17533</v>
      </c>
      <c r="I257" s="3386">
        <f t="shared" ca="1" si="3"/>
        <v>117.23</v>
      </c>
    </row>
    <row r="258" spans="1:9" hidden="1">
      <c r="A258" s="3521">
        <v>256</v>
      </c>
      <c r="B258" s="3388" t="s">
        <v>7275</v>
      </c>
      <c r="C258" s="3585" t="s">
        <v>3056</v>
      </c>
      <c r="D258" s="3585">
        <v>-1</v>
      </c>
      <c r="E258" s="3585">
        <v>228</v>
      </c>
      <c r="F258" s="3576">
        <v>67.709999999999994</v>
      </c>
      <c r="G258" s="3459" t="s">
        <v>7461</v>
      </c>
      <c r="H258" s="3590">
        <f ca="1">'典型户型修正(先权重后修正)'!$R$29</f>
        <v>17533</v>
      </c>
      <c r="I258" s="3386">
        <f t="shared" ca="1" si="3"/>
        <v>118.72</v>
      </c>
    </row>
    <row r="259" spans="1:9" hidden="1">
      <c r="A259" s="3521">
        <v>257</v>
      </c>
      <c r="B259" s="3388" t="s">
        <v>7276</v>
      </c>
      <c r="C259" s="3585" t="s">
        <v>3056</v>
      </c>
      <c r="D259" s="3585">
        <v>-1</v>
      </c>
      <c r="E259" s="3585">
        <v>229</v>
      </c>
      <c r="F259" s="3576">
        <v>70.98</v>
      </c>
      <c r="G259" s="3459" t="s">
        <v>7461</v>
      </c>
      <c r="H259" s="3590">
        <f ca="1">'典型户型修正(先权重后修正)'!$R$29</f>
        <v>17533</v>
      </c>
      <c r="I259" s="3386">
        <f t="shared" ca="1" si="3"/>
        <v>124.45</v>
      </c>
    </row>
    <row r="260" spans="1:9" hidden="1">
      <c r="A260" s="3521">
        <v>258</v>
      </c>
      <c r="B260" s="3388" t="s">
        <v>7277</v>
      </c>
      <c r="C260" s="3585" t="s">
        <v>3056</v>
      </c>
      <c r="D260" s="3585">
        <v>-1</v>
      </c>
      <c r="E260" s="3585">
        <v>232</v>
      </c>
      <c r="F260" s="3576">
        <v>59.79</v>
      </c>
      <c r="G260" s="3459" t="s">
        <v>7461</v>
      </c>
      <c r="H260" s="3590">
        <f ca="1">'典型户型修正(先权重后修正)'!$R$29</f>
        <v>17533</v>
      </c>
      <c r="I260" s="3386">
        <f t="shared" ref="I260:I323" ca="1" si="4">ROUND(H260*F260/10000,2)</f>
        <v>104.83</v>
      </c>
    </row>
    <row r="261" spans="1:9" hidden="1">
      <c r="A261" s="3521">
        <v>259</v>
      </c>
      <c r="B261" s="3388" t="s">
        <v>7278</v>
      </c>
      <c r="C261" s="3585" t="s">
        <v>3056</v>
      </c>
      <c r="D261" s="3585">
        <v>-1</v>
      </c>
      <c r="E261" s="3585">
        <v>233</v>
      </c>
      <c r="F261" s="3576">
        <v>70.52</v>
      </c>
      <c r="G261" s="3459" t="s">
        <v>7461</v>
      </c>
      <c r="H261" s="3590">
        <f ca="1">'典型户型修正(先权重后修正)'!$R$29</f>
        <v>17533</v>
      </c>
      <c r="I261" s="3386">
        <f t="shared" ca="1" si="4"/>
        <v>123.64</v>
      </c>
    </row>
    <row r="262" spans="1:9" hidden="1">
      <c r="A262" s="3521">
        <v>260</v>
      </c>
      <c r="B262" s="3388" t="s">
        <v>7279</v>
      </c>
      <c r="C262" s="3585" t="s">
        <v>3056</v>
      </c>
      <c r="D262" s="3585">
        <v>-1</v>
      </c>
      <c r="E262" s="3585">
        <v>235</v>
      </c>
      <c r="F262" s="3576">
        <v>73.31</v>
      </c>
      <c r="G262" s="3459" t="s">
        <v>7461</v>
      </c>
      <c r="H262" s="3590">
        <f ca="1">'典型户型修正(先权重后修正)'!$R$29</f>
        <v>17533</v>
      </c>
      <c r="I262" s="3386">
        <f t="shared" ca="1" si="4"/>
        <v>128.53</v>
      </c>
    </row>
    <row r="263" spans="1:9" hidden="1">
      <c r="A263" s="3521">
        <v>261</v>
      </c>
      <c r="B263" s="3388" t="s">
        <v>7280</v>
      </c>
      <c r="C263" s="3585" t="s">
        <v>3056</v>
      </c>
      <c r="D263" s="3585">
        <v>-1</v>
      </c>
      <c r="E263" s="3585">
        <v>236</v>
      </c>
      <c r="F263" s="3576">
        <v>59.42</v>
      </c>
      <c r="G263" s="3459" t="s">
        <v>7461</v>
      </c>
      <c r="H263" s="3590">
        <f ca="1">'典型户型修正(先权重后修正)'!$R$29</f>
        <v>17533</v>
      </c>
      <c r="I263" s="3386">
        <f t="shared" ca="1" si="4"/>
        <v>104.18</v>
      </c>
    </row>
    <row r="264" spans="1:9" hidden="1">
      <c r="A264" s="3521">
        <v>262</v>
      </c>
      <c r="B264" s="3388" t="s">
        <v>7281</v>
      </c>
      <c r="C264" s="3585" t="s">
        <v>3056</v>
      </c>
      <c r="D264" s="3585">
        <v>-1</v>
      </c>
      <c r="E264" s="3585">
        <v>237</v>
      </c>
      <c r="F264" s="3576">
        <v>54.99</v>
      </c>
      <c r="G264" s="3459" t="s">
        <v>7461</v>
      </c>
      <c r="H264" s="3590">
        <f ca="1">'典型户型修正(先权重后修正)'!$R$29</f>
        <v>17533</v>
      </c>
      <c r="I264" s="3386">
        <f t="shared" ca="1" si="4"/>
        <v>96.41</v>
      </c>
    </row>
    <row r="265" spans="1:9" hidden="1">
      <c r="A265" s="3521">
        <v>263</v>
      </c>
      <c r="B265" s="3388" t="s">
        <v>7282</v>
      </c>
      <c r="C265" s="3585" t="s">
        <v>3056</v>
      </c>
      <c r="D265" s="3585">
        <v>-1</v>
      </c>
      <c r="E265" s="3585">
        <v>238</v>
      </c>
      <c r="F265" s="3576">
        <v>53.03</v>
      </c>
      <c r="G265" s="3459" t="s">
        <v>7461</v>
      </c>
      <c r="H265" s="3590">
        <f ca="1">'典型户型修正(先权重后修正)'!$R$29</f>
        <v>17533</v>
      </c>
      <c r="I265" s="3386">
        <f t="shared" ca="1" si="4"/>
        <v>92.98</v>
      </c>
    </row>
    <row r="266" spans="1:9" hidden="1">
      <c r="A266" s="3521">
        <v>264</v>
      </c>
      <c r="B266" s="3388" t="s">
        <v>7283</v>
      </c>
      <c r="C266" s="3585" t="s">
        <v>3056</v>
      </c>
      <c r="D266" s="3585">
        <v>-1</v>
      </c>
      <c r="E266" s="3585">
        <v>239</v>
      </c>
      <c r="F266" s="3576">
        <v>53.03</v>
      </c>
      <c r="G266" s="3459" t="s">
        <v>7461</v>
      </c>
      <c r="H266" s="3590">
        <f ca="1">'典型户型修正(先权重后修正)'!$R$29</f>
        <v>17533</v>
      </c>
      <c r="I266" s="3386">
        <f t="shared" ca="1" si="4"/>
        <v>92.98</v>
      </c>
    </row>
    <row r="267" spans="1:9" hidden="1">
      <c r="A267" s="3521">
        <v>265</v>
      </c>
      <c r="B267" s="3388" t="s">
        <v>7284</v>
      </c>
      <c r="C267" s="3585" t="s">
        <v>3056</v>
      </c>
      <c r="D267" s="3585">
        <v>-1</v>
      </c>
      <c r="E267" s="3585">
        <v>243</v>
      </c>
      <c r="F267" s="3576">
        <v>78.56</v>
      </c>
      <c r="G267" s="3459" t="s">
        <v>7461</v>
      </c>
      <c r="H267" s="3590">
        <f ca="1">'典型户型修正(先权重后修正)'!$R$29</f>
        <v>17533</v>
      </c>
      <c r="I267" s="3386">
        <f t="shared" ca="1" si="4"/>
        <v>137.74</v>
      </c>
    </row>
    <row r="268" spans="1:9" hidden="1">
      <c r="A268" s="3521">
        <v>266</v>
      </c>
      <c r="B268" s="3388" t="s">
        <v>7285</v>
      </c>
      <c r="C268" s="3585" t="s">
        <v>3056</v>
      </c>
      <c r="D268" s="3585">
        <v>-1</v>
      </c>
      <c r="E268" s="3585">
        <v>245</v>
      </c>
      <c r="F268" s="3576">
        <v>72.61</v>
      </c>
      <c r="G268" s="3459" t="s">
        <v>7461</v>
      </c>
      <c r="H268" s="3590">
        <f ca="1">'典型户型修正(先权重后修正)'!$R$29</f>
        <v>17533</v>
      </c>
      <c r="I268" s="3386">
        <f t="shared" ca="1" si="4"/>
        <v>127.31</v>
      </c>
    </row>
    <row r="269" spans="1:9" hidden="1">
      <c r="A269" s="3521">
        <v>267</v>
      </c>
      <c r="B269" s="3388" t="s">
        <v>7286</v>
      </c>
      <c r="C269" s="3585" t="s">
        <v>3056</v>
      </c>
      <c r="D269" s="3585">
        <v>-1</v>
      </c>
      <c r="E269" s="3585">
        <v>246</v>
      </c>
      <c r="F269" s="3576">
        <v>75.650000000000006</v>
      </c>
      <c r="G269" s="3459" t="s">
        <v>7461</v>
      </c>
      <c r="H269" s="3590">
        <f ca="1">'典型户型修正(先权重后修正)'!$R$29</f>
        <v>17533</v>
      </c>
      <c r="I269" s="3386">
        <f t="shared" ca="1" si="4"/>
        <v>132.63999999999999</v>
      </c>
    </row>
    <row r="270" spans="1:9" hidden="1">
      <c r="A270" s="3521">
        <v>268</v>
      </c>
      <c r="B270" s="3388" t="s">
        <v>7287</v>
      </c>
      <c r="C270" s="3585" t="s">
        <v>3056</v>
      </c>
      <c r="D270" s="3585">
        <v>-1</v>
      </c>
      <c r="E270" s="3585">
        <v>248</v>
      </c>
      <c r="F270" s="3576">
        <v>83.54</v>
      </c>
      <c r="G270" s="3459" t="s">
        <v>7461</v>
      </c>
      <c r="H270" s="3590">
        <f ca="1">'典型户型修正(先权重后修正)'!$R$29</f>
        <v>17533</v>
      </c>
      <c r="I270" s="3386">
        <f t="shared" ca="1" si="4"/>
        <v>146.47</v>
      </c>
    </row>
    <row r="271" spans="1:9" hidden="1">
      <c r="A271" s="3521">
        <v>269</v>
      </c>
      <c r="B271" s="3388" t="s">
        <v>7288</v>
      </c>
      <c r="C271" s="3585" t="s">
        <v>3056</v>
      </c>
      <c r="D271" s="3585">
        <v>-1</v>
      </c>
      <c r="E271" s="3585">
        <v>251</v>
      </c>
      <c r="F271" s="3576">
        <v>105.02</v>
      </c>
      <c r="G271" s="3459" t="s">
        <v>7461</v>
      </c>
      <c r="H271" s="3590">
        <f ca="1">'典型户型修正(先权重后修正)'!$R$29</f>
        <v>17533</v>
      </c>
      <c r="I271" s="3386">
        <f t="shared" ca="1" si="4"/>
        <v>184.13</v>
      </c>
    </row>
    <row r="272" spans="1:9" hidden="1">
      <c r="A272" s="3521">
        <v>270</v>
      </c>
      <c r="B272" s="3388" t="s">
        <v>7289</v>
      </c>
      <c r="C272" s="3585" t="s">
        <v>3056</v>
      </c>
      <c r="D272" s="3585">
        <v>-1</v>
      </c>
      <c r="E272" s="3585">
        <v>257</v>
      </c>
      <c r="F272" s="3576">
        <v>87.45</v>
      </c>
      <c r="G272" s="3459" t="s">
        <v>7461</v>
      </c>
      <c r="H272" s="3590">
        <f ca="1">'典型户型修正(先权重后修正)'!$R$29</f>
        <v>17533</v>
      </c>
      <c r="I272" s="3386">
        <f t="shared" ca="1" si="4"/>
        <v>153.33000000000001</v>
      </c>
    </row>
    <row r="273" spans="1:9" hidden="1">
      <c r="A273" s="3521">
        <v>271</v>
      </c>
      <c r="B273" s="3388" t="s">
        <v>7290</v>
      </c>
      <c r="C273" s="3585" t="s">
        <v>3056</v>
      </c>
      <c r="D273" s="3585">
        <v>-1</v>
      </c>
      <c r="E273" s="3585">
        <v>258</v>
      </c>
      <c r="F273" s="3576">
        <v>79.98</v>
      </c>
      <c r="G273" s="3459" t="s">
        <v>7461</v>
      </c>
      <c r="H273" s="3590">
        <f ca="1">'典型户型修正(先权重后修正)'!$R$29</f>
        <v>17533</v>
      </c>
      <c r="I273" s="3386">
        <f t="shared" ca="1" si="4"/>
        <v>140.22999999999999</v>
      </c>
    </row>
    <row r="274" spans="1:9" hidden="1">
      <c r="A274" s="3521">
        <v>272</v>
      </c>
      <c r="B274" s="3388" t="s">
        <v>7291</v>
      </c>
      <c r="C274" s="3585" t="s">
        <v>3056</v>
      </c>
      <c r="D274" s="3585">
        <v>-1</v>
      </c>
      <c r="E274" s="3585">
        <v>259</v>
      </c>
      <c r="F274" s="3576">
        <v>75.63</v>
      </c>
      <c r="G274" s="3459" t="s">
        <v>7461</v>
      </c>
      <c r="H274" s="3590">
        <f ca="1">'典型户型修正(先权重后修正)'!$R$29</f>
        <v>17533</v>
      </c>
      <c r="I274" s="3386">
        <f t="shared" ca="1" si="4"/>
        <v>132.6</v>
      </c>
    </row>
    <row r="275" spans="1:9" hidden="1">
      <c r="A275" s="3521">
        <v>273</v>
      </c>
      <c r="B275" s="3388" t="s">
        <v>7292</v>
      </c>
      <c r="C275" s="3585" t="s">
        <v>3056</v>
      </c>
      <c r="D275" s="3585">
        <v>-1</v>
      </c>
      <c r="E275" s="3585">
        <v>260</v>
      </c>
      <c r="F275" s="3576">
        <v>72.61</v>
      </c>
      <c r="G275" s="3459" t="s">
        <v>7461</v>
      </c>
      <c r="H275" s="3590">
        <f ca="1">'典型户型修正(先权重后修正)'!$R$29</f>
        <v>17533</v>
      </c>
      <c r="I275" s="3386">
        <f t="shared" ca="1" si="4"/>
        <v>127.31</v>
      </c>
    </row>
    <row r="276" spans="1:9" hidden="1">
      <c r="A276" s="3521">
        <v>274</v>
      </c>
      <c r="B276" s="3388" t="s">
        <v>7293</v>
      </c>
      <c r="C276" s="3585" t="s">
        <v>3056</v>
      </c>
      <c r="D276" s="3585">
        <v>-1</v>
      </c>
      <c r="E276" s="3585">
        <v>262</v>
      </c>
      <c r="F276" s="3576">
        <v>36.39</v>
      </c>
      <c r="G276" s="3459" t="s">
        <v>7461</v>
      </c>
      <c r="H276" s="3590">
        <f ca="1">'典型户型修正(先权重后修正)'!$R$29</f>
        <v>17533</v>
      </c>
      <c r="I276" s="3386">
        <f t="shared" ca="1" si="4"/>
        <v>63.8</v>
      </c>
    </row>
    <row r="277" spans="1:9" hidden="1">
      <c r="A277" s="3521">
        <v>275</v>
      </c>
      <c r="B277" s="3388" t="s">
        <v>7294</v>
      </c>
      <c r="C277" s="3585" t="s">
        <v>3056</v>
      </c>
      <c r="D277" s="3585">
        <v>-1</v>
      </c>
      <c r="E277" s="3585">
        <v>263</v>
      </c>
      <c r="F277" s="3576">
        <v>72.95</v>
      </c>
      <c r="G277" s="3459" t="s">
        <v>7461</v>
      </c>
      <c r="H277" s="3590">
        <f ca="1">'典型户型修正(先权重后修正)'!$R$29</f>
        <v>17533</v>
      </c>
      <c r="I277" s="3386">
        <f t="shared" ca="1" si="4"/>
        <v>127.9</v>
      </c>
    </row>
    <row r="278" spans="1:9" hidden="1">
      <c r="A278" s="3521">
        <v>276</v>
      </c>
      <c r="B278" s="3388" t="s">
        <v>7295</v>
      </c>
      <c r="C278" s="3585" t="s">
        <v>3056</v>
      </c>
      <c r="D278" s="3585">
        <v>-1</v>
      </c>
      <c r="E278" s="3585">
        <v>289</v>
      </c>
      <c r="F278" s="3576">
        <v>39.119999999999997</v>
      </c>
      <c r="G278" s="3459" t="s">
        <v>7461</v>
      </c>
      <c r="H278" s="3590">
        <f ca="1">'典型户型修正(先权重后修正)'!$R$29</f>
        <v>17533</v>
      </c>
      <c r="I278" s="3386">
        <f t="shared" ca="1" si="4"/>
        <v>68.59</v>
      </c>
    </row>
    <row r="279" spans="1:9" hidden="1">
      <c r="A279" s="3521">
        <v>277</v>
      </c>
      <c r="B279" s="3388" t="s">
        <v>7296</v>
      </c>
      <c r="C279" s="3585" t="s">
        <v>3056</v>
      </c>
      <c r="D279" s="3585">
        <v>-1</v>
      </c>
      <c r="E279" s="3585">
        <v>290</v>
      </c>
      <c r="F279" s="3576">
        <v>39.119999999999997</v>
      </c>
      <c r="G279" s="3459" t="s">
        <v>7461</v>
      </c>
      <c r="H279" s="3590">
        <f ca="1">'典型户型修正(先权重后修正)'!$R$29</f>
        <v>17533</v>
      </c>
      <c r="I279" s="3386">
        <f t="shared" ca="1" si="4"/>
        <v>68.59</v>
      </c>
    </row>
    <row r="280" spans="1:9" hidden="1">
      <c r="A280" s="3521">
        <v>278</v>
      </c>
      <c r="B280" s="3388" t="s">
        <v>7297</v>
      </c>
      <c r="C280" s="3585" t="s">
        <v>3056</v>
      </c>
      <c r="D280" s="3585">
        <v>-1</v>
      </c>
      <c r="E280" s="3585">
        <v>291</v>
      </c>
      <c r="F280" s="3576">
        <v>39.119999999999997</v>
      </c>
      <c r="G280" s="3459" t="s">
        <v>7461</v>
      </c>
      <c r="H280" s="3590">
        <f ca="1">'典型户型修正(先权重后修正)'!$R$29</f>
        <v>17533</v>
      </c>
      <c r="I280" s="3386">
        <f t="shared" ca="1" si="4"/>
        <v>68.59</v>
      </c>
    </row>
    <row r="281" spans="1:9" hidden="1">
      <c r="A281" s="3521">
        <v>279</v>
      </c>
      <c r="B281" s="3388" t="s">
        <v>7298</v>
      </c>
      <c r="C281" s="3585" t="s">
        <v>3056</v>
      </c>
      <c r="D281" s="3585">
        <v>-1</v>
      </c>
      <c r="E281" s="3585">
        <v>292</v>
      </c>
      <c r="F281" s="3576">
        <v>39.119999999999997</v>
      </c>
      <c r="G281" s="3459" t="s">
        <v>7461</v>
      </c>
      <c r="H281" s="3590">
        <f ca="1">'典型户型修正(先权重后修正)'!$R$29</f>
        <v>17533</v>
      </c>
      <c r="I281" s="3386">
        <f t="shared" ca="1" si="4"/>
        <v>68.59</v>
      </c>
    </row>
    <row r="282" spans="1:9" hidden="1">
      <c r="A282" s="3521">
        <v>280</v>
      </c>
      <c r="B282" s="3388" t="s">
        <v>7299</v>
      </c>
      <c r="C282" s="3585" t="s">
        <v>3056</v>
      </c>
      <c r="D282" s="3585">
        <v>-1</v>
      </c>
      <c r="E282" s="3585">
        <v>293</v>
      </c>
      <c r="F282" s="3576">
        <v>39.119999999999997</v>
      </c>
      <c r="G282" s="3459" t="s">
        <v>7461</v>
      </c>
      <c r="H282" s="3590">
        <f ca="1">'典型户型修正(先权重后修正)'!$R$29</f>
        <v>17533</v>
      </c>
      <c r="I282" s="3386">
        <f t="shared" ca="1" si="4"/>
        <v>68.59</v>
      </c>
    </row>
    <row r="283" spans="1:9" hidden="1">
      <c r="A283" s="3521">
        <v>281</v>
      </c>
      <c r="B283" s="3388" t="s">
        <v>7300</v>
      </c>
      <c r="C283" s="3585" t="s">
        <v>3056</v>
      </c>
      <c r="D283" s="3585">
        <v>-1</v>
      </c>
      <c r="E283" s="3585">
        <v>295</v>
      </c>
      <c r="F283" s="3576">
        <v>39.119999999999997</v>
      </c>
      <c r="G283" s="3459" t="s">
        <v>7461</v>
      </c>
      <c r="H283" s="3590">
        <f ca="1">'典型户型修正(先权重后修正)'!$R$29</f>
        <v>17533</v>
      </c>
      <c r="I283" s="3386">
        <f t="shared" ca="1" si="4"/>
        <v>68.59</v>
      </c>
    </row>
    <row r="284" spans="1:9" hidden="1">
      <c r="A284" s="3521">
        <v>282</v>
      </c>
      <c r="B284" s="3388" t="s">
        <v>7301</v>
      </c>
      <c r="C284" s="3585" t="s">
        <v>3056</v>
      </c>
      <c r="D284" s="3585">
        <v>-1</v>
      </c>
      <c r="E284" s="3585">
        <v>296</v>
      </c>
      <c r="F284" s="3576">
        <v>39.119999999999997</v>
      </c>
      <c r="G284" s="3459" t="s">
        <v>7461</v>
      </c>
      <c r="H284" s="3590">
        <f ca="1">'典型户型修正(先权重后修正)'!$R$29</f>
        <v>17533</v>
      </c>
      <c r="I284" s="3386">
        <f t="shared" ca="1" si="4"/>
        <v>68.59</v>
      </c>
    </row>
    <row r="285" spans="1:9" hidden="1">
      <c r="A285" s="3521">
        <v>283</v>
      </c>
      <c r="B285" s="3388" t="s">
        <v>7302</v>
      </c>
      <c r="C285" s="3585" t="s">
        <v>3056</v>
      </c>
      <c r="D285" s="3585">
        <v>-1</v>
      </c>
      <c r="E285" s="3585">
        <v>300</v>
      </c>
      <c r="F285" s="3576">
        <v>39.119999999999997</v>
      </c>
      <c r="G285" s="3459" t="s">
        <v>7461</v>
      </c>
      <c r="H285" s="3590">
        <f ca="1">'典型户型修正(先权重后修正)'!$R$29</f>
        <v>17533</v>
      </c>
      <c r="I285" s="3386">
        <f t="shared" ca="1" si="4"/>
        <v>68.59</v>
      </c>
    </row>
    <row r="286" spans="1:9" hidden="1">
      <c r="A286" s="3521">
        <v>284</v>
      </c>
      <c r="B286" s="3388" t="s">
        <v>7303</v>
      </c>
      <c r="C286" s="3585" t="s">
        <v>3056</v>
      </c>
      <c r="D286" s="3585">
        <v>-1</v>
      </c>
      <c r="E286" s="3585">
        <v>301</v>
      </c>
      <c r="F286" s="3576">
        <v>39.119999999999997</v>
      </c>
      <c r="G286" s="3459" t="s">
        <v>7461</v>
      </c>
      <c r="H286" s="3590">
        <f ca="1">'典型户型修正(先权重后修正)'!$R$29</f>
        <v>17533</v>
      </c>
      <c r="I286" s="3386">
        <f t="shared" ca="1" si="4"/>
        <v>68.59</v>
      </c>
    </row>
    <row r="287" spans="1:9" hidden="1">
      <c r="A287" s="3521">
        <v>285</v>
      </c>
      <c r="B287" s="3388" t="s">
        <v>7304</v>
      </c>
      <c r="C287" s="3585" t="s">
        <v>3056</v>
      </c>
      <c r="D287" s="3585">
        <v>-1</v>
      </c>
      <c r="E287" s="3585">
        <v>302</v>
      </c>
      <c r="F287" s="3576">
        <v>39.119999999999997</v>
      </c>
      <c r="G287" s="3459" t="s">
        <v>7461</v>
      </c>
      <c r="H287" s="3590">
        <f ca="1">'典型户型修正(先权重后修正)'!$R$29</f>
        <v>17533</v>
      </c>
      <c r="I287" s="3386">
        <f t="shared" ca="1" si="4"/>
        <v>68.59</v>
      </c>
    </row>
    <row r="288" spans="1:9" hidden="1">
      <c r="A288" s="3521">
        <v>286</v>
      </c>
      <c r="B288" s="3388" t="s">
        <v>7305</v>
      </c>
      <c r="C288" s="3585" t="s">
        <v>3056</v>
      </c>
      <c r="D288" s="3585">
        <v>-1</v>
      </c>
      <c r="E288" s="3585">
        <v>303</v>
      </c>
      <c r="F288" s="3576">
        <v>39.119999999999997</v>
      </c>
      <c r="G288" s="3459" t="s">
        <v>7461</v>
      </c>
      <c r="H288" s="3590">
        <f ca="1">'典型户型修正(先权重后修正)'!$R$29</f>
        <v>17533</v>
      </c>
      <c r="I288" s="3386">
        <f t="shared" ca="1" si="4"/>
        <v>68.59</v>
      </c>
    </row>
    <row r="289" spans="1:9" hidden="1">
      <c r="A289" s="3521">
        <v>287</v>
      </c>
      <c r="B289" s="3388" t="s">
        <v>7306</v>
      </c>
      <c r="C289" s="3585" t="s">
        <v>3056</v>
      </c>
      <c r="D289" s="3585">
        <v>-1</v>
      </c>
      <c r="E289" s="3585">
        <v>305</v>
      </c>
      <c r="F289" s="3576">
        <v>39.119999999999997</v>
      </c>
      <c r="G289" s="3459" t="s">
        <v>7461</v>
      </c>
      <c r="H289" s="3590">
        <f ca="1">'典型户型修正(先权重后修正)'!$R$29</f>
        <v>17533</v>
      </c>
      <c r="I289" s="3386">
        <f t="shared" ca="1" si="4"/>
        <v>68.59</v>
      </c>
    </row>
    <row r="290" spans="1:9" hidden="1">
      <c r="A290" s="3521">
        <v>288</v>
      </c>
      <c r="B290" s="3388" t="s">
        <v>7307</v>
      </c>
      <c r="C290" s="3585" t="s">
        <v>3056</v>
      </c>
      <c r="D290" s="3585">
        <v>-1</v>
      </c>
      <c r="E290" s="3585">
        <v>310</v>
      </c>
      <c r="F290" s="3576">
        <v>101.65</v>
      </c>
      <c r="G290" s="3459" t="s">
        <v>7461</v>
      </c>
      <c r="H290" s="3590">
        <f ca="1">'典型户型修正(先权重后修正)'!$R$29</f>
        <v>17533</v>
      </c>
      <c r="I290" s="3386">
        <f t="shared" ca="1" si="4"/>
        <v>178.22</v>
      </c>
    </row>
    <row r="291" spans="1:9" hidden="1">
      <c r="A291" s="3521">
        <v>289</v>
      </c>
      <c r="B291" s="3388" t="s">
        <v>7308</v>
      </c>
      <c r="C291" s="3585" t="s">
        <v>3056</v>
      </c>
      <c r="D291" s="3585">
        <v>-1</v>
      </c>
      <c r="E291" s="3627">
        <v>317</v>
      </c>
      <c r="F291" s="3628">
        <v>64.33</v>
      </c>
      <c r="G291" s="3459" t="s">
        <v>7461</v>
      </c>
      <c r="H291" s="3590">
        <f ca="1">'典型户型修正(先权重后修正)'!$R$29</f>
        <v>17533</v>
      </c>
      <c r="I291" s="3386">
        <f t="shared" ca="1" si="4"/>
        <v>112.79</v>
      </c>
    </row>
    <row r="292" spans="1:9" hidden="1">
      <c r="A292" s="3521">
        <v>290</v>
      </c>
      <c r="B292" s="3388" t="s">
        <v>7309</v>
      </c>
      <c r="C292" s="3585" t="s">
        <v>3056</v>
      </c>
      <c r="D292" s="3585">
        <v>-1</v>
      </c>
      <c r="E292" s="3585">
        <v>318</v>
      </c>
      <c r="F292" s="3576">
        <v>64.33</v>
      </c>
      <c r="G292" s="3459" t="s">
        <v>7461</v>
      </c>
      <c r="H292" s="3590">
        <f ca="1">'典型户型修正(先权重后修正)'!$R$29</f>
        <v>17533</v>
      </c>
      <c r="I292" s="3386">
        <f t="shared" ca="1" si="4"/>
        <v>112.79</v>
      </c>
    </row>
    <row r="293" spans="1:9" hidden="1">
      <c r="A293" s="3521">
        <v>291</v>
      </c>
      <c r="B293" s="3388" t="s">
        <v>7310</v>
      </c>
      <c r="C293" s="3585" t="s">
        <v>3056</v>
      </c>
      <c r="D293" s="3585">
        <v>-1</v>
      </c>
      <c r="E293" s="3585">
        <v>319</v>
      </c>
      <c r="F293" s="3576">
        <v>64.33</v>
      </c>
      <c r="G293" s="3459" t="s">
        <v>7461</v>
      </c>
      <c r="H293" s="3590">
        <f ca="1">'典型户型修正(先权重后修正)'!$R$29</f>
        <v>17533</v>
      </c>
      <c r="I293" s="3386">
        <f t="shared" ca="1" si="4"/>
        <v>112.79</v>
      </c>
    </row>
    <row r="294" spans="1:9" hidden="1">
      <c r="A294" s="3521">
        <v>292</v>
      </c>
      <c r="B294" s="3388" t="s">
        <v>7311</v>
      </c>
      <c r="C294" s="3585" t="s">
        <v>3056</v>
      </c>
      <c r="D294" s="3585">
        <v>-1</v>
      </c>
      <c r="E294" s="3585">
        <v>320</v>
      </c>
      <c r="F294" s="3576">
        <v>64.33</v>
      </c>
      <c r="G294" s="3459" t="s">
        <v>7461</v>
      </c>
      <c r="H294" s="3590">
        <f ca="1">'典型户型修正(先权重后修正)'!$R$29</f>
        <v>17533</v>
      </c>
      <c r="I294" s="3386">
        <f t="shared" ca="1" si="4"/>
        <v>112.79</v>
      </c>
    </row>
    <row r="295" spans="1:9" hidden="1">
      <c r="A295" s="3521">
        <v>293</v>
      </c>
      <c r="B295" s="3388" t="s">
        <v>7312</v>
      </c>
      <c r="C295" s="3585" t="s">
        <v>3056</v>
      </c>
      <c r="D295" s="3585">
        <v>-1</v>
      </c>
      <c r="E295" s="3585">
        <v>321</v>
      </c>
      <c r="F295" s="3576">
        <v>64.33</v>
      </c>
      <c r="G295" s="3459" t="s">
        <v>7461</v>
      </c>
      <c r="H295" s="3590">
        <f ca="1">'典型户型修正(先权重后修正)'!$R$29</f>
        <v>17533</v>
      </c>
      <c r="I295" s="3386">
        <f t="shared" ca="1" si="4"/>
        <v>112.79</v>
      </c>
    </row>
    <row r="296" spans="1:9" hidden="1">
      <c r="A296" s="3521">
        <v>294</v>
      </c>
      <c r="B296" s="3388" t="s">
        <v>7313</v>
      </c>
      <c r="C296" s="3585" t="s">
        <v>3056</v>
      </c>
      <c r="D296" s="3585">
        <v>-1</v>
      </c>
      <c r="E296" s="3585">
        <v>322</v>
      </c>
      <c r="F296" s="3576">
        <v>65.44</v>
      </c>
      <c r="G296" s="3459" t="s">
        <v>7461</v>
      </c>
      <c r="H296" s="3590">
        <f ca="1">'典型户型修正(先权重后修正)'!$R$29</f>
        <v>17533</v>
      </c>
      <c r="I296" s="3386">
        <f t="shared" ca="1" si="4"/>
        <v>114.74</v>
      </c>
    </row>
    <row r="297" spans="1:9" hidden="1">
      <c r="A297" s="3521">
        <v>295</v>
      </c>
      <c r="B297" s="3388" t="s">
        <v>7314</v>
      </c>
      <c r="C297" s="3585" t="s">
        <v>3056</v>
      </c>
      <c r="D297" s="3585">
        <v>-1</v>
      </c>
      <c r="E297" s="3585">
        <v>323</v>
      </c>
      <c r="F297" s="3576">
        <v>68.010000000000005</v>
      </c>
      <c r="G297" s="3459" t="s">
        <v>7461</v>
      </c>
      <c r="H297" s="3590">
        <f ca="1">'典型户型修正(先权重后修正)'!$R$29</f>
        <v>17533</v>
      </c>
      <c r="I297" s="3386">
        <f t="shared" ca="1" si="4"/>
        <v>119.24</v>
      </c>
    </row>
    <row r="298" spans="1:9" hidden="1">
      <c r="A298" s="3521">
        <v>296</v>
      </c>
      <c r="B298" s="3388" t="s">
        <v>7315</v>
      </c>
      <c r="C298" s="3585" t="s">
        <v>3056</v>
      </c>
      <c r="D298" s="3585">
        <v>-1</v>
      </c>
      <c r="E298" s="3585">
        <v>325</v>
      </c>
      <c r="F298" s="3576">
        <v>64.33</v>
      </c>
      <c r="G298" s="3459" t="s">
        <v>7461</v>
      </c>
      <c r="H298" s="3590">
        <f ca="1">'典型户型修正(先权重后修正)'!$R$29</f>
        <v>17533</v>
      </c>
      <c r="I298" s="3386">
        <f t="shared" ca="1" si="4"/>
        <v>112.79</v>
      </c>
    </row>
    <row r="299" spans="1:9" hidden="1">
      <c r="A299" s="3521">
        <v>297</v>
      </c>
      <c r="B299" s="3388" t="s">
        <v>7316</v>
      </c>
      <c r="C299" s="3585" t="s">
        <v>3056</v>
      </c>
      <c r="D299" s="3585">
        <v>-1</v>
      </c>
      <c r="E299" s="3585">
        <v>326</v>
      </c>
      <c r="F299" s="3576">
        <v>64.33</v>
      </c>
      <c r="G299" s="3459" t="s">
        <v>7461</v>
      </c>
      <c r="H299" s="3590">
        <f ca="1">'典型户型修正(先权重后修正)'!$R$29</f>
        <v>17533</v>
      </c>
      <c r="I299" s="3386">
        <f t="shared" ca="1" si="4"/>
        <v>112.79</v>
      </c>
    </row>
    <row r="300" spans="1:9" hidden="1">
      <c r="A300" s="3521">
        <v>298</v>
      </c>
      <c r="B300" s="3388" t="s">
        <v>7317</v>
      </c>
      <c r="C300" s="3585" t="s">
        <v>3056</v>
      </c>
      <c r="D300" s="3585">
        <v>-1</v>
      </c>
      <c r="E300" s="3585">
        <v>327</v>
      </c>
      <c r="F300" s="3576">
        <v>64.33</v>
      </c>
      <c r="G300" s="3459" t="s">
        <v>7461</v>
      </c>
      <c r="H300" s="3590">
        <f ca="1">'典型户型修正(先权重后修正)'!$R$29</f>
        <v>17533</v>
      </c>
      <c r="I300" s="3386">
        <f t="shared" ca="1" si="4"/>
        <v>112.79</v>
      </c>
    </row>
    <row r="301" spans="1:9" hidden="1">
      <c r="A301" s="3521">
        <v>299</v>
      </c>
      <c r="B301" s="3388" t="s">
        <v>7318</v>
      </c>
      <c r="C301" s="3585" t="s">
        <v>3056</v>
      </c>
      <c r="D301" s="3585">
        <v>-1</v>
      </c>
      <c r="E301" s="3585">
        <v>328</v>
      </c>
      <c r="F301" s="3576">
        <v>64.33</v>
      </c>
      <c r="G301" s="3459" t="s">
        <v>7461</v>
      </c>
      <c r="H301" s="3590">
        <f ca="1">'典型户型修正(先权重后修正)'!$R$29</f>
        <v>17533</v>
      </c>
      <c r="I301" s="3386">
        <f t="shared" ca="1" si="4"/>
        <v>112.79</v>
      </c>
    </row>
    <row r="302" spans="1:9" hidden="1">
      <c r="A302" s="3521">
        <v>300</v>
      </c>
      <c r="B302" s="3388"/>
      <c r="C302" s="3587" t="s">
        <v>3056</v>
      </c>
      <c r="D302" s="3587">
        <v>-1</v>
      </c>
      <c r="E302" s="3587">
        <v>247</v>
      </c>
      <c r="F302" s="3578">
        <v>80</v>
      </c>
      <c r="G302" s="3459" t="s">
        <v>7461</v>
      </c>
      <c r="H302" s="3590">
        <f ca="1">'典型户型修正(先权重后修正)'!$R$29</f>
        <v>17533</v>
      </c>
      <c r="I302" s="3386">
        <f t="shared" ca="1" si="4"/>
        <v>140.26</v>
      </c>
    </row>
    <row r="303" spans="1:9" hidden="1">
      <c r="A303" s="3521">
        <v>301</v>
      </c>
      <c r="B303" s="3388"/>
      <c r="C303" s="3587" t="s">
        <v>3056</v>
      </c>
      <c r="D303" s="3587">
        <v>-1</v>
      </c>
      <c r="E303" s="3587">
        <v>308</v>
      </c>
      <c r="F303" s="3578">
        <v>38.67</v>
      </c>
      <c r="G303" s="3459" t="s">
        <v>7461</v>
      </c>
      <c r="H303" s="3590">
        <f ca="1">'典型户型修正(先权重后修正)'!$R$29</f>
        <v>17533</v>
      </c>
      <c r="I303" s="3386">
        <f t="shared" ca="1" si="4"/>
        <v>67.8</v>
      </c>
    </row>
    <row r="304" spans="1:9" hidden="1">
      <c r="A304" s="3521">
        <v>302</v>
      </c>
      <c r="B304" s="3388"/>
      <c r="C304" s="3587" t="s">
        <v>3056</v>
      </c>
      <c r="D304" s="3587">
        <v>-1</v>
      </c>
      <c r="E304" s="3587">
        <v>313</v>
      </c>
      <c r="F304" s="3578">
        <v>64.33</v>
      </c>
      <c r="G304" s="3459" t="s">
        <v>7461</v>
      </c>
      <c r="H304" s="3590">
        <f ca="1">'典型户型修正(先权重后修正)'!$R$29</f>
        <v>17533</v>
      </c>
      <c r="I304" s="3386">
        <f t="shared" ca="1" si="4"/>
        <v>112.79</v>
      </c>
    </row>
    <row r="305" spans="1:9" hidden="1">
      <c r="A305" s="3521">
        <v>303</v>
      </c>
      <c r="B305" s="3388"/>
      <c r="C305" s="3587" t="s">
        <v>3056</v>
      </c>
      <c r="D305" s="3587">
        <v>-1</v>
      </c>
      <c r="E305" s="3587">
        <v>315</v>
      </c>
      <c r="F305" s="3578">
        <v>64.33</v>
      </c>
      <c r="G305" s="3459" t="s">
        <v>7461</v>
      </c>
      <c r="H305" s="3590">
        <f ca="1">'典型户型修正(先权重后修正)'!$R$29</f>
        <v>17533</v>
      </c>
      <c r="I305" s="3386">
        <f t="shared" ca="1" si="4"/>
        <v>112.79</v>
      </c>
    </row>
    <row r="306" spans="1:9" s="3418" customFormat="1" hidden="1">
      <c r="A306" s="3601">
        <v>304</v>
      </c>
      <c r="B306" s="3415"/>
      <c r="C306" s="3602" t="s">
        <v>3056</v>
      </c>
      <c r="D306" s="3602">
        <v>-1</v>
      </c>
      <c r="E306" s="3602">
        <v>316</v>
      </c>
      <c r="F306" s="3603">
        <v>64.33</v>
      </c>
      <c r="G306" s="3604" t="s">
        <v>7461</v>
      </c>
      <c r="H306" s="3605">
        <f ca="1">'典型户型修正(先权重后修正)'!$R$29</f>
        <v>17533</v>
      </c>
      <c r="I306" s="3418">
        <f t="shared" ca="1" si="4"/>
        <v>112.79</v>
      </c>
    </row>
    <row r="307" spans="1:9" hidden="1">
      <c r="A307" s="3521">
        <v>305</v>
      </c>
      <c r="B307" s="3388"/>
      <c r="C307" s="3587" t="s">
        <v>3056</v>
      </c>
      <c r="D307" s="3587">
        <v>-1</v>
      </c>
      <c r="E307" s="3587">
        <v>336</v>
      </c>
      <c r="F307" s="3578">
        <v>64.33</v>
      </c>
      <c r="G307" s="3459" t="s">
        <v>7461</v>
      </c>
      <c r="H307" s="3590">
        <f ca="1">'典型户型修正(先权重后修正)'!$R$29</f>
        <v>17533</v>
      </c>
      <c r="I307" s="3386">
        <f t="shared" ca="1" si="4"/>
        <v>112.79</v>
      </c>
    </row>
    <row r="308" spans="1:9" hidden="1">
      <c r="A308" s="3521">
        <v>306</v>
      </c>
      <c r="B308" s="3388"/>
      <c r="C308" s="3587" t="s">
        <v>3056</v>
      </c>
      <c r="D308" s="3587">
        <v>-1</v>
      </c>
      <c r="E308" s="3587">
        <v>337</v>
      </c>
      <c r="F308" s="3578">
        <v>62.5</v>
      </c>
      <c r="G308" s="3459" t="s">
        <v>7461</v>
      </c>
      <c r="H308" s="3590">
        <f ca="1">'典型户型修正(先权重后修正)'!$R$29</f>
        <v>17533</v>
      </c>
      <c r="I308" s="3386">
        <f t="shared" ca="1" si="4"/>
        <v>109.58</v>
      </c>
    </row>
    <row r="309" spans="1:9" hidden="1">
      <c r="A309" s="3521">
        <v>307</v>
      </c>
      <c r="B309" s="3388"/>
      <c r="C309" s="3587" t="s">
        <v>3056</v>
      </c>
      <c r="D309" s="3587">
        <v>-1</v>
      </c>
      <c r="E309" s="3587">
        <v>6</v>
      </c>
      <c r="F309" s="3578">
        <v>69.19</v>
      </c>
      <c r="G309" s="3459" t="s">
        <v>7461</v>
      </c>
      <c r="H309" s="3590">
        <f ca="1">'典型户型修正(先权重后修正)'!$R$29</f>
        <v>17533</v>
      </c>
      <c r="I309" s="3386">
        <f t="shared" ca="1" si="4"/>
        <v>121.31</v>
      </c>
    </row>
    <row r="310" spans="1:9" hidden="1">
      <c r="A310" s="3521">
        <v>308</v>
      </c>
      <c r="B310" s="3388"/>
      <c r="C310" s="3587" t="s">
        <v>3056</v>
      </c>
      <c r="D310" s="3587">
        <v>-1</v>
      </c>
      <c r="E310" s="3587">
        <v>32</v>
      </c>
      <c r="F310" s="3578">
        <v>36.58</v>
      </c>
      <c r="G310" s="3459" t="s">
        <v>7461</v>
      </c>
      <c r="H310" s="3590">
        <f ca="1">'典型户型修正(先权重后修正)'!$R$29</f>
        <v>17533</v>
      </c>
      <c r="I310" s="3386">
        <f t="shared" ca="1" si="4"/>
        <v>64.14</v>
      </c>
    </row>
    <row r="311" spans="1:9" hidden="1">
      <c r="A311" s="3521">
        <v>309</v>
      </c>
      <c r="B311" s="3388"/>
      <c r="C311" s="3587" t="s">
        <v>3056</v>
      </c>
      <c r="D311" s="3587">
        <v>-1</v>
      </c>
      <c r="E311" s="3587">
        <v>37</v>
      </c>
      <c r="F311" s="3578">
        <v>39.799999999999997</v>
      </c>
      <c r="G311" s="3459" t="s">
        <v>7461</v>
      </c>
      <c r="H311" s="3590">
        <f ca="1">'典型户型修正(先权重后修正)'!$R$29</f>
        <v>17533</v>
      </c>
      <c r="I311" s="3386">
        <f t="shared" ca="1" si="4"/>
        <v>69.78</v>
      </c>
    </row>
    <row r="312" spans="1:9" hidden="1">
      <c r="A312" s="3521">
        <v>310</v>
      </c>
      <c r="B312" s="3388"/>
      <c r="C312" s="3587" t="s">
        <v>3056</v>
      </c>
      <c r="D312" s="3587">
        <v>-1</v>
      </c>
      <c r="E312" s="3587">
        <v>149</v>
      </c>
      <c r="F312" s="3578">
        <v>50.9</v>
      </c>
      <c r="G312" s="3459" t="s">
        <v>7461</v>
      </c>
      <c r="H312" s="3590">
        <f ca="1">'典型户型修正(先权重后修正)'!$R$29</f>
        <v>17533</v>
      </c>
      <c r="I312" s="3386">
        <f t="shared" ca="1" si="4"/>
        <v>89.24</v>
      </c>
    </row>
    <row r="313" spans="1:9" hidden="1">
      <c r="A313" s="3521">
        <v>311</v>
      </c>
      <c r="B313" s="3388"/>
      <c r="C313" s="3587" t="s">
        <v>3056</v>
      </c>
      <c r="D313" s="3587">
        <v>-1</v>
      </c>
      <c r="E313" s="3587">
        <v>150</v>
      </c>
      <c r="F313" s="3578">
        <v>69.680000000000007</v>
      </c>
      <c r="G313" s="3459" t="s">
        <v>7461</v>
      </c>
      <c r="H313" s="3590">
        <f ca="1">'典型户型修正(先权重后修正)'!$R$29</f>
        <v>17533</v>
      </c>
      <c r="I313" s="3386">
        <f t="shared" ca="1" si="4"/>
        <v>122.17</v>
      </c>
    </row>
    <row r="314" spans="1:9" hidden="1">
      <c r="A314" s="3521">
        <v>312</v>
      </c>
      <c r="B314" s="3388"/>
      <c r="C314" s="3587" t="s">
        <v>3056</v>
      </c>
      <c r="D314" s="3587">
        <v>-1</v>
      </c>
      <c r="E314" s="3587">
        <v>151</v>
      </c>
      <c r="F314" s="3578">
        <v>85.72</v>
      </c>
      <c r="G314" s="3459" t="s">
        <v>7461</v>
      </c>
      <c r="H314" s="3590">
        <f ca="1">'典型户型修正(先权重后修正)'!$R$29</f>
        <v>17533</v>
      </c>
      <c r="I314" s="3386">
        <f t="shared" ca="1" si="4"/>
        <v>150.29</v>
      </c>
    </row>
    <row r="315" spans="1:9" hidden="1">
      <c r="A315" s="3521">
        <v>313</v>
      </c>
      <c r="B315" s="3388"/>
      <c r="C315" s="3587" t="s">
        <v>3056</v>
      </c>
      <c r="D315" s="3587">
        <v>-1</v>
      </c>
      <c r="E315" s="3587">
        <v>158</v>
      </c>
      <c r="F315" s="3578">
        <v>56.32</v>
      </c>
      <c r="G315" s="3459" t="s">
        <v>7461</v>
      </c>
      <c r="H315" s="3590">
        <f ca="1">'典型户型修正(先权重后修正)'!$R$29</f>
        <v>17533</v>
      </c>
      <c r="I315" s="3386">
        <f t="shared" ca="1" si="4"/>
        <v>98.75</v>
      </c>
    </row>
    <row r="316" spans="1:9">
      <c r="A316" s="3521">
        <v>314</v>
      </c>
      <c r="B316" s="3388"/>
      <c r="C316" s="3587" t="s">
        <v>3056</v>
      </c>
      <c r="D316" s="3587">
        <v>-2</v>
      </c>
      <c r="E316" s="3587">
        <v>173</v>
      </c>
      <c r="F316" s="3578">
        <v>47.77</v>
      </c>
      <c r="G316" s="3459" t="s">
        <v>7461</v>
      </c>
      <c r="H316" s="3590">
        <f ca="1">'典型户型修正(先权重后修正)'!$R$30</f>
        <v>14026</v>
      </c>
      <c r="I316" s="3386">
        <f t="shared" ca="1" si="4"/>
        <v>67</v>
      </c>
    </row>
    <row r="317" spans="1:9">
      <c r="A317" s="3521">
        <v>315</v>
      </c>
      <c r="B317" s="3388"/>
      <c r="C317" s="3587" t="s">
        <v>3056</v>
      </c>
      <c r="D317" s="3587">
        <v>-2</v>
      </c>
      <c r="E317" s="3587">
        <v>175</v>
      </c>
      <c r="F317" s="3578">
        <v>101.56</v>
      </c>
      <c r="G317" s="3459" t="s">
        <v>7461</v>
      </c>
      <c r="H317" s="3590">
        <f ca="1">'典型户型修正(先权重后修正)'!$R$30</f>
        <v>14026</v>
      </c>
      <c r="I317" s="3386">
        <f t="shared" ca="1" si="4"/>
        <v>142.44999999999999</v>
      </c>
    </row>
    <row r="318" spans="1:9">
      <c r="A318" s="3521">
        <v>316</v>
      </c>
      <c r="B318" s="3388"/>
      <c r="C318" s="3587" t="s">
        <v>3056</v>
      </c>
      <c r="D318" s="3587">
        <v>-2</v>
      </c>
      <c r="E318" s="3587">
        <v>176</v>
      </c>
      <c r="F318" s="3578">
        <v>69.599999999999994</v>
      </c>
      <c r="G318" s="3459" t="s">
        <v>7461</v>
      </c>
      <c r="H318" s="3590">
        <f ca="1">'典型户型修正(先权重后修正)'!$R$30</f>
        <v>14026</v>
      </c>
      <c r="I318" s="3386">
        <f t="shared" ca="1" si="4"/>
        <v>97.62</v>
      </c>
    </row>
    <row r="319" spans="1:9">
      <c r="A319" s="3521">
        <v>317</v>
      </c>
      <c r="B319" s="3388"/>
      <c r="C319" s="3587" t="s">
        <v>3056</v>
      </c>
      <c r="D319" s="3587">
        <v>-2</v>
      </c>
      <c r="E319" s="3587">
        <v>177</v>
      </c>
      <c r="F319" s="3578">
        <v>104.6</v>
      </c>
      <c r="G319" s="3459" t="s">
        <v>7461</v>
      </c>
      <c r="H319" s="3590">
        <f ca="1">'典型户型修正(先权重后修正)'!$R$30</f>
        <v>14026</v>
      </c>
      <c r="I319" s="3386">
        <f t="shared" ca="1" si="4"/>
        <v>146.71</v>
      </c>
    </row>
    <row r="320" spans="1:9">
      <c r="A320" s="3521">
        <v>318</v>
      </c>
      <c r="B320" s="3388"/>
      <c r="C320" s="3587" t="s">
        <v>3056</v>
      </c>
      <c r="D320" s="3587">
        <v>-2</v>
      </c>
      <c r="E320" s="3587">
        <v>178</v>
      </c>
      <c r="F320" s="3578">
        <v>83.73</v>
      </c>
      <c r="G320" s="3459" t="s">
        <v>7461</v>
      </c>
      <c r="H320" s="3590">
        <f ca="1">'典型户型修正(先权重后修正)'!$R$30</f>
        <v>14026</v>
      </c>
      <c r="I320" s="3386">
        <f t="shared" ca="1" si="4"/>
        <v>117.44</v>
      </c>
    </row>
    <row r="321" spans="1:9">
      <c r="A321" s="3521">
        <v>319</v>
      </c>
      <c r="B321" s="3388"/>
      <c r="C321" s="3587" t="s">
        <v>3056</v>
      </c>
      <c r="D321" s="3587">
        <v>-2</v>
      </c>
      <c r="E321" s="3587">
        <v>185</v>
      </c>
      <c r="F321" s="3578">
        <v>76.78</v>
      </c>
      <c r="G321" s="3459" t="s">
        <v>7461</v>
      </c>
      <c r="H321" s="3590">
        <f ca="1">'典型户型修正(先权重后修正)'!$R$30</f>
        <v>14026</v>
      </c>
      <c r="I321" s="3386">
        <f t="shared" ca="1" si="4"/>
        <v>107.69</v>
      </c>
    </row>
    <row r="322" spans="1:9">
      <c r="A322" s="3521">
        <v>320</v>
      </c>
      <c r="B322" s="3388"/>
      <c r="C322" s="3587" t="s">
        <v>3056</v>
      </c>
      <c r="D322" s="3587">
        <v>-2</v>
      </c>
      <c r="E322" s="3587">
        <v>186</v>
      </c>
      <c r="F322" s="3578">
        <v>75.790000000000006</v>
      </c>
      <c r="G322" s="3459" t="s">
        <v>7461</v>
      </c>
      <c r="H322" s="3590">
        <f ca="1">'典型户型修正(先权重后修正)'!$R$30</f>
        <v>14026</v>
      </c>
      <c r="I322" s="3386">
        <f t="shared" ca="1" si="4"/>
        <v>106.3</v>
      </c>
    </row>
    <row r="323" spans="1:9" hidden="1">
      <c r="A323" s="3521">
        <v>321</v>
      </c>
      <c r="B323" s="3388"/>
      <c r="C323" s="3587" t="s">
        <v>3057</v>
      </c>
      <c r="D323" s="3587">
        <v>1</v>
      </c>
      <c r="E323" s="3587">
        <v>22</v>
      </c>
      <c r="F323" s="3578">
        <v>70.260000000000005</v>
      </c>
      <c r="G323" s="3459" t="s">
        <v>7461</v>
      </c>
      <c r="H323" s="3590">
        <f ca="1">'典型户型修正(先权重后修正)'!$R$24</f>
        <v>35065</v>
      </c>
      <c r="I323" s="3386">
        <f t="shared" ca="1" si="4"/>
        <v>246.37</v>
      </c>
    </row>
    <row r="324" spans="1:9" hidden="1">
      <c r="A324" s="3521">
        <v>322</v>
      </c>
      <c r="B324" s="3388"/>
      <c r="C324" s="3587" t="s">
        <v>3057</v>
      </c>
      <c r="D324" s="3587">
        <v>1</v>
      </c>
      <c r="E324" s="3587">
        <v>151</v>
      </c>
      <c r="F324" s="3578">
        <v>81.45</v>
      </c>
      <c r="G324" s="3459" t="s">
        <v>7461</v>
      </c>
      <c r="H324" s="3590">
        <f ca="1">'典型户型修正(先权重后修正)'!$R$24</f>
        <v>35065</v>
      </c>
      <c r="I324" s="3386">
        <f t="shared" ref="I324:I387" ca="1" si="5">ROUND(H324*F324/10000,2)</f>
        <v>285.60000000000002</v>
      </c>
    </row>
    <row r="325" spans="1:9" hidden="1">
      <c r="A325" s="3521">
        <v>323</v>
      </c>
      <c r="B325" s="3388"/>
      <c r="C325" s="3587" t="s">
        <v>3057</v>
      </c>
      <c r="D325" s="3587">
        <v>1</v>
      </c>
      <c r="E325" s="3587">
        <v>152</v>
      </c>
      <c r="F325" s="3578">
        <v>38.130000000000003</v>
      </c>
      <c r="G325" s="3459" t="s">
        <v>7461</v>
      </c>
      <c r="H325" s="3590">
        <f ca="1">'典型户型修正(先权重后修正)'!$R$24</f>
        <v>35065</v>
      </c>
      <c r="I325" s="3386">
        <f t="shared" ca="1" si="5"/>
        <v>133.69999999999999</v>
      </c>
    </row>
    <row r="326" spans="1:9" hidden="1">
      <c r="A326" s="3521">
        <v>324</v>
      </c>
      <c r="B326" s="3388"/>
      <c r="C326" s="3587" t="s">
        <v>3057</v>
      </c>
      <c r="D326" s="3587">
        <v>1</v>
      </c>
      <c r="E326" s="3587">
        <v>13</v>
      </c>
      <c r="F326" s="3578">
        <v>63.95</v>
      </c>
      <c r="G326" s="3459" t="s">
        <v>7461</v>
      </c>
      <c r="H326" s="3590">
        <f ca="1">'典型户型修正(先权重后修正)'!$R$24</f>
        <v>35065</v>
      </c>
      <c r="I326" s="3386">
        <f t="shared" ca="1" si="5"/>
        <v>224.24</v>
      </c>
    </row>
    <row r="327" spans="1:9" hidden="1">
      <c r="A327" s="3521">
        <v>325</v>
      </c>
      <c r="B327" s="3388"/>
      <c r="C327" s="3587" t="s">
        <v>3057</v>
      </c>
      <c r="D327" s="3587">
        <v>1</v>
      </c>
      <c r="E327" s="3587">
        <v>15</v>
      </c>
      <c r="F327" s="3578">
        <v>67.86</v>
      </c>
      <c r="G327" s="3459" t="s">
        <v>7461</v>
      </c>
      <c r="H327" s="3590">
        <f ca="1">'典型户型修正(先权重后修正)'!$R$24</f>
        <v>35065</v>
      </c>
      <c r="I327" s="3386">
        <f t="shared" ca="1" si="5"/>
        <v>237.95</v>
      </c>
    </row>
    <row r="328" spans="1:9" hidden="1">
      <c r="A328" s="3521">
        <v>326</v>
      </c>
      <c r="B328" s="3388"/>
      <c r="C328" s="3587" t="s">
        <v>3057</v>
      </c>
      <c r="D328" s="3587">
        <v>1</v>
      </c>
      <c r="E328" s="3587">
        <v>71</v>
      </c>
      <c r="F328" s="3578">
        <v>128.85</v>
      </c>
      <c r="G328" s="3459" t="s">
        <v>7461</v>
      </c>
      <c r="H328" s="3590">
        <f ca="1">'典型户型修正(先权重后修正)'!$R$24</f>
        <v>35065</v>
      </c>
      <c r="I328" s="3386">
        <f t="shared" ca="1" si="5"/>
        <v>451.81</v>
      </c>
    </row>
    <row r="329" spans="1:9" hidden="1">
      <c r="A329" s="3521">
        <v>327</v>
      </c>
      <c r="B329" s="3388"/>
      <c r="C329" s="3587" t="s">
        <v>3057</v>
      </c>
      <c r="D329" s="3587">
        <v>1</v>
      </c>
      <c r="E329" s="3587">
        <v>75</v>
      </c>
      <c r="F329" s="3578">
        <v>138.1</v>
      </c>
      <c r="G329" s="3459" t="s">
        <v>7461</v>
      </c>
      <c r="H329" s="3590">
        <f ca="1">'典型户型修正(先权重后修正)'!$R$24</f>
        <v>35065</v>
      </c>
      <c r="I329" s="3386">
        <f t="shared" ca="1" si="5"/>
        <v>484.25</v>
      </c>
    </row>
    <row r="330" spans="1:9" hidden="1">
      <c r="A330" s="3521">
        <v>328</v>
      </c>
      <c r="B330" s="3388"/>
      <c r="C330" s="3587" t="s">
        <v>3057</v>
      </c>
      <c r="D330" s="3587">
        <v>1</v>
      </c>
      <c r="E330" s="3587">
        <v>78</v>
      </c>
      <c r="F330" s="3578">
        <v>113.95</v>
      </c>
      <c r="G330" s="3459" t="s">
        <v>7461</v>
      </c>
      <c r="H330" s="3590">
        <f ca="1">'典型户型修正(先权重后修正)'!$R$24</f>
        <v>35065</v>
      </c>
      <c r="I330" s="3386">
        <f t="shared" ca="1" si="5"/>
        <v>399.57</v>
      </c>
    </row>
    <row r="331" spans="1:9" hidden="1">
      <c r="A331" s="3521">
        <v>329</v>
      </c>
      <c r="B331" s="3388"/>
      <c r="C331" s="3587" t="s">
        <v>3057</v>
      </c>
      <c r="D331" s="3587">
        <v>1</v>
      </c>
      <c r="E331" s="3587">
        <v>80</v>
      </c>
      <c r="F331" s="3578">
        <v>65.540000000000006</v>
      </c>
      <c r="G331" s="3459" t="s">
        <v>7461</v>
      </c>
      <c r="H331" s="3590">
        <f ca="1">'典型户型修正(先权重后修正)'!$R$24</f>
        <v>35065</v>
      </c>
      <c r="I331" s="3386">
        <f t="shared" ca="1" si="5"/>
        <v>229.82</v>
      </c>
    </row>
    <row r="332" spans="1:9" hidden="1">
      <c r="A332" s="3521">
        <v>330</v>
      </c>
      <c r="B332" s="3388"/>
      <c r="C332" s="3587" t="s">
        <v>3057</v>
      </c>
      <c r="D332" s="3587">
        <v>1</v>
      </c>
      <c r="E332" s="3587">
        <v>81</v>
      </c>
      <c r="F332" s="3578">
        <v>129.52000000000001</v>
      </c>
      <c r="G332" s="3459" t="s">
        <v>7461</v>
      </c>
      <c r="H332" s="3590">
        <f ca="1">'典型户型修正(先权重后修正)'!$R$24</f>
        <v>35065</v>
      </c>
      <c r="I332" s="3386">
        <f t="shared" ca="1" si="5"/>
        <v>454.16</v>
      </c>
    </row>
    <row r="333" spans="1:9" hidden="1">
      <c r="A333" s="3521">
        <v>331</v>
      </c>
      <c r="B333" s="3388"/>
      <c r="C333" s="3587" t="s">
        <v>3057</v>
      </c>
      <c r="D333" s="3587">
        <v>1</v>
      </c>
      <c r="E333" s="3587">
        <v>143</v>
      </c>
      <c r="F333" s="3578">
        <v>69.94</v>
      </c>
      <c r="G333" s="3459" t="s">
        <v>7461</v>
      </c>
      <c r="H333" s="3590">
        <f ca="1">'典型户型修正(先权重后修正)'!$R$24</f>
        <v>35065</v>
      </c>
      <c r="I333" s="3386">
        <f t="shared" ca="1" si="5"/>
        <v>245.24</v>
      </c>
    </row>
    <row r="334" spans="1:9" hidden="1">
      <c r="A334" s="3521">
        <v>332</v>
      </c>
      <c r="B334" s="3388"/>
      <c r="C334" s="3587" t="s">
        <v>3057</v>
      </c>
      <c r="D334" s="3587">
        <v>1</v>
      </c>
      <c r="E334" s="3587">
        <v>145</v>
      </c>
      <c r="F334" s="3578">
        <v>154.38</v>
      </c>
      <c r="G334" s="3459" t="s">
        <v>7461</v>
      </c>
      <c r="H334" s="3590">
        <f ca="1">'典型户型修正(先权重后修正)'!$R$24</f>
        <v>35065</v>
      </c>
      <c r="I334" s="3386">
        <f t="shared" ca="1" si="5"/>
        <v>541.33000000000004</v>
      </c>
    </row>
    <row r="335" spans="1:9" hidden="1">
      <c r="A335" s="3521">
        <v>333</v>
      </c>
      <c r="B335" s="3388"/>
      <c r="C335" s="3587" t="s">
        <v>3057</v>
      </c>
      <c r="D335" s="3587">
        <v>1</v>
      </c>
      <c r="E335" s="3587">
        <v>146</v>
      </c>
      <c r="F335" s="3578">
        <v>106.5</v>
      </c>
      <c r="G335" s="3459" t="s">
        <v>7461</v>
      </c>
      <c r="H335" s="3590">
        <f ca="1">'典型户型修正(先权重后修正)'!$R$24</f>
        <v>35065</v>
      </c>
      <c r="I335" s="3386">
        <f t="shared" ca="1" si="5"/>
        <v>373.44</v>
      </c>
    </row>
    <row r="336" spans="1:9" hidden="1">
      <c r="A336" s="3521">
        <v>334</v>
      </c>
      <c r="B336" s="3388"/>
      <c r="C336" s="3587" t="s">
        <v>3057</v>
      </c>
      <c r="D336" s="3587">
        <v>1</v>
      </c>
      <c r="E336" s="3587">
        <v>147</v>
      </c>
      <c r="F336" s="3578">
        <v>106.5</v>
      </c>
      <c r="G336" s="3459" t="s">
        <v>7461</v>
      </c>
      <c r="H336" s="3590">
        <f ca="1">'典型户型修正(先权重后修正)'!$R$24</f>
        <v>35065</v>
      </c>
      <c r="I336" s="3386">
        <f t="shared" ca="1" si="5"/>
        <v>373.44</v>
      </c>
    </row>
    <row r="337" spans="1:9" hidden="1">
      <c r="A337" s="3521">
        <v>335</v>
      </c>
      <c r="B337" s="3388"/>
      <c r="C337" s="3587" t="s">
        <v>3057</v>
      </c>
      <c r="D337" s="3587">
        <v>1</v>
      </c>
      <c r="E337" s="3587">
        <v>148</v>
      </c>
      <c r="F337" s="3578">
        <v>106.67</v>
      </c>
      <c r="G337" s="3459" t="s">
        <v>7461</v>
      </c>
      <c r="H337" s="3590">
        <f ca="1">'典型户型修正(先权重后修正)'!$R$24</f>
        <v>35065</v>
      </c>
      <c r="I337" s="3386">
        <f t="shared" ca="1" si="5"/>
        <v>374.04</v>
      </c>
    </row>
    <row r="338" spans="1:9" hidden="1">
      <c r="A338" s="3521">
        <v>336</v>
      </c>
      <c r="B338" s="3388"/>
      <c r="C338" s="3587" t="s">
        <v>3057</v>
      </c>
      <c r="D338" s="3587">
        <v>1</v>
      </c>
      <c r="E338" s="3587">
        <v>149</v>
      </c>
      <c r="F338" s="3578">
        <v>103.44</v>
      </c>
      <c r="G338" s="3459" t="s">
        <v>7461</v>
      </c>
      <c r="H338" s="3590">
        <f ca="1">'典型户型修正(先权重后修正)'!$R$24</f>
        <v>35065</v>
      </c>
      <c r="I338" s="3386">
        <f t="shared" ca="1" si="5"/>
        <v>362.71</v>
      </c>
    </row>
    <row r="339" spans="1:9" hidden="1">
      <c r="A339" s="3521">
        <v>337</v>
      </c>
      <c r="B339" s="3388"/>
      <c r="C339" s="3587" t="s">
        <v>3057</v>
      </c>
      <c r="D339" s="3587">
        <v>1</v>
      </c>
      <c r="E339" s="3587">
        <v>150</v>
      </c>
      <c r="F339" s="3578">
        <v>109.92</v>
      </c>
      <c r="G339" s="3459" t="s">
        <v>7461</v>
      </c>
      <c r="H339" s="3590">
        <f ca="1">'典型户型修正(先权重后修正)'!$R$24</f>
        <v>35065</v>
      </c>
      <c r="I339" s="3386">
        <f t="shared" ca="1" si="5"/>
        <v>385.43</v>
      </c>
    </row>
    <row r="340" spans="1:9" hidden="1">
      <c r="A340" s="3521">
        <v>338</v>
      </c>
      <c r="B340" s="3388"/>
      <c r="C340" s="3587" t="s">
        <v>3057</v>
      </c>
      <c r="D340" s="3587">
        <v>1</v>
      </c>
      <c r="E340" s="3587">
        <v>155</v>
      </c>
      <c r="F340" s="3578">
        <v>91.42</v>
      </c>
      <c r="G340" s="3459" t="s">
        <v>7461</v>
      </c>
      <c r="H340" s="3590">
        <f ca="1">'典型户型修正(先权重后修正)'!$R$24</f>
        <v>35065</v>
      </c>
      <c r="I340" s="3386">
        <f t="shared" ca="1" si="5"/>
        <v>320.56</v>
      </c>
    </row>
    <row r="341" spans="1:9" hidden="1">
      <c r="A341" s="3521">
        <v>339</v>
      </c>
      <c r="B341" s="3388"/>
      <c r="C341" s="3587" t="s">
        <v>3057</v>
      </c>
      <c r="D341" s="3587">
        <v>1</v>
      </c>
      <c r="E341" s="3587">
        <v>156</v>
      </c>
      <c r="F341" s="3578">
        <v>162.84</v>
      </c>
      <c r="G341" s="3459" t="s">
        <v>7461</v>
      </c>
      <c r="H341" s="3590">
        <f ca="1">'典型户型修正(先权重后修正)'!$R$24</f>
        <v>35065</v>
      </c>
      <c r="I341" s="3386">
        <f t="shared" ca="1" si="5"/>
        <v>571</v>
      </c>
    </row>
    <row r="342" spans="1:9" hidden="1">
      <c r="A342" s="3521">
        <v>340</v>
      </c>
      <c r="B342" s="3388"/>
      <c r="C342" s="3587" t="s">
        <v>3057</v>
      </c>
      <c r="D342" s="3587">
        <v>1</v>
      </c>
      <c r="E342" s="3587">
        <v>157</v>
      </c>
      <c r="F342" s="3578">
        <v>51.15</v>
      </c>
      <c r="G342" s="3459" t="s">
        <v>7461</v>
      </c>
      <c r="H342" s="3590">
        <f ca="1">'典型户型修正(先权重后修正)'!$R$24</f>
        <v>35065</v>
      </c>
      <c r="I342" s="3386">
        <f t="shared" ca="1" si="5"/>
        <v>179.36</v>
      </c>
    </row>
    <row r="343" spans="1:9" hidden="1">
      <c r="A343" s="3521">
        <v>341</v>
      </c>
      <c r="B343" s="3388"/>
      <c r="C343" s="3587" t="s">
        <v>3057</v>
      </c>
      <c r="D343" s="3587">
        <v>1</v>
      </c>
      <c r="E343" s="3587">
        <v>158</v>
      </c>
      <c r="F343" s="3578">
        <v>18.11</v>
      </c>
      <c r="G343" s="3459" t="s">
        <v>7461</v>
      </c>
      <c r="H343" s="3590">
        <f ca="1">'典型户型修正(先权重后修正)'!$R$24</f>
        <v>35065</v>
      </c>
      <c r="I343" s="3386">
        <f t="shared" ca="1" si="5"/>
        <v>63.5</v>
      </c>
    </row>
    <row r="344" spans="1:9" hidden="1">
      <c r="A344" s="3521">
        <v>342</v>
      </c>
      <c r="B344" s="3388"/>
      <c r="C344" s="3587" t="s">
        <v>3057</v>
      </c>
      <c r="D344" s="3587">
        <v>1</v>
      </c>
      <c r="E344" s="3587">
        <v>159</v>
      </c>
      <c r="F344" s="3578">
        <v>117.83</v>
      </c>
      <c r="G344" s="3459" t="s">
        <v>7461</v>
      </c>
      <c r="H344" s="3590">
        <f ca="1">'典型户型修正(先权重后修正)'!$R$24</f>
        <v>35065</v>
      </c>
      <c r="I344" s="3386">
        <f t="shared" ca="1" si="5"/>
        <v>413.17</v>
      </c>
    </row>
    <row r="345" spans="1:9" hidden="1">
      <c r="A345" s="3521">
        <v>343</v>
      </c>
      <c r="B345" s="3388"/>
      <c r="C345" s="3587" t="s">
        <v>3057</v>
      </c>
      <c r="D345" s="3587">
        <v>1</v>
      </c>
      <c r="E345" s="3587">
        <v>160</v>
      </c>
      <c r="F345" s="3578">
        <v>57.6</v>
      </c>
      <c r="G345" s="3459" t="s">
        <v>7461</v>
      </c>
      <c r="H345" s="3590">
        <f ca="1">'典型户型修正(先权重后修正)'!$R$24</f>
        <v>35065</v>
      </c>
      <c r="I345" s="3386">
        <f t="shared" ca="1" si="5"/>
        <v>201.97</v>
      </c>
    </row>
    <row r="346" spans="1:9" hidden="1">
      <c r="A346" s="3521">
        <v>344</v>
      </c>
      <c r="B346" s="3388"/>
      <c r="C346" s="3587" t="s">
        <v>3057</v>
      </c>
      <c r="D346" s="3587">
        <v>1</v>
      </c>
      <c r="E346" s="3587">
        <v>161</v>
      </c>
      <c r="F346" s="3578">
        <v>100.72</v>
      </c>
      <c r="G346" s="3459" t="s">
        <v>7461</v>
      </c>
      <c r="H346" s="3590">
        <f ca="1">'典型户型修正(先权重后修正)'!$R$24</f>
        <v>35065</v>
      </c>
      <c r="I346" s="3386">
        <f t="shared" ca="1" si="5"/>
        <v>353.17</v>
      </c>
    </row>
    <row r="347" spans="1:9" hidden="1">
      <c r="A347" s="3521">
        <v>345</v>
      </c>
      <c r="B347" s="3388"/>
      <c r="C347" s="3587" t="s">
        <v>3057</v>
      </c>
      <c r="D347" s="3587">
        <v>-1</v>
      </c>
      <c r="E347" s="3587">
        <v>286</v>
      </c>
      <c r="F347" s="3578">
        <v>74.37</v>
      </c>
      <c r="G347" s="3459" t="s">
        <v>7461</v>
      </c>
      <c r="H347" s="3590">
        <f ca="1">'典型户型修正(先权重后修正)'!$R$29</f>
        <v>17533</v>
      </c>
      <c r="I347" s="3386">
        <f t="shared" ca="1" si="5"/>
        <v>130.38999999999999</v>
      </c>
    </row>
    <row r="348" spans="1:9" hidden="1">
      <c r="A348" s="3521">
        <v>346</v>
      </c>
      <c r="B348" s="3388"/>
      <c r="C348" s="3587" t="s">
        <v>3057</v>
      </c>
      <c r="D348" s="3587">
        <v>-1</v>
      </c>
      <c r="E348" s="3587">
        <v>287</v>
      </c>
      <c r="F348" s="3578">
        <v>75.97</v>
      </c>
      <c r="G348" s="3459" t="s">
        <v>7461</v>
      </c>
      <c r="H348" s="3590">
        <f ca="1">'典型户型修正(先权重后修正)'!$R$29</f>
        <v>17533</v>
      </c>
      <c r="I348" s="3386">
        <f t="shared" ca="1" si="5"/>
        <v>133.19999999999999</v>
      </c>
    </row>
    <row r="349" spans="1:9" hidden="1">
      <c r="A349" s="3521">
        <v>347</v>
      </c>
      <c r="B349" s="3388"/>
      <c r="C349" s="3587" t="s">
        <v>3057</v>
      </c>
      <c r="D349" s="3587">
        <v>-1</v>
      </c>
      <c r="E349" s="3587">
        <v>288</v>
      </c>
      <c r="F349" s="3578">
        <v>76</v>
      </c>
      <c r="G349" s="3459" t="s">
        <v>7461</v>
      </c>
      <c r="H349" s="3590">
        <f ca="1">'典型户型修正(先权重后修正)'!$R$29</f>
        <v>17533</v>
      </c>
      <c r="I349" s="3386">
        <f t="shared" ca="1" si="5"/>
        <v>133.25</v>
      </c>
    </row>
    <row r="350" spans="1:9" hidden="1">
      <c r="A350" s="3521">
        <v>348</v>
      </c>
      <c r="B350" s="3388"/>
      <c r="C350" s="3587" t="s">
        <v>3057</v>
      </c>
      <c r="D350" s="3587">
        <v>-1</v>
      </c>
      <c r="E350" s="3587">
        <v>289</v>
      </c>
      <c r="F350" s="3578">
        <v>76.03</v>
      </c>
      <c r="G350" s="3459" t="s">
        <v>7461</v>
      </c>
      <c r="H350" s="3590">
        <f ca="1">'典型户型修正(先权重后修正)'!$R$29</f>
        <v>17533</v>
      </c>
      <c r="I350" s="3386">
        <f t="shared" ca="1" si="5"/>
        <v>133.30000000000001</v>
      </c>
    </row>
    <row r="351" spans="1:9" hidden="1">
      <c r="A351" s="3521">
        <v>349</v>
      </c>
      <c r="B351" s="3388"/>
      <c r="C351" s="3587" t="s">
        <v>3057</v>
      </c>
      <c r="D351" s="3587">
        <v>-1</v>
      </c>
      <c r="E351" s="3587">
        <v>290</v>
      </c>
      <c r="F351" s="3578">
        <v>76.06</v>
      </c>
      <c r="G351" s="3459" t="s">
        <v>7461</v>
      </c>
      <c r="H351" s="3590">
        <f ca="1">'典型户型修正(先权重后修正)'!$R$29</f>
        <v>17533</v>
      </c>
      <c r="I351" s="3386">
        <f t="shared" ca="1" si="5"/>
        <v>133.36000000000001</v>
      </c>
    </row>
    <row r="352" spans="1:9" hidden="1">
      <c r="A352" s="3521">
        <v>350</v>
      </c>
      <c r="B352" s="3388"/>
      <c r="C352" s="3587" t="s">
        <v>3057</v>
      </c>
      <c r="D352" s="3587">
        <v>-1</v>
      </c>
      <c r="E352" s="3587">
        <v>291</v>
      </c>
      <c r="F352" s="3578">
        <v>76.09</v>
      </c>
      <c r="G352" s="3459" t="s">
        <v>7461</v>
      </c>
      <c r="H352" s="3590">
        <f ca="1">'典型户型修正(先权重后修正)'!$R$29</f>
        <v>17533</v>
      </c>
      <c r="I352" s="3386">
        <f t="shared" ca="1" si="5"/>
        <v>133.41</v>
      </c>
    </row>
    <row r="353" spans="1:9" hidden="1">
      <c r="A353" s="3521">
        <v>351</v>
      </c>
      <c r="B353" s="3388"/>
      <c r="C353" s="3587" t="s">
        <v>3057</v>
      </c>
      <c r="D353" s="3587">
        <v>-1</v>
      </c>
      <c r="E353" s="3587">
        <v>292</v>
      </c>
      <c r="F353" s="3578">
        <v>76.12</v>
      </c>
      <c r="G353" s="3459" t="s">
        <v>7461</v>
      </c>
      <c r="H353" s="3590">
        <f ca="1">'典型户型修正(先权重后修正)'!$R$29</f>
        <v>17533</v>
      </c>
      <c r="I353" s="3386">
        <f t="shared" ca="1" si="5"/>
        <v>133.46</v>
      </c>
    </row>
    <row r="354" spans="1:9" hidden="1">
      <c r="A354" s="3521">
        <v>352</v>
      </c>
      <c r="B354" s="3388"/>
      <c r="C354" s="3587" t="s">
        <v>3057</v>
      </c>
      <c r="D354" s="3587">
        <v>-1</v>
      </c>
      <c r="E354" s="3587">
        <v>293</v>
      </c>
      <c r="F354" s="3578">
        <v>76.150000000000006</v>
      </c>
      <c r="G354" s="3459" t="s">
        <v>7461</v>
      </c>
      <c r="H354" s="3590">
        <f ca="1">'典型户型修正(先权重后修正)'!$R$29</f>
        <v>17533</v>
      </c>
      <c r="I354" s="3386">
        <f t="shared" ca="1" si="5"/>
        <v>133.51</v>
      </c>
    </row>
    <row r="355" spans="1:9" hidden="1">
      <c r="A355" s="3521">
        <v>353</v>
      </c>
      <c r="B355" s="3388"/>
      <c r="C355" s="3587" t="s">
        <v>3057</v>
      </c>
      <c r="D355" s="3587">
        <v>-1</v>
      </c>
      <c r="E355" s="3587">
        <v>295</v>
      </c>
      <c r="F355" s="3578">
        <v>76.19</v>
      </c>
      <c r="G355" s="3459" t="s">
        <v>7461</v>
      </c>
      <c r="H355" s="3590">
        <f ca="1">'典型户型修正(先权重后修正)'!$R$29</f>
        <v>17533</v>
      </c>
      <c r="I355" s="3386">
        <f t="shared" ca="1" si="5"/>
        <v>133.58000000000001</v>
      </c>
    </row>
    <row r="356" spans="1:9" hidden="1">
      <c r="A356" s="3521">
        <v>354</v>
      </c>
      <c r="B356" s="3388"/>
      <c r="C356" s="3587" t="s">
        <v>3057</v>
      </c>
      <c r="D356" s="3587">
        <v>-1</v>
      </c>
      <c r="E356" s="3587">
        <v>299</v>
      </c>
      <c r="F356" s="3578">
        <v>23.08</v>
      </c>
      <c r="G356" s="3459" t="s">
        <v>7461</v>
      </c>
      <c r="H356" s="3590">
        <f ca="1">'典型户型修正(先权重后修正)'!$R$29</f>
        <v>17533</v>
      </c>
      <c r="I356" s="3386">
        <f t="shared" ca="1" si="5"/>
        <v>40.47</v>
      </c>
    </row>
    <row r="357" spans="1:9" hidden="1">
      <c r="A357" s="3521">
        <v>355</v>
      </c>
      <c r="B357" s="3388"/>
      <c r="C357" s="3587" t="s">
        <v>3057</v>
      </c>
      <c r="D357" s="3587">
        <v>-1</v>
      </c>
      <c r="E357" s="3587">
        <v>300</v>
      </c>
      <c r="F357" s="3578">
        <v>21.46</v>
      </c>
      <c r="G357" s="3459" t="s">
        <v>7461</v>
      </c>
      <c r="H357" s="3590">
        <f ca="1">'典型户型修正(先权重后修正)'!$R$29</f>
        <v>17533</v>
      </c>
      <c r="I357" s="3386">
        <f t="shared" ca="1" si="5"/>
        <v>37.630000000000003</v>
      </c>
    </row>
    <row r="358" spans="1:9" hidden="1">
      <c r="A358" s="3521">
        <v>356</v>
      </c>
      <c r="B358" s="3388"/>
      <c r="C358" s="3587" t="s">
        <v>3057</v>
      </c>
      <c r="D358" s="3587">
        <v>-1</v>
      </c>
      <c r="E358" s="3587">
        <v>308</v>
      </c>
      <c r="F358" s="3578">
        <v>30.26</v>
      </c>
      <c r="G358" s="3459" t="s">
        <v>7461</v>
      </c>
      <c r="H358" s="3590">
        <f ca="1">'典型户型修正(先权重后修正)'!$R$29</f>
        <v>17533</v>
      </c>
      <c r="I358" s="3386">
        <f t="shared" ca="1" si="5"/>
        <v>53.05</v>
      </c>
    </row>
    <row r="359" spans="1:9" hidden="1">
      <c r="A359" s="3521">
        <v>357</v>
      </c>
      <c r="B359" s="3388"/>
      <c r="C359" s="3587" t="s">
        <v>3057</v>
      </c>
      <c r="D359" s="3587">
        <v>-1</v>
      </c>
      <c r="E359" s="3587">
        <v>309</v>
      </c>
      <c r="F359" s="3578">
        <v>30.29</v>
      </c>
      <c r="G359" s="3459" t="s">
        <v>7461</v>
      </c>
      <c r="H359" s="3590">
        <f ca="1">'典型户型修正(先权重后修正)'!$R$29</f>
        <v>17533</v>
      </c>
      <c r="I359" s="3386">
        <f t="shared" ca="1" si="5"/>
        <v>53.11</v>
      </c>
    </row>
    <row r="360" spans="1:9" hidden="1">
      <c r="A360" s="3521">
        <v>358</v>
      </c>
      <c r="B360" s="3388"/>
      <c r="C360" s="3587" t="s">
        <v>3057</v>
      </c>
      <c r="D360" s="3587">
        <v>-1</v>
      </c>
      <c r="E360" s="3587">
        <v>310</v>
      </c>
      <c r="F360" s="3578">
        <v>30.33</v>
      </c>
      <c r="G360" s="3459" t="s">
        <v>7461</v>
      </c>
      <c r="H360" s="3590">
        <f ca="1">'典型户型修正(先权重后修正)'!$R$29</f>
        <v>17533</v>
      </c>
      <c r="I360" s="3386">
        <f t="shared" ca="1" si="5"/>
        <v>53.18</v>
      </c>
    </row>
    <row r="361" spans="1:9" hidden="1">
      <c r="A361" s="3521">
        <v>359</v>
      </c>
      <c r="B361" s="3388"/>
      <c r="C361" s="3587" t="s">
        <v>3057</v>
      </c>
      <c r="D361" s="3587">
        <v>-1</v>
      </c>
      <c r="E361" s="3587">
        <v>311</v>
      </c>
      <c r="F361" s="3578">
        <v>30.35</v>
      </c>
      <c r="G361" s="3459" t="s">
        <v>7461</v>
      </c>
      <c r="H361" s="3590">
        <f ca="1">'典型户型修正(先权重后修正)'!$R$29</f>
        <v>17533</v>
      </c>
      <c r="I361" s="3386">
        <f t="shared" ca="1" si="5"/>
        <v>53.21</v>
      </c>
    </row>
    <row r="362" spans="1:9" hidden="1">
      <c r="A362" s="3521">
        <v>360</v>
      </c>
      <c r="B362" s="3388"/>
      <c r="C362" s="3587" t="s">
        <v>3057</v>
      </c>
      <c r="D362" s="3587">
        <v>-1</v>
      </c>
      <c r="E362" s="3587">
        <v>436</v>
      </c>
      <c r="F362" s="3578">
        <v>29.02</v>
      </c>
      <c r="G362" s="3459" t="s">
        <v>7461</v>
      </c>
      <c r="H362" s="3590">
        <f ca="1">'典型户型修正(先权重后修正)'!$R$29</f>
        <v>17533</v>
      </c>
      <c r="I362" s="3386">
        <f t="shared" ca="1" si="5"/>
        <v>50.88</v>
      </c>
    </row>
    <row r="363" spans="1:9" hidden="1">
      <c r="A363" s="3521">
        <v>361</v>
      </c>
      <c r="B363" s="3388"/>
      <c r="C363" s="3587" t="s">
        <v>3057</v>
      </c>
      <c r="D363" s="3587">
        <v>-1</v>
      </c>
      <c r="E363" s="3587">
        <v>437</v>
      </c>
      <c r="F363" s="3578">
        <v>57.47</v>
      </c>
      <c r="G363" s="3459" t="s">
        <v>7461</v>
      </c>
      <c r="H363" s="3590">
        <f ca="1">'典型户型修正(先权重后修正)'!$R$29</f>
        <v>17533</v>
      </c>
      <c r="I363" s="3386">
        <f t="shared" ca="1" si="5"/>
        <v>100.76</v>
      </c>
    </row>
    <row r="364" spans="1:9" hidden="1">
      <c r="A364" s="3521">
        <v>362</v>
      </c>
      <c r="B364" s="3388"/>
      <c r="C364" s="3587" t="s">
        <v>3057</v>
      </c>
      <c r="D364" s="3587">
        <v>-1</v>
      </c>
      <c r="E364" s="3587">
        <v>438</v>
      </c>
      <c r="F364" s="3578">
        <v>42.5</v>
      </c>
      <c r="G364" s="3459" t="s">
        <v>7461</v>
      </c>
      <c r="H364" s="3590">
        <f ca="1">'典型户型修正(先权重后修正)'!$R$29</f>
        <v>17533</v>
      </c>
      <c r="I364" s="3386">
        <f t="shared" ca="1" si="5"/>
        <v>74.52</v>
      </c>
    </row>
    <row r="365" spans="1:9" hidden="1">
      <c r="A365" s="3521">
        <v>363</v>
      </c>
      <c r="B365" s="3388"/>
      <c r="C365" s="3587" t="s">
        <v>3057</v>
      </c>
      <c r="D365" s="3587">
        <v>-1</v>
      </c>
      <c r="E365" s="3587">
        <v>439</v>
      </c>
      <c r="F365" s="3578">
        <v>42.5</v>
      </c>
      <c r="G365" s="3459" t="s">
        <v>7461</v>
      </c>
      <c r="H365" s="3590">
        <f ca="1">'典型户型修正(先权重后修正)'!$R$29</f>
        <v>17533</v>
      </c>
      <c r="I365" s="3386">
        <f t="shared" ca="1" si="5"/>
        <v>74.52</v>
      </c>
    </row>
    <row r="366" spans="1:9" hidden="1">
      <c r="A366" s="3521">
        <v>364</v>
      </c>
      <c r="B366" s="3388"/>
      <c r="C366" s="3587" t="s">
        <v>3057</v>
      </c>
      <c r="D366" s="3587">
        <v>-1</v>
      </c>
      <c r="E366" s="3587">
        <v>440</v>
      </c>
      <c r="F366" s="3578">
        <v>42.5</v>
      </c>
      <c r="G366" s="3459" t="s">
        <v>7461</v>
      </c>
      <c r="H366" s="3590">
        <f ca="1">'典型户型修正(先权重后修正)'!$R$29</f>
        <v>17533</v>
      </c>
      <c r="I366" s="3386">
        <f t="shared" ca="1" si="5"/>
        <v>74.52</v>
      </c>
    </row>
    <row r="367" spans="1:9" hidden="1">
      <c r="A367" s="3521">
        <v>365</v>
      </c>
      <c r="B367" s="3388"/>
      <c r="C367" s="3587" t="s">
        <v>3057</v>
      </c>
      <c r="D367" s="3587">
        <v>-1</v>
      </c>
      <c r="E367" s="3587">
        <v>441</v>
      </c>
      <c r="F367" s="3578">
        <v>42.5</v>
      </c>
      <c r="G367" s="3459" t="s">
        <v>7461</v>
      </c>
      <c r="H367" s="3590">
        <f ca="1">'典型户型修正(先权重后修正)'!$R$29</f>
        <v>17533</v>
      </c>
      <c r="I367" s="3386">
        <f t="shared" ca="1" si="5"/>
        <v>74.52</v>
      </c>
    </row>
    <row r="368" spans="1:9" hidden="1">
      <c r="A368" s="3521">
        <v>366</v>
      </c>
      <c r="B368" s="3388"/>
      <c r="C368" s="3587" t="s">
        <v>3057</v>
      </c>
      <c r="D368" s="3587">
        <v>-1</v>
      </c>
      <c r="E368" s="3587">
        <v>442</v>
      </c>
      <c r="F368" s="3578">
        <v>87.92</v>
      </c>
      <c r="G368" s="3459" t="s">
        <v>7461</v>
      </c>
      <c r="H368" s="3590">
        <f ca="1">'典型户型修正(先权重后修正)'!$R$29</f>
        <v>17533</v>
      </c>
      <c r="I368" s="3386">
        <f t="shared" ca="1" si="5"/>
        <v>154.15</v>
      </c>
    </row>
    <row r="369" spans="1:9" hidden="1">
      <c r="A369" s="3521">
        <v>367</v>
      </c>
      <c r="B369" s="3388"/>
      <c r="C369" s="3587" t="s">
        <v>3057</v>
      </c>
      <c r="D369" s="3587">
        <v>-1</v>
      </c>
      <c r="E369" s="3587">
        <v>443</v>
      </c>
      <c r="F369" s="3578">
        <v>71.14</v>
      </c>
      <c r="G369" s="3459" t="s">
        <v>7461</v>
      </c>
      <c r="H369" s="3590">
        <f ca="1">'典型户型修正(先权重后修正)'!$R$29</f>
        <v>17533</v>
      </c>
      <c r="I369" s="3386">
        <f t="shared" ca="1" si="5"/>
        <v>124.73</v>
      </c>
    </row>
    <row r="370" spans="1:9" hidden="1">
      <c r="A370" s="3521">
        <v>368</v>
      </c>
      <c r="B370" s="3388"/>
      <c r="C370" s="3587" t="s">
        <v>3057</v>
      </c>
      <c r="D370" s="3587">
        <v>-1</v>
      </c>
      <c r="E370" s="3587">
        <v>445</v>
      </c>
      <c r="F370" s="3578">
        <v>61.07</v>
      </c>
      <c r="G370" s="3459" t="s">
        <v>7461</v>
      </c>
      <c r="H370" s="3590">
        <f ca="1">'典型户型修正(先权重后修正)'!$R$29</f>
        <v>17533</v>
      </c>
      <c r="I370" s="3386">
        <f t="shared" ca="1" si="5"/>
        <v>107.07</v>
      </c>
    </row>
    <row r="371" spans="1:9" hidden="1">
      <c r="A371" s="3521">
        <v>369</v>
      </c>
      <c r="B371" s="3388"/>
      <c r="C371" s="3587" t="s">
        <v>3057</v>
      </c>
      <c r="D371" s="3587">
        <v>-1</v>
      </c>
      <c r="E371" s="3587">
        <v>446</v>
      </c>
      <c r="F371" s="3578">
        <v>61.07</v>
      </c>
      <c r="G371" s="3459" t="s">
        <v>7461</v>
      </c>
      <c r="H371" s="3590">
        <f ca="1">'典型户型修正(先权重后修正)'!$R$29</f>
        <v>17533</v>
      </c>
      <c r="I371" s="3386">
        <f t="shared" ca="1" si="5"/>
        <v>107.07</v>
      </c>
    </row>
    <row r="372" spans="1:9" hidden="1">
      <c r="A372" s="3521">
        <v>370</v>
      </c>
      <c r="B372" s="3388"/>
      <c r="C372" s="3587" t="s">
        <v>3057</v>
      </c>
      <c r="D372" s="3587">
        <v>-1</v>
      </c>
      <c r="E372" s="3587">
        <v>447</v>
      </c>
      <c r="F372" s="3578">
        <v>61.07</v>
      </c>
      <c r="G372" s="3459" t="s">
        <v>7461</v>
      </c>
      <c r="H372" s="3590">
        <f ca="1">'典型户型修正(先权重后修正)'!$R$29</f>
        <v>17533</v>
      </c>
      <c r="I372" s="3386">
        <f t="shared" ca="1" si="5"/>
        <v>107.07</v>
      </c>
    </row>
    <row r="373" spans="1:9" hidden="1">
      <c r="A373" s="3521">
        <v>371</v>
      </c>
      <c r="B373" s="3388"/>
      <c r="C373" s="3587" t="s">
        <v>3057</v>
      </c>
      <c r="D373" s="3587">
        <v>-1</v>
      </c>
      <c r="E373" s="3587">
        <v>448</v>
      </c>
      <c r="F373" s="3578">
        <v>61.07</v>
      </c>
      <c r="G373" s="3459" t="s">
        <v>7461</v>
      </c>
      <c r="H373" s="3590">
        <f ca="1">'典型户型修正(先权重后修正)'!$R$29</f>
        <v>17533</v>
      </c>
      <c r="I373" s="3386">
        <f t="shared" ca="1" si="5"/>
        <v>107.07</v>
      </c>
    </row>
    <row r="374" spans="1:9" hidden="1">
      <c r="A374" s="3521">
        <v>372</v>
      </c>
      <c r="B374" s="3388"/>
      <c r="C374" s="3587" t="s">
        <v>3057</v>
      </c>
      <c r="D374" s="3587">
        <v>-1</v>
      </c>
      <c r="E374" s="3587">
        <v>449</v>
      </c>
      <c r="F374" s="3578">
        <v>61.07</v>
      </c>
      <c r="G374" s="3459" t="s">
        <v>7461</v>
      </c>
      <c r="H374" s="3590">
        <f ca="1">'典型户型修正(先权重后修正)'!$R$29</f>
        <v>17533</v>
      </c>
      <c r="I374" s="3386">
        <f t="shared" ca="1" si="5"/>
        <v>107.07</v>
      </c>
    </row>
    <row r="375" spans="1:9" hidden="1">
      <c r="A375" s="3521">
        <v>373</v>
      </c>
      <c r="B375" s="3388"/>
      <c r="C375" s="3587" t="s">
        <v>3057</v>
      </c>
      <c r="D375" s="3587">
        <v>-1</v>
      </c>
      <c r="E375" s="3587">
        <v>457</v>
      </c>
      <c r="F375" s="3578">
        <v>61.08</v>
      </c>
      <c r="G375" s="3459" t="s">
        <v>7461</v>
      </c>
      <c r="H375" s="3590">
        <f ca="1">'典型户型修正(先权重后修正)'!$R$29</f>
        <v>17533</v>
      </c>
      <c r="I375" s="3386">
        <f t="shared" ca="1" si="5"/>
        <v>107.09</v>
      </c>
    </row>
    <row r="376" spans="1:9" hidden="1">
      <c r="A376" s="3521">
        <v>374</v>
      </c>
      <c r="B376" s="3388" t="s">
        <v>7319</v>
      </c>
      <c r="C376" s="3585">
        <v>9</v>
      </c>
      <c r="D376" s="3585">
        <v>-1</v>
      </c>
      <c r="E376" s="3585">
        <v>69</v>
      </c>
      <c r="F376" s="3576">
        <v>79.8</v>
      </c>
      <c r="G376" s="3459" t="s">
        <v>7461</v>
      </c>
      <c r="H376" s="3590">
        <f ca="1">'典型户型修正(先权重后修正)'!$R$29</f>
        <v>17533</v>
      </c>
      <c r="I376" s="3386">
        <f t="shared" ca="1" si="5"/>
        <v>139.91</v>
      </c>
    </row>
    <row r="377" spans="1:9" hidden="1">
      <c r="A377" s="3521">
        <v>375</v>
      </c>
      <c r="B377" s="3388" t="s">
        <v>7320</v>
      </c>
      <c r="C377" s="3585">
        <v>9</v>
      </c>
      <c r="D377" s="3585">
        <v>-1</v>
      </c>
      <c r="E377" s="3585">
        <v>77</v>
      </c>
      <c r="F377" s="3576">
        <v>41.44</v>
      </c>
      <c r="G377" s="3459" t="s">
        <v>7461</v>
      </c>
      <c r="H377" s="3590">
        <f ca="1">'典型户型修正(先权重后修正)'!$R$29</f>
        <v>17533</v>
      </c>
      <c r="I377" s="3386">
        <f t="shared" ca="1" si="5"/>
        <v>72.66</v>
      </c>
    </row>
    <row r="378" spans="1:9" hidden="1">
      <c r="A378" s="3521">
        <v>376</v>
      </c>
      <c r="B378" s="3388" t="s">
        <v>7321</v>
      </c>
      <c r="C378" s="3585">
        <v>9</v>
      </c>
      <c r="D378" s="3585">
        <v>-1</v>
      </c>
      <c r="E378" s="3585">
        <v>78</v>
      </c>
      <c r="F378" s="3576">
        <v>83.21</v>
      </c>
      <c r="G378" s="3459" t="s">
        <v>7461</v>
      </c>
      <c r="H378" s="3590">
        <f ca="1">'典型户型修正(先权重后修正)'!$R$29</f>
        <v>17533</v>
      </c>
      <c r="I378" s="3386">
        <f t="shared" ca="1" si="5"/>
        <v>145.88999999999999</v>
      </c>
    </row>
    <row r="379" spans="1:9" hidden="1">
      <c r="A379" s="3521">
        <v>377</v>
      </c>
      <c r="B379" s="3388" t="s">
        <v>7322</v>
      </c>
      <c r="C379" s="3585">
        <v>9</v>
      </c>
      <c r="D379" s="3585">
        <v>-1</v>
      </c>
      <c r="E379" s="3585">
        <v>97</v>
      </c>
      <c r="F379" s="3576">
        <v>62.34</v>
      </c>
      <c r="G379" s="3459" t="s">
        <v>7461</v>
      </c>
      <c r="H379" s="3590">
        <f ca="1">'典型户型修正(先权重后修正)'!$R$29</f>
        <v>17533</v>
      </c>
      <c r="I379" s="3386">
        <f t="shared" ca="1" si="5"/>
        <v>109.3</v>
      </c>
    </row>
    <row r="380" spans="1:9" hidden="1">
      <c r="A380" s="3521">
        <v>378</v>
      </c>
      <c r="B380" s="3388" t="s">
        <v>7323</v>
      </c>
      <c r="C380" s="3585">
        <v>9</v>
      </c>
      <c r="D380" s="3585">
        <v>-1</v>
      </c>
      <c r="E380" s="3585">
        <v>98</v>
      </c>
      <c r="F380" s="3576">
        <v>59.51</v>
      </c>
      <c r="G380" s="3459" t="s">
        <v>7461</v>
      </c>
      <c r="H380" s="3590">
        <f ca="1">'典型户型修正(先权重后修正)'!$R$29</f>
        <v>17533</v>
      </c>
      <c r="I380" s="3386">
        <f t="shared" ca="1" si="5"/>
        <v>104.34</v>
      </c>
    </row>
    <row r="381" spans="1:9" hidden="1">
      <c r="A381" s="3521">
        <v>379</v>
      </c>
      <c r="B381" s="3388" t="s">
        <v>7324</v>
      </c>
      <c r="C381" s="3585">
        <v>9</v>
      </c>
      <c r="D381" s="3585">
        <v>-1</v>
      </c>
      <c r="E381" s="3585">
        <v>102</v>
      </c>
      <c r="F381" s="3576">
        <v>62.33</v>
      </c>
      <c r="G381" s="3459" t="s">
        <v>7461</v>
      </c>
      <c r="H381" s="3590">
        <f ca="1">'典型户型修正(先权重后修正)'!$R$29</f>
        <v>17533</v>
      </c>
      <c r="I381" s="3386">
        <f t="shared" ca="1" si="5"/>
        <v>109.28</v>
      </c>
    </row>
    <row r="382" spans="1:9" hidden="1">
      <c r="A382" s="3521">
        <v>380</v>
      </c>
      <c r="B382" s="3388" t="s">
        <v>7325</v>
      </c>
      <c r="C382" s="3585">
        <v>9</v>
      </c>
      <c r="D382" s="3585">
        <v>-1</v>
      </c>
      <c r="E382" s="3585">
        <v>108</v>
      </c>
      <c r="F382" s="3576">
        <v>59.51</v>
      </c>
      <c r="G382" s="3459" t="s">
        <v>7461</v>
      </c>
      <c r="H382" s="3590">
        <f ca="1">'典型户型修正(先权重后修正)'!$R$29</f>
        <v>17533</v>
      </c>
      <c r="I382" s="3386">
        <f t="shared" ca="1" si="5"/>
        <v>104.34</v>
      </c>
    </row>
    <row r="383" spans="1:9" hidden="1">
      <c r="A383" s="3521">
        <v>381</v>
      </c>
      <c r="B383" s="3388" t="s">
        <v>7326</v>
      </c>
      <c r="C383" s="3585">
        <v>9</v>
      </c>
      <c r="D383" s="3585">
        <v>-1</v>
      </c>
      <c r="E383" s="3585">
        <v>133</v>
      </c>
      <c r="F383" s="3576">
        <v>71.39</v>
      </c>
      <c r="G383" s="3459" t="s">
        <v>7461</v>
      </c>
      <c r="H383" s="3590">
        <f ca="1">'典型户型修正(先权重后修正)'!$R$29</f>
        <v>17533</v>
      </c>
      <c r="I383" s="3386">
        <f t="shared" ca="1" si="5"/>
        <v>125.17</v>
      </c>
    </row>
    <row r="384" spans="1:9">
      <c r="A384" s="3521">
        <v>382</v>
      </c>
      <c r="B384" s="3388" t="s">
        <v>7327</v>
      </c>
      <c r="C384" s="3585">
        <v>9</v>
      </c>
      <c r="D384" s="3585">
        <v>-2</v>
      </c>
      <c r="E384" s="3585">
        <v>23</v>
      </c>
      <c r="F384" s="3576">
        <v>75.02</v>
      </c>
      <c r="G384" s="3459" t="s">
        <v>7461</v>
      </c>
      <c r="H384" s="3590">
        <f ca="1">'典型户型修正(先权重后修正)'!$R$30</f>
        <v>14026</v>
      </c>
      <c r="I384" s="3386">
        <f t="shared" ca="1" si="5"/>
        <v>105.22</v>
      </c>
    </row>
    <row r="385" spans="1:9">
      <c r="A385" s="3521">
        <v>383</v>
      </c>
      <c r="B385" s="3388" t="s">
        <v>7328</v>
      </c>
      <c r="C385" s="3585">
        <v>9</v>
      </c>
      <c r="D385" s="3585">
        <v>-2</v>
      </c>
      <c r="E385" s="3585">
        <v>25</v>
      </c>
      <c r="F385" s="3576">
        <v>75.02</v>
      </c>
      <c r="G385" s="3459" t="s">
        <v>7461</v>
      </c>
      <c r="H385" s="3590">
        <f ca="1">'典型户型修正(先权重后修正)'!$R$30</f>
        <v>14026</v>
      </c>
      <c r="I385" s="3386">
        <f t="shared" ca="1" si="5"/>
        <v>105.22</v>
      </c>
    </row>
    <row r="386" spans="1:9">
      <c r="A386" s="3521">
        <v>384</v>
      </c>
      <c r="B386" s="3388" t="s">
        <v>7329</v>
      </c>
      <c r="C386" s="3585">
        <v>9</v>
      </c>
      <c r="D386" s="3585">
        <v>-2</v>
      </c>
      <c r="E386" s="3585">
        <v>95</v>
      </c>
      <c r="F386" s="3576">
        <v>95.25</v>
      </c>
      <c r="G386" s="3459" t="s">
        <v>7461</v>
      </c>
      <c r="H386" s="3590">
        <f ca="1">'典型户型修正(先权重后修正)'!$R$30</f>
        <v>14026</v>
      </c>
      <c r="I386" s="3386">
        <f t="shared" ca="1" si="5"/>
        <v>133.6</v>
      </c>
    </row>
    <row r="387" spans="1:9" hidden="1">
      <c r="A387" s="3521">
        <v>385</v>
      </c>
      <c r="B387" s="3388" t="s">
        <v>7330</v>
      </c>
      <c r="C387" s="3585">
        <v>11</v>
      </c>
      <c r="D387" s="3585">
        <v>1</v>
      </c>
      <c r="E387" s="3585">
        <v>36</v>
      </c>
      <c r="F387" s="3576">
        <v>68.489999999999995</v>
      </c>
      <c r="G387" s="3459" t="s">
        <v>7461</v>
      </c>
      <c r="H387" s="3590">
        <f ca="1">'典型户型修正(先权重后修正)'!$R$24</f>
        <v>35065</v>
      </c>
      <c r="I387" s="3386">
        <f t="shared" ca="1" si="5"/>
        <v>240.16</v>
      </c>
    </row>
    <row r="388" spans="1:9" hidden="1">
      <c r="A388" s="3521">
        <v>386</v>
      </c>
      <c r="B388" s="3388" t="s">
        <v>7331</v>
      </c>
      <c r="C388" s="3585">
        <v>11</v>
      </c>
      <c r="D388" s="3585">
        <v>1</v>
      </c>
      <c r="E388" s="3585">
        <v>61</v>
      </c>
      <c r="F388" s="3576">
        <v>39.5</v>
      </c>
      <c r="G388" s="3459" t="s">
        <v>7461</v>
      </c>
      <c r="H388" s="3590">
        <f ca="1">'典型户型修正(先权重后修正)'!$R$24</f>
        <v>35065</v>
      </c>
      <c r="I388" s="3386">
        <f t="shared" ref="I388:I451" ca="1" si="6">ROUND(H388*F388/10000,2)</f>
        <v>138.51</v>
      </c>
    </row>
    <row r="389" spans="1:9" hidden="1">
      <c r="A389" s="3521">
        <v>387</v>
      </c>
      <c r="B389" s="3388" t="s">
        <v>7332</v>
      </c>
      <c r="C389" s="3585">
        <v>11</v>
      </c>
      <c r="D389" s="3585">
        <v>1</v>
      </c>
      <c r="E389" s="3585">
        <v>81</v>
      </c>
      <c r="F389" s="3576">
        <v>45.72</v>
      </c>
      <c r="G389" s="3459" t="s">
        <v>7461</v>
      </c>
      <c r="H389" s="3590">
        <f ca="1">'典型户型修正(先权重后修正)'!$R$24</f>
        <v>35065</v>
      </c>
      <c r="I389" s="3386">
        <f t="shared" ca="1" si="6"/>
        <v>160.32</v>
      </c>
    </row>
    <row r="390" spans="1:9" hidden="1">
      <c r="A390" s="3521">
        <v>388</v>
      </c>
      <c r="B390" s="3388" t="s">
        <v>7333</v>
      </c>
      <c r="C390" s="3585">
        <v>11</v>
      </c>
      <c r="D390" s="3585">
        <v>1</v>
      </c>
      <c r="E390" s="3585">
        <v>146</v>
      </c>
      <c r="F390" s="3576">
        <v>53.91</v>
      </c>
      <c r="G390" s="3459" t="s">
        <v>7461</v>
      </c>
      <c r="H390" s="3590">
        <f ca="1">'典型户型修正(先权重后修正)'!$R$24</f>
        <v>35065</v>
      </c>
      <c r="I390" s="3386">
        <f t="shared" ca="1" si="6"/>
        <v>189.04</v>
      </c>
    </row>
    <row r="391" spans="1:9" hidden="1">
      <c r="A391" s="3521">
        <v>389</v>
      </c>
      <c r="B391" s="3388" t="s">
        <v>7334</v>
      </c>
      <c r="C391" s="3585">
        <v>11</v>
      </c>
      <c r="D391" s="3585">
        <v>1</v>
      </c>
      <c r="E391" s="3585">
        <v>147</v>
      </c>
      <c r="F391" s="3576">
        <v>87.65</v>
      </c>
      <c r="G391" s="3459" t="s">
        <v>7461</v>
      </c>
      <c r="H391" s="3590">
        <f ca="1">'典型户型修正(先权重后修正)'!$R$24</f>
        <v>35065</v>
      </c>
      <c r="I391" s="3386">
        <f t="shared" ca="1" si="6"/>
        <v>307.33999999999997</v>
      </c>
    </row>
    <row r="392" spans="1:9" hidden="1">
      <c r="A392" s="3521">
        <v>390</v>
      </c>
      <c r="B392" s="3388" t="s">
        <v>7335</v>
      </c>
      <c r="C392" s="3585">
        <v>11</v>
      </c>
      <c r="D392" s="3585">
        <v>1</v>
      </c>
      <c r="E392" s="3585">
        <v>1</v>
      </c>
      <c r="F392" s="3576">
        <v>45.34</v>
      </c>
      <c r="G392" s="3459" t="s">
        <v>7461</v>
      </c>
      <c r="H392" s="3590">
        <f ca="1">'典型户型修正(先权重后修正)'!$R$24</f>
        <v>35065</v>
      </c>
      <c r="I392" s="3386">
        <f t="shared" ca="1" si="6"/>
        <v>158.97999999999999</v>
      </c>
    </row>
    <row r="393" spans="1:9" hidden="1">
      <c r="A393" s="3521">
        <v>391</v>
      </c>
      <c r="B393" s="3388" t="s">
        <v>7336</v>
      </c>
      <c r="C393" s="3585">
        <v>11</v>
      </c>
      <c r="D393" s="3585">
        <v>1</v>
      </c>
      <c r="E393" s="3585">
        <v>35</v>
      </c>
      <c r="F393" s="3576">
        <v>44.44</v>
      </c>
      <c r="G393" s="3459" t="s">
        <v>7461</v>
      </c>
      <c r="H393" s="3590">
        <f ca="1">'典型户型修正(先权重后修正)'!$R$24</f>
        <v>35065</v>
      </c>
      <c r="I393" s="3386">
        <f t="shared" ca="1" si="6"/>
        <v>155.83000000000001</v>
      </c>
    </row>
    <row r="394" spans="1:9" hidden="1">
      <c r="A394" s="3521">
        <v>392</v>
      </c>
      <c r="B394" s="3388" t="s">
        <v>7337</v>
      </c>
      <c r="C394" s="3585">
        <v>11</v>
      </c>
      <c r="D394" s="3585">
        <v>1</v>
      </c>
      <c r="E394" s="3585">
        <v>41</v>
      </c>
      <c r="F394" s="3576">
        <v>41.15</v>
      </c>
      <c r="G394" s="3459" t="s">
        <v>7461</v>
      </c>
      <c r="H394" s="3590">
        <f ca="1">'典型户型修正(先权重后修正)'!$R$24</f>
        <v>35065</v>
      </c>
      <c r="I394" s="3386">
        <f t="shared" ca="1" si="6"/>
        <v>144.29</v>
      </c>
    </row>
    <row r="395" spans="1:9" hidden="1">
      <c r="A395" s="3521">
        <v>393</v>
      </c>
      <c r="B395" s="3388" t="s">
        <v>7338</v>
      </c>
      <c r="C395" s="3585">
        <v>11</v>
      </c>
      <c r="D395" s="3585">
        <v>1</v>
      </c>
      <c r="E395" s="3585">
        <v>148</v>
      </c>
      <c r="F395" s="3576">
        <v>38.61</v>
      </c>
      <c r="G395" s="3459" t="s">
        <v>7461</v>
      </c>
      <c r="H395" s="3590">
        <f ca="1">'典型户型修正(先权重后修正)'!$R$24</f>
        <v>35065</v>
      </c>
      <c r="I395" s="3386">
        <f t="shared" ca="1" si="6"/>
        <v>135.38999999999999</v>
      </c>
    </row>
    <row r="396" spans="1:9" hidden="1">
      <c r="A396" s="3521">
        <v>394</v>
      </c>
      <c r="B396" s="3388" t="s">
        <v>7339</v>
      </c>
      <c r="C396" s="3585">
        <v>11</v>
      </c>
      <c r="D396" s="3585">
        <v>1</v>
      </c>
      <c r="E396" s="3585">
        <v>149</v>
      </c>
      <c r="F396" s="3576">
        <v>39.06</v>
      </c>
      <c r="G396" s="3459" t="s">
        <v>7461</v>
      </c>
      <c r="H396" s="3590">
        <f ca="1">'典型户型修正(先权重后修正)'!$R$24</f>
        <v>35065</v>
      </c>
      <c r="I396" s="3386">
        <f t="shared" ca="1" si="6"/>
        <v>136.96</v>
      </c>
    </row>
    <row r="397" spans="1:9" hidden="1">
      <c r="A397" s="3521">
        <v>395</v>
      </c>
      <c r="B397" s="3388" t="s">
        <v>7340</v>
      </c>
      <c r="C397" s="3585">
        <v>11</v>
      </c>
      <c r="D397" s="3585">
        <v>1</v>
      </c>
      <c r="E397" s="3585">
        <v>46</v>
      </c>
      <c r="F397" s="3576">
        <v>44.65</v>
      </c>
      <c r="G397" s="3459" t="s">
        <v>7461</v>
      </c>
      <c r="H397" s="3590">
        <f ca="1">'典型户型修正(先权重后修正)'!$R$24</f>
        <v>35065</v>
      </c>
      <c r="I397" s="3386">
        <f t="shared" ca="1" si="6"/>
        <v>156.57</v>
      </c>
    </row>
    <row r="398" spans="1:9" hidden="1">
      <c r="A398" s="3521">
        <v>396</v>
      </c>
      <c r="B398" s="3388" t="s">
        <v>7341</v>
      </c>
      <c r="C398" s="3585">
        <v>11</v>
      </c>
      <c r="D398" s="3585">
        <v>1</v>
      </c>
      <c r="E398" s="3585">
        <v>47</v>
      </c>
      <c r="F398" s="3576">
        <v>44.65</v>
      </c>
      <c r="G398" s="3459" t="s">
        <v>7461</v>
      </c>
      <c r="H398" s="3590">
        <f ca="1">'典型户型修正(先权重后修正)'!$R$24</f>
        <v>35065</v>
      </c>
      <c r="I398" s="3386">
        <f t="shared" ca="1" si="6"/>
        <v>156.57</v>
      </c>
    </row>
    <row r="399" spans="1:9" hidden="1">
      <c r="A399" s="3521">
        <v>397</v>
      </c>
      <c r="B399" s="3388" t="s">
        <v>7342</v>
      </c>
      <c r="C399" s="3585">
        <v>11</v>
      </c>
      <c r="D399" s="3585">
        <v>1</v>
      </c>
      <c r="E399" s="3585">
        <v>100</v>
      </c>
      <c r="F399" s="3576">
        <v>72.5</v>
      </c>
      <c r="G399" s="3459" t="s">
        <v>7461</v>
      </c>
      <c r="H399" s="3590">
        <f ca="1">'典型户型修正(先权重后修正)'!$R$24</f>
        <v>35065</v>
      </c>
      <c r="I399" s="3386">
        <f t="shared" ca="1" si="6"/>
        <v>254.22</v>
      </c>
    </row>
    <row r="400" spans="1:9" hidden="1">
      <c r="A400" s="3521">
        <v>398</v>
      </c>
      <c r="B400" s="3388" t="s">
        <v>7343</v>
      </c>
      <c r="C400" s="3585">
        <v>11</v>
      </c>
      <c r="D400" s="3585">
        <v>1</v>
      </c>
      <c r="E400" s="3585">
        <v>120</v>
      </c>
      <c r="F400" s="3576">
        <v>41.05</v>
      </c>
      <c r="G400" s="3459" t="s">
        <v>7461</v>
      </c>
      <c r="H400" s="3590">
        <f ca="1">'典型户型修正(先权重后修正)'!$R$24</f>
        <v>35065</v>
      </c>
      <c r="I400" s="3386">
        <f t="shared" ca="1" si="6"/>
        <v>143.94</v>
      </c>
    </row>
    <row r="401" spans="1:9" hidden="1">
      <c r="A401" s="3521">
        <v>399</v>
      </c>
      <c r="B401" s="3388" t="s">
        <v>7344</v>
      </c>
      <c r="C401" s="3585">
        <v>11</v>
      </c>
      <c r="D401" s="3585">
        <v>1</v>
      </c>
      <c r="E401" s="3585">
        <v>142</v>
      </c>
      <c r="F401" s="3576">
        <v>44.03</v>
      </c>
      <c r="G401" s="3459" t="s">
        <v>7461</v>
      </c>
      <c r="H401" s="3590">
        <f ca="1">'典型户型修正(先权重后修正)'!$R$24</f>
        <v>35065</v>
      </c>
      <c r="I401" s="3386">
        <f t="shared" ca="1" si="6"/>
        <v>154.38999999999999</v>
      </c>
    </row>
    <row r="402" spans="1:9" hidden="1">
      <c r="A402" s="3521">
        <v>400</v>
      </c>
      <c r="B402" s="3388"/>
      <c r="C402" s="3587">
        <v>11</v>
      </c>
      <c r="D402" s="3587">
        <v>1</v>
      </c>
      <c r="E402" s="3587">
        <v>2</v>
      </c>
      <c r="F402" s="3578">
        <v>93.34</v>
      </c>
      <c r="G402" s="3459" t="s">
        <v>7461</v>
      </c>
      <c r="H402" s="3590">
        <f ca="1">'典型户型修正(先权重后修正)'!$R$24</f>
        <v>35065</v>
      </c>
      <c r="I402" s="3386">
        <f t="shared" ca="1" si="6"/>
        <v>327.3</v>
      </c>
    </row>
    <row r="403" spans="1:9" hidden="1">
      <c r="A403" s="3521">
        <v>401</v>
      </c>
      <c r="B403" s="3388"/>
      <c r="C403" s="3587">
        <v>11</v>
      </c>
      <c r="D403" s="3587">
        <v>1</v>
      </c>
      <c r="E403" s="3587">
        <v>3</v>
      </c>
      <c r="F403" s="3578">
        <v>56.08</v>
      </c>
      <c r="G403" s="3459" t="s">
        <v>7461</v>
      </c>
      <c r="H403" s="3590">
        <f ca="1">'典型户型修正(先权重后修正)'!$R$24</f>
        <v>35065</v>
      </c>
      <c r="I403" s="3386">
        <f t="shared" ca="1" si="6"/>
        <v>196.64</v>
      </c>
    </row>
    <row r="404" spans="1:9" hidden="1">
      <c r="A404" s="3521">
        <v>402</v>
      </c>
      <c r="B404" s="3388"/>
      <c r="C404" s="3587">
        <v>11</v>
      </c>
      <c r="D404" s="3587">
        <v>1</v>
      </c>
      <c r="E404" s="3587">
        <v>5</v>
      </c>
      <c r="F404" s="3578">
        <v>46.18</v>
      </c>
      <c r="G404" s="3459" t="s">
        <v>7461</v>
      </c>
      <c r="H404" s="3590">
        <f ca="1">'典型户型修正(先权重后修正)'!$R$24</f>
        <v>35065</v>
      </c>
      <c r="I404" s="3386">
        <f t="shared" ca="1" si="6"/>
        <v>161.93</v>
      </c>
    </row>
    <row r="405" spans="1:9" hidden="1">
      <c r="A405" s="3521">
        <v>403</v>
      </c>
      <c r="B405" s="3388"/>
      <c r="C405" s="3587">
        <v>11</v>
      </c>
      <c r="D405" s="3587">
        <v>1</v>
      </c>
      <c r="E405" s="3587">
        <v>6</v>
      </c>
      <c r="F405" s="3578">
        <v>44.08</v>
      </c>
      <c r="G405" s="3459" t="s">
        <v>7461</v>
      </c>
      <c r="H405" s="3590">
        <f ca="1">'典型户型修正(先权重后修正)'!$R$24</f>
        <v>35065</v>
      </c>
      <c r="I405" s="3386">
        <f t="shared" ca="1" si="6"/>
        <v>154.57</v>
      </c>
    </row>
    <row r="406" spans="1:9" hidden="1">
      <c r="A406" s="3521">
        <v>404</v>
      </c>
      <c r="B406" s="3388"/>
      <c r="C406" s="3587">
        <v>11</v>
      </c>
      <c r="D406" s="3587">
        <v>1</v>
      </c>
      <c r="E406" s="3587">
        <v>7</v>
      </c>
      <c r="F406" s="3578">
        <v>44.08</v>
      </c>
      <c r="G406" s="3459" t="s">
        <v>7461</v>
      </c>
      <c r="H406" s="3590">
        <f ca="1">'典型户型修正(先权重后修正)'!$R$24</f>
        <v>35065</v>
      </c>
      <c r="I406" s="3386">
        <f t="shared" ca="1" si="6"/>
        <v>154.57</v>
      </c>
    </row>
    <row r="407" spans="1:9" hidden="1">
      <c r="A407" s="3521">
        <v>405</v>
      </c>
      <c r="B407" s="3388"/>
      <c r="C407" s="3587">
        <v>11</v>
      </c>
      <c r="D407" s="3587">
        <v>1</v>
      </c>
      <c r="E407" s="3587">
        <v>8</v>
      </c>
      <c r="F407" s="3578">
        <v>45.76</v>
      </c>
      <c r="G407" s="3459" t="s">
        <v>7461</v>
      </c>
      <c r="H407" s="3590">
        <f ca="1">'典型户型修正(先权重后修正)'!$R$24</f>
        <v>35065</v>
      </c>
      <c r="I407" s="3386">
        <f t="shared" ca="1" si="6"/>
        <v>160.46</v>
      </c>
    </row>
    <row r="408" spans="1:9" hidden="1">
      <c r="A408" s="3521">
        <v>406</v>
      </c>
      <c r="B408" s="3388"/>
      <c r="C408" s="3587">
        <v>11</v>
      </c>
      <c r="D408" s="3587">
        <v>1</v>
      </c>
      <c r="E408" s="3587">
        <v>9</v>
      </c>
      <c r="F408" s="3578">
        <v>44.05</v>
      </c>
      <c r="G408" s="3459" t="s">
        <v>7461</v>
      </c>
      <c r="H408" s="3590">
        <f ca="1">'典型户型修正(先权重后修正)'!$R$24</f>
        <v>35065</v>
      </c>
      <c r="I408" s="3386">
        <f t="shared" ca="1" si="6"/>
        <v>154.46</v>
      </c>
    </row>
    <row r="409" spans="1:9" hidden="1">
      <c r="A409" s="3521">
        <v>407</v>
      </c>
      <c r="B409" s="3388"/>
      <c r="C409" s="3587">
        <v>11</v>
      </c>
      <c r="D409" s="3587">
        <v>1</v>
      </c>
      <c r="E409" s="3587">
        <v>10</v>
      </c>
      <c r="F409" s="3578">
        <v>29.84</v>
      </c>
      <c r="G409" s="3459" t="s">
        <v>7461</v>
      </c>
      <c r="H409" s="3590">
        <f ca="1">'典型户型修正(先权重后修正)'!$R$24</f>
        <v>35065</v>
      </c>
      <c r="I409" s="3386">
        <f t="shared" ca="1" si="6"/>
        <v>104.63</v>
      </c>
    </row>
    <row r="410" spans="1:9" hidden="1">
      <c r="A410" s="3521">
        <v>408</v>
      </c>
      <c r="B410" s="3388"/>
      <c r="C410" s="3587">
        <v>11</v>
      </c>
      <c r="D410" s="3587">
        <v>1</v>
      </c>
      <c r="E410" s="3587">
        <v>13</v>
      </c>
      <c r="F410" s="3578">
        <v>44.08</v>
      </c>
      <c r="G410" s="3459" t="s">
        <v>7461</v>
      </c>
      <c r="H410" s="3590">
        <f ca="1">'典型户型修正(先权重后修正)'!$R$24</f>
        <v>35065</v>
      </c>
      <c r="I410" s="3386">
        <f t="shared" ca="1" si="6"/>
        <v>154.57</v>
      </c>
    </row>
    <row r="411" spans="1:9" hidden="1">
      <c r="A411" s="3521">
        <v>409</v>
      </c>
      <c r="B411" s="3388"/>
      <c r="C411" s="3587">
        <v>11</v>
      </c>
      <c r="D411" s="3587">
        <v>1</v>
      </c>
      <c r="E411" s="3587">
        <v>15</v>
      </c>
      <c r="F411" s="3578">
        <v>44.08</v>
      </c>
      <c r="G411" s="3459" t="s">
        <v>7461</v>
      </c>
      <c r="H411" s="3590">
        <f ca="1">'典型户型修正(先权重后修正)'!$R$24</f>
        <v>35065</v>
      </c>
      <c r="I411" s="3386">
        <f t="shared" ca="1" si="6"/>
        <v>154.57</v>
      </c>
    </row>
    <row r="412" spans="1:9" hidden="1">
      <c r="A412" s="3521">
        <v>410</v>
      </c>
      <c r="B412" s="3388"/>
      <c r="C412" s="3587">
        <v>11</v>
      </c>
      <c r="D412" s="3587">
        <v>1</v>
      </c>
      <c r="E412" s="3587">
        <v>16</v>
      </c>
      <c r="F412" s="3578">
        <v>44.08</v>
      </c>
      <c r="G412" s="3459" t="s">
        <v>7461</v>
      </c>
      <c r="H412" s="3590">
        <f ca="1">'典型户型修正(先权重后修正)'!$R$24</f>
        <v>35065</v>
      </c>
      <c r="I412" s="3386">
        <f t="shared" ca="1" si="6"/>
        <v>154.57</v>
      </c>
    </row>
    <row r="413" spans="1:9" hidden="1">
      <c r="A413" s="3521">
        <v>411</v>
      </c>
      <c r="B413" s="3388"/>
      <c r="C413" s="3587">
        <v>11</v>
      </c>
      <c r="D413" s="3587">
        <v>1</v>
      </c>
      <c r="E413" s="3587">
        <v>17</v>
      </c>
      <c r="F413" s="3578">
        <v>46.18</v>
      </c>
      <c r="G413" s="3459" t="s">
        <v>7461</v>
      </c>
      <c r="H413" s="3590">
        <f ca="1">'典型户型修正(先权重后修正)'!$R$24</f>
        <v>35065</v>
      </c>
      <c r="I413" s="3386">
        <f t="shared" ca="1" si="6"/>
        <v>161.93</v>
      </c>
    </row>
    <row r="414" spans="1:9" hidden="1">
      <c r="A414" s="3521">
        <v>412</v>
      </c>
      <c r="B414" s="3388"/>
      <c r="C414" s="3587">
        <v>11</v>
      </c>
      <c r="D414" s="3587">
        <v>1</v>
      </c>
      <c r="E414" s="3587">
        <v>18</v>
      </c>
      <c r="F414" s="3578">
        <v>56.08</v>
      </c>
      <c r="G414" s="3459" t="s">
        <v>7461</v>
      </c>
      <c r="H414" s="3590">
        <f ca="1">'典型户型修正(先权重后修正)'!$R$24</f>
        <v>35065</v>
      </c>
      <c r="I414" s="3386">
        <f t="shared" ca="1" si="6"/>
        <v>196.64</v>
      </c>
    </row>
    <row r="415" spans="1:9" hidden="1">
      <c r="A415" s="3521">
        <v>413</v>
      </c>
      <c r="B415" s="3388"/>
      <c r="C415" s="3587">
        <v>11</v>
      </c>
      <c r="D415" s="3587">
        <v>1</v>
      </c>
      <c r="E415" s="3587">
        <v>21</v>
      </c>
      <c r="F415" s="3578">
        <v>94.52</v>
      </c>
      <c r="G415" s="3459" t="s">
        <v>7461</v>
      </c>
      <c r="H415" s="3590">
        <f ca="1">'典型户型修正(先权重后修正)'!$R$24</f>
        <v>35065</v>
      </c>
      <c r="I415" s="3386">
        <f t="shared" ca="1" si="6"/>
        <v>331.43</v>
      </c>
    </row>
    <row r="416" spans="1:9" hidden="1">
      <c r="A416" s="3521">
        <v>414</v>
      </c>
      <c r="B416" s="3388"/>
      <c r="C416" s="3587">
        <v>11</v>
      </c>
      <c r="D416" s="3587">
        <v>1</v>
      </c>
      <c r="E416" s="3587">
        <v>23</v>
      </c>
      <c r="F416" s="3578">
        <v>43.21</v>
      </c>
      <c r="G416" s="3459" t="s">
        <v>7461</v>
      </c>
      <c r="H416" s="3590">
        <f ca="1">'典型户型修正(先权重后修正)'!$R$24</f>
        <v>35065</v>
      </c>
      <c r="I416" s="3386">
        <f t="shared" ca="1" si="6"/>
        <v>151.52000000000001</v>
      </c>
    </row>
    <row r="417" spans="1:9" hidden="1">
      <c r="A417" s="3521">
        <v>415</v>
      </c>
      <c r="B417" s="3388"/>
      <c r="C417" s="3587">
        <v>11</v>
      </c>
      <c r="D417" s="3587">
        <v>1</v>
      </c>
      <c r="E417" s="3587">
        <v>25</v>
      </c>
      <c r="F417" s="3578">
        <v>43.21</v>
      </c>
      <c r="G417" s="3459" t="s">
        <v>7461</v>
      </c>
      <c r="H417" s="3590">
        <f ca="1">'典型户型修正(先权重后修正)'!$R$24</f>
        <v>35065</v>
      </c>
      <c r="I417" s="3386">
        <f t="shared" ca="1" si="6"/>
        <v>151.52000000000001</v>
      </c>
    </row>
    <row r="418" spans="1:9" hidden="1">
      <c r="A418" s="3521">
        <v>416</v>
      </c>
      <c r="B418" s="3388"/>
      <c r="C418" s="3587">
        <v>11</v>
      </c>
      <c r="D418" s="3587">
        <v>1</v>
      </c>
      <c r="E418" s="3587">
        <v>26</v>
      </c>
      <c r="F418" s="3578">
        <v>43.21</v>
      </c>
      <c r="G418" s="3459" t="s">
        <v>7461</v>
      </c>
      <c r="H418" s="3590">
        <f ca="1">'典型户型修正(先权重后修正)'!$R$24</f>
        <v>35065</v>
      </c>
      <c r="I418" s="3386">
        <f t="shared" ca="1" si="6"/>
        <v>151.52000000000001</v>
      </c>
    </row>
    <row r="419" spans="1:9" hidden="1">
      <c r="A419" s="3521">
        <v>417</v>
      </c>
      <c r="B419" s="3388"/>
      <c r="C419" s="3587">
        <v>11</v>
      </c>
      <c r="D419" s="3587">
        <v>1</v>
      </c>
      <c r="E419" s="3587">
        <v>27</v>
      </c>
      <c r="F419" s="3578">
        <v>43.21</v>
      </c>
      <c r="G419" s="3459" t="s">
        <v>7461</v>
      </c>
      <c r="H419" s="3590">
        <f ca="1">'典型户型修正(先权重后修正)'!$R$24</f>
        <v>35065</v>
      </c>
      <c r="I419" s="3386">
        <f t="shared" ca="1" si="6"/>
        <v>151.52000000000001</v>
      </c>
    </row>
    <row r="420" spans="1:9" hidden="1">
      <c r="A420" s="3521">
        <v>418</v>
      </c>
      <c r="B420" s="3388"/>
      <c r="C420" s="3587">
        <v>11</v>
      </c>
      <c r="D420" s="3587">
        <v>1</v>
      </c>
      <c r="E420" s="3587">
        <v>28</v>
      </c>
      <c r="F420" s="3578">
        <v>45.27</v>
      </c>
      <c r="G420" s="3459" t="s">
        <v>7461</v>
      </c>
      <c r="H420" s="3590">
        <f ca="1">'典型户型修正(先权重后修正)'!$R$24</f>
        <v>35065</v>
      </c>
      <c r="I420" s="3386">
        <f t="shared" ca="1" si="6"/>
        <v>158.74</v>
      </c>
    </row>
    <row r="421" spans="1:9" hidden="1">
      <c r="A421" s="3521">
        <v>419</v>
      </c>
      <c r="B421" s="3388"/>
      <c r="C421" s="3587">
        <v>11</v>
      </c>
      <c r="D421" s="3587">
        <v>1</v>
      </c>
      <c r="E421" s="3587">
        <v>29</v>
      </c>
      <c r="F421" s="3578">
        <v>35.25</v>
      </c>
      <c r="G421" s="3459" t="s">
        <v>7461</v>
      </c>
      <c r="H421" s="3590">
        <f ca="1">'典型户型修正(先权重后修正)'!$R$24</f>
        <v>35065</v>
      </c>
      <c r="I421" s="3386">
        <f t="shared" ca="1" si="6"/>
        <v>123.6</v>
      </c>
    </row>
    <row r="422" spans="1:9" hidden="1">
      <c r="A422" s="3521">
        <v>420</v>
      </c>
      <c r="B422" s="3388"/>
      <c r="C422" s="3587">
        <v>11</v>
      </c>
      <c r="D422" s="3587">
        <v>1</v>
      </c>
      <c r="E422" s="3587">
        <v>30</v>
      </c>
      <c r="F422" s="3578">
        <v>37.79</v>
      </c>
      <c r="G422" s="3459" t="s">
        <v>7461</v>
      </c>
      <c r="H422" s="3590">
        <f ca="1">'典型户型修正(先权重后修正)'!$R$24</f>
        <v>35065</v>
      </c>
      <c r="I422" s="3386">
        <f t="shared" ca="1" si="6"/>
        <v>132.51</v>
      </c>
    </row>
    <row r="423" spans="1:9" hidden="1">
      <c r="A423" s="3521">
        <v>421</v>
      </c>
      <c r="B423" s="3388"/>
      <c r="C423" s="3587">
        <v>11</v>
      </c>
      <c r="D423" s="3587">
        <v>1</v>
      </c>
      <c r="E423" s="3587">
        <v>31</v>
      </c>
      <c r="F423" s="3578">
        <v>43.21</v>
      </c>
      <c r="G423" s="3459" t="s">
        <v>7461</v>
      </c>
      <c r="H423" s="3590">
        <f ca="1">'典型户型修正(先权重后修正)'!$R$24</f>
        <v>35065</v>
      </c>
      <c r="I423" s="3386">
        <f t="shared" ca="1" si="6"/>
        <v>151.52000000000001</v>
      </c>
    </row>
    <row r="424" spans="1:9" hidden="1">
      <c r="A424" s="3521">
        <v>422</v>
      </c>
      <c r="B424" s="3388"/>
      <c r="C424" s="3587">
        <v>11</v>
      </c>
      <c r="D424" s="3587">
        <v>1</v>
      </c>
      <c r="E424" s="3587">
        <v>32</v>
      </c>
      <c r="F424" s="3578">
        <v>43.21</v>
      </c>
      <c r="G424" s="3459" t="s">
        <v>7461</v>
      </c>
      <c r="H424" s="3590">
        <f ca="1">'典型户型修正(先权重后修正)'!$R$24</f>
        <v>35065</v>
      </c>
      <c r="I424" s="3386">
        <f t="shared" ca="1" si="6"/>
        <v>151.52000000000001</v>
      </c>
    </row>
    <row r="425" spans="1:9" hidden="1">
      <c r="A425" s="3521">
        <v>423</v>
      </c>
      <c r="B425" s="3388"/>
      <c r="C425" s="3587">
        <v>11</v>
      </c>
      <c r="D425" s="3587">
        <v>1</v>
      </c>
      <c r="E425" s="3587">
        <v>33</v>
      </c>
      <c r="F425" s="3578">
        <v>45.26</v>
      </c>
      <c r="G425" s="3459" t="s">
        <v>7461</v>
      </c>
      <c r="H425" s="3590">
        <f ca="1">'典型户型修正(先权重后修正)'!$R$24</f>
        <v>35065</v>
      </c>
      <c r="I425" s="3386">
        <f t="shared" ca="1" si="6"/>
        <v>158.69999999999999</v>
      </c>
    </row>
    <row r="426" spans="1:9" hidden="1">
      <c r="A426" s="3521">
        <v>424</v>
      </c>
      <c r="B426" s="3388"/>
      <c r="C426" s="3587">
        <v>11</v>
      </c>
      <c r="D426" s="3587">
        <v>1</v>
      </c>
      <c r="E426" s="3587">
        <v>37</v>
      </c>
      <c r="F426" s="3578">
        <v>109.79</v>
      </c>
      <c r="G426" s="3459" t="s">
        <v>7461</v>
      </c>
      <c r="H426" s="3590">
        <f ca="1">'典型户型修正(先权重后修正)'!$R$24</f>
        <v>35065</v>
      </c>
      <c r="I426" s="3386">
        <f t="shared" ca="1" si="6"/>
        <v>384.98</v>
      </c>
    </row>
    <row r="427" spans="1:9" hidden="1">
      <c r="A427" s="3521">
        <v>425</v>
      </c>
      <c r="B427" s="3388"/>
      <c r="C427" s="3587">
        <v>11</v>
      </c>
      <c r="D427" s="3587">
        <v>1</v>
      </c>
      <c r="E427" s="3587">
        <v>38</v>
      </c>
      <c r="F427" s="3578">
        <v>72.599999999999994</v>
      </c>
      <c r="G427" s="3459" t="s">
        <v>7461</v>
      </c>
      <c r="H427" s="3590">
        <f ca="1">'典型户型修正(先权重后修正)'!$R$24</f>
        <v>35065</v>
      </c>
      <c r="I427" s="3386">
        <f t="shared" ca="1" si="6"/>
        <v>254.57</v>
      </c>
    </row>
    <row r="428" spans="1:9" hidden="1">
      <c r="A428" s="3521">
        <v>426</v>
      </c>
      <c r="B428" s="3388"/>
      <c r="C428" s="3587">
        <v>11</v>
      </c>
      <c r="D428" s="3587">
        <v>1</v>
      </c>
      <c r="E428" s="3587">
        <v>39</v>
      </c>
      <c r="F428" s="3578">
        <v>72.599999999999994</v>
      </c>
      <c r="G428" s="3459" t="s">
        <v>7461</v>
      </c>
      <c r="H428" s="3590">
        <f ca="1">'典型户型修正(先权重后修正)'!$R$24</f>
        <v>35065</v>
      </c>
      <c r="I428" s="3386">
        <f t="shared" ca="1" si="6"/>
        <v>254.57</v>
      </c>
    </row>
    <row r="429" spans="1:9" hidden="1">
      <c r="A429" s="3521">
        <v>427</v>
      </c>
      <c r="B429" s="3388"/>
      <c r="C429" s="3587">
        <v>11</v>
      </c>
      <c r="D429" s="3587">
        <v>1</v>
      </c>
      <c r="E429" s="3587">
        <v>42</v>
      </c>
      <c r="F429" s="3578">
        <v>8.7899999999999991</v>
      </c>
      <c r="G429" s="3459" t="s">
        <v>7461</v>
      </c>
      <c r="H429" s="3590">
        <f ca="1">'典型户型修正(先权重后修正)'!$R$24</f>
        <v>35065</v>
      </c>
      <c r="I429" s="3386">
        <f t="shared" ca="1" si="6"/>
        <v>30.82</v>
      </c>
    </row>
    <row r="430" spans="1:9" hidden="1">
      <c r="A430" s="3521">
        <v>428</v>
      </c>
      <c r="B430" s="3388"/>
      <c r="C430" s="3587">
        <v>11</v>
      </c>
      <c r="D430" s="3587">
        <v>1</v>
      </c>
      <c r="E430" s="3587">
        <v>48</v>
      </c>
      <c r="F430" s="3578">
        <v>81.67</v>
      </c>
      <c r="G430" s="3459" t="s">
        <v>7461</v>
      </c>
      <c r="H430" s="3590">
        <f ca="1">'典型户型修正(先权重后修正)'!$R$24</f>
        <v>35065</v>
      </c>
      <c r="I430" s="3386">
        <f t="shared" ca="1" si="6"/>
        <v>286.38</v>
      </c>
    </row>
    <row r="431" spans="1:9" hidden="1">
      <c r="A431" s="3521">
        <v>429</v>
      </c>
      <c r="B431" s="3388"/>
      <c r="C431" s="3587">
        <v>11</v>
      </c>
      <c r="D431" s="3587">
        <v>1</v>
      </c>
      <c r="E431" s="3587">
        <v>50</v>
      </c>
      <c r="F431" s="3578">
        <v>41.38</v>
      </c>
      <c r="G431" s="3459" t="s">
        <v>7461</v>
      </c>
      <c r="H431" s="3590">
        <f ca="1">'典型户型修正(先权重后修正)'!$R$24</f>
        <v>35065</v>
      </c>
      <c r="I431" s="3386">
        <f t="shared" ca="1" si="6"/>
        <v>145.1</v>
      </c>
    </row>
    <row r="432" spans="1:9" hidden="1">
      <c r="A432" s="3521">
        <v>430</v>
      </c>
      <c r="B432" s="3388"/>
      <c r="C432" s="3587">
        <v>11</v>
      </c>
      <c r="D432" s="3587">
        <v>1</v>
      </c>
      <c r="E432" s="3587">
        <v>52</v>
      </c>
      <c r="F432" s="3578">
        <v>39.5</v>
      </c>
      <c r="G432" s="3459" t="s">
        <v>7461</v>
      </c>
      <c r="H432" s="3590">
        <f ca="1">'典型户型修正(先权重后修正)'!$R$24</f>
        <v>35065</v>
      </c>
      <c r="I432" s="3386">
        <f t="shared" ca="1" si="6"/>
        <v>138.51</v>
      </c>
    </row>
    <row r="433" spans="1:9" hidden="1">
      <c r="A433" s="3521">
        <v>431</v>
      </c>
      <c r="B433" s="3388"/>
      <c r="C433" s="3587">
        <v>11</v>
      </c>
      <c r="D433" s="3587">
        <v>1</v>
      </c>
      <c r="E433" s="3587">
        <v>53</v>
      </c>
      <c r="F433" s="3578">
        <v>37.24</v>
      </c>
      <c r="G433" s="3459" t="s">
        <v>7461</v>
      </c>
      <c r="H433" s="3590">
        <f ca="1">'典型户型修正(先权重后修正)'!$R$24</f>
        <v>35065</v>
      </c>
      <c r="I433" s="3386">
        <f t="shared" ca="1" si="6"/>
        <v>130.58000000000001</v>
      </c>
    </row>
    <row r="434" spans="1:9" hidden="1">
      <c r="A434" s="3521">
        <v>432</v>
      </c>
      <c r="B434" s="3388"/>
      <c r="C434" s="3587">
        <v>11</v>
      </c>
      <c r="D434" s="3587">
        <v>1</v>
      </c>
      <c r="E434" s="3587">
        <v>55</v>
      </c>
      <c r="F434" s="3578">
        <v>90.62</v>
      </c>
      <c r="G434" s="3459" t="s">
        <v>7461</v>
      </c>
      <c r="H434" s="3590">
        <f ca="1">'典型户型修正(先权重后修正)'!$R$24</f>
        <v>35065</v>
      </c>
      <c r="I434" s="3386">
        <f t="shared" ca="1" si="6"/>
        <v>317.76</v>
      </c>
    </row>
    <row r="435" spans="1:9" hidden="1">
      <c r="A435" s="3521">
        <v>433</v>
      </c>
      <c r="B435" s="3388"/>
      <c r="C435" s="3587">
        <v>11</v>
      </c>
      <c r="D435" s="3587">
        <v>1</v>
      </c>
      <c r="E435" s="3587">
        <v>56</v>
      </c>
      <c r="F435" s="3578">
        <v>29.81</v>
      </c>
      <c r="G435" s="3459" t="s">
        <v>7461</v>
      </c>
      <c r="H435" s="3590">
        <f ca="1">'典型户型修正(先权重后修正)'!$R$24</f>
        <v>35065</v>
      </c>
      <c r="I435" s="3386">
        <f t="shared" ca="1" si="6"/>
        <v>104.53</v>
      </c>
    </row>
    <row r="436" spans="1:9" hidden="1">
      <c r="A436" s="3521">
        <v>434</v>
      </c>
      <c r="B436" s="3388"/>
      <c r="C436" s="3587">
        <v>11</v>
      </c>
      <c r="D436" s="3587">
        <v>1</v>
      </c>
      <c r="E436" s="3587">
        <v>58</v>
      </c>
      <c r="F436" s="3578">
        <v>78.540000000000006</v>
      </c>
      <c r="G436" s="3459" t="s">
        <v>7461</v>
      </c>
      <c r="H436" s="3590">
        <f ca="1">'典型户型修正(先权重后修正)'!$R$24</f>
        <v>35065</v>
      </c>
      <c r="I436" s="3386">
        <f t="shared" ca="1" si="6"/>
        <v>275.39999999999998</v>
      </c>
    </row>
    <row r="437" spans="1:9" hidden="1">
      <c r="A437" s="3521">
        <v>435</v>
      </c>
      <c r="B437" s="3388"/>
      <c r="C437" s="3587">
        <v>11</v>
      </c>
      <c r="D437" s="3587">
        <v>1</v>
      </c>
      <c r="E437" s="3587">
        <v>59</v>
      </c>
      <c r="F437" s="3578">
        <v>39.5</v>
      </c>
      <c r="G437" s="3459" t="s">
        <v>7461</v>
      </c>
      <c r="H437" s="3590">
        <f ca="1">'典型户型修正(先权重后修正)'!$R$24</f>
        <v>35065</v>
      </c>
      <c r="I437" s="3386">
        <f t="shared" ca="1" si="6"/>
        <v>138.51</v>
      </c>
    </row>
    <row r="438" spans="1:9" hidden="1">
      <c r="A438" s="3521">
        <v>436</v>
      </c>
      <c r="B438" s="3388"/>
      <c r="C438" s="3587">
        <v>11</v>
      </c>
      <c r="D438" s="3587">
        <v>1</v>
      </c>
      <c r="E438" s="3587">
        <v>60</v>
      </c>
      <c r="F438" s="3578">
        <v>39.5</v>
      </c>
      <c r="G438" s="3459" t="s">
        <v>7461</v>
      </c>
      <c r="H438" s="3590">
        <f ca="1">'典型户型修正(先权重后修正)'!$R$24</f>
        <v>35065</v>
      </c>
      <c r="I438" s="3386">
        <f t="shared" ca="1" si="6"/>
        <v>138.51</v>
      </c>
    </row>
    <row r="439" spans="1:9" hidden="1">
      <c r="A439" s="3521">
        <v>437</v>
      </c>
      <c r="B439" s="3388"/>
      <c r="C439" s="3587">
        <v>11</v>
      </c>
      <c r="D439" s="3587">
        <v>1</v>
      </c>
      <c r="E439" s="3587">
        <v>63</v>
      </c>
      <c r="F439" s="3578">
        <v>40.47</v>
      </c>
      <c r="G439" s="3459" t="s">
        <v>7461</v>
      </c>
      <c r="H439" s="3590">
        <f ca="1">'典型户型修正(先权重后修正)'!$R$24</f>
        <v>35065</v>
      </c>
      <c r="I439" s="3386">
        <f t="shared" ca="1" si="6"/>
        <v>141.91</v>
      </c>
    </row>
    <row r="440" spans="1:9" hidden="1">
      <c r="A440" s="3521">
        <v>438</v>
      </c>
      <c r="B440" s="3388"/>
      <c r="C440" s="3587">
        <v>11</v>
      </c>
      <c r="D440" s="3587">
        <v>1</v>
      </c>
      <c r="E440" s="3587">
        <v>65</v>
      </c>
      <c r="F440" s="3578">
        <v>38.630000000000003</v>
      </c>
      <c r="G440" s="3459" t="s">
        <v>7461</v>
      </c>
      <c r="H440" s="3590">
        <f ca="1">'典型户型修正(先权重后修正)'!$R$24</f>
        <v>35065</v>
      </c>
      <c r="I440" s="3386">
        <f t="shared" ca="1" si="6"/>
        <v>135.46</v>
      </c>
    </row>
    <row r="441" spans="1:9" hidden="1">
      <c r="A441" s="3521">
        <v>439</v>
      </c>
      <c r="B441" s="3388"/>
      <c r="C441" s="3587">
        <v>11</v>
      </c>
      <c r="D441" s="3587">
        <v>1</v>
      </c>
      <c r="E441" s="3587">
        <v>66</v>
      </c>
      <c r="F441" s="3578">
        <v>38.630000000000003</v>
      </c>
      <c r="G441" s="3459" t="s">
        <v>7461</v>
      </c>
      <c r="H441" s="3590">
        <f ca="1">'典型户型修正(先权重后修正)'!$R$24</f>
        <v>35065</v>
      </c>
      <c r="I441" s="3386">
        <f t="shared" ca="1" si="6"/>
        <v>135.46</v>
      </c>
    </row>
    <row r="442" spans="1:9" hidden="1">
      <c r="A442" s="3521">
        <v>440</v>
      </c>
      <c r="B442" s="3388"/>
      <c r="C442" s="3587">
        <v>11</v>
      </c>
      <c r="D442" s="3587">
        <v>1</v>
      </c>
      <c r="E442" s="3587">
        <v>67</v>
      </c>
      <c r="F442" s="3578">
        <v>38.64</v>
      </c>
      <c r="G442" s="3459" t="s">
        <v>7461</v>
      </c>
      <c r="H442" s="3590">
        <f ca="1">'典型户型修正(先权重后修正)'!$R$24</f>
        <v>35065</v>
      </c>
      <c r="I442" s="3386">
        <f t="shared" ca="1" si="6"/>
        <v>135.49</v>
      </c>
    </row>
    <row r="443" spans="1:9" hidden="1">
      <c r="A443" s="3521">
        <v>441</v>
      </c>
      <c r="B443" s="3388"/>
      <c r="C443" s="3587">
        <v>11</v>
      </c>
      <c r="D443" s="3587">
        <v>1</v>
      </c>
      <c r="E443" s="3587">
        <v>68</v>
      </c>
      <c r="F443" s="3578">
        <v>41.15</v>
      </c>
      <c r="G443" s="3459" t="s">
        <v>7461</v>
      </c>
      <c r="H443" s="3590">
        <f ca="1">'典型户型修正(先权重后修正)'!$R$24</f>
        <v>35065</v>
      </c>
      <c r="I443" s="3386">
        <f t="shared" ca="1" si="6"/>
        <v>144.29</v>
      </c>
    </row>
    <row r="444" spans="1:9" hidden="1">
      <c r="A444" s="3521">
        <v>442</v>
      </c>
      <c r="B444" s="3388"/>
      <c r="C444" s="3587">
        <v>11</v>
      </c>
      <c r="D444" s="3587">
        <v>1</v>
      </c>
      <c r="E444" s="3587">
        <v>69</v>
      </c>
      <c r="F444" s="3578">
        <v>42.56</v>
      </c>
      <c r="G444" s="3459" t="s">
        <v>7461</v>
      </c>
      <c r="H444" s="3590">
        <f ca="1">'典型户型修正(先权重后修正)'!$R$24</f>
        <v>35065</v>
      </c>
      <c r="I444" s="3386">
        <f t="shared" ca="1" si="6"/>
        <v>149.24</v>
      </c>
    </row>
    <row r="445" spans="1:9" hidden="1">
      <c r="A445" s="3521">
        <v>443</v>
      </c>
      <c r="B445" s="3388"/>
      <c r="C445" s="3587">
        <v>11</v>
      </c>
      <c r="D445" s="3587">
        <v>1</v>
      </c>
      <c r="E445" s="3587">
        <v>70</v>
      </c>
      <c r="F445" s="3578">
        <v>51.02</v>
      </c>
      <c r="G445" s="3459" t="s">
        <v>7461</v>
      </c>
      <c r="H445" s="3590">
        <f ca="1">'典型户型修正(先权重后修正)'!$R$24</f>
        <v>35065</v>
      </c>
      <c r="I445" s="3386">
        <f t="shared" ca="1" si="6"/>
        <v>178.9</v>
      </c>
    </row>
    <row r="446" spans="1:9" hidden="1">
      <c r="A446" s="3521">
        <v>444</v>
      </c>
      <c r="B446" s="3388"/>
      <c r="C446" s="3587">
        <v>11</v>
      </c>
      <c r="D446" s="3587">
        <v>1</v>
      </c>
      <c r="E446" s="3587">
        <v>71</v>
      </c>
      <c r="F446" s="3578">
        <v>38.630000000000003</v>
      </c>
      <c r="G446" s="3459" t="s">
        <v>7461</v>
      </c>
      <c r="H446" s="3590">
        <f ca="1">'典型户型修正(先权重后修正)'!$R$24</f>
        <v>35065</v>
      </c>
      <c r="I446" s="3386">
        <f t="shared" ca="1" si="6"/>
        <v>135.46</v>
      </c>
    </row>
    <row r="447" spans="1:9" hidden="1">
      <c r="A447" s="3521">
        <v>445</v>
      </c>
      <c r="B447" s="3388"/>
      <c r="C447" s="3587">
        <v>11</v>
      </c>
      <c r="D447" s="3587">
        <v>1</v>
      </c>
      <c r="E447" s="3587">
        <v>72</v>
      </c>
      <c r="F447" s="3578">
        <v>38.630000000000003</v>
      </c>
      <c r="G447" s="3459" t="s">
        <v>7461</v>
      </c>
      <c r="H447" s="3590">
        <f ca="1">'典型户型修正(先权重后修正)'!$R$24</f>
        <v>35065</v>
      </c>
      <c r="I447" s="3386">
        <f t="shared" ca="1" si="6"/>
        <v>135.46</v>
      </c>
    </row>
    <row r="448" spans="1:9" hidden="1">
      <c r="A448" s="3521">
        <v>446</v>
      </c>
      <c r="B448" s="3388"/>
      <c r="C448" s="3587">
        <v>11</v>
      </c>
      <c r="D448" s="3587">
        <v>1</v>
      </c>
      <c r="E448" s="3587">
        <v>73</v>
      </c>
      <c r="F448" s="3578">
        <v>40.47</v>
      </c>
      <c r="G448" s="3459" t="s">
        <v>7461</v>
      </c>
      <c r="H448" s="3590">
        <f ca="1">'典型户型修正(先权重后修正)'!$R$24</f>
        <v>35065</v>
      </c>
      <c r="I448" s="3386">
        <f t="shared" ca="1" si="6"/>
        <v>141.91</v>
      </c>
    </row>
    <row r="449" spans="1:9" hidden="1">
      <c r="A449" s="3521">
        <v>447</v>
      </c>
      <c r="B449" s="3388"/>
      <c r="C449" s="3587">
        <v>11</v>
      </c>
      <c r="D449" s="3587">
        <v>1</v>
      </c>
      <c r="E449" s="3587">
        <v>75</v>
      </c>
      <c r="F449" s="3578">
        <v>105.04</v>
      </c>
      <c r="G449" s="3459" t="s">
        <v>7461</v>
      </c>
      <c r="H449" s="3590">
        <f ca="1">'典型户型修正(先权重后修正)'!$R$24</f>
        <v>35065</v>
      </c>
      <c r="I449" s="3386">
        <f t="shared" ca="1" si="6"/>
        <v>368.32</v>
      </c>
    </row>
    <row r="450" spans="1:9" hidden="1">
      <c r="A450" s="3521">
        <v>448</v>
      </c>
      <c r="B450" s="3388"/>
      <c r="C450" s="3587">
        <v>11</v>
      </c>
      <c r="D450" s="3587">
        <v>1</v>
      </c>
      <c r="E450" s="3587">
        <v>76</v>
      </c>
      <c r="F450" s="3578">
        <v>44.48</v>
      </c>
      <c r="G450" s="3459" t="s">
        <v>7461</v>
      </c>
      <c r="H450" s="3590">
        <f ca="1">'典型户型修正(先权重后修正)'!$R$24</f>
        <v>35065</v>
      </c>
      <c r="I450" s="3386">
        <f t="shared" ca="1" si="6"/>
        <v>155.97</v>
      </c>
    </row>
    <row r="451" spans="1:9" hidden="1">
      <c r="A451" s="3521">
        <v>449</v>
      </c>
      <c r="B451" s="3388"/>
      <c r="C451" s="3587">
        <v>11</v>
      </c>
      <c r="D451" s="3587">
        <v>1</v>
      </c>
      <c r="E451" s="3587">
        <v>77</v>
      </c>
      <c r="F451" s="3578">
        <v>45.31</v>
      </c>
      <c r="G451" s="3459" t="s">
        <v>7461</v>
      </c>
      <c r="H451" s="3590">
        <f ca="1">'典型户型修正(先权重后修正)'!$R$24</f>
        <v>35065</v>
      </c>
      <c r="I451" s="3386">
        <f t="shared" ca="1" si="6"/>
        <v>158.88</v>
      </c>
    </row>
    <row r="452" spans="1:9" hidden="1">
      <c r="A452" s="3521">
        <v>450</v>
      </c>
      <c r="B452" s="3388"/>
      <c r="C452" s="3587">
        <v>11</v>
      </c>
      <c r="D452" s="3587">
        <v>1</v>
      </c>
      <c r="E452" s="3587">
        <v>78</v>
      </c>
      <c r="F452" s="3578">
        <v>41.98</v>
      </c>
      <c r="G452" s="3459" t="s">
        <v>7461</v>
      </c>
      <c r="H452" s="3590">
        <f ca="1">'典型户型修正(先权重后修正)'!$R$24</f>
        <v>35065</v>
      </c>
      <c r="I452" s="3386">
        <f t="shared" ref="I452:I515" ca="1" si="7">ROUND(H452*F452/10000,2)</f>
        <v>147.19999999999999</v>
      </c>
    </row>
    <row r="453" spans="1:9" hidden="1">
      <c r="A453" s="3521">
        <v>451</v>
      </c>
      <c r="B453" s="3388"/>
      <c r="C453" s="3587">
        <v>11</v>
      </c>
      <c r="D453" s="3587">
        <v>1</v>
      </c>
      <c r="E453" s="3587">
        <v>79</v>
      </c>
      <c r="F453" s="3578">
        <v>49.18</v>
      </c>
      <c r="G453" s="3459" t="s">
        <v>7461</v>
      </c>
      <c r="H453" s="3590">
        <f ca="1">'典型户型修正(先权重后修正)'!$R$24</f>
        <v>35065</v>
      </c>
      <c r="I453" s="3386">
        <f t="shared" ca="1" si="7"/>
        <v>172.45</v>
      </c>
    </row>
    <row r="454" spans="1:9" hidden="1">
      <c r="A454" s="3521">
        <v>452</v>
      </c>
      <c r="B454" s="3388"/>
      <c r="C454" s="3587">
        <v>11</v>
      </c>
      <c r="D454" s="3587">
        <v>1</v>
      </c>
      <c r="E454" s="3587">
        <v>80</v>
      </c>
      <c r="F454" s="3578">
        <v>53.5</v>
      </c>
      <c r="G454" s="3459" t="s">
        <v>7461</v>
      </c>
      <c r="H454" s="3590">
        <f ca="1">'典型户型修正(先权重后修正)'!$R$24</f>
        <v>35065</v>
      </c>
      <c r="I454" s="3386">
        <f t="shared" ca="1" si="7"/>
        <v>187.6</v>
      </c>
    </row>
    <row r="455" spans="1:9" hidden="1">
      <c r="A455" s="3521">
        <v>453</v>
      </c>
      <c r="B455" s="3388"/>
      <c r="C455" s="3587">
        <v>11</v>
      </c>
      <c r="D455" s="3587">
        <v>1</v>
      </c>
      <c r="E455" s="3587">
        <v>82</v>
      </c>
      <c r="F455" s="3578">
        <v>46.14</v>
      </c>
      <c r="G455" s="3459" t="s">
        <v>7461</v>
      </c>
      <c r="H455" s="3590">
        <f ca="1">'典型户型修正(先权重后修正)'!$R$24</f>
        <v>35065</v>
      </c>
      <c r="I455" s="3386">
        <f t="shared" ca="1" si="7"/>
        <v>161.79</v>
      </c>
    </row>
    <row r="456" spans="1:9" hidden="1">
      <c r="A456" s="3521">
        <v>454</v>
      </c>
      <c r="B456" s="3388"/>
      <c r="C456" s="3587">
        <v>11</v>
      </c>
      <c r="D456" s="3587">
        <v>1</v>
      </c>
      <c r="E456" s="3587">
        <v>83</v>
      </c>
      <c r="F456" s="3578">
        <v>54.01</v>
      </c>
      <c r="G456" s="3459" t="s">
        <v>7461</v>
      </c>
      <c r="H456" s="3590">
        <f ca="1">'典型户型修正(先权重后修正)'!$R$24</f>
        <v>35065</v>
      </c>
      <c r="I456" s="3386">
        <f t="shared" ca="1" si="7"/>
        <v>189.39</v>
      </c>
    </row>
    <row r="457" spans="1:9" hidden="1">
      <c r="A457" s="3521">
        <v>455</v>
      </c>
      <c r="B457" s="3388"/>
      <c r="C457" s="3587">
        <v>11</v>
      </c>
      <c r="D457" s="3587">
        <v>1</v>
      </c>
      <c r="E457" s="3587">
        <v>85</v>
      </c>
      <c r="F457" s="3578">
        <v>79.64</v>
      </c>
      <c r="G457" s="3459" t="s">
        <v>7461</v>
      </c>
      <c r="H457" s="3590">
        <f ca="1">'典型户型修正(先权重后修正)'!$R$24</f>
        <v>35065</v>
      </c>
      <c r="I457" s="3386">
        <f t="shared" ca="1" si="7"/>
        <v>279.26</v>
      </c>
    </row>
    <row r="458" spans="1:9" hidden="1">
      <c r="A458" s="3521">
        <v>456</v>
      </c>
      <c r="B458" s="3388"/>
      <c r="C458" s="3587">
        <v>11</v>
      </c>
      <c r="D458" s="3587">
        <v>1</v>
      </c>
      <c r="E458" s="3587">
        <v>86</v>
      </c>
      <c r="F458" s="3578">
        <v>64.25</v>
      </c>
      <c r="G458" s="3459" t="s">
        <v>7461</v>
      </c>
      <c r="H458" s="3590">
        <f ca="1">'典型户型修正(先权重后修正)'!$R$24</f>
        <v>35065</v>
      </c>
      <c r="I458" s="3386">
        <f t="shared" ca="1" si="7"/>
        <v>225.29</v>
      </c>
    </row>
    <row r="459" spans="1:9" s="3418" customFormat="1" hidden="1">
      <c r="A459" s="3601">
        <v>457</v>
      </c>
      <c r="B459" s="3415"/>
      <c r="C459" s="3602">
        <v>11</v>
      </c>
      <c r="D459" s="3602">
        <v>1</v>
      </c>
      <c r="E459" s="3602">
        <v>87</v>
      </c>
      <c r="F459" s="3603">
        <v>67.59</v>
      </c>
      <c r="G459" s="3604" t="s">
        <v>7461</v>
      </c>
      <c r="H459" s="3605">
        <f ca="1">'典型户型修正(先权重后修正)'!$R$24</f>
        <v>35065</v>
      </c>
      <c r="I459" s="3418">
        <f t="shared" ca="1" si="7"/>
        <v>237</v>
      </c>
    </row>
    <row r="460" spans="1:9" hidden="1">
      <c r="A460" s="3521">
        <v>458</v>
      </c>
      <c r="B460" s="3388"/>
      <c r="C460" s="3587">
        <v>11</v>
      </c>
      <c r="D460" s="3587">
        <v>1</v>
      </c>
      <c r="E460" s="3587">
        <v>88</v>
      </c>
      <c r="F460" s="3578">
        <v>68.930000000000007</v>
      </c>
      <c r="G460" s="3459" t="s">
        <v>7461</v>
      </c>
      <c r="H460" s="3590">
        <f ca="1">'典型户型修正(先权重后修正)'!$R$24</f>
        <v>35065</v>
      </c>
      <c r="I460" s="3386">
        <f t="shared" ca="1" si="7"/>
        <v>241.7</v>
      </c>
    </row>
    <row r="461" spans="1:9" hidden="1">
      <c r="A461" s="3521">
        <v>459</v>
      </c>
      <c r="B461" s="3388"/>
      <c r="C461" s="3587">
        <v>11</v>
      </c>
      <c r="D461" s="3587">
        <v>1</v>
      </c>
      <c r="E461" s="3587">
        <v>89</v>
      </c>
      <c r="F461" s="3578">
        <v>79.099999999999994</v>
      </c>
      <c r="G461" s="3459" t="s">
        <v>7461</v>
      </c>
      <c r="H461" s="3590">
        <f ca="1">'典型户型修正(先权重后修正)'!$R$24</f>
        <v>35065</v>
      </c>
      <c r="I461" s="3386">
        <f t="shared" ca="1" si="7"/>
        <v>277.36</v>
      </c>
    </row>
    <row r="462" spans="1:9" hidden="1">
      <c r="A462" s="3521">
        <v>460</v>
      </c>
      <c r="B462" s="3388"/>
      <c r="C462" s="3587">
        <v>11</v>
      </c>
      <c r="D462" s="3587">
        <v>1</v>
      </c>
      <c r="E462" s="3587">
        <v>91</v>
      </c>
      <c r="F462" s="3578">
        <v>40.14</v>
      </c>
      <c r="G462" s="3459" t="s">
        <v>7461</v>
      </c>
      <c r="H462" s="3590">
        <f ca="1">'典型户型修正(先权重后修正)'!$R$24</f>
        <v>35065</v>
      </c>
      <c r="I462" s="3386">
        <f t="shared" ca="1" si="7"/>
        <v>140.75</v>
      </c>
    </row>
    <row r="463" spans="1:9" hidden="1">
      <c r="A463" s="3521">
        <v>461</v>
      </c>
      <c r="B463" s="3388"/>
      <c r="C463" s="3587">
        <v>11</v>
      </c>
      <c r="D463" s="3587">
        <v>1</v>
      </c>
      <c r="E463" s="3587">
        <v>92</v>
      </c>
      <c r="F463" s="3578">
        <v>48.34</v>
      </c>
      <c r="G463" s="3459" t="s">
        <v>7461</v>
      </c>
      <c r="H463" s="3590">
        <f ca="1">'典型户型修正(先权重后修正)'!$R$24</f>
        <v>35065</v>
      </c>
      <c r="I463" s="3386">
        <f t="shared" ca="1" si="7"/>
        <v>169.5</v>
      </c>
    </row>
    <row r="464" spans="1:9" hidden="1">
      <c r="A464" s="3521">
        <v>462</v>
      </c>
      <c r="B464" s="3388"/>
      <c r="C464" s="3587">
        <v>11</v>
      </c>
      <c r="D464" s="3587">
        <v>1</v>
      </c>
      <c r="E464" s="3587">
        <v>93</v>
      </c>
      <c r="F464" s="3578">
        <v>46.5</v>
      </c>
      <c r="G464" s="3459" t="s">
        <v>7461</v>
      </c>
      <c r="H464" s="3590">
        <f ca="1">'典型户型修正(先权重后修正)'!$R$24</f>
        <v>35065</v>
      </c>
      <c r="I464" s="3386">
        <f t="shared" ca="1" si="7"/>
        <v>163.05000000000001</v>
      </c>
    </row>
    <row r="465" spans="1:9" hidden="1">
      <c r="A465" s="3521">
        <v>463</v>
      </c>
      <c r="B465" s="3388"/>
      <c r="C465" s="3587">
        <v>11</v>
      </c>
      <c r="D465" s="3587">
        <v>1</v>
      </c>
      <c r="E465" s="3587">
        <v>95</v>
      </c>
      <c r="F465" s="3578">
        <v>72.91</v>
      </c>
      <c r="G465" s="3459" t="s">
        <v>7461</v>
      </c>
      <c r="H465" s="3590">
        <f ca="1">'典型户型修正(先权重后修正)'!$R$24</f>
        <v>35065</v>
      </c>
      <c r="I465" s="3386">
        <f t="shared" ca="1" si="7"/>
        <v>255.66</v>
      </c>
    </row>
    <row r="466" spans="1:9" hidden="1">
      <c r="A466" s="3521">
        <v>464</v>
      </c>
      <c r="B466" s="3388"/>
      <c r="C466" s="3587">
        <v>11</v>
      </c>
      <c r="D466" s="3587">
        <v>1</v>
      </c>
      <c r="E466" s="3587">
        <v>96</v>
      </c>
      <c r="F466" s="3578">
        <v>77.510000000000005</v>
      </c>
      <c r="G466" s="3459" t="s">
        <v>7461</v>
      </c>
      <c r="H466" s="3590">
        <f ca="1">'典型户型修正(先权重后修正)'!$R$24</f>
        <v>35065</v>
      </c>
      <c r="I466" s="3386">
        <f t="shared" ca="1" si="7"/>
        <v>271.79000000000002</v>
      </c>
    </row>
    <row r="467" spans="1:9" hidden="1">
      <c r="A467" s="3521">
        <v>465</v>
      </c>
      <c r="B467" s="3388"/>
      <c r="C467" s="3587">
        <v>11</v>
      </c>
      <c r="D467" s="3587">
        <v>1</v>
      </c>
      <c r="E467" s="3587">
        <v>97</v>
      </c>
      <c r="F467" s="3578">
        <v>70.239999999999995</v>
      </c>
      <c r="G467" s="3459" t="s">
        <v>7461</v>
      </c>
      <c r="H467" s="3590">
        <f ca="1">'典型户型修正(先权重后修正)'!$R$24</f>
        <v>35065</v>
      </c>
      <c r="I467" s="3386">
        <f t="shared" ca="1" si="7"/>
        <v>246.3</v>
      </c>
    </row>
    <row r="468" spans="1:9" hidden="1">
      <c r="A468" s="3521">
        <v>466</v>
      </c>
      <c r="B468" s="3388"/>
      <c r="C468" s="3587">
        <v>11</v>
      </c>
      <c r="D468" s="3587">
        <v>1</v>
      </c>
      <c r="E468" s="3587">
        <v>98</v>
      </c>
      <c r="F468" s="3578">
        <v>53.53</v>
      </c>
      <c r="G468" s="3459" t="s">
        <v>7461</v>
      </c>
      <c r="H468" s="3590">
        <f ca="1">'典型户型修正(先权重后修正)'!$R$24</f>
        <v>35065</v>
      </c>
      <c r="I468" s="3386">
        <f t="shared" ca="1" si="7"/>
        <v>187.7</v>
      </c>
    </row>
    <row r="469" spans="1:9" hidden="1">
      <c r="A469" s="3521">
        <v>467</v>
      </c>
      <c r="B469" s="3388"/>
      <c r="C469" s="3587">
        <v>11</v>
      </c>
      <c r="D469" s="3587">
        <v>1</v>
      </c>
      <c r="E469" s="3587">
        <v>99</v>
      </c>
      <c r="F469" s="3578">
        <v>73.17</v>
      </c>
      <c r="G469" s="3459" t="s">
        <v>7461</v>
      </c>
      <c r="H469" s="3590">
        <f ca="1">'典型户型修正(先权重后修正)'!$R$24</f>
        <v>35065</v>
      </c>
      <c r="I469" s="3386">
        <f t="shared" ca="1" si="7"/>
        <v>256.57</v>
      </c>
    </row>
    <row r="470" spans="1:9" hidden="1">
      <c r="A470" s="3521">
        <v>468</v>
      </c>
      <c r="B470" s="3388"/>
      <c r="C470" s="3587">
        <v>11</v>
      </c>
      <c r="D470" s="3587">
        <v>1</v>
      </c>
      <c r="E470" s="3587">
        <v>103</v>
      </c>
      <c r="F470" s="3578">
        <v>32.51</v>
      </c>
      <c r="G470" s="3459" t="s">
        <v>7461</v>
      </c>
      <c r="H470" s="3590">
        <f ca="1">'典型户型修正(先权重后修正)'!$R$24</f>
        <v>35065</v>
      </c>
      <c r="I470" s="3386">
        <f t="shared" ca="1" si="7"/>
        <v>114</v>
      </c>
    </row>
    <row r="471" spans="1:9" hidden="1">
      <c r="A471" s="3521">
        <v>469</v>
      </c>
      <c r="B471" s="3388"/>
      <c r="C471" s="3587">
        <v>11</v>
      </c>
      <c r="D471" s="3587">
        <v>1</v>
      </c>
      <c r="E471" s="3587">
        <v>106</v>
      </c>
      <c r="F471" s="3578">
        <v>72.92</v>
      </c>
      <c r="G471" s="3459" t="s">
        <v>7461</v>
      </c>
      <c r="H471" s="3590">
        <f ca="1">'典型户型修正(先权重后修正)'!$R$24</f>
        <v>35065</v>
      </c>
      <c r="I471" s="3386">
        <f t="shared" ca="1" si="7"/>
        <v>255.69</v>
      </c>
    </row>
    <row r="472" spans="1:9" hidden="1">
      <c r="A472" s="3521">
        <v>470</v>
      </c>
      <c r="B472" s="3388"/>
      <c r="C472" s="3587">
        <v>11</v>
      </c>
      <c r="D472" s="3587">
        <v>1</v>
      </c>
      <c r="E472" s="3587">
        <v>107</v>
      </c>
      <c r="F472" s="3578">
        <v>47.86</v>
      </c>
      <c r="G472" s="3459" t="s">
        <v>7461</v>
      </c>
      <c r="H472" s="3590">
        <f ca="1">'典型户型修正(先权重后修正)'!$R$24</f>
        <v>35065</v>
      </c>
      <c r="I472" s="3386">
        <f t="shared" ca="1" si="7"/>
        <v>167.82</v>
      </c>
    </row>
    <row r="473" spans="1:9" hidden="1">
      <c r="A473" s="3521">
        <v>471</v>
      </c>
      <c r="B473" s="3388"/>
      <c r="C473" s="3587">
        <v>11</v>
      </c>
      <c r="D473" s="3587">
        <v>1</v>
      </c>
      <c r="E473" s="3587">
        <v>108</v>
      </c>
      <c r="F473" s="3578">
        <v>38.369999999999997</v>
      </c>
      <c r="G473" s="3459" t="s">
        <v>7461</v>
      </c>
      <c r="H473" s="3590">
        <f ca="1">'典型户型修正(先权重后修正)'!$R$24</f>
        <v>35065</v>
      </c>
      <c r="I473" s="3386">
        <f t="shared" ca="1" si="7"/>
        <v>134.54</v>
      </c>
    </row>
    <row r="474" spans="1:9" hidden="1">
      <c r="A474" s="3521">
        <v>472</v>
      </c>
      <c r="B474" s="3388"/>
      <c r="C474" s="3587">
        <v>11</v>
      </c>
      <c r="D474" s="3587">
        <v>1</v>
      </c>
      <c r="E474" s="3587">
        <v>109</v>
      </c>
      <c r="F474" s="3578">
        <v>34.79</v>
      </c>
      <c r="G474" s="3459" t="s">
        <v>7461</v>
      </c>
      <c r="H474" s="3590">
        <f ca="1">'典型户型修正(先权重后修正)'!$R$24</f>
        <v>35065</v>
      </c>
      <c r="I474" s="3386">
        <f t="shared" ca="1" si="7"/>
        <v>121.99</v>
      </c>
    </row>
    <row r="475" spans="1:9" hidden="1">
      <c r="A475" s="3521">
        <v>473</v>
      </c>
      <c r="B475" s="3388"/>
      <c r="C475" s="3587">
        <v>11</v>
      </c>
      <c r="D475" s="3587">
        <v>1</v>
      </c>
      <c r="E475" s="3587">
        <v>110</v>
      </c>
      <c r="F475" s="3578">
        <v>79.099999999999994</v>
      </c>
      <c r="G475" s="3459" t="s">
        <v>7461</v>
      </c>
      <c r="H475" s="3590">
        <f ca="1">'典型户型修正(先权重后修正)'!$R$24</f>
        <v>35065</v>
      </c>
      <c r="I475" s="3386">
        <f t="shared" ca="1" si="7"/>
        <v>277.36</v>
      </c>
    </row>
    <row r="476" spans="1:9" hidden="1">
      <c r="A476" s="3521">
        <v>474</v>
      </c>
      <c r="B476" s="3388"/>
      <c r="C476" s="3587">
        <v>11</v>
      </c>
      <c r="D476" s="3587">
        <v>1</v>
      </c>
      <c r="E476" s="3587">
        <v>117</v>
      </c>
      <c r="F476" s="3578">
        <v>28.62</v>
      </c>
      <c r="G476" s="3459" t="s">
        <v>7461</v>
      </c>
      <c r="H476" s="3590">
        <f ca="1">'典型户型修正(先权重后修正)'!$R$24</f>
        <v>35065</v>
      </c>
      <c r="I476" s="3386">
        <f t="shared" ca="1" si="7"/>
        <v>100.36</v>
      </c>
    </row>
    <row r="477" spans="1:9" hidden="1">
      <c r="A477" s="3521">
        <v>475</v>
      </c>
      <c r="B477" s="3388"/>
      <c r="C477" s="3587">
        <v>11</v>
      </c>
      <c r="D477" s="3587">
        <v>1</v>
      </c>
      <c r="E477" s="3587">
        <v>118</v>
      </c>
      <c r="F477" s="3578">
        <v>40.53</v>
      </c>
      <c r="G477" s="3459" t="s">
        <v>7461</v>
      </c>
      <c r="H477" s="3590">
        <f ca="1">'典型户型修正(先权重后修正)'!$R$24</f>
        <v>35065</v>
      </c>
      <c r="I477" s="3386">
        <f t="shared" ca="1" si="7"/>
        <v>142.12</v>
      </c>
    </row>
    <row r="478" spans="1:9" hidden="1">
      <c r="A478" s="3521">
        <v>476</v>
      </c>
      <c r="B478" s="3388"/>
      <c r="C478" s="3587">
        <v>11</v>
      </c>
      <c r="D478" s="3587">
        <v>1</v>
      </c>
      <c r="E478" s="3587">
        <v>121</v>
      </c>
      <c r="F478" s="3578">
        <v>33.770000000000003</v>
      </c>
      <c r="G478" s="3459" t="s">
        <v>7461</v>
      </c>
      <c r="H478" s="3590">
        <f ca="1">'典型户型修正(先权重后修正)'!$R$24</f>
        <v>35065</v>
      </c>
      <c r="I478" s="3386">
        <f t="shared" ca="1" si="7"/>
        <v>118.41</v>
      </c>
    </row>
    <row r="479" spans="1:9" hidden="1">
      <c r="A479" s="3521">
        <v>477</v>
      </c>
      <c r="B479" s="3388"/>
      <c r="C479" s="3587">
        <v>11</v>
      </c>
      <c r="D479" s="3587">
        <v>1</v>
      </c>
      <c r="E479" s="3587">
        <v>122</v>
      </c>
      <c r="F479" s="3578">
        <v>53.63</v>
      </c>
      <c r="G479" s="3459" t="s">
        <v>7461</v>
      </c>
      <c r="H479" s="3590">
        <f ca="1">'典型户型修正(先权重后修正)'!$R$24</f>
        <v>35065</v>
      </c>
      <c r="I479" s="3386">
        <f t="shared" ca="1" si="7"/>
        <v>188.05</v>
      </c>
    </row>
    <row r="480" spans="1:9" hidden="1">
      <c r="A480" s="3521">
        <v>478</v>
      </c>
      <c r="B480" s="3388"/>
      <c r="C480" s="3587">
        <v>11</v>
      </c>
      <c r="D480" s="3587">
        <v>1</v>
      </c>
      <c r="E480" s="3587">
        <v>123</v>
      </c>
      <c r="F480" s="3578">
        <v>8.98</v>
      </c>
      <c r="G480" s="3459" t="s">
        <v>7461</v>
      </c>
      <c r="H480" s="3590">
        <f ca="1">'典型户型修正(先权重后修正)'!$R$24</f>
        <v>35065</v>
      </c>
      <c r="I480" s="3386">
        <f t="shared" ca="1" si="7"/>
        <v>31.49</v>
      </c>
    </row>
    <row r="481" spans="1:9" hidden="1">
      <c r="A481" s="3521">
        <v>479</v>
      </c>
      <c r="B481" s="3388"/>
      <c r="C481" s="3587">
        <v>11</v>
      </c>
      <c r="D481" s="3587">
        <v>1</v>
      </c>
      <c r="E481" s="3587">
        <v>125</v>
      </c>
      <c r="F481" s="3578">
        <v>40.69</v>
      </c>
      <c r="G481" s="3459" t="s">
        <v>7461</v>
      </c>
      <c r="H481" s="3590">
        <f ca="1">'典型户型修正(先权重后修正)'!$R$24</f>
        <v>35065</v>
      </c>
      <c r="I481" s="3386">
        <f t="shared" ca="1" si="7"/>
        <v>142.68</v>
      </c>
    </row>
    <row r="482" spans="1:9" hidden="1">
      <c r="A482" s="3521">
        <v>480</v>
      </c>
      <c r="B482" s="3388"/>
      <c r="C482" s="3587">
        <v>11</v>
      </c>
      <c r="D482" s="3587">
        <v>1</v>
      </c>
      <c r="E482" s="3587">
        <v>126</v>
      </c>
      <c r="F482" s="3578">
        <v>41.61</v>
      </c>
      <c r="G482" s="3459" t="s">
        <v>7461</v>
      </c>
      <c r="H482" s="3590">
        <f ca="1">'典型户型修正(先权重后修正)'!$R$24</f>
        <v>35065</v>
      </c>
      <c r="I482" s="3386">
        <f t="shared" ca="1" si="7"/>
        <v>145.91</v>
      </c>
    </row>
    <row r="483" spans="1:9" hidden="1">
      <c r="A483" s="3521">
        <v>481</v>
      </c>
      <c r="B483" s="3388"/>
      <c r="C483" s="3587">
        <v>11</v>
      </c>
      <c r="D483" s="3587">
        <v>1</v>
      </c>
      <c r="E483" s="3587">
        <v>127</v>
      </c>
      <c r="F483" s="3578">
        <v>73.5</v>
      </c>
      <c r="G483" s="3459" t="s">
        <v>7461</v>
      </c>
      <c r="H483" s="3590">
        <f ca="1">'典型户型修正(先权重后修正)'!$R$24</f>
        <v>35065</v>
      </c>
      <c r="I483" s="3386">
        <f t="shared" ca="1" si="7"/>
        <v>257.73</v>
      </c>
    </row>
    <row r="484" spans="1:9" hidden="1">
      <c r="A484" s="3521">
        <v>482</v>
      </c>
      <c r="B484" s="3388"/>
      <c r="C484" s="3587">
        <v>11</v>
      </c>
      <c r="D484" s="3587">
        <v>1</v>
      </c>
      <c r="E484" s="3587">
        <v>128</v>
      </c>
      <c r="F484" s="3578">
        <v>80.91</v>
      </c>
      <c r="G484" s="3459" t="s">
        <v>7461</v>
      </c>
      <c r="H484" s="3590">
        <f ca="1">'典型户型修正(先权重后修正)'!$R$24</f>
        <v>35065</v>
      </c>
      <c r="I484" s="3386">
        <f t="shared" ca="1" si="7"/>
        <v>283.70999999999998</v>
      </c>
    </row>
    <row r="485" spans="1:9" hidden="1">
      <c r="A485" s="3521">
        <v>483</v>
      </c>
      <c r="B485" s="3388"/>
      <c r="C485" s="3587">
        <v>11</v>
      </c>
      <c r="D485" s="3587">
        <v>1</v>
      </c>
      <c r="E485" s="3587">
        <v>129</v>
      </c>
      <c r="F485" s="3578">
        <v>79.739999999999995</v>
      </c>
      <c r="G485" s="3459" t="s">
        <v>7461</v>
      </c>
      <c r="H485" s="3590">
        <f ca="1">'典型户型修正(先权重后修正)'!$R$24</f>
        <v>35065</v>
      </c>
      <c r="I485" s="3386">
        <f t="shared" ca="1" si="7"/>
        <v>279.61</v>
      </c>
    </row>
    <row r="486" spans="1:9" hidden="1">
      <c r="A486" s="3521">
        <v>484</v>
      </c>
      <c r="B486" s="3388"/>
      <c r="C486" s="3587">
        <v>11</v>
      </c>
      <c r="D486" s="3587">
        <v>1</v>
      </c>
      <c r="E486" s="3587">
        <v>130</v>
      </c>
      <c r="F486" s="3578">
        <v>65.84</v>
      </c>
      <c r="G486" s="3459" t="s">
        <v>7461</v>
      </c>
      <c r="H486" s="3590">
        <f ca="1">'典型户型修正(先权重后修正)'!$R$24</f>
        <v>35065</v>
      </c>
      <c r="I486" s="3386">
        <f t="shared" ca="1" si="7"/>
        <v>230.87</v>
      </c>
    </row>
    <row r="487" spans="1:9" hidden="1">
      <c r="A487" s="3521">
        <v>485</v>
      </c>
      <c r="B487" s="3388"/>
      <c r="C487" s="3587">
        <v>11</v>
      </c>
      <c r="D487" s="3587">
        <v>1</v>
      </c>
      <c r="E487" s="3587">
        <v>131</v>
      </c>
      <c r="F487" s="3578">
        <v>64.010000000000005</v>
      </c>
      <c r="G487" s="3459" t="s">
        <v>7461</v>
      </c>
      <c r="H487" s="3590">
        <f ca="1">'典型户型修正(先权重后修正)'!$R$24</f>
        <v>35065</v>
      </c>
      <c r="I487" s="3386">
        <f t="shared" ca="1" si="7"/>
        <v>224.45</v>
      </c>
    </row>
    <row r="488" spans="1:9" hidden="1">
      <c r="A488" s="3521">
        <v>486</v>
      </c>
      <c r="B488" s="3388"/>
      <c r="C488" s="3587">
        <v>11</v>
      </c>
      <c r="D488" s="3587">
        <v>1</v>
      </c>
      <c r="E488" s="3587">
        <v>132</v>
      </c>
      <c r="F488" s="3578">
        <v>30.92</v>
      </c>
      <c r="G488" s="3459" t="s">
        <v>7461</v>
      </c>
      <c r="H488" s="3590">
        <f ca="1">'典型户型修正(先权重后修正)'!$R$24</f>
        <v>35065</v>
      </c>
      <c r="I488" s="3386">
        <f t="shared" ca="1" si="7"/>
        <v>108.42</v>
      </c>
    </row>
    <row r="489" spans="1:9" hidden="1">
      <c r="A489" s="3521">
        <v>487</v>
      </c>
      <c r="B489" s="3388"/>
      <c r="C489" s="3587">
        <v>11</v>
      </c>
      <c r="D489" s="3587">
        <v>1</v>
      </c>
      <c r="E489" s="3587">
        <v>133</v>
      </c>
      <c r="F489" s="3578">
        <v>31.28</v>
      </c>
      <c r="G489" s="3459" t="s">
        <v>7461</v>
      </c>
      <c r="H489" s="3590">
        <f ca="1">'典型户型修正(先权重后修正)'!$R$24</f>
        <v>35065</v>
      </c>
      <c r="I489" s="3386">
        <f t="shared" ca="1" si="7"/>
        <v>109.68</v>
      </c>
    </row>
    <row r="490" spans="1:9" hidden="1">
      <c r="A490" s="3521">
        <v>488</v>
      </c>
      <c r="B490" s="3388"/>
      <c r="C490" s="3587">
        <v>11</v>
      </c>
      <c r="D490" s="3587">
        <v>1</v>
      </c>
      <c r="E490" s="3587">
        <v>135</v>
      </c>
      <c r="F490" s="3578">
        <v>30.86</v>
      </c>
      <c r="G490" s="3459" t="s">
        <v>7461</v>
      </c>
      <c r="H490" s="3590">
        <f ca="1">'典型户型修正(先权重后修正)'!$R$24</f>
        <v>35065</v>
      </c>
      <c r="I490" s="3386">
        <f t="shared" ca="1" si="7"/>
        <v>108.21</v>
      </c>
    </row>
    <row r="491" spans="1:9" hidden="1">
      <c r="A491" s="3521">
        <v>489</v>
      </c>
      <c r="B491" s="3388"/>
      <c r="C491" s="3587">
        <v>11</v>
      </c>
      <c r="D491" s="3587">
        <v>1</v>
      </c>
      <c r="E491" s="3587">
        <v>136</v>
      </c>
      <c r="F491" s="3578">
        <v>43.21</v>
      </c>
      <c r="G491" s="3459" t="s">
        <v>7461</v>
      </c>
      <c r="H491" s="3590">
        <f ca="1">'典型户型修正(先权重后修正)'!$R$24</f>
        <v>35065</v>
      </c>
      <c r="I491" s="3386">
        <f t="shared" ca="1" si="7"/>
        <v>151.52000000000001</v>
      </c>
    </row>
    <row r="492" spans="1:9" hidden="1">
      <c r="A492" s="3521">
        <v>490</v>
      </c>
      <c r="B492" s="3388"/>
      <c r="C492" s="3587">
        <v>11</v>
      </c>
      <c r="D492" s="3587">
        <v>1</v>
      </c>
      <c r="E492" s="3587">
        <v>139</v>
      </c>
      <c r="F492" s="3578">
        <v>38.909999999999997</v>
      </c>
      <c r="G492" s="3459" t="s">
        <v>7461</v>
      </c>
      <c r="H492" s="3590">
        <f ca="1">'典型户型修正(先权重后修正)'!$R$24</f>
        <v>35065</v>
      </c>
      <c r="I492" s="3386">
        <f t="shared" ca="1" si="7"/>
        <v>136.44</v>
      </c>
    </row>
    <row r="493" spans="1:9" hidden="1">
      <c r="A493" s="3521">
        <v>491</v>
      </c>
      <c r="B493" s="3388"/>
      <c r="C493" s="3587">
        <v>11</v>
      </c>
      <c r="D493" s="3587">
        <v>1</v>
      </c>
      <c r="E493" s="3587">
        <v>140</v>
      </c>
      <c r="F493" s="3578">
        <v>33.049999999999997</v>
      </c>
      <c r="G493" s="3459" t="s">
        <v>7461</v>
      </c>
      <c r="H493" s="3590">
        <f ca="1">'典型户型修正(先权重后修正)'!$R$24</f>
        <v>35065</v>
      </c>
      <c r="I493" s="3386">
        <f t="shared" ca="1" si="7"/>
        <v>115.89</v>
      </c>
    </row>
    <row r="494" spans="1:9" hidden="1">
      <c r="A494" s="3521">
        <v>492</v>
      </c>
      <c r="B494" s="3388"/>
      <c r="C494" s="3587">
        <v>11</v>
      </c>
      <c r="D494" s="3587">
        <v>1</v>
      </c>
      <c r="E494" s="3587">
        <v>150</v>
      </c>
      <c r="F494" s="3578">
        <v>75.5</v>
      </c>
      <c r="G494" s="3459" t="s">
        <v>7461</v>
      </c>
      <c r="H494" s="3590">
        <f ca="1">'典型户型修正(先权重后修正)'!$R$24</f>
        <v>35065</v>
      </c>
      <c r="I494" s="3386">
        <f t="shared" ca="1" si="7"/>
        <v>264.74</v>
      </c>
    </row>
    <row r="495" spans="1:9" hidden="1">
      <c r="A495" s="3521">
        <v>493</v>
      </c>
      <c r="B495" s="3388"/>
      <c r="C495" s="3587">
        <v>11</v>
      </c>
      <c r="D495" s="3587">
        <v>1</v>
      </c>
      <c r="E495" s="3587">
        <v>151</v>
      </c>
      <c r="F495" s="3578">
        <v>94.2</v>
      </c>
      <c r="G495" s="3459" t="s">
        <v>7461</v>
      </c>
      <c r="H495" s="3590">
        <f ca="1">'典型户型修正(先权重后修正)'!$R$24</f>
        <v>35065</v>
      </c>
      <c r="I495" s="3386">
        <f t="shared" ca="1" si="7"/>
        <v>330.31</v>
      </c>
    </row>
    <row r="496" spans="1:9" hidden="1">
      <c r="A496" s="3521">
        <v>494</v>
      </c>
      <c r="B496" s="3388"/>
      <c r="C496" s="3587">
        <v>11</v>
      </c>
      <c r="D496" s="3587">
        <v>1</v>
      </c>
      <c r="E496" s="3587">
        <v>152</v>
      </c>
      <c r="F496" s="3578">
        <v>79.099999999999994</v>
      </c>
      <c r="G496" s="3459" t="s">
        <v>7461</v>
      </c>
      <c r="H496" s="3590">
        <f ca="1">'典型户型修正(先权重后修正)'!$R$24</f>
        <v>35065</v>
      </c>
      <c r="I496" s="3386">
        <f t="shared" ca="1" si="7"/>
        <v>277.36</v>
      </c>
    </row>
    <row r="497" spans="1:9" hidden="1">
      <c r="A497" s="3521">
        <v>495</v>
      </c>
      <c r="B497" s="3388"/>
      <c r="C497" s="3587">
        <v>11</v>
      </c>
      <c r="D497" s="3587">
        <v>1</v>
      </c>
      <c r="E497" s="3587">
        <v>153</v>
      </c>
      <c r="F497" s="3578">
        <v>75.510000000000005</v>
      </c>
      <c r="G497" s="3459" t="s">
        <v>7461</v>
      </c>
      <c r="H497" s="3590">
        <f ca="1">'典型户型修正(先权重后修正)'!$R$24</f>
        <v>35065</v>
      </c>
      <c r="I497" s="3386">
        <f t="shared" ca="1" si="7"/>
        <v>264.77999999999997</v>
      </c>
    </row>
    <row r="498" spans="1:9" hidden="1">
      <c r="A498" s="3521">
        <v>496</v>
      </c>
      <c r="B498" s="3388"/>
      <c r="C498" s="3587">
        <v>11</v>
      </c>
      <c r="D498" s="3587">
        <v>1</v>
      </c>
      <c r="E498" s="3587">
        <v>155</v>
      </c>
      <c r="F498" s="3578">
        <v>75.510000000000005</v>
      </c>
      <c r="G498" s="3459" t="s">
        <v>7461</v>
      </c>
      <c r="H498" s="3590">
        <f ca="1">'典型户型修正(先权重后修正)'!$R$24</f>
        <v>35065</v>
      </c>
      <c r="I498" s="3386">
        <f t="shared" ca="1" si="7"/>
        <v>264.77999999999997</v>
      </c>
    </row>
    <row r="499" spans="1:9" hidden="1">
      <c r="A499" s="3521">
        <v>497</v>
      </c>
      <c r="B499" s="3388"/>
      <c r="C499" s="3587">
        <v>11</v>
      </c>
      <c r="D499" s="3587">
        <v>1</v>
      </c>
      <c r="E499" s="3587">
        <v>156</v>
      </c>
      <c r="F499" s="3578">
        <v>75.5</v>
      </c>
      <c r="G499" s="3459" t="s">
        <v>7461</v>
      </c>
      <c r="H499" s="3590">
        <f ca="1">'典型户型修正(先权重后修正)'!$R$24</f>
        <v>35065</v>
      </c>
      <c r="I499" s="3386">
        <f t="shared" ca="1" si="7"/>
        <v>264.74</v>
      </c>
    </row>
    <row r="500" spans="1:9" hidden="1">
      <c r="A500" s="3521">
        <v>498</v>
      </c>
      <c r="B500" s="3388"/>
      <c r="C500" s="3587">
        <v>11</v>
      </c>
      <c r="D500" s="3587">
        <v>1</v>
      </c>
      <c r="E500" s="3587">
        <v>157</v>
      </c>
      <c r="F500" s="3578">
        <v>71.03</v>
      </c>
      <c r="G500" s="3459" t="s">
        <v>7461</v>
      </c>
      <c r="H500" s="3590">
        <f ca="1">'典型户型修正(先权重后修正)'!$R$24</f>
        <v>35065</v>
      </c>
      <c r="I500" s="3386">
        <f t="shared" ca="1" si="7"/>
        <v>249.07</v>
      </c>
    </row>
    <row r="501" spans="1:9" hidden="1">
      <c r="A501" s="3521">
        <v>499</v>
      </c>
      <c r="B501" s="3388"/>
      <c r="C501" s="3587">
        <v>11</v>
      </c>
      <c r="D501" s="3587">
        <v>1</v>
      </c>
      <c r="E501" s="3587">
        <v>158</v>
      </c>
      <c r="F501" s="3578">
        <v>76.03</v>
      </c>
      <c r="G501" s="3459" t="s">
        <v>7461</v>
      </c>
      <c r="H501" s="3590">
        <f ca="1">'典型户型修正(先权重后修正)'!$R$24</f>
        <v>35065</v>
      </c>
      <c r="I501" s="3386">
        <f t="shared" ca="1" si="7"/>
        <v>266.60000000000002</v>
      </c>
    </row>
    <row r="502" spans="1:9" hidden="1">
      <c r="A502" s="3521">
        <v>500</v>
      </c>
      <c r="B502" s="3388"/>
      <c r="C502" s="3587">
        <v>11</v>
      </c>
      <c r="D502" s="3587">
        <v>1</v>
      </c>
      <c r="E502" s="3587">
        <v>159</v>
      </c>
      <c r="F502" s="3578">
        <v>79.099999999999994</v>
      </c>
      <c r="G502" s="3459" t="s">
        <v>7461</v>
      </c>
      <c r="H502" s="3590">
        <f ca="1">'典型户型修正(先权重后修正)'!$R$24</f>
        <v>35065</v>
      </c>
      <c r="I502" s="3386">
        <f t="shared" ca="1" si="7"/>
        <v>277.36</v>
      </c>
    </row>
    <row r="503" spans="1:9" hidden="1">
      <c r="A503" s="3521">
        <v>501</v>
      </c>
      <c r="B503" s="3388"/>
      <c r="C503" s="3587">
        <v>11</v>
      </c>
      <c r="D503" s="3587">
        <v>1</v>
      </c>
      <c r="E503" s="3587">
        <v>160</v>
      </c>
      <c r="F503" s="3578">
        <v>75.510000000000005</v>
      </c>
      <c r="G503" s="3459" t="s">
        <v>7461</v>
      </c>
      <c r="H503" s="3590">
        <f ca="1">'典型户型修正(先权重后修正)'!$R$24</f>
        <v>35065</v>
      </c>
      <c r="I503" s="3386">
        <f t="shared" ca="1" si="7"/>
        <v>264.77999999999997</v>
      </c>
    </row>
    <row r="504" spans="1:9" hidden="1">
      <c r="A504" s="3521">
        <v>502</v>
      </c>
      <c r="B504" s="3388"/>
      <c r="C504" s="3587">
        <v>11</v>
      </c>
      <c r="D504" s="3587">
        <v>1</v>
      </c>
      <c r="E504" s="3587">
        <v>161</v>
      </c>
      <c r="F504" s="3578">
        <v>75.510000000000005</v>
      </c>
      <c r="G504" s="3459" t="s">
        <v>7461</v>
      </c>
      <c r="H504" s="3590">
        <f ca="1">'典型户型修正(先权重后修正)'!$R$24</f>
        <v>35065</v>
      </c>
      <c r="I504" s="3386">
        <f t="shared" ca="1" si="7"/>
        <v>264.77999999999997</v>
      </c>
    </row>
    <row r="505" spans="1:9" hidden="1">
      <c r="A505" s="3521">
        <v>503</v>
      </c>
      <c r="B505" s="3388"/>
      <c r="C505" s="3587">
        <v>11</v>
      </c>
      <c r="D505" s="3587">
        <v>1</v>
      </c>
      <c r="E505" s="3587">
        <v>162</v>
      </c>
      <c r="F505" s="3578">
        <v>75.510000000000005</v>
      </c>
      <c r="G505" s="3459" t="s">
        <v>7461</v>
      </c>
      <c r="H505" s="3590">
        <f ca="1">'典型户型修正(先权重后修正)'!$R$24</f>
        <v>35065</v>
      </c>
      <c r="I505" s="3386">
        <f t="shared" ca="1" si="7"/>
        <v>264.77999999999997</v>
      </c>
    </row>
    <row r="506" spans="1:9" hidden="1">
      <c r="A506" s="3521">
        <v>504</v>
      </c>
      <c r="B506" s="3388"/>
      <c r="C506" s="3587">
        <v>11</v>
      </c>
      <c r="D506" s="3587">
        <v>1</v>
      </c>
      <c r="E506" s="3587">
        <v>163</v>
      </c>
      <c r="F506" s="3578">
        <v>75.510000000000005</v>
      </c>
      <c r="G506" s="3459" t="s">
        <v>7461</v>
      </c>
      <c r="H506" s="3590">
        <f ca="1">'典型户型修正(先权重后修正)'!$R$24</f>
        <v>35065</v>
      </c>
      <c r="I506" s="3386">
        <f t="shared" ca="1" si="7"/>
        <v>264.77999999999997</v>
      </c>
    </row>
    <row r="507" spans="1:9" hidden="1">
      <c r="A507" s="3521">
        <v>505</v>
      </c>
      <c r="B507" s="3388"/>
      <c r="C507" s="3587">
        <v>11</v>
      </c>
      <c r="D507" s="3587">
        <v>1</v>
      </c>
      <c r="E507" s="3587">
        <v>165</v>
      </c>
      <c r="F507" s="3578">
        <v>79.099999999999994</v>
      </c>
      <c r="G507" s="3459" t="s">
        <v>7461</v>
      </c>
      <c r="H507" s="3590">
        <f ca="1">'典型户型修正(先权重后修正)'!$R$24</f>
        <v>35065</v>
      </c>
      <c r="I507" s="3386">
        <f t="shared" ca="1" si="7"/>
        <v>277.36</v>
      </c>
    </row>
    <row r="508" spans="1:9" hidden="1">
      <c r="A508" s="3521">
        <v>506</v>
      </c>
      <c r="B508" s="3388"/>
      <c r="C508" s="3587">
        <v>11</v>
      </c>
      <c r="D508" s="3587">
        <v>1</v>
      </c>
      <c r="E508" s="3587">
        <v>166</v>
      </c>
      <c r="F508" s="3578">
        <v>94.2</v>
      </c>
      <c r="G508" s="3459" t="s">
        <v>7461</v>
      </c>
      <c r="H508" s="3590">
        <f ca="1">'典型户型修正(先权重后修正)'!$R$24</f>
        <v>35065</v>
      </c>
      <c r="I508" s="3386">
        <f t="shared" ca="1" si="7"/>
        <v>330.31</v>
      </c>
    </row>
    <row r="509" spans="1:9" hidden="1">
      <c r="A509" s="3521">
        <v>507</v>
      </c>
      <c r="B509" s="3388"/>
      <c r="C509" s="3587">
        <v>11</v>
      </c>
      <c r="D509" s="3587">
        <v>1</v>
      </c>
      <c r="E509" s="3587">
        <v>167</v>
      </c>
      <c r="F509" s="3578">
        <v>75.319999999999993</v>
      </c>
      <c r="G509" s="3459" t="s">
        <v>7461</v>
      </c>
      <c r="H509" s="3590">
        <f ca="1">'典型户型修正(先权重后修正)'!$R$24</f>
        <v>35065</v>
      </c>
      <c r="I509" s="3386">
        <f t="shared" ca="1" si="7"/>
        <v>264.11</v>
      </c>
    </row>
    <row r="510" spans="1:9" hidden="1">
      <c r="A510" s="3521">
        <v>508</v>
      </c>
      <c r="B510" s="3388"/>
      <c r="C510" s="3587">
        <v>11</v>
      </c>
      <c r="D510" s="3587">
        <v>1</v>
      </c>
      <c r="E510" s="3587">
        <v>168</v>
      </c>
      <c r="F510" s="3578">
        <v>37.950000000000003</v>
      </c>
      <c r="G510" s="3459" t="s">
        <v>7461</v>
      </c>
      <c r="H510" s="3590">
        <f ca="1">'典型户型修正(先权重后修正)'!$R$24</f>
        <v>35065</v>
      </c>
      <c r="I510" s="3386">
        <f t="shared" ca="1" si="7"/>
        <v>133.07</v>
      </c>
    </row>
    <row r="511" spans="1:9" hidden="1">
      <c r="A511" s="3521">
        <v>509</v>
      </c>
      <c r="B511" s="3388"/>
      <c r="C511" s="3587">
        <v>11</v>
      </c>
      <c r="D511" s="3587">
        <v>1</v>
      </c>
      <c r="E511" s="3587">
        <v>169</v>
      </c>
      <c r="F511" s="3578">
        <v>40.69</v>
      </c>
      <c r="G511" s="3459" t="s">
        <v>7461</v>
      </c>
      <c r="H511" s="3590">
        <f ca="1">'典型户型修正(先权重后修正)'!$R$24</f>
        <v>35065</v>
      </c>
      <c r="I511" s="3386">
        <f t="shared" ca="1" si="7"/>
        <v>142.68</v>
      </c>
    </row>
    <row r="512" spans="1:9" hidden="1">
      <c r="A512" s="3521">
        <v>510</v>
      </c>
      <c r="B512" s="3388" t="s">
        <v>7345</v>
      </c>
      <c r="C512" s="3585">
        <v>11</v>
      </c>
      <c r="D512" s="3585">
        <v>-1</v>
      </c>
      <c r="E512" s="3585">
        <v>5</v>
      </c>
      <c r="F512" s="3576">
        <v>108.34</v>
      </c>
      <c r="G512" s="3459" t="s">
        <v>7461</v>
      </c>
      <c r="H512" s="3590">
        <f ca="1">'典型户型修正(先权重后修正)'!$R$29</f>
        <v>17533</v>
      </c>
      <c r="I512" s="3386">
        <f t="shared" ca="1" si="7"/>
        <v>189.95</v>
      </c>
    </row>
    <row r="513" spans="1:9" hidden="1">
      <c r="A513" s="3521">
        <v>511</v>
      </c>
      <c r="B513" s="3388" t="s">
        <v>7346</v>
      </c>
      <c r="C513" s="3585">
        <v>11</v>
      </c>
      <c r="D513" s="3585">
        <v>-1</v>
      </c>
      <c r="E513" s="3585">
        <v>11</v>
      </c>
      <c r="F513" s="3576">
        <v>56.57</v>
      </c>
      <c r="G513" s="3459" t="s">
        <v>7461</v>
      </c>
      <c r="H513" s="3590">
        <f ca="1">'典型户型修正(先权重后修正)'!$R$29</f>
        <v>17533</v>
      </c>
      <c r="I513" s="3386">
        <f t="shared" ca="1" si="7"/>
        <v>99.18</v>
      </c>
    </row>
    <row r="514" spans="1:9" hidden="1">
      <c r="A514" s="3521">
        <v>512</v>
      </c>
      <c r="B514" s="3388" t="s">
        <v>7347</v>
      </c>
      <c r="C514" s="3585">
        <v>11</v>
      </c>
      <c r="D514" s="3585">
        <v>-1</v>
      </c>
      <c r="E514" s="3585">
        <v>13</v>
      </c>
      <c r="F514" s="3576">
        <v>53.58</v>
      </c>
      <c r="G514" s="3459" t="s">
        <v>7461</v>
      </c>
      <c r="H514" s="3590">
        <f ca="1">'典型户型修正(先权重后修正)'!$R$29</f>
        <v>17533</v>
      </c>
      <c r="I514" s="3386">
        <f t="shared" ca="1" si="7"/>
        <v>93.94</v>
      </c>
    </row>
    <row r="515" spans="1:9" hidden="1">
      <c r="A515" s="3521">
        <v>513</v>
      </c>
      <c r="B515" s="3388" t="s">
        <v>7348</v>
      </c>
      <c r="C515" s="3585">
        <v>11</v>
      </c>
      <c r="D515" s="3585">
        <v>-1</v>
      </c>
      <c r="E515" s="3585">
        <v>21</v>
      </c>
      <c r="F515" s="3576">
        <v>106.14</v>
      </c>
      <c r="G515" s="3459" t="s">
        <v>7461</v>
      </c>
      <c r="H515" s="3590">
        <f ca="1">'典型户型修正(先权重后修正)'!$R$29</f>
        <v>17533</v>
      </c>
      <c r="I515" s="3386">
        <f t="shared" ca="1" si="7"/>
        <v>186.1</v>
      </c>
    </row>
    <row r="516" spans="1:9" hidden="1">
      <c r="A516" s="3521">
        <v>514</v>
      </c>
      <c r="B516" s="3388" t="s">
        <v>7349</v>
      </c>
      <c r="C516" s="3585">
        <v>11</v>
      </c>
      <c r="D516" s="3585">
        <v>-1</v>
      </c>
      <c r="E516" s="3585">
        <v>39</v>
      </c>
      <c r="F516" s="3576">
        <v>95</v>
      </c>
      <c r="G516" s="3459" t="s">
        <v>7461</v>
      </c>
      <c r="H516" s="3590">
        <f ca="1">'典型户型修正(先权重后修正)'!$R$29</f>
        <v>17533</v>
      </c>
      <c r="I516" s="3386">
        <f t="shared" ref="I516:I579" ca="1" si="8">ROUND(H516*F516/10000,2)</f>
        <v>166.56</v>
      </c>
    </row>
    <row r="517" spans="1:9" hidden="1">
      <c r="A517" s="3521">
        <v>515</v>
      </c>
      <c r="B517" s="3388" t="s">
        <v>7350</v>
      </c>
      <c r="C517" s="3585">
        <v>11</v>
      </c>
      <c r="D517" s="3585">
        <v>-1</v>
      </c>
      <c r="E517" s="3585">
        <v>41</v>
      </c>
      <c r="F517" s="3576">
        <v>90.68</v>
      </c>
      <c r="G517" s="3459" t="s">
        <v>7461</v>
      </c>
      <c r="H517" s="3590">
        <f ca="1">'典型户型修正(先权重后修正)'!$R$29</f>
        <v>17533</v>
      </c>
      <c r="I517" s="3386">
        <f t="shared" ca="1" si="8"/>
        <v>158.99</v>
      </c>
    </row>
    <row r="518" spans="1:9" hidden="1">
      <c r="A518" s="3521">
        <v>516</v>
      </c>
      <c r="B518" s="3388" t="s">
        <v>7351</v>
      </c>
      <c r="C518" s="3585">
        <v>11</v>
      </c>
      <c r="D518" s="3585">
        <v>-1</v>
      </c>
      <c r="E518" s="3585">
        <v>63</v>
      </c>
      <c r="F518" s="3576">
        <v>130.07</v>
      </c>
      <c r="G518" s="3459" t="s">
        <v>7461</v>
      </c>
      <c r="H518" s="3590">
        <f ca="1">'典型户型修正(先权重后修正)'!$R$29</f>
        <v>17533</v>
      </c>
      <c r="I518" s="3386">
        <f t="shared" ca="1" si="8"/>
        <v>228.05</v>
      </c>
    </row>
    <row r="519" spans="1:9" hidden="1">
      <c r="A519" s="3521">
        <v>517</v>
      </c>
      <c r="B519" s="3388" t="s">
        <v>7352</v>
      </c>
      <c r="C519" s="3585">
        <v>11</v>
      </c>
      <c r="D519" s="3585">
        <v>-1</v>
      </c>
      <c r="E519" s="3585">
        <v>71</v>
      </c>
      <c r="F519" s="3576">
        <v>62.31</v>
      </c>
      <c r="G519" s="3459" t="s">
        <v>7461</v>
      </c>
      <c r="H519" s="3590">
        <f ca="1">'典型户型修正(先权重后修正)'!$R$29</f>
        <v>17533</v>
      </c>
      <c r="I519" s="3386">
        <f t="shared" ca="1" si="8"/>
        <v>109.25</v>
      </c>
    </row>
    <row r="520" spans="1:9" hidden="1">
      <c r="A520" s="3521">
        <v>518</v>
      </c>
      <c r="B520" s="3388" t="s">
        <v>7353</v>
      </c>
      <c r="C520" s="3585">
        <v>11</v>
      </c>
      <c r="D520" s="3585">
        <v>-1</v>
      </c>
      <c r="E520" s="3585">
        <v>78</v>
      </c>
      <c r="F520" s="3576">
        <v>98.1</v>
      </c>
      <c r="G520" s="3459" t="s">
        <v>7461</v>
      </c>
      <c r="H520" s="3590">
        <f ca="1">'典型户型修正(先权重后修正)'!$R$29</f>
        <v>17533</v>
      </c>
      <c r="I520" s="3386">
        <f t="shared" ca="1" si="8"/>
        <v>172</v>
      </c>
    </row>
    <row r="521" spans="1:9" hidden="1">
      <c r="A521" s="3521">
        <v>519</v>
      </c>
      <c r="B521" s="3388" t="s">
        <v>7354</v>
      </c>
      <c r="C521" s="3585">
        <v>11</v>
      </c>
      <c r="D521" s="3585">
        <v>-1</v>
      </c>
      <c r="E521" s="3585">
        <v>113</v>
      </c>
      <c r="F521" s="3576">
        <v>179.45</v>
      </c>
      <c r="G521" s="3459" t="s">
        <v>7461</v>
      </c>
      <c r="H521" s="3590">
        <f ca="1">'典型户型修正(先权重后修正)'!$R$29</f>
        <v>17533</v>
      </c>
      <c r="I521" s="3386">
        <f t="shared" ca="1" si="8"/>
        <v>314.63</v>
      </c>
    </row>
    <row r="522" spans="1:9" hidden="1">
      <c r="A522" s="3521">
        <v>520</v>
      </c>
      <c r="B522" s="3388" t="s">
        <v>7355</v>
      </c>
      <c r="C522" s="3585">
        <v>11</v>
      </c>
      <c r="D522" s="3585">
        <v>-1</v>
      </c>
      <c r="E522" s="3585">
        <v>127</v>
      </c>
      <c r="F522" s="3576">
        <v>35.82</v>
      </c>
      <c r="G522" s="3459" t="s">
        <v>7461</v>
      </c>
      <c r="H522" s="3590">
        <f ca="1">'典型户型修正(先权重后修正)'!$R$29</f>
        <v>17533</v>
      </c>
      <c r="I522" s="3386">
        <f t="shared" ca="1" si="8"/>
        <v>62.8</v>
      </c>
    </row>
    <row r="523" spans="1:9" hidden="1">
      <c r="A523" s="3521">
        <v>521</v>
      </c>
      <c r="B523" s="3388" t="s">
        <v>7356</v>
      </c>
      <c r="C523" s="3585">
        <v>11</v>
      </c>
      <c r="D523" s="3585">
        <v>-1</v>
      </c>
      <c r="E523" s="3585">
        <v>136</v>
      </c>
      <c r="F523" s="3576">
        <v>62.57</v>
      </c>
      <c r="G523" s="3459" t="s">
        <v>7461</v>
      </c>
      <c r="H523" s="3590">
        <f ca="1">'典型户型修正(先权重后修正)'!$R$29</f>
        <v>17533</v>
      </c>
      <c r="I523" s="3386">
        <f t="shared" ca="1" si="8"/>
        <v>109.7</v>
      </c>
    </row>
    <row r="524" spans="1:9" hidden="1">
      <c r="A524" s="3521">
        <v>522</v>
      </c>
      <c r="B524" s="3388" t="s">
        <v>7357</v>
      </c>
      <c r="C524" s="3585">
        <v>11</v>
      </c>
      <c r="D524" s="3585">
        <v>-1</v>
      </c>
      <c r="E524" s="3585">
        <v>140</v>
      </c>
      <c r="F524" s="3576">
        <v>44.9</v>
      </c>
      <c r="G524" s="3459" t="s">
        <v>7461</v>
      </c>
      <c r="H524" s="3590">
        <f ca="1">'典型户型修正(先权重后修正)'!$R$29</f>
        <v>17533</v>
      </c>
      <c r="I524" s="3386">
        <f t="shared" ca="1" si="8"/>
        <v>78.72</v>
      </c>
    </row>
    <row r="525" spans="1:9" hidden="1">
      <c r="A525" s="3521">
        <v>523</v>
      </c>
      <c r="B525" s="3388" t="s">
        <v>7358</v>
      </c>
      <c r="C525" s="3585">
        <v>11</v>
      </c>
      <c r="D525" s="3585">
        <v>-1</v>
      </c>
      <c r="E525" s="3585">
        <v>146</v>
      </c>
      <c r="F525" s="3576">
        <v>87.64</v>
      </c>
      <c r="G525" s="3459" t="s">
        <v>7461</v>
      </c>
      <c r="H525" s="3590">
        <f ca="1">'典型户型修正(先权重后修正)'!$R$29</f>
        <v>17533</v>
      </c>
      <c r="I525" s="3386">
        <f t="shared" ca="1" si="8"/>
        <v>153.66</v>
      </c>
    </row>
    <row r="526" spans="1:9" hidden="1">
      <c r="A526" s="3521">
        <v>524</v>
      </c>
      <c r="B526" s="3388" t="s">
        <v>7359</v>
      </c>
      <c r="C526" s="3585">
        <v>11</v>
      </c>
      <c r="D526" s="3585">
        <v>-1</v>
      </c>
      <c r="E526" s="3585">
        <v>157</v>
      </c>
      <c r="F526" s="3576">
        <v>91.81</v>
      </c>
      <c r="G526" s="3459" t="s">
        <v>7461</v>
      </c>
      <c r="H526" s="3590">
        <f ca="1">'典型户型修正(先权重后修正)'!$R$29</f>
        <v>17533</v>
      </c>
      <c r="I526" s="3386">
        <f t="shared" ca="1" si="8"/>
        <v>160.97</v>
      </c>
    </row>
    <row r="527" spans="1:9" hidden="1">
      <c r="A527" s="3521">
        <v>525</v>
      </c>
      <c r="B527" s="3388" t="s">
        <v>7360</v>
      </c>
      <c r="C527" s="3585">
        <v>11</v>
      </c>
      <c r="D527" s="3585">
        <v>-1</v>
      </c>
      <c r="E527" s="3585">
        <v>7</v>
      </c>
      <c r="F527" s="3576">
        <v>106.14</v>
      </c>
      <c r="G527" s="3459" t="s">
        <v>7461</v>
      </c>
      <c r="H527" s="3590">
        <f ca="1">'典型户型修正(先权重后修正)'!$R$29</f>
        <v>17533</v>
      </c>
      <c r="I527" s="3386">
        <f t="shared" ca="1" si="8"/>
        <v>186.1</v>
      </c>
    </row>
    <row r="528" spans="1:9" hidden="1">
      <c r="A528" s="3521">
        <v>526</v>
      </c>
      <c r="B528" s="3388" t="s">
        <v>7361</v>
      </c>
      <c r="C528" s="3585">
        <v>11</v>
      </c>
      <c r="D528" s="3585">
        <v>-1</v>
      </c>
      <c r="E528" s="3585">
        <v>8</v>
      </c>
      <c r="F528" s="3576">
        <v>101.31</v>
      </c>
      <c r="G528" s="3459" t="s">
        <v>7461</v>
      </c>
      <c r="H528" s="3590">
        <f ca="1">'典型户型修正(先权重后修正)'!$R$29</f>
        <v>17533</v>
      </c>
      <c r="I528" s="3386">
        <f t="shared" ca="1" si="8"/>
        <v>177.63</v>
      </c>
    </row>
    <row r="529" spans="1:9" hidden="1">
      <c r="A529" s="3521">
        <v>527</v>
      </c>
      <c r="B529" s="3388" t="s">
        <v>7362</v>
      </c>
      <c r="C529" s="3585">
        <v>11</v>
      </c>
      <c r="D529" s="3585">
        <v>-1</v>
      </c>
      <c r="E529" s="3585">
        <v>15</v>
      </c>
      <c r="F529" s="3576">
        <v>49.22</v>
      </c>
      <c r="G529" s="3459" t="s">
        <v>7461</v>
      </c>
      <c r="H529" s="3590">
        <f ca="1">'典型户型修正(先权重后修正)'!$R$29</f>
        <v>17533</v>
      </c>
      <c r="I529" s="3386">
        <f t="shared" ca="1" si="8"/>
        <v>86.3</v>
      </c>
    </row>
    <row r="530" spans="1:9" hidden="1">
      <c r="A530" s="3521">
        <v>528</v>
      </c>
      <c r="B530" s="3388" t="s">
        <v>7363</v>
      </c>
      <c r="C530" s="3585">
        <v>11</v>
      </c>
      <c r="D530" s="3585">
        <v>-1</v>
      </c>
      <c r="E530" s="3585">
        <v>18</v>
      </c>
      <c r="F530" s="3576">
        <v>101.31</v>
      </c>
      <c r="G530" s="3459" t="s">
        <v>7461</v>
      </c>
      <c r="H530" s="3590">
        <f ca="1">'典型户型修正(先权重后修正)'!$R$29</f>
        <v>17533</v>
      </c>
      <c r="I530" s="3386">
        <f t="shared" ca="1" si="8"/>
        <v>177.63</v>
      </c>
    </row>
    <row r="531" spans="1:9">
      <c r="A531" s="3521">
        <v>529</v>
      </c>
      <c r="B531" s="3388" t="s">
        <v>7364</v>
      </c>
      <c r="C531" s="3585">
        <v>11</v>
      </c>
      <c r="D531" s="3585">
        <v>-2</v>
      </c>
      <c r="E531" s="3585">
        <v>25</v>
      </c>
      <c r="F531" s="3576">
        <v>47.58</v>
      </c>
      <c r="G531" s="3459" t="s">
        <v>7461</v>
      </c>
      <c r="H531" s="3590">
        <f ca="1">'典型户型修正(先权重后修正)'!$R$30</f>
        <v>14026</v>
      </c>
      <c r="I531" s="3386">
        <f t="shared" ca="1" si="8"/>
        <v>66.739999999999995</v>
      </c>
    </row>
    <row r="532" spans="1:9">
      <c r="A532" s="3521">
        <v>530</v>
      </c>
      <c r="B532" s="3388" t="s">
        <v>7365</v>
      </c>
      <c r="C532" s="3585">
        <v>11</v>
      </c>
      <c r="D532" s="3585">
        <v>-2</v>
      </c>
      <c r="E532" s="3585">
        <v>37</v>
      </c>
      <c r="F532" s="3576">
        <v>46.64</v>
      </c>
      <c r="G532" s="3459" t="s">
        <v>7461</v>
      </c>
      <c r="H532" s="3590">
        <f ca="1">'典型户型修正(先权重后修正)'!$R$30</f>
        <v>14026</v>
      </c>
      <c r="I532" s="3386">
        <f t="shared" ca="1" si="8"/>
        <v>65.42</v>
      </c>
    </row>
    <row r="533" spans="1:9">
      <c r="A533" s="3521">
        <v>531</v>
      </c>
      <c r="B533" s="3388" t="s">
        <v>7366</v>
      </c>
      <c r="C533" s="3585">
        <v>11</v>
      </c>
      <c r="D533" s="3585">
        <v>-2</v>
      </c>
      <c r="E533" s="3585">
        <v>78</v>
      </c>
      <c r="F533" s="3576">
        <v>74.27</v>
      </c>
      <c r="G533" s="3459" t="s">
        <v>7461</v>
      </c>
      <c r="H533" s="3590">
        <f ca="1">'典型户型修正(先权重后修正)'!$R$30</f>
        <v>14026</v>
      </c>
      <c r="I533" s="3386">
        <f t="shared" ca="1" si="8"/>
        <v>104.17</v>
      </c>
    </row>
    <row r="534" spans="1:9">
      <c r="A534" s="3521">
        <v>532</v>
      </c>
      <c r="B534" s="3388" t="s">
        <v>7367</v>
      </c>
      <c r="C534" s="3585">
        <v>11</v>
      </c>
      <c r="D534" s="3585">
        <v>-2</v>
      </c>
      <c r="E534" s="3585">
        <v>80</v>
      </c>
      <c r="F534" s="3576">
        <v>98.48</v>
      </c>
      <c r="G534" s="3459" t="s">
        <v>7461</v>
      </c>
      <c r="H534" s="3590">
        <f ca="1">'典型户型修正(先权重后修正)'!$R$30</f>
        <v>14026</v>
      </c>
      <c r="I534" s="3386">
        <f t="shared" ca="1" si="8"/>
        <v>138.13</v>
      </c>
    </row>
    <row r="535" spans="1:9">
      <c r="A535" s="3521">
        <v>533</v>
      </c>
      <c r="B535" s="3388" t="s">
        <v>7368</v>
      </c>
      <c r="C535" s="3585">
        <v>11</v>
      </c>
      <c r="D535" s="3585">
        <v>-2</v>
      </c>
      <c r="E535" s="3585">
        <v>126</v>
      </c>
      <c r="F535" s="3576">
        <v>43.92</v>
      </c>
      <c r="G535" s="3459" t="s">
        <v>7461</v>
      </c>
      <c r="H535" s="3590">
        <f ca="1">'典型户型修正(先权重后修正)'!$R$30</f>
        <v>14026</v>
      </c>
      <c r="I535" s="3386">
        <f t="shared" ca="1" si="8"/>
        <v>61.6</v>
      </c>
    </row>
    <row r="536" spans="1:9">
      <c r="A536" s="3521">
        <v>534</v>
      </c>
      <c r="B536" s="3388" t="s">
        <v>7369</v>
      </c>
      <c r="C536" s="3585">
        <v>11</v>
      </c>
      <c r="D536" s="3585">
        <v>-2</v>
      </c>
      <c r="E536" s="3585">
        <v>128</v>
      </c>
      <c r="F536" s="3576">
        <v>43.92</v>
      </c>
      <c r="G536" s="3459" t="s">
        <v>7461</v>
      </c>
      <c r="H536" s="3590">
        <f ca="1">'典型户型修正(先权重后修正)'!$R$30</f>
        <v>14026</v>
      </c>
      <c r="I536" s="3386">
        <f t="shared" ca="1" si="8"/>
        <v>61.6</v>
      </c>
    </row>
    <row r="537" spans="1:9">
      <c r="A537" s="3521">
        <v>535</v>
      </c>
      <c r="B537" s="3388" t="s">
        <v>7370</v>
      </c>
      <c r="C537" s="3585">
        <v>11</v>
      </c>
      <c r="D537" s="3585">
        <v>-2</v>
      </c>
      <c r="E537" s="3585">
        <v>147</v>
      </c>
      <c r="F537" s="3576">
        <v>83.09</v>
      </c>
      <c r="G537" s="3459" t="s">
        <v>7461</v>
      </c>
      <c r="H537" s="3590">
        <f ca="1">'典型户型修正(先权重后修正)'!$R$30</f>
        <v>14026</v>
      </c>
      <c r="I537" s="3386">
        <f t="shared" ca="1" si="8"/>
        <v>116.54</v>
      </c>
    </row>
    <row r="538" spans="1:9">
      <c r="A538" s="3521">
        <v>536</v>
      </c>
      <c r="B538" s="3388" t="s">
        <v>7371</v>
      </c>
      <c r="C538" s="3585">
        <v>11</v>
      </c>
      <c r="D538" s="3585">
        <v>-2</v>
      </c>
      <c r="E538" s="3585">
        <v>163</v>
      </c>
      <c r="F538" s="3576">
        <v>18.84</v>
      </c>
      <c r="G538" s="3459" t="s">
        <v>7461</v>
      </c>
      <c r="H538" s="3590">
        <f ca="1">'典型户型修正(先权重后修正)'!$R$30</f>
        <v>14026</v>
      </c>
      <c r="I538" s="3386">
        <f t="shared" ca="1" si="8"/>
        <v>26.42</v>
      </c>
    </row>
    <row r="539" spans="1:9">
      <c r="A539" s="3521">
        <v>537</v>
      </c>
      <c r="B539" s="3388" t="s">
        <v>7372</v>
      </c>
      <c r="C539" s="3585">
        <v>11</v>
      </c>
      <c r="D539" s="3585">
        <v>-2</v>
      </c>
      <c r="E539" s="3585">
        <v>40</v>
      </c>
      <c r="F539" s="3576">
        <v>46.64</v>
      </c>
      <c r="G539" s="3459" t="s">
        <v>7461</v>
      </c>
      <c r="H539" s="3590">
        <f ca="1">'典型户型修正(先权重后修正)'!$R$30</f>
        <v>14026</v>
      </c>
      <c r="I539" s="3386">
        <f t="shared" ca="1" si="8"/>
        <v>65.42</v>
      </c>
    </row>
    <row r="540" spans="1:9">
      <c r="A540" s="3521">
        <v>538</v>
      </c>
      <c r="B540" s="3388" t="s">
        <v>7373</v>
      </c>
      <c r="C540" s="3585">
        <v>11</v>
      </c>
      <c r="D540" s="3585">
        <v>-2</v>
      </c>
      <c r="E540" s="3585">
        <v>138</v>
      </c>
      <c r="F540" s="3576">
        <v>40.33</v>
      </c>
      <c r="G540" s="3459" t="s">
        <v>7461</v>
      </c>
      <c r="H540" s="3590">
        <f ca="1">'典型户型修正(先权重后修正)'!$R$30</f>
        <v>14026</v>
      </c>
      <c r="I540" s="3386">
        <f t="shared" ca="1" si="8"/>
        <v>56.57</v>
      </c>
    </row>
    <row r="541" spans="1:9" hidden="1">
      <c r="A541" s="3521">
        <v>539</v>
      </c>
      <c r="B541" s="3579" t="s">
        <v>7374</v>
      </c>
      <c r="C541" s="3588">
        <v>12</v>
      </c>
      <c r="D541" s="3588">
        <v>1</v>
      </c>
      <c r="E541" s="3588">
        <v>6</v>
      </c>
      <c r="F541" s="3580">
        <v>158.02000000000001</v>
      </c>
      <c r="G541" s="3579" t="s">
        <v>7461</v>
      </c>
      <c r="H541" s="3590">
        <f ca="1">'典型户型修正(先权重后修正)'!$R$24</f>
        <v>35065</v>
      </c>
      <c r="I541" s="3386">
        <f t="shared" ca="1" si="8"/>
        <v>554.1</v>
      </c>
    </row>
    <row r="542" spans="1:9" hidden="1">
      <c r="A542" s="3521">
        <v>540</v>
      </c>
      <c r="B542" s="3579" t="s">
        <v>7375</v>
      </c>
      <c r="C542" s="3588">
        <v>12</v>
      </c>
      <c r="D542" s="3588">
        <v>1</v>
      </c>
      <c r="E542" s="3588">
        <v>7</v>
      </c>
      <c r="F542" s="3580">
        <v>150.76</v>
      </c>
      <c r="G542" s="3579" t="s">
        <v>7461</v>
      </c>
      <c r="H542" s="3590">
        <f ca="1">'典型户型修正(先权重后修正)'!$R$24</f>
        <v>35065</v>
      </c>
      <c r="I542" s="3386">
        <f t="shared" ca="1" si="8"/>
        <v>528.64</v>
      </c>
    </row>
    <row r="543" spans="1:9" hidden="1">
      <c r="A543" s="3521">
        <v>541</v>
      </c>
      <c r="B543" s="3579" t="s">
        <v>7376</v>
      </c>
      <c r="C543" s="3588">
        <v>12</v>
      </c>
      <c r="D543" s="3588">
        <v>1</v>
      </c>
      <c r="E543" s="3588">
        <v>30</v>
      </c>
      <c r="F543" s="3580">
        <v>58.23</v>
      </c>
      <c r="G543" s="3579" t="s">
        <v>7461</v>
      </c>
      <c r="H543" s="3590">
        <f ca="1">'典型户型修正(先权重后修正)'!$R$24</f>
        <v>35065</v>
      </c>
      <c r="I543" s="3386">
        <f t="shared" ca="1" si="8"/>
        <v>204.18</v>
      </c>
    </row>
    <row r="544" spans="1:9" hidden="1">
      <c r="A544" s="3521">
        <v>542</v>
      </c>
      <c r="B544" s="3388" t="s">
        <v>7377</v>
      </c>
      <c r="C544" s="3585">
        <v>12</v>
      </c>
      <c r="D544" s="3585">
        <v>1</v>
      </c>
      <c r="E544" s="3585">
        <v>13</v>
      </c>
      <c r="F544" s="3576">
        <v>123.8</v>
      </c>
      <c r="G544" s="3459" t="s">
        <v>7461</v>
      </c>
      <c r="H544" s="3590">
        <f ca="1">'典型户型修正(先权重后修正)'!$R$24</f>
        <v>35065</v>
      </c>
      <c r="I544" s="3386">
        <f t="shared" ca="1" si="8"/>
        <v>434.1</v>
      </c>
    </row>
    <row r="545" spans="1:9" hidden="1">
      <c r="A545" s="3521">
        <v>543</v>
      </c>
      <c r="B545" s="3388" t="s">
        <v>7378</v>
      </c>
      <c r="C545" s="3585">
        <v>12</v>
      </c>
      <c r="D545" s="3585">
        <v>1</v>
      </c>
      <c r="E545" s="3585">
        <v>16</v>
      </c>
      <c r="F545" s="3576">
        <v>129.83000000000001</v>
      </c>
      <c r="G545" s="3459" t="s">
        <v>7461</v>
      </c>
      <c r="H545" s="3590">
        <f ca="1">'典型户型修正(先权重后修正)'!$R$24</f>
        <v>35065</v>
      </c>
      <c r="I545" s="3386">
        <f t="shared" ca="1" si="8"/>
        <v>455.25</v>
      </c>
    </row>
    <row r="546" spans="1:9" hidden="1">
      <c r="A546" s="3521">
        <v>544</v>
      </c>
      <c r="B546" s="3388" t="s">
        <v>7379</v>
      </c>
      <c r="C546" s="3585">
        <v>12</v>
      </c>
      <c r="D546" s="3585">
        <v>1</v>
      </c>
      <c r="E546" s="3585">
        <v>27</v>
      </c>
      <c r="F546" s="3576">
        <v>18.18</v>
      </c>
      <c r="G546" s="3459" t="s">
        <v>7461</v>
      </c>
      <c r="H546" s="3590">
        <f ca="1">'典型户型修正(先权重后修正)'!$R$24</f>
        <v>35065</v>
      </c>
      <c r="I546" s="3386">
        <f t="shared" ca="1" si="8"/>
        <v>63.75</v>
      </c>
    </row>
    <row r="547" spans="1:9" hidden="1">
      <c r="A547" s="3521">
        <v>545</v>
      </c>
      <c r="B547" s="3388" t="s">
        <v>7380</v>
      </c>
      <c r="C547" s="3585">
        <v>12</v>
      </c>
      <c r="D547" s="3585">
        <v>1</v>
      </c>
      <c r="E547" s="3585">
        <v>61</v>
      </c>
      <c r="F547" s="3576">
        <v>40.22</v>
      </c>
      <c r="G547" s="3459" t="s">
        <v>7461</v>
      </c>
      <c r="H547" s="3590">
        <f ca="1">'典型户型修正(先权重后修正)'!$R$24</f>
        <v>35065</v>
      </c>
      <c r="I547" s="3386">
        <f t="shared" ca="1" si="8"/>
        <v>141.03</v>
      </c>
    </row>
    <row r="548" spans="1:9" hidden="1">
      <c r="A548" s="3521">
        <v>546</v>
      </c>
      <c r="B548" s="3388" t="s">
        <v>7381</v>
      </c>
      <c r="C548" s="3585">
        <v>12</v>
      </c>
      <c r="D548" s="3585">
        <v>1</v>
      </c>
      <c r="E548" s="3585">
        <v>78</v>
      </c>
      <c r="F548" s="3576">
        <v>33.909999999999997</v>
      </c>
      <c r="G548" s="3459" t="s">
        <v>7461</v>
      </c>
      <c r="H548" s="3590">
        <f ca="1">'典型户型修正(先权重后修正)'!$R$24</f>
        <v>35065</v>
      </c>
      <c r="I548" s="3386">
        <f t="shared" ca="1" si="8"/>
        <v>118.91</v>
      </c>
    </row>
    <row r="549" spans="1:9" hidden="1">
      <c r="A549" s="3521">
        <v>547</v>
      </c>
      <c r="B549" s="3388" t="s">
        <v>7382</v>
      </c>
      <c r="C549" s="3585">
        <v>12</v>
      </c>
      <c r="D549" s="3585">
        <v>1</v>
      </c>
      <c r="E549" s="3585">
        <v>1</v>
      </c>
      <c r="F549" s="3576">
        <v>84.98</v>
      </c>
      <c r="G549" s="3459" t="s">
        <v>7461</v>
      </c>
      <c r="H549" s="3590">
        <f ca="1">'典型户型修正(先权重后修正)'!$R$24</f>
        <v>35065</v>
      </c>
      <c r="I549" s="3386">
        <f t="shared" ca="1" si="8"/>
        <v>297.98</v>
      </c>
    </row>
    <row r="550" spans="1:9" hidden="1">
      <c r="A550" s="3521">
        <v>548</v>
      </c>
      <c r="B550" s="3388" t="s">
        <v>7383</v>
      </c>
      <c r="C550" s="3585">
        <v>12</v>
      </c>
      <c r="D550" s="3585">
        <v>1</v>
      </c>
      <c r="E550" s="3585">
        <v>2</v>
      </c>
      <c r="F550" s="3576">
        <v>84.48</v>
      </c>
      <c r="G550" s="3459" t="s">
        <v>7461</v>
      </c>
      <c r="H550" s="3590">
        <f ca="1">'典型户型修正(先权重后修正)'!$R$24</f>
        <v>35065</v>
      </c>
      <c r="I550" s="3386">
        <f t="shared" ca="1" si="8"/>
        <v>296.23</v>
      </c>
    </row>
    <row r="551" spans="1:9" hidden="1">
      <c r="A551" s="3521">
        <v>549</v>
      </c>
      <c r="B551" s="3388" t="s">
        <v>7384</v>
      </c>
      <c r="C551" s="3585">
        <v>12</v>
      </c>
      <c r="D551" s="3585">
        <v>1</v>
      </c>
      <c r="E551" s="3585">
        <v>3</v>
      </c>
      <c r="F551" s="3576">
        <v>72.88</v>
      </c>
      <c r="G551" s="3459" t="s">
        <v>7461</v>
      </c>
      <c r="H551" s="3590">
        <f ca="1">'典型户型修正(先权重后修正)'!$R$24</f>
        <v>35065</v>
      </c>
      <c r="I551" s="3386">
        <f t="shared" ca="1" si="8"/>
        <v>255.55</v>
      </c>
    </row>
    <row r="552" spans="1:9" hidden="1">
      <c r="A552" s="3521">
        <v>550</v>
      </c>
      <c r="B552" s="3388" t="s">
        <v>7385</v>
      </c>
      <c r="C552" s="3585">
        <v>12</v>
      </c>
      <c r="D552" s="3585">
        <v>1</v>
      </c>
      <c r="E552" s="3585">
        <v>5</v>
      </c>
      <c r="F552" s="3576">
        <v>73.2</v>
      </c>
      <c r="G552" s="3459" t="s">
        <v>7461</v>
      </c>
      <c r="H552" s="3590">
        <f ca="1">'典型户型修正(先权重后修正)'!$R$24</f>
        <v>35065</v>
      </c>
      <c r="I552" s="3386">
        <f t="shared" ca="1" si="8"/>
        <v>256.68</v>
      </c>
    </row>
    <row r="553" spans="1:9" hidden="1">
      <c r="A553" s="3521">
        <v>551</v>
      </c>
      <c r="B553" s="3388" t="s">
        <v>7386</v>
      </c>
      <c r="C553" s="3585">
        <v>12</v>
      </c>
      <c r="D553" s="3585">
        <v>1</v>
      </c>
      <c r="E553" s="3585">
        <v>42</v>
      </c>
      <c r="F553" s="3576">
        <v>50.77</v>
      </c>
      <c r="G553" s="3459" t="s">
        <v>7461</v>
      </c>
      <c r="H553" s="3590">
        <f ca="1">'典型户型修正(先权重后修正)'!$R$24</f>
        <v>35065</v>
      </c>
      <c r="I553" s="3386">
        <f t="shared" ca="1" si="8"/>
        <v>178.03</v>
      </c>
    </row>
    <row r="554" spans="1:9" hidden="1">
      <c r="A554" s="3521">
        <v>552</v>
      </c>
      <c r="B554" s="3388" t="s">
        <v>7387</v>
      </c>
      <c r="C554" s="3585">
        <v>12</v>
      </c>
      <c r="D554" s="3585">
        <v>1</v>
      </c>
      <c r="E554" s="3585">
        <v>47</v>
      </c>
      <c r="F554" s="3576">
        <v>39.42</v>
      </c>
      <c r="G554" s="3459" t="s">
        <v>7461</v>
      </c>
      <c r="H554" s="3590">
        <f ca="1">'典型户型修正(先权重后修正)'!$R$24</f>
        <v>35065</v>
      </c>
      <c r="I554" s="3386">
        <f t="shared" ca="1" si="8"/>
        <v>138.22999999999999</v>
      </c>
    </row>
    <row r="555" spans="1:9" hidden="1">
      <c r="A555" s="3521">
        <v>553</v>
      </c>
      <c r="B555" s="3388" t="s">
        <v>7388</v>
      </c>
      <c r="C555" s="3585">
        <v>12</v>
      </c>
      <c r="D555" s="3585">
        <v>1</v>
      </c>
      <c r="E555" s="3585">
        <v>63</v>
      </c>
      <c r="F555" s="3576">
        <v>43.99</v>
      </c>
      <c r="G555" s="3459" t="s">
        <v>7461</v>
      </c>
      <c r="H555" s="3590">
        <f ca="1">'典型户型修正(先权重后修正)'!$R$24</f>
        <v>35065</v>
      </c>
      <c r="I555" s="3386">
        <f t="shared" ca="1" si="8"/>
        <v>154.25</v>
      </c>
    </row>
    <row r="556" spans="1:9" hidden="1">
      <c r="A556" s="3521">
        <v>554</v>
      </c>
      <c r="B556" s="3388" t="s">
        <v>7389</v>
      </c>
      <c r="C556" s="3585">
        <v>12</v>
      </c>
      <c r="D556" s="3585">
        <v>1</v>
      </c>
      <c r="E556" s="3585">
        <v>75</v>
      </c>
      <c r="F556" s="3576">
        <v>41.58</v>
      </c>
      <c r="G556" s="3459" t="s">
        <v>7461</v>
      </c>
      <c r="H556" s="3590">
        <f ca="1">'典型户型修正(先权重后修正)'!$R$24</f>
        <v>35065</v>
      </c>
      <c r="I556" s="3386">
        <f t="shared" ca="1" si="8"/>
        <v>145.80000000000001</v>
      </c>
    </row>
    <row r="557" spans="1:9" hidden="1">
      <c r="A557" s="3521">
        <v>555</v>
      </c>
      <c r="B557" s="3388" t="s">
        <v>7390</v>
      </c>
      <c r="C557" s="3585">
        <v>12</v>
      </c>
      <c r="D557" s="3585">
        <v>1</v>
      </c>
      <c r="E557" s="3585">
        <v>76</v>
      </c>
      <c r="F557" s="3576">
        <v>41.57</v>
      </c>
      <c r="G557" s="3459" t="s">
        <v>7461</v>
      </c>
      <c r="H557" s="3590">
        <f ca="1">'典型户型修正(先权重后修正)'!$R$24</f>
        <v>35065</v>
      </c>
      <c r="I557" s="3386">
        <f t="shared" ca="1" si="8"/>
        <v>145.77000000000001</v>
      </c>
    </row>
    <row r="558" spans="1:9" hidden="1">
      <c r="A558" s="3521">
        <v>556</v>
      </c>
      <c r="B558" s="3388" t="s">
        <v>7391</v>
      </c>
      <c r="C558" s="3585">
        <v>12</v>
      </c>
      <c r="D558" s="3585">
        <v>1</v>
      </c>
      <c r="E558" s="3585">
        <v>77</v>
      </c>
      <c r="F558" s="3576">
        <v>43.55</v>
      </c>
      <c r="G558" s="3459" t="s">
        <v>7461</v>
      </c>
      <c r="H558" s="3590">
        <f ca="1">'典型户型修正(先权重后修正)'!$R$24</f>
        <v>35065</v>
      </c>
      <c r="I558" s="3386">
        <f t="shared" ca="1" si="8"/>
        <v>152.71</v>
      </c>
    </row>
    <row r="559" spans="1:9" hidden="1">
      <c r="A559" s="3521">
        <v>557</v>
      </c>
      <c r="B559" s="3388" t="s">
        <v>7392</v>
      </c>
      <c r="C559" s="3585">
        <v>12</v>
      </c>
      <c r="D559" s="3585">
        <v>1</v>
      </c>
      <c r="E559" s="3585">
        <v>95</v>
      </c>
      <c r="F559" s="3576">
        <v>134.43</v>
      </c>
      <c r="G559" s="3459" t="s">
        <v>7461</v>
      </c>
      <c r="H559" s="3590">
        <f ca="1">'典型户型修正(先权重后修正)'!$R$24</f>
        <v>35065</v>
      </c>
      <c r="I559" s="3386">
        <f t="shared" ca="1" si="8"/>
        <v>471.38</v>
      </c>
    </row>
    <row r="560" spans="1:9" hidden="1">
      <c r="A560" s="3521">
        <v>558</v>
      </c>
      <c r="B560" s="3388" t="s">
        <v>7393</v>
      </c>
      <c r="C560" s="3585">
        <v>12</v>
      </c>
      <c r="D560" s="3585">
        <v>1</v>
      </c>
      <c r="E560" s="3585">
        <v>96</v>
      </c>
      <c r="F560" s="3576">
        <v>90.04</v>
      </c>
      <c r="G560" s="3459" t="s">
        <v>7461</v>
      </c>
      <c r="H560" s="3590">
        <f ca="1">'典型户型修正(先权重后修正)'!$R$24</f>
        <v>35065</v>
      </c>
      <c r="I560" s="3386">
        <f t="shared" ca="1" si="8"/>
        <v>315.73</v>
      </c>
    </row>
    <row r="561" spans="1:9" hidden="1">
      <c r="A561" s="3521">
        <v>559</v>
      </c>
      <c r="B561" s="3388" t="s">
        <v>7394</v>
      </c>
      <c r="C561" s="3585">
        <v>12</v>
      </c>
      <c r="D561" s="3585">
        <v>1</v>
      </c>
      <c r="E561" s="3585">
        <v>97</v>
      </c>
      <c r="F561" s="3576">
        <v>76.12</v>
      </c>
      <c r="G561" s="3459" t="s">
        <v>7461</v>
      </c>
      <c r="H561" s="3590">
        <f ca="1">'典型户型修正(先权重后修正)'!$R$24</f>
        <v>35065</v>
      </c>
      <c r="I561" s="3386">
        <f t="shared" ca="1" si="8"/>
        <v>266.91000000000003</v>
      </c>
    </row>
    <row r="562" spans="1:9" hidden="1">
      <c r="A562" s="3521">
        <v>560</v>
      </c>
      <c r="B562" s="3388"/>
      <c r="C562" s="3587">
        <v>12</v>
      </c>
      <c r="D562" s="3587">
        <v>1</v>
      </c>
      <c r="E562" s="3587">
        <v>9</v>
      </c>
      <c r="F562" s="3578">
        <v>56.41</v>
      </c>
      <c r="G562" s="3459" t="s">
        <v>7461</v>
      </c>
      <c r="H562" s="3590">
        <f ca="1">'典型户型修正(先权重后修正)'!$R$24</f>
        <v>35065</v>
      </c>
      <c r="I562" s="3386">
        <f t="shared" ca="1" si="8"/>
        <v>197.8</v>
      </c>
    </row>
    <row r="563" spans="1:9" hidden="1">
      <c r="A563" s="3521">
        <v>561</v>
      </c>
      <c r="B563" s="3388"/>
      <c r="C563" s="3587">
        <v>12</v>
      </c>
      <c r="D563" s="3587">
        <v>1</v>
      </c>
      <c r="E563" s="3587">
        <v>10</v>
      </c>
      <c r="F563" s="3578">
        <v>169.64</v>
      </c>
      <c r="G563" s="3459" t="s">
        <v>7461</v>
      </c>
      <c r="H563" s="3590">
        <f ca="1">'典型户型修正(先权重后修正)'!$R$24</f>
        <v>35065</v>
      </c>
      <c r="I563" s="3386">
        <f t="shared" ca="1" si="8"/>
        <v>594.84</v>
      </c>
    </row>
    <row r="564" spans="1:9" hidden="1">
      <c r="A564" s="3521">
        <v>562</v>
      </c>
      <c r="B564" s="3388"/>
      <c r="C564" s="3587">
        <v>12</v>
      </c>
      <c r="D564" s="3587">
        <v>1</v>
      </c>
      <c r="E564" s="3587">
        <v>12</v>
      </c>
      <c r="F564" s="3578">
        <v>174.44</v>
      </c>
      <c r="G564" s="3459" t="s">
        <v>7461</v>
      </c>
      <c r="H564" s="3590">
        <f ca="1">'典型户型修正(先权重后修正)'!$R$24</f>
        <v>35065</v>
      </c>
      <c r="I564" s="3386">
        <f t="shared" ca="1" si="8"/>
        <v>611.66999999999996</v>
      </c>
    </row>
    <row r="565" spans="1:9" hidden="1">
      <c r="A565" s="3521">
        <v>563</v>
      </c>
      <c r="B565" s="3388"/>
      <c r="C565" s="3587">
        <v>12</v>
      </c>
      <c r="D565" s="3587">
        <v>1</v>
      </c>
      <c r="E565" s="3587">
        <v>15</v>
      </c>
      <c r="F565" s="3578">
        <v>81.98</v>
      </c>
      <c r="G565" s="3459" t="s">
        <v>7461</v>
      </c>
      <c r="H565" s="3590">
        <f ca="1">'典型户型修正(先权重后修正)'!$R$24</f>
        <v>35065</v>
      </c>
      <c r="I565" s="3386">
        <f t="shared" ca="1" si="8"/>
        <v>287.45999999999998</v>
      </c>
    </row>
    <row r="566" spans="1:9" hidden="1">
      <c r="A566" s="3521">
        <v>564</v>
      </c>
      <c r="B566" s="3388"/>
      <c r="C566" s="3587">
        <v>12</v>
      </c>
      <c r="D566" s="3587">
        <v>1</v>
      </c>
      <c r="E566" s="3587">
        <v>17</v>
      </c>
      <c r="F566" s="3578">
        <v>85.98</v>
      </c>
      <c r="G566" s="3459" t="s">
        <v>7461</v>
      </c>
      <c r="H566" s="3590">
        <f ca="1">'典型户型修正(先权重后修正)'!$R$24</f>
        <v>35065</v>
      </c>
      <c r="I566" s="3386">
        <f t="shared" ca="1" si="8"/>
        <v>301.49</v>
      </c>
    </row>
    <row r="567" spans="1:9" hidden="1">
      <c r="A567" s="3521">
        <v>565</v>
      </c>
      <c r="B567" s="3388"/>
      <c r="C567" s="3587">
        <v>12</v>
      </c>
      <c r="D567" s="3587">
        <v>1</v>
      </c>
      <c r="E567" s="3587">
        <v>18</v>
      </c>
      <c r="F567" s="3578">
        <v>160.47</v>
      </c>
      <c r="G567" s="3459" t="s">
        <v>7461</v>
      </c>
      <c r="H567" s="3590">
        <f ca="1">'典型户型修正(先权重后修正)'!$R$24</f>
        <v>35065</v>
      </c>
      <c r="I567" s="3386">
        <f t="shared" ca="1" si="8"/>
        <v>562.69000000000005</v>
      </c>
    </row>
    <row r="568" spans="1:9" hidden="1">
      <c r="A568" s="3521">
        <v>566</v>
      </c>
      <c r="B568" s="3388"/>
      <c r="C568" s="3587">
        <v>12</v>
      </c>
      <c r="D568" s="3587">
        <v>1</v>
      </c>
      <c r="E568" s="3587">
        <v>19</v>
      </c>
      <c r="F568" s="3578">
        <v>150.81</v>
      </c>
      <c r="G568" s="3459" t="s">
        <v>7461</v>
      </c>
      <c r="H568" s="3590">
        <f ca="1">'典型户型修正(先权重后修正)'!$R$24</f>
        <v>35065</v>
      </c>
      <c r="I568" s="3386">
        <f t="shared" ca="1" si="8"/>
        <v>528.82000000000005</v>
      </c>
    </row>
    <row r="569" spans="1:9" hidden="1">
      <c r="A569" s="3521">
        <v>567</v>
      </c>
      <c r="B569" s="3388"/>
      <c r="C569" s="3587">
        <v>12</v>
      </c>
      <c r="D569" s="3587">
        <v>1</v>
      </c>
      <c r="E569" s="3587">
        <v>20</v>
      </c>
      <c r="F569" s="3578">
        <v>63.63</v>
      </c>
      <c r="G569" s="3459" t="s">
        <v>7461</v>
      </c>
      <c r="H569" s="3590">
        <f ca="1">'典型户型修正(先权重后修正)'!$R$24</f>
        <v>35065</v>
      </c>
      <c r="I569" s="3386">
        <f t="shared" ca="1" si="8"/>
        <v>223.12</v>
      </c>
    </row>
    <row r="570" spans="1:9" hidden="1">
      <c r="A570" s="3521">
        <v>568</v>
      </c>
      <c r="B570" s="3388"/>
      <c r="C570" s="3587">
        <v>12</v>
      </c>
      <c r="D570" s="3587">
        <v>1</v>
      </c>
      <c r="E570" s="3587">
        <v>21</v>
      </c>
      <c r="F570" s="3578">
        <v>61.13</v>
      </c>
      <c r="G570" s="3459" t="s">
        <v>7461</v>
      </c>
      <c r="H570" s="3590">
        <f ca="1">'典型户型修正(先权重后修正)'!$R$24</f>
        <v>35065</v>
      </c>
      <c r="I570" s="3386">
        <f t="shared" ca="1" si="8"/>
        <v>214.35</v>
      </c>
    </row>
    <row r="571" spans="1:9" hidden="1">
      <c r="A571" s="3521">
        <v>569</v>
      </c>
      <c r="B571" s="3388"/>
      <c r="C571" s="3587">
        <v>12</v>
      </c>
      <c r="D571" s="3587">
        <v>1</v>
      </c>
      <c r="E571" s="3587">
        <v>22</v>
      </c>
      <c r="F571" s="3578">
        <v>5.91</v>
      </c>
      <c r="G571" s="3459" t="s">
        <v>7461</v>
      </c>
      <c r="H571" s="3590">
        <f ca="1">'典型户型修正(先权重后修正)'!$R$24</f>
        <v>35065</v>
      </c>
      <c r="I571" s="3386">
        <f t="shared" ca="1" si="8"/>
        <v>20.72</v>
      </c>
    </row>
    <row r="572" spans="1:9" hidden="1">
      <c r="A572" s="3521">
        <v>570</v>
      </c>
      <c r="B572" s="3388"/>
      <c r="C572" s="3587">
        <v>12</v>
      </c>
      <c r="D572" s="3587">
        <v>1</v>
      </c>
      <c r="E572" s="3587">
        <v>26</v>
      </c>
      <c r="F572" s="3578">
        <v>54.49</v>
      </c>
      <c r="G572" s="3459" t="s">
        <v>7461</v>
      </c>
      <c r="H572" s="3590">
        <f ca="1">'典型户型修正(先权重后修正)'!$R$24</f>
        <v>35065</v>
      </c>
      <c r="I572" s="3386">
        <f t="shared" ca="1" si="8"/>
        <v>191.07</v>
      </c>
    </row>
    <row r="573" spans="1:9" hidden="1">
      <c r="A573" s="3521">
        <v>571</v>
      </c>
      <c r="B573" s="3388"/>
      <c r="C573" s="3587">
        <v>12</v>
      </c>
      <c r="D573" s="3587">
        <v>1</v>
      </c>
      <c r="E573" s="3587">
        <v>32</v>
      </c>
      <c r="F573" s="3578">
        <v>55.43</v>
      </c>
      <c r="G573" s="3459" t="s">
        <v>7461</v>
      </c>
      <c r="H573" s="3590">
        <f ca="1">'典型户型修正(先权重后修正)'!$R$24</f>
        <v>35065</v>
      </c>
      <c r="I573" s="3386">
        <f t="shared" ca="1" si="8"/>
        <v>194.37</v>
      </c>
    </row>
    <row r="574" spans="1:9" hidden="1">
      <c r="A574" s="3521">
        <v>572</v>
      </c>
      <c r="B574" s="3388"/>
      <c r="C574" s="3587">
        <v>12</v>
      </c>
      <c r="D574" s="3587">
        <v>1</v>
      </c>
      <c r="E574" s="3587">
        <v>33</v>
      </c>
      <c r="F574" s="3578">
        <v>49.27</v>
      </c>
      <c r="G574" s="3459" t="s">
        <v>7461</v>
      </c>
      <c r="H574" s="3590">
        <f ca="1">'典型户型修正(先权重后修正)'!$R$24</f>
        <v>35065</v>
      </c>
      <c r="I574" s="3386">
        <f t="shared" ca="1" si="8"/>
        <v>172.77</v>
      </c>
    </row>
    <row r="575" spans="1:9" hidden="1">
      <c r="A575" s="3521">
        <v>573</v>
      </c>
      <c r="B575" s="3388"/>
      <c r="C575" s="3587">
        <v>12</v>
      </c>
      <c r="D575" s="3587">
        <v>1</v>
      </c>
      <c r="E575" s="3587">
        <v>36</v>
      </c>
      <c r="F575" s="3578">
        <v>57.46</v>
      </c>
      <c r="G575" s="3459" t="s">
        <v>7461</v>
      </c>
      <c r="H575" s="3590">
        <f ca="1">'典型户型修正(先权重后修正)'!$R$24</f>
        <v>35065</v>
      </c>
      <c r="I575" s="3386">
        <f t="shared" ca="1" si="8"/>
        <v>201.48</v>
      </c>
    </row>
    <row r="576" spans="1:9" hidden="1">
      <c r="A576" s="3521">
        <v>574</v>
      </c>
      <c r="B576" s="3388"/>
      <c r="C576" s="3587">
        <v>12</v>
      </c>
      <c r="D576" s="3587">
        <v>1</v>
      </c>
      <c r="E576" s="3587">
        <v>38</v>
      </c>
      <c r="F576" s="3578">
        <v>51.86</v>
      </c>
      <c r="G576" s="3459" t="s">
        <v>7461</v>
      </c>
      <c r="H576" s="3590">
        <f ca="1">'典型户型修正(先权重后修正)'!$R$24</f>
        <v>35065</v>
      </c>
      <c r="I576" s="3386">
        <f t="shared" ca="1" si="8"/>
        <v>181.85</v>
      </c>
    </row>
    <row r="577" spans="1:9" hidden="1">
      <c r="A577" s="3521">
        <v>575</v>
      </c>
      <c r="B577" s="3388"/>
      <c r="C577" s="3587">
        <v>12</v>
      </c>
      <c r="D577" s="3587">
        <v>1</v>
      </c>
      <c r="E577" s="3587">
        <v>43</v>
      </c>
      <c r="F577" s="3578">
        <v>59.05</v>
      </c>
      <c r="G577" s="3459" t="s">
        <v>7461</v>
      </c>
      <c r="H577" s="3590">
        <f ca="1">'典型户型修正(先权重后修正)'!$R$24</f>
        <v>35065</v>
      </c>
      <c r="I577" s="3386">
        <f t="shared" ca="1" si="8"/>
        <v>207.06</v>
      </c>
    </row>
    <row r="578" spans="1:9" hidden="1">
      <c r="A578" s="3521">
        <v>576</v>
      </c>
      <c r="B578" s="3388"/>
      <c r="C578" s="3587">
        <v>12</v>
      </c>
      <c r="D578" s="3587">
        <v>1</v>
      </c>
      <c r="E578" s="3587">
        <v>45</v>
      </c>
      <c r="F578" s="3578">
        <v>70.59</v>
      </c>
      <c r="G578" s="3459" t="s">
        <v>7461</v>
      </c>
      <c r="H578" s="3590">
        <f ca="1">'典型户型修正(先权重后修正)'!$R$24</f>
        <v>35065</v>
      </c>
      <c r="I578" s="3386">
        <f t="shared" ca="1" si="8"/>
        <v>247.52</v>
      </c>
    </row>
    <row r="579" spans="1:9" hidden="1">
      <c r="A579" s="3521">
        <v>577</v>
      </c>
      <c r="B579" s="3388"/>
      <c r="C579" s="3587">
        <v>12</v>
      </c>
      <c r="D579" s="3587">
        <v>1</v>
      </c>
      <c r="E579" s="3587">
        <v>48</v>
      </c>
      <c r="F579" s="3578">
        <v>112</v>
      </c>
      <c r="G579" s="3459" t="s">
        <v>7461</v>
      </c>
      <c r="H579" s="3590">
        <f ca="1">'典型户型修正(先权重后修正)'!$R$24</f>
        <v>35065</v>
      </c>
      <c r="I579" s="3386">
        <f t="shared" ca="1" si="8"/>
        <v>392.73</v>
      </c>
    </row>
    <row r="580" spans="1:9" hidden="1">
      <c r="A580" s="3521">
        <v>578</v>
      </c>
      <c r="B580" s="3388"/>
      <c r="C580" s="3587">
        <v>12</v>
      </c>
      <c r="D580" s="3587">
        <v>1</v>
      </c>
      <c r="E580" s="3587">
        <v>49</v>
      </c>
      <c r="F580" s="3578">
        <v>73.91</v>
      </c>
      <c r="G580" s="3459" t="s">
        <v>7461</v>
      </c>
      <c r="H580" s="3590">
        <f ca="1">'典型户型修正(先权重后修正)'!$R$24</f>
        <v>35065</v>
      </c>
      <c r="I580" s="3386">
        <f t="shared" ref="I580:I643" ca="1" si="9">ROUND(H580*F580/10000,2)</f>
        <v>259.17</v>
      </c>
    </row>
    <row r="581" spans="1:9" hidden="1">
      <c r="A581" s="3521">
        <v>579</v>
      </c>
      <c r="B581" s="3388"/>
      <c r="C581" s="3587">
        <v>12</v>
      </c>
      <c r="D581" s="3587">
        <v>1</v>
      </c>
      <c r="E581" s="3587">
        <v>52</v>
      </c>
      <c r="F581" s="3578">
        <v>51.62</v>
      </c>
      <c r="G581" s="3459" t="s">
        <v>7461</v>
      </c>
      <c r="H581" s="3590">
        <f ca="1">'典型户型修正(先权重后修正)'!$R$24</f>
        <v>35065</v>
      </c>
      <c r="I581" s="3386">
        <f t="shared" ca="1" si="9"/>
        <v>181.01</v>
      </c>
    </row>
    <row r="582" spans="1:9" hidden="1">
      <c r="A582" s="3521">
        <v>580</v>
      </c>
      <c r="B582" s="3388"/>
      <c r="C582" s="3587">
        <v>12</v>
      </c>
      <c r="D582" s="3587">
        <v>1</v>
      </c>
      <c r="E582" s="3587">
        <v>56</v>
      </c>
      <c r="F582" s="3578">
        <v>76.59</v>
      </c>
      <c r="G582" s="3459" t="s">
        <v>7461</v>
      </c>
      <c r="H582" s="3590">
        <f ca="1">'典型户型修正(先权重后修正)'!$R$24</f>
        <v>35065</v>
      </c>
      <c r="I582" s="3386">
        <f t="shared" ca="1" si="9"/>
        <v>268.56</v>
      </c>
    </row>
    <row r="583" spans="1:9" hidden="1">
      <c r="A583" s="3521">
        <v>581</v>
      </c>
      <c r="B583" s="3388"/>
      <c r="C583" s="3587">
        <v>12</v>
      </c>
      <c r="D583" s="3587">
        <v>1</v>
      </c>
      <c r="E583" s="3587">
        <v>57</v>
      </c>
      <c r="F583" s="3578">
        <v>74.459999999999994</v>
      </c>
      <c r="G583" s="3459" t="s">
        <v>7461</v>
      </c>
      <c r="H583" s="3590">
        <f ca="1">'典型户型修正(先权重后修正)'!$R$24</f>
        <v>35065</v>
      </c>
      <c r="I583" s="3386">
        <f t="shared" ca="1" si="9"/>
        <v>261.08999999999997</v>
      </c>
    </row>
    <row r="584" spans="1:9" hidden="1">
      <c r="A584" s="3521">
        <v>582</v>
      </c>
      <c r="B584" s="3388"/>
      <c r="C584" s="3587">
        <v>12</v>
      </c>
      <c r="D584" s="3587">
        <v>1</v>
      </c>
      <c r="E584" s="3587">
        <v>58</v>
      </c>
      <c r="F584" s="3578">
        <v>71.58</v>
      </c>
      <c r="G584" s="3459" t="s">
        <v>7461</v>
      </c>
      <c r="H584" s="3590">
        <f ca="1">'典型户型修正(先权重后修正)'!$R$24</f>
        <v>35065</v>
      </c>
      <c r="I584" s="3386">
        <f t="shared" ca="1" si="9"/>
        <v>251</v>
      </c>
    </row>
    <row r="585" spans="1:9" hidden="1">
      <c r="A585" s="3521">
        <v>583</v>
      </c>
      <c r="B585" s="3388"/>
      <c r="C585" s="3587">
        <v>12</v>
      </c>
      <c r="D585" s="3587">
        <v>1</v>
      </c>
      <c r="E585" s="3587">
        <v>62</v>
      </c>
      <c r="F585" s="3578">
        <v>34.31</v>
      </c>
      <c r="G585" s="3459" t="s">
        <v>7461</v>
      </c>
      <c r="H585" s="3590">
        <f ca="1">'典型户型修正(先权重后修正)'!$R$24</f>
        <v>35065</v>
      </c>
      <c r="I585" s="3386">
        <f t="shared" ca="1" si="9"/>
        <v>120.31</v>
      </c>
    </row>
    <row r="586" spans="1:9" hidden="1">
      <c r="A586" s="3521">
        <v>584</v>
      </c>
      <c r="B586" s="3388"/>
      <c r="C586" s="3587">
        <v>12</v>
      </c>
      <c r="D586" s="3587">
        <v>1</v>
      </c>
      <c r="E586" s="3587">
        <v>65</v>
      </c>
      <c r="F586" s="3578">
        <v>28.14</v>
      </c>
      <c r="G586" s="3459" t="s">
        <v>7461</v>
      </c>
      <c r="H586" s="3590">
        <f ca="1">'典型户型修正(先权重后修正)'!$R$24</f>
        <v>35065</v>
      </c>
      <c r="I586" s="3386">
        <f t="shared" ca="1" si="9"/>
        <v>98.67</v>
      </c>
    </row>
    <row r="587" spans="1:9" hidden="1">
      <c r="A587" s="3521">
        <v>585</v>
      </c>
      <c r="B587" s="3388"/>
      <c r="C587" s="3587">
        <v>12</v>
      </c>
      <c r="D587" s="3587">
        <v>1</v>
      </c>
      <c r="E587" s="3587">
        <v>66</v>
      </c>
      <c r="F587" s="3578">
        <v>74.44</v>
      </c>
      <c r="G587" s="3459" t="s">
        <v>7461</v>
      </c>
      <c r="H587" s="3590">
        <f ca="1">'典型户型修正(先权重后修正)'!$R$24</f>
        <v>35065</v>
      </c>
      <c r="I587" s="3386">
        <f t="shared" ca="1" si="9"/>
        <v>261.02</v>
      </c>
    </row>
    <row r="588" spans="1:9" hidden="1">
      <c r="A588" s="3521">
        <v>586</v>
      </c>
      <c r="B588" s="3388"/>
      <c r="C588" s="3587">
        <v>12</v>
      </c>
      <c r="D588" s="3587">
        <v>1</v>
      </c>
      <c r="E588" s="3587">
        <v>67</v>
      </c>
      <c r="F588" s="3578">
        <v>75.88</v>
      </c>
      <c r="G588" s="3459" t="s">
        <v>7461</v>
      </c>
      <c r="H588" s="3590">
        <f ca="1">'典型户型修正(先权重后修正)'!$R$24</f>
        <v>35065</v>
      </c>
      <c r="I588" s="3386">
        <f t="shared" ca="1" si="9"/>
        <v>266.07</v>
      </c>
    </row>
    <row r="589" spans="1:9" hidden="1">
      <c r="A589" s="3521">
        <v>587</v>
      </c>
      <c r="B589" s="3388"/>
      <c r="C589" s="3587">
        <v>12</v>
      </c>
      <c r="D589" s="3587">
        <v>1</v>
      </c>
      <c r="E589" s="3587">
        <v>68</v>
      </c>
      <c r="F589" s="3578">
        <v>74.45</v>
      </c>
      <c r="G589" s="3459" t="s">
        <v>7461</v>
      </c>
      <c r="H589" s="3590">
        <f ca="1">'典型户型修正(先权重后修正)'!$R$24</f>
        <v>35065</v>
      </c>
      <c r="I589" s="3386">
        <f t="shared" ca="1" si="9"/>
        <v>261.06</v>
      </c>
    </row>
    <row r="590" spans="1:9" hidden="1">
      <c r="A590" s="3521">
        <v>588</v>
      </c>
      <c r="B590" s="3388"/>
      <c r="C590" s="3587">
        <v>12</v>
      </c>
      <c r="D590" s="3587">
        <v>1</v>
      </c>
      <c r="E590" s="3587">
        <v>69</v>
      </c>
      <c r="F590" s="3578">
        <v>79.47</v>
      </c>
      <c r="G590" s="3459" t="s">
        <v>7461</v>
      </c>
      <c r="H590" s="3590">
        <f ca="1">'典型户型修正(先权重后修正)'!$R$24</f>
        <v>35065</v>
      </c>
      <c r="I590" s="3386">
        <f t="shared" ca="1" si="9"/>
        <v>278.66000000000003</v>
      </c>
    </row>
    <row r="591" spans="1:9" hidden="1">
      <c r="A591" s="3521">
        <v>589</v>
      </c>
      <c r="B591" s="3388"/>
      <c r="C591" s="3587">
        <v>12</v>
      </c>
      <c r="D591" s="3587">
        <v>1</v>
      </c>
      <c r="E591" s="3587">
        <v>70</v>
      </c>
      <c r="F591" s="3578">
        <v>83.87</v>
      </c>
      <c r="G591" s="3459" t="s">
        <v>7461</v>
      </c>
      <c r="H591" s="3590">
        <f ca="1">'典型户型修正(先权重后修正)'!$R$24</f>
        <v>35065</v>
      </c>
      <c r="I591" s="3386">
        <f t="shared" ca="1" si="9"/>
        <v>294.08999999999997</v>
      </c>
    </row>
    <row r="592" spans="1:9" hidden="1">
      <c r="A592" s="3521">
        <v>590</v>
      </c>
      <c r="B592" s="3388"/>
      <c r="C592" s="3587">
        <v>12</v>
      </c>
      <c r="D592" s="3587">
        <v>1</v>
      </c>
      <c r="E592" s="3587">
        <v>86</v>
      </c>
      <c r="F592" s="3578">
        <v>37.49</v>
      </c>
      <c r="G592" s="3459" t="s">
        <v>7461</v>
      </c>
      <c r="H592" s="3590">
        <f ca="1">'典型户型修正(先权重后修正)'!$R$24</f>
        <v>35065</v>
      </c>
      <c r="I592" s="3386">
        <f t="shared" ca="1" si="9"/>
        <v>131.46</v>
      </c>
    </row>
    <row r="593" spans="1:9" hidden="1">
      <c r="A593" s="3521">
        <v>591</v>
      </c>
      <c r="B593" s="3388"/>
      <c r="C593" s="3587">
        <v>12</v>
      </c>
      <c r="D593" s="3587">
        <v>1</v>
      </c>
      <c r="E593" s="3587">
        <v>90</v>
      </c>
      <c r="F593" s="3578">
        <v>190.95</v>
      </c>
      <c r="G593" s="3459" t="s">
        <v>7461</v>
      </c>
      <c r="H593" s="3590">
        <f ca="1">'典型户型修正(先权重后修正)'!$R$24</f>
        <v>35065</v>
      </c>
      <c r="I593" s="3386">
        <f t="shared" ca="1" si="9"/>
        <v>669.57</v>
      </c>
    </row>
    <row r="594" spans="1:9" hidden="1">
      <c r="A594" s="3521">
        <v>592</v>
      </c>
      <c r="B594" s="3388"/>
      <c r="C594" s="3587">
        <v>12</v>
      </c>
      <c r="D594" s="3587">
        <v>1</v>
      </c>
      <c r="E594" s="3587">
        <v>98</v>
      </c>
      <c r="F594" s="3578">
        <v>72.67</v>
      </c>
      <c r="G594" s="3459" t="s">
        <v>7461</v>
      </c>
      <c r="H594" s="3590">
        <f ca="1">'典型户型修正(先权重后修正)'!$R$24</f>
        <v>35065</v>
      </c>
      <c r="I594" s="3386">
        <f t="shared" ca="1" si="9"/>
        <v>254.82</v>
      </c>
    </row>
    <row r="595" spans="1:9" hidden="1">
      <c r="A595" s="3521">
        <v>593</v>
      </c>
      <c r="B595" s="3388"/>
      <c r="C595" s="3587">
        <v>12</v>
      </c>
      <c r="D595" s="3587">
        <v>1</v>
      </c>
      <c r="E595" s="3587">
        <v>99</v>
      </c>
      <c r="F595" s="3578">
        <v>71.959999999999994</v>
      </c>
      <c r="G595" s="3459" t="s">
        <v>7461</v>
      </c>
      <c r="H595" s="3590">
        <f ca="1">'典型户型修正(先权重后修正)'!$R$24</f>
        <v>35065</v>
      </c>
      <c r="I595" s="3386">
        <f t="shared" ca="1" si="9"/>
        <v>252.33</v>
      </c>
    </row>
    <row r="596" spans="1:9" hidden="1">
      <c r="A596" s="3521">
        <v>594</v>
      </c>
      <c r="B596" s="3388"/>
      <c r="C596" s="3587">
        <v>12</v>
      </c>
      <c r="D596" s="3587">
        <v>1</v>
      </c>
      <c r="E596" s="3587">
        <v>100</v>
      </c>
      <c r="F596" s="3578">
        <v>73.349999999999994</v>
      </c>
      <c r="G596" s="3459" t="s">
        <v>7461</v>
      </c>
      <c r="H596" s="3590">
        <f ca="1">'典型户型修正(先权重后修正)'!$R$24</f>
        <v>35065</v>
      </c>
      <c r="I596" s="3386">
        <f t="shared" ca="1" si="9"/>
        <v>257.2</v>
      </c>
    </row>
    <row r="597" spans="1:9" hidden="1">
      <c r="A597" s="3521">
        <v>595</v>
      </c>
      <c r="B597" s="3388"/>
      <c r="C597" s="3587">
        <v>12</v>
      </c>
      <c r="D597" s="3587">
        <v>1</v>
      </c>
      <c r="E597" s="3587">
        <v>101</v>
      </c>
      <c r="F597" s="3578">
        <v>67.86</v>
      </c>
      <c r="G597" s="3459" t="s">
        <v>7461</v>
      </c>
      <c r="H597" s="3590">
        <f ca="1">'典型户型修正(先权重后修正)'!$R$24</f>
        <v>35065</v>
      </c>
      <c r="I597" s="3386">
        <f t="shared" ca="1" si="9"/>
        <v>237.95</v>
      </c>
    </row>
    <row r="598" spans="1:9" hidden="1">
      <c r="A598" s="3521">
        <v>596</v>
      </c>
      <c r="B598" s="3388"/>
      <c r="C598" s="3587">
        <v>12</v>
      </c>
      <c r="D598" s="3587">
        <v>1</v>
      </c>
      <c r="E598" s="3587">
        <v>102</v>
      </c>
      <c r="F598" s="3578">
        <v>76.92</v>
      </c>
      <c r="G598" s="3459" t="s">
        <v>7461</v>
      </c>
      <c r="H598" s="3590">
        <f ca="1">'典型户型修正(先权重后修正)'!$R$24</f>
        <v>35065</v>
      </c>
      <c r="I598" s="3386">
        <f t="shared" ca="1" si="9"/>
        <v>269.72000000000003</v>
      </c>
    </row>
    <row r="599" spans="1:9" hidden="1">
      <c r="A599" s="3521">
        <v>597</v>
      </c>
      <c r="B599" s="3388"/>
      <c r="C599" s="3587">
        <v>12</v>
      </c>
      <c r="D599" s="3587">
        <v>1</v>
      </c>
      <c r="E599" s="3587">
        <v>103</v>
      </c>
      <c r="F599" s="3578">
        <v>59.82</v>
      </c>
      <c r="G599" s="3459" t="s">
        <v>7461</v>
      </c>
      <c r="H599" s="3590">
        <f ca="1">'典型户型修正(先权重后修正)'!$R$24</f>
        <v>35065</v>
      </c>
      <c r="I599" s="3386">
        <f t="shared" ca="1" si="9"/>
        <v>209.76</v>
      </c>
    </row>
    <row r="600" spans="1:9" hidden="1">
      <c r="A600" s="3521">
        <v>598</v>
      </c>
      <c r="B600" s="3388"/>
      <c r="C600" s="3587">
        <v>12</v>
      </c>
      <c r="D600" s="3587">
        <v>1</v>
      </c>
      <c r="E600" s="3587">
        <v>105</v>
      </c>
      <c r="F600" s="3578">
        <v>70.13</v>
      </c>
      <c r="G600" s="3459" t="s">
        <v>7461</v>
      </c>
      <c r="H600" s="3590">
        <f ca="1">'典型户型修正(先权重后修正)'!$R$24</f>
        <v>35065</v>
      </c>
      <c r="I600" s="3386">
        <f t="shared" ca="1" si="9"/>
        <v>245.91</v>
      </c>
    </row>
    <row r="601" spans="1:9" hidden="1">
      <c r="A601" s="3521">
        <v>599</v>
      </c>
      <c r="B601" s="3388"/>
      <c r="C601" s="3587">
        <v>12</v>
      </c>
      <c r="D601" s="3587">
        <v>1</v>
      </c>
      <c r="E601" s="3587">
        <v>106</v>
      </c>
      <c r="F601" s="3578">
        <v>72.650000000000006</v>
      </c>
      <c r="G601" s="3459" t="s">
        <v>7461</v>
      </c>
      <c r="H601" s="3590">
        <f ca="1">'典型户型修正(先权重后修正)'!$R$24</f>
        <v>35065</v>
      </c>
      <c r="I601" s="3386">
        <f t="shared" ca="1" si="9"/>
        <v>254.75</v>
      </c>
    </row>
    <row r="602" spans="1:9" hidden="1">
      <c r="A602" s="3521">
        <v>600</v>
      </c>
      <c r="B602" s="3388"/>
      <c r="C602" s="3587">
        <v>12</v>
      </c>
      <c r="D602" s="3587">
        <v>1</v>
      </c>
      <c r="E602" s="3587">
        <v>107</v>
      </c>
      <c r="F602" s="3578">
        <v>72.64</v>
      </c>
      <c r="G602" s="3459" t="s">
        <v>7461</v>
      </c>
      <c r="H602" s="3590">
        <f ca="1">'典型户型修正(先权重后修正)'!$R$24</f>
        <v>35065</v>
      </c>
      <c r="I602" s="3386">
        <f t="shared" ca="1" si="9"/>
        <v>254.71</v>
      </c>
    </row>
    <row r="603" spans="1:9" hidden="1">
      <c r="A603" s="3521">
        <v>601</v>
      </c>
      <c r="B603" s="3388"/>
      <c r="C603" s="3587">
        <v>12</v>
      </c>
      <c r="D603" s="3587">
        <v>1</v>
      </c>
      <c r="E603" s="3587">
        <v>108</v>
      </c>
      <c r="F603" s="3578">
        <v>72.650000000000006</v>
      </c>
      <c r="G603" s="3459" t="s">
        <v>7461</v>
      </c>
      <c r="H603" s="3590">
        <f ca="1">'典型户型修正(先权重后修正)'!$R$24</f>
        <v>35065</v>
      </c>
      <c r="I603" s="3386">
        <f t="shared" ca="1" si="9"/>
        <v>254.75</v>
      </c>
    </row>
    <row r="604" spans="1:9" hidden="1">
      <c r="A604" s="3521">
        <v>602</v>
      </c>
      <c r="B604" s="3388"/>
      <c r="C604" s="3587">
        <v>12</v>
      </c>
      <c r="D604" s="3587">
        <v>1</v>
      </c>
      <c r="E604" s="3587">
        <v>109</v>
      </c>
      <c r="F604" s="3578">
        <v>76.099999999999994</v>
      </c>
      <c r="G604" s="3459" t="s">
        <v>7461</v>
      </c>
      <c r="H604" s="3590">
        <f ca="1">'典型户型修正(先权重后修正)'!$R$24</f>
        <v>35065</v>
      </c>
      <c r="I604" s="3386">
        <f t="shared" ca="1" si="9"/>
        <v>266.83999999999997</v>
      </c>
    </row>
    <row r="605" spans="1:9" hidden="1">
      <c r="A605" s="3521">
        <v>603</v>
      </c>
      <c r="B605" s="3388"/>
      <c r="C605" s="3587">
        <v>12</v>
      </c>
      <c r="D605" s="3587">
        <v>1</v>
      </c>
      <c r="E605" s="3587">
        <v>110</v>
      </c>
      <c r="F605" s="3578">
        <v>90.63</v>
      </c>
      <c r="G605" s="3459" t="s">
        <v>7461</v>
      </c>
      <c r="H605" s="3590">
        <f ca="1">'典型户型修正(先权重后修正)'!$R$24</f>
        <v>35065</v>
      </c>
      <c r="I605" s="3386">
        <f t="shared" ca="1" si="9"/>
        <v>317.79000000000002</v>
      </c>
    </row>
    <row r="606" spans="1:9" hidden="1">
      <c r="A606" s="3521">
        <v>604</v>
      </c>
      <c r="B606" s="3388"/>
      <c r="C606" s="3587">
        <v>12</v>
      </c>
      <c r="D606" s="3587">
        <v>1</v>
      </c>
      <c r="E606" s="3587">
        <v>111</v>
      </c>
      <c r="F606" s="3578">
        <v>148.08000000000001</v>
      </c>
      <c r="G606" s="3459" t="s">
        <v>7461</v>
      </c>
      <c r="H606" s="3590">
        <f ca="1">I606/F606*10000</f>
        <v>47882.901134522079</v>
      </c>
      <c r="I606" s="3386">
        <f ca="1">'典型户型修正(先权重后修正)'!S24-55334.95</f>
        <v>709.05000000000291</v>
      </c>
    </row>
    <row r="607" spans="1:9" hidden="1">
      <c r="A607" s="3521">
        <v>605</v>
      </c>
      <c r="B607" s="3579" t="s">
        <v>7395</v>
      </c>
      <c r="C607" s="3588">
        <v>12</v>
      </c>
      <c r="D607" s="3588">
        <v>-1</v>
      </c>
      <c r="E607" s="3588">
        <v>7</v>
      </c>
      <c r="F607" s="3580">
        <v>61.92</v>
      </c>
      <c r="G607" s="3579" t="s">
        <v>7461</v>
      </c>
      <c r="H607" s="3590">
        <f ca="1">'典型户型修正(先权重后修正)'!$R$29</f>
        <v>17533</v>
      </c>
      <c r="I607" s="3386">
        <f t="shared" ca="1" si="9"/>
        <v>108.56</v>
      </c>
    </row>
    <row r="608" spans="1:9" hidden="1">
      <c r="A608" s="3521">
        <v>606</v>
      </c>
      <c r="B608" s="3579" t="s">
        <v>7396</v>
      </c>
      <c r="C608" s="3588">
        <v>12</v>
      </c>
      <c r="D608" s="3588">
        <v>-1</v>
      </c>
      <c r="E608" s="3588">
        <v>9</v>
      </c>
      <c r="F608" s="3580">
        <v>60.01</v>
      </c>
      <c r="G608" s="3579" t="s">
        <v>7461</v>
      </c>
      <c r="H608" s="3590">
        <f ca="1">'典型户型修正(先权重后修正)'!$R$29</f>
        <v>17533</v>
      </c>
      <c r="I608" s="3386">
        <f t="shared" ca="1" si="9"/>
        <v>105.22</v>
      </c>
    </row>
    <row r="609" spans="1:9" hidden="1">
      <c r="A609" s="3521">
        <v>607</v>
      </c>
      <c r="B609" s="3579" t="s">
        <v>7397</v>
      </c>
      <c r="C609" s="3588">
        <v>12</v>
      </c>
      <c r="D609" s="3588">
        <v>-1</v>
      </c>
      <c r="E609" s="3588">
        <v>21</v>
      </c>
      <c r="F609" s="3580">
        <v>61.17</v>
      </c>
      <c r="G609" s="3579" t="s">
        <v>7461</v>
      </c>
      <c r="H609" s="3590">
        <f ca="1">'典型户型修正(先权重后修正)'!$R$29</f>
        <v>17533</v>
      </c>
      <c r="I609" s="3386">
        <f t="shared" ca="1" si="9"/>
        <v>107.25</v>
      </c>
    </row>
    <row r="610" spans="1:9" hidden="1">
      <c r="A610" s="3521">
        <v>608</v>
      </c>
      <c r="B610" s="3579" t="s">
        <v>7398</v>
      </c>
      <c r="C610" s="3588">
        <v>12</v>
      </c>
      <c r="D610" s="3588">
        <v>-1</v>
      </c>
      <c r="E610" s="3588">
        <v>22</v>
      </c>
      <c r="F610" s="3580">
        <v>69.63</v>
      </c>
      <c r="G610" s="3579" t="s">
        <v>7461</v>
      </c>
      <c r="H610" s="3590">
        <f ca="1">'典型户型修正(先权重后修正)'!$R$29</f>
        <v>17533</v>
      </c>
      <c r="I610" s="3386">
        <f t="shared" ca="1" si="9"/>
        <v>122.08</v>
      </c>
    </row>
    <row r="611" spans="1:9" hidden="1">
      <c r="A611" s="3521">
        <v>609</v>
      </c>
      <c r="B611" s="3579" t="s">
        <v>7399</v>
      </c>
      <c r="C611" s="3588">
        <v>12</v>
      </c>
      <c r="D611" s="3588">
        <v>-1</v>
      </c>
      <c r="E611" s="3588">
        <v>25</v>
      </c>
      <c r="F611" s="3580">
        <v>70.209999999999994</v>
      </c>
      <c r="G611" s="3579" t="s">
        <v>7461</v>
      </c>
      <c r="H611" s="3590">
        <f ca="1">'典型户型修正(先权重后修正)'!$R$29</f>
        <v>17533</v>
      </c>
      <c r="I611" s="3386">
        <f t="shared" ca="1" si="9"/>
        <v>123.1</v>
      </c>
    </row>
    <row r="612" spans="1:9" hidden="1">
      <c r="A612" s="3521">
        <v>610</v>
      </c>
      <c r="B612" s="3579" t="s">
        <v>7400</v>
      </c>
      <c r="C612" s="3588">
        <v>12</v>
      </c>
      <c r="D612" s="3588">
        <v>-1</v>
      </c>
      <c r="E612" s="3588">
        <v>30</v>
      </c>
      <c r="F612" s="3580">
        <v>60.68</v>
      </c>
      <c r="G612" s="3579" t="s">
        <v>7461</v>
      </c>
      <c r="H612" s="3590">
        <f ca="1">'典型户型修正(先权重后修正)'!$R$29</f>
        <v>17533</v>
      </c>
      <c r="I612" s="3386">
        <f t="shared" ca="1" si="9"/>
        <v>106.39</v>
      </c>
    </row>
    <row r="613" spans="1:9" hidden="1">
      <c r="A613" s="3521">
        <v>611</v>
      </c>
      <c r="B613" s="3579" t="s">
        <v>7401</v>
      </c>
      <c r="C613" s="3588">
        <v>12</v>
      </c>
      <c r="D613" s="3588">
        <v>-1</v>
      </c>
      <c r="E613" s="3588">
        <v>53</v>
      </c>
      <c r="F613" s="3580">
        <v>69.42</v>
      </c>
      <c r="G613" s="3579" t="s">
        <v>7461</v>
      </c>
      <c r="H613" s="3590">
        <f ca="1">'典型户型修正(先权重后修正)'!$R$29</f>
        <v>17533</v>
      </c>
      <c r="I613" s="3386">
        <f t="shared" ca="1" si="9"/>
        <v>121.71</v>
      </c>
    </row>
    <row r="614" spans="1:9" hidden="1">
      <c r="A614" s="3521">
        <v>612</v>
      </c>
      <c r="B614" s="3579" t="s">
        <v>7402</v>
      </c>
      <c r="C614" s="3588">
        <v>12</v>
      </c>
      <c r="D614" s="3588">
        <v>-1</v>
      </c>
      <c r="E614" s="3588">
        <v>56</v>
      </c>
      <c r="F614" s="3580">
        <v>68.11</v>
      </c>
      <c r="G614" s="3579" t="s">
        <v>7461</v>
      </c>
      <c r="H614" s="3590">
        <f ca="1">'典型户型修正(先权重后修正)'!$R$29</f>
        <v>17533</v>
      </c>
      <c r="I614" s="3386">
        <f t="shared" ca="1" si="9"/>
        <v>119.42</v>
      </c>
    </row>
    <row r="615" spans="1:9" hidden="1">
      <c r="A615" s="3521">
        <v>613</v>
      </c>
      <c r="B615" s="3579" t="s">
        <v>7403</v>
      </c>
      <c r="C615" s="3588">
        <v>12</v>
      </c>
      <c r="D615" s="3588">
        <v>-1</v>
      </c>
      <c r="E615" s="3588">
        <v>80</v>
      </c>
      <c r="F615" s="3580">
        <v>58.94</v>
      </c>
      <c r="G615" s="3579" t="s">
        <v>7461</v>
      </c>
      <c r="H615" s="3590">
        <f ca="1">'典型户型修正(先权重后修正)'!$R$29</f>
        <v>17533</v>
      </c>
      <c r="I615" s="3386">
        <f t="shared" ca="1" si="9"/>
        <v>103.34</v>
      </c>
    </row>
    <row r="616" spans="1:9" hidden="1">
      <c r="A616" s="3521">
        <v>614</v>
      </c>
      <c r="B616" s="3579" t="s">
        <v>7404</v>
      </c>
      <c r="C616" s="3588">
        <v>12</v>
      </c>
      <c r="D616" s="3588">
        <v>-1</v>
      </c>
      <c r="E616" s="3588">
        <v>120</v>
      </c>
      <c r="F616" s="3580">
        <v>113.97</v>
      </c>
      <c r="G616" s="3579" t="s">
        <v>7461</v>
      </c>
      <c r="H616" s="3590">
        <f ca="1">'典型户型修正(先权重后修正)'!$R$29</f>
        <v>17533</v>
      </c>
      <c r="I616" s="3386">
        <f t="shared" ca="1" si="9"/>
        <v>199.82</v>
      </c>
    </row>
    <row r="617" spans="1:9" hidden="1">
      <c r="A617" s="3521">
        <v>615</v>
      </c>
      <c r="B617" s="3579" t="s">
        <v>7405</v>
      </c>
      <c r="C617" s="3588">
        <v>12</v>
      </c>
      <c r="D617" s="3588">
        <v>-1</v>
      </c>
      <c r="E617" s="3588">
        <v>133</v>
      </c>
      <c r="F617" s="3580">
        <v>71.03</v>
      </c>
      <c r="G617" s="3579" t="s">
        <v>7461</v>
      </c>
      <c r="H617" s="3590">
        <f ca="1">'典型户型修正(先权重后修正)'!$R$29</f>
        <v>17533</v>
      </c>
      <c r="I617" s="3386">
        <f t="shared" ca="1" si="9"/>
        <v>124.54</v>
      </c>
    </row>
    <row r="618" spans="1:9" hidden="1">
      <c r="A618" s="3521">
        <v>616</v>
      </c>
      <c r="B618" s="3579" t="s">
        <v>7406</v>
      </c>
      <c r="C618" s="3588">
        <v>12</v>
      </c>
      <c r="D618" s="3588">
        <v>-1</v>
      </c>
      <c r="E618" s="3588">
        <v>176</v>
      </c>
      <c r="F618" s="3580">
        <v>71.150000000000006</v>
      </c>
      <c r="G618" s="3579" t="s">
        <v>7461</v>
      </c>
      <c r="H618" s="3590">
        <f ca="1">'典型户型修正(先权重后修正)'!$R$29</f>
        <v>17533</v>
      </c>
      <c r="I618" s="3386">
        <f t="shared" ca="1" si="9"/>
        <v>124.75</v>
      </c>
    </row>
    <row r="619" spans="1:9" hidden="1">
      <c r="A619" s="3521">
        <v>617</v>
      </c>
      <c r="B619" s="3579" t="s">
        <v>7407</v>
      </c>
      <c r="C619" s="3588">
        <v>12</v>
      </c>
      <c r="D619" s="3588">
        <v>-1</v>
      </c>
      <c r="E619" s="3588">
        <v>203</v>
      </c>
      <c r="F619" s="3580">
        <v>84.43</v>
      </c>
      <c r="G619" s="3579" t="s">
        <v>7461</v>
      </c>
      <c r="H619" s="3590">
        <f ca="1">'典型户型修正(先权重后修正)'!$R$29</f>
        <v>17533</v>
      </c>
      <c r="I619" s="3386">
        <f t="shared" ca="1" si="9"/>
        <v>148.03</v>
      </c>
    </row>
    <row r="620" spans="1:9" hidden="1">
      <c r="A620" s="3521">
        <v>618</v>
      </c>
      <c r="B620" s="3579" t="s">
        <v>7408</v>
      </c>
      <c r="C620" s="3588">
        <v>12</v>
      </c>
      <c r="D620" s="3588">
        <v>-1</v>
      </c>
      <c r="E620" s="3588">
        <v>205</v>
      </c>
      <c r="F620" s="3580">
        <v>86.07</v>
      </c>
      <c r="G620" s="3579" t="s">
        <v>7461</v>
      </c>
      <c r="H620" s="3590">
        <f ca="1">'典型户型修正(先权重后修正)'!$R$29</f>
        <v>17533</v>
      </c>
      <c r="I620" s="3386">
        <f t="shared" ca="1" si="9"/>
        <v>150.91</v>
      </c>
    </row>
    <row r="621" spans="1:9" hidden="1">
      <c r="A621" s="3521">
        <v>619</v>
      </c>
      <c r="B621" s="3579" t="s">
        <v>7409</v>
      </c>
      <c r="C621" s="3588">
        <v>12</v>
      </c>
      <c r="D621" s="3588">
        <v>-1</v>
      </c>
      <c r="E621" s="3588">
        <v>206</v>
      </c>
      <c r="F621" s="3580">
        <v>90.17</v>
      </c>
      <c r="G621" s="3579" t="s">
        <v>7461</v>
      </c>
      <c r="H621" s="3590">
        <f ca="1">'典型户型修正(先权重后修正)'!$R$29</f>
        <v>17533</v>
      </c>
      <c r="I621" s="3386">
        <f t="shared" ca="1" si="9"/>
        <v>158.1</v>
      </c>
    </row>
    <row r="622" spans="1:9" hidden="1">
      <c r="A622" s="3521">
        <v>620</v>
      </c>
      <c r="B622" s="3579" t="s">
        <v>7410</v>
      </c>
      <c r="C622" s="3588">
        <v>12</v>
      </c>
      <c r="D622" s="3588">
        <v>-1</v>
      </c>
      <c r="E622" s="3588">
        <v>208</v>
      </c>
      <c r="F622" s="3580">
        <v>102.94</v>
      </c>
      <c r="G622" s="3579" t="s">
        <v>7461</v>
      </c>
      <c r="H622" s="3590">
        <f ca="1">'典型户型修正(先权重后修正)'!$R$29</f>
        <v>17533</v>
      </c>
      <c r="I622" s="3386">
        <f t="shared" ca="1" si="9"/>
        <v>180.48</v>
      </c>
    </row>
    <row r="623" spans="1:9" hidden="1">
      <c r="A623" s="3521">
        <v>621</v>
      </c>
      <c r="B623" s="3579" t="s">
        <v>7411</v>
      </c>
      <c r="C623" s="3588">
        <v>12</v>
      </c>
      <c r="D623" s="3588">
        <v>-1</v>
      </c>
      <c r="E623" s="3588">
        <v>216</v>
      </c>
      <c r="F623" s="3580">
        <v>47.61</v>
      </c>
      <c r="G623" s="3579" t="s">
        <v>7461</v>
      </c>
      <c r="H623" s="3590">
        <f ca="1">'典型户型修正(先权重后修正)'!$R$29</f>
        <v>17533</v>
      </c>
      <c r="I623" s="3386">
        <f t="shared" ca="1" si="9"/>
        <v>83.47</v>
      </c>
    </row>
    <row r="624" spans="1:9" hidden="1">
      <c r="A624" s="3521">
        <v>622</v>
      </c>
      <c r="B624" s="3579" t="s">
        <v>7412</v>
      </c>
      <c r="C624" s="3588">
        <v>12</v>
      </c>
      <c r="D624" s="3588">
        <v>-1</v>
      </c>
      <c r="E624" s="3588">
        <v>229</v>
      </c>
      <c r="F624" s="3580">
        <v>42.72</v>
      </c>
      <c r="G624" s="3579" t="s">
        <v>7461</v>
      </c>
      <c r="H624" s="3590">
        <f ca="1">'典型户型修正(先权重后修正)'!$R$29</f>
        <v>17533</v>
      </c>
      <c r="I624" s="3386">
        <f t="shared" ca="1" si="9"/>
        <v>74.900000000000006</v>
      </c>
    </row>
    <row r="625" spans="1:9" hidden="1">
      <c r="A625" s="3521">
        <v>623</v>
      </c>
      <c r="B625" s="3579" t="s">
        <v>7413</v>
      </c>
      <c r="C625" s="3588">
        <v>12</v>
      </c>
      <c r="D625" s="3588">
        <v>-1</v>
      </c>
      <c r="E625" s="3588">
        <v>246</v>
      </c>
      <c r="F625" s="3580">
        <v>90.97</v>
      </c>
      <c r="G625" s="3579" t="s">
        <v>7461</v>
      </c>
      <c r="H625" s="3590">
        <f ca="1">'典型户型修正(先权重后修正)'!$R$29</f>
        <v>17533</v>
      </c>
      <c r="I625" s="3386">
        <f t="shared" ca="1" si="9"/>
        <v>159.5</v>
      </c>
    </row>
    <row r="626" spans="1:9" hidden="1">
      <c r="A626" s="3521">
        <v>624</v>
      </c>
      <c r="B626" s="3388" t="s">
        <v>7414</v>
      </c>
      <c r="C626" s="3585">
        <v>12</v>
      </c>
      <c r="D626" s="3585">
        <v>-1</v>
      </c>
      <c r="E626" s="3585">
        <v>1</v>
      </c>
      <c r="F626" s="3576">
        <v>76.14</v>
      </c>
      <c r="G626" s="3459" t="s">
        <v>7461</v>
      </c>
      <c r="H626" s="3590">
        <f ca="1">'典型户型修正(先权重后修正)'!$R$29</f>
        <v>17533</v>
      </c>
      <c r="I626" s="3386">
        <f t="shared" ca="1" si="9"/>
        <v>133.5</v>
      </c>
    </row>
    <row r="627" spans="1:9" hidden="1">
      <c r="A627" s="3521">
        <v>625</v>
      </c>
      <c r="B627" s="3388" t="s">
        <v>7415</v>
      </c>
      <c r="C627" s="3585">
        <v>12</v>
      </c>
      <c r="D627" s="3585">
        <v>-1</v>
      </c>
      <c r="E627" s="3585">
        <v>60</v>
      </c>
      <c r="F627" s="3576">
        <v>63.96</v>
      </c>
      <c r="G627" s="3459" t="s">
        <v>7461</v>
      </c>
      <c r="H627" s="3590">
        <f ca="1">'典型户型修正(先权重后修正)'!$R$29</f>
        <v>17533</v>
      </c>
      <c r="I627" s="3386">
        <f t="shared" ca="1" si="9"/>
        <v>112.14</v>
      </c>
    </row>
    <row r="628" spans="1:9" hidden="1">
      <c r="A628" s="3521">
        <v>626</v>
      </c>
      <c r="B628" s="3388" t="s">
        <v>7416</v>
      </c>
      <c r="C628" s="3585">
        <v>12</v>
      </c>
      <c r="D628" s="3585">
        <v>-1</v>
      </c>
      <c r="E628" s="3585">
        <v>61</v>
      </c>
      <c r="F628" s="3576">
        <v>65.180000000000007</v>
      </c>
      <c r="G628" s="3459" t="s">
        <v>7461</v>
      </c>
      <c r="H628" s="3590">
        <f ca="1">'典型户型修正(先权重后修正)'!$R$29</f>
        <v>17533</v>
      </c>
      <c r="I628" s="3386">
        <f t="shared" ca="1" si="9"/>
        <v>114.28</v>
      </c>
    </row>
    <row r="629" spans="1:9" hidden="1">
      <c r="A629" s="3521">
        <v>627</v>
      </c>
      <c r="B629" s="3388" t="s">
        <v>7417</v>
      </c>
      <c r="C629" s="3585">
        <v>12</v>
      </c>
      <c r="D629" s="3585">
        <v>-1</v>
      </c>
      <c r="E629" s="3585">
        <v>121</v>
      </c>
      <c r="F629" s="3576">
        <v>113.97</v>
      </c>
      <c r="G629" s="3459" t="s">
        <v>7461</v>
      </c>
      <c r="H629" s="3590">
        <f ca="1">'典型户型修正(先权重后修正)'!$R$29</f>
        <v>17533</v>
      </c>
      <c r="I629" s="3386">
        <f t="shared" ca="1" si="9"/>
        <v>199.82</v>
      </c>
    </row>
    <row r="630" spans="1:9" hidden="1">
      <c r="A630" s="3521">
        <v>628</v>
      </c>
      <c r="B630" s="3388" t="s">
        <v>7418</v>
      </c>
      <c r="C630" s="3585">
        <v>12</v>
      </c>
      <c r="D630" s="3585">
        <v>-1</v>
      </c>
      <c r="E630" s="3585">
        <v>130</v>
      </c>
      <c r="F630" s="3576">
        <v>23.67</v>
      </c>
      <c r="G630" s="3459" t="s">
        <v>7461</v>
      </c>
      <c r="H630" s="3590">
        <f ca="1">'典型户型修正(先权重后修正)'!$R$29</f>
        <v>17533</v>
      </c>
      <c r="I630" s="3386">
        <f t="shared" ca="1" si="9"/>
        <v>41.5</v>
      </c>
    </row>
    <row r="631" spans="1:9" hidden="1">
      <c r="A631" s="3521">
        <v>629</v>
      </c>
      <c r="B631" s="3388" t="s">
        <v>7419</v>
      </c>
      <c r="C631" s="3585">
        <v>12</v>
      </c>
      <c r="D631" s="3585">
        <v>-1</v>
      </c>
      <c r="E631" s="3585">
        <v>158</v>
      </c>
      <c r="F631" s="3576">
        <v>74.58</v>
      </c>
      <c r="G631" s="3459" t="s">
        <v>7461</v>
      </c>
      <c r="H631" s="3590">
        <f ca="1">'典型户型修正(先权重后修正)'!$R$29</f>
        <v>17533</v>
      </c>
      <c r="I631" s="3386">
        <f t="shared" ca="1" si="9"/>
        <v>130.76</v>
      </c>
    </row>
    <row r="632" spans="1:9" hidden="1">
      <c r="A632" s="3521">
        <v>630</v>
      </c>
      <c r="B632" s="3388" t="s">
        <v>7420</v>
      </c>
      <c r="C632" s="3585">
        <v>12</v>
      </c>
      <c r="D632" s="3585">
        <v>-1</v>
      </c>
      <c r="E632" s="3585">
        <v>169</v>
      </c>
      <c r="F632" s="3576">
        <v>46.32</v>
      </c>
      <c r="G632" s="3459" t="s">
        <v>7461</v>
      </c>
      <c r="H632" s="3590">
        <f ca="1">'典型户型修正(先权重后修正)'!$R$29</f>
        <v>17533</v>
      </c>
      <c r="I632" s="3386">
        <f t="shared" ca="1" si="9"/>
        <v>81.209999999999994</v>
      </c>
    </row>
    <row r="633" spans="1:9" hidden="1">
      <c r="A633" s="3521">
        <v>631</v>
      </c>
      <c r="B633" s="3388" t="s">
        <v>7421</v>
      </c>
      <c r="C633" s="3585">
        <v>12</v>
      </c>
      <c r="D633" s="3585">
        <v>-1</v>
      </c>
      <c r="E633" s="3585">
        <v>55</v>
      </c>
      <c r="F633" s="3576">
        <v>87.28</v>
      </c>
      <c r="G633" s="3459" t="s">
        <v>7461</v>
      </c>
      <c r="H633" s="3590">
        <f ca="1">'典型户型修正(先权重后修正)'!$R$29</f>
        <v>17533</v>
      </c>
      <c r="I633" s="3386">
        <f t="shared" ca="1" si="9"/>
        <v>153.03</v>
      </c>
    </row>
    <row r="634" spans="1:9" hidden="1">
      <c r="A634" s="3521">
        <v>632</v>
      </c>
      <c r="B634" s="3388" t="s">
        <v>7422</v>
      </c>
      <c r="C634" s="3585">
        <v>12</v>
      </c>
      <c r="D634" s="3585">
        <v>-1</v>
      </c>
      <c r="E634" s="3585">
        <v>126</v>
      </c>
      <c r="F634" s="3576">
        <v>70.53</v>
      </c>
      <c r="G634" s="3459" t="s">
        <v>7461</v>
      </c>
      <c r="H634" s="3590">
        <f ca="1">'典型户型修正(先权重后修正)'!$R$29</f>
        <v>17533</v>
      </c>
      <c r="I634" s="3386">
        <f t="shared" ca="1" si="9"/>
        <v>123.66</v>
      </c>
    </row>
    <row r="635" spans="1:9" hidden="1">
      <c r="A635" s="3521">
        <v>633</v>
      </c>
      <c r="B635" s="3388" t="s">
        <v>7423</v>
      </c>
      <c r="C635" s="3585">
        <v>12</v>
      </c>
      <c r="D635" s="3585">
        <v>-1</v>
      </c>
      <c r="E635" s="3585">
        <v>162</v>
      </c>
      <c r="F635" s="3576">
        <v>52.38</v>
      </c>
      <c r="G635" s="3459" t="s">
        <v>7461</v>
      </c>
      <c r="H635" s="3590">
        <f ca="1">'典型户型修正(先权重后修正)'!$R$29</f>
        <v>17533</v>
      </c>
      <c r="I635" s="3386">
        <f t="shared" ca="1" si="9"/>
        <v>91.84</v>
      </c>
    </row>
    <row r="636" spans="1:9" hidden="1">
      <c r="A636" s="3521">
        <v>634</v>
      </c>
      <c r="B636" s="3388" t="s">
        <v>7424</v>
      </c>
      <c r="C636" s="3585">
        <v>12</v>
      </c>
      <c r="D636" s="3585">
        <v>-1</v>
      </c>
      <c r="E636" s="3585">
        <v>178</v>
      </c>
      <c r="F636" s="3576">
        <v>28.03</v>
      </c>
      <c r="G636" s="3459" t="s">
        <v>7461</v>
      </c>
      <c r="H636" s="3590">
        <f ca="1">'典型户型修正(先权重后修正)'!$R$29</f>
        <v>17533</v>
      </c>
      <c r="I636" s="3386">
        <f t="shared" ca="1" si="9"/>
        <v>49.14</v>
      </c>
    </row>
    <row r="637" spans="1:9" hidden="1">
      <c r="A637" s="3521">
        <v>635</v>
      </c>
      <c r="B637" s="3388" t="s">
        <v>7425</v>
      </c>
      <c r="C637" s="3585">
        <v>12</v>
      </c>
      <c r="D637" s="3585">
        <v>-1</v>
      </c>
      <c r="E637" s="3585">
        <v>217</v>
      </c>
      <c r="F637" s="3576">
        <v>47.61</v>
      </c>
      <c r="G637" s="3459" t="s">
        <v>7461</v>
      </c>
      <c r="H637" s="3590">
        <f ca="1">'典型户型修正(先权重后修正)'!$R$29</f>
        <v>17533</v>
      </c>
      <c r="I637" s="3386">
        <f t="shared" ca="1" si="9"/>
        <v>83.47</v>
      </c>
    </row>
    <row r="638" spans="1:9" hidden="1">
      <c r="A638" s="3521">
        <v>636</v>
      </c>
      <c r="B638" s="3388" t="s">
        <v>7426</v>
      </c>
      <c r="C638" s="3585">
        <v>12</v>
      </c>
      <c r="D638" s="3585">
        <v>-1</v>
      </c>
      <c r="E638" s="3585">
        <v>233</v>
      </c>
      <c r="F638" s="3576">
        <v>83.19</v>
      </c>
      <c r="G638" s="3459" t="s">
        <v>7461</v>
      </c>
      <c r="H638" s="3590">
        <f ca="1">'典型户型修正(先权重后修正)'!$R$29</f>
        <v>17533</v>
      </c>
      <c r="I638" s="3386">
        <f t="shared" ca="1" si="9"/>
        <v>145.86000000000001</v>
      </c>
    </row>
    <row r="639" spans="1:9" hidden="1">
      <c r="A639" s="3521">
        <v>637</v>
      </c>
      <c r="B639" s="3388" t="s">
        <v>7427</v>
      </c>
      <c r="C639" s="3585">
        <v>12</v>
      </c>
      <c r="D639" s="3585">
        <v>-1</v>
      </c>
      <c r="E639" s="3585">
        <v>241</v>
      </c>
      <c r="F639" s="3576">
        <v>83.19</v>
      </c>
      <c r="G639" s="3459" t="s">
        <v>7461</v>
      </c>
      <c r="H639" s="3590">
        <f ca="1">'典型户型修正(先权重后修正)'!$R$29</f>
        <v>17533</v>
      </c>
      <c r="I639" s="3386">
        <f t="shared" ca="1" si="9"/>
        <v>145.86000000000001</v>
      </c>
    </row>
    <row r="640" spans="1:9" hidden="1">
      <c r="A640" s="3521">
        <v>638</v>
      </c>
      <c r="B640" s="3388" t="s">
        <v>7428</v>
      </c>
      <c r="C640" s="3585">
        <v>12</v>
      </c>
      <c r="D640" s="3585">
        <v>-1</v>
      </c>
      <c r="E640" s="3585">
        <v>252</v>
      </c>
      <c r="F640" s="3576">
        <v>103.11</v>
      </c>
      <c r="G640" s="3459" t="s">
        <v>7461</v>
      </c>
      <c r="H640" s="3590">
        <f ca="1">'典型户型修正(先权重后修正)'!$R$29</f>
        <v>17533</v>
      </c>
      <c r="I640" s="3386">
        <f t="shared" ca="1" si="9"/>
        <v>180.78</v>
      </c>
    </row>
    <row r="641" spans="1:9" hidden="1">
      <c r="A641" s="3521">
        <v>639</v>
      </c>
      <c r="B641" s="3388" t="s">
        <v>7429</v>
      </c>
      <c r="C641" s="3585">
        <v>12</v>
      </c>
      <c r="D641" s="3585">
        <v>-1</v>
      </c>
      <c r="E641" s="3585">
        <v>257</v>
      </c>
      <c r="F641" s="3576">
        <v>50.56</v>
      </c>
      <c r="G641" s="3459" t="s">
        <v>7461</v>
      </c>
      <c r="H641" s="3590">
        <f ca="1">I641/F641*10000</f>
        <v>-5174.0506329113632</v>
      </c>
      <c r="I641" s="3386">
        <f ca="1">'典型户型修正(先权重后修正)'!S29-26215.16</f>
        <v>-26.159999999999854</v>
      </c>
    </row>
    <row r="642" spans="1:9">
      <c r="A642" s="3521">
        <v>640</v>
      </c>
      <c r="B642" s="3579" t="s">
        <v>7430</v>
      </c>
      <c r="C642" s="3588">
        <v>12</v>
      </c>
      <c r="D642" s="3588">
        <v>-2</v>
      </c>
      <c r="E642" s="3588">
        <v>22</v>
      </c>
      <c r="F642" s="3580">
        <v>90.66</v>
      </c>
      <c r="G642" s="3579" t="s">
        <v>7461</v>
      </c>
      <c r="H642" s="3590">
        <f ca="1">'典型户型修正(先权重后修正)'!$R$30</f>
        <v>14026</v>
      </c>
      <c r="I642" s="3386">
        <f t="shared" ca="1" si="9"/>
        <v>127.16</v>
      </c>
    </row>
    <row r="643" spans="1:9">
      <c r="A643" s="3521">
        <v>641</v>
      </c>
      <c r="B643" s="3388" t="s">
        <v>7431</v>
      </c>
      <c r="C643" s="3585">
        <v>12</v>
      </c>
      <c r="D643" s="3585">
        <v>-2</v>
      </c>
      <c r="E643" s="3585">
        <v>96</v>
      </c>
      <c r="F643" s="3576">
        <v>97.22</v>
      </c>
      <c r="G643" s="3459" t="s">
        <v>7461</v>
      </c>
      <c r="H643" s="3590">
        <f ca="1">'典型户型修正(先权重后修正)'!$R$30</f>
        <v>14026</v>
      </c>
      <c r="I643" s="3386">
        <f t="shared" ca="1" si="9"/>
        <v>136.36000000000001</v>
      </c>
    </row>
    <row r="644" spans="1:9">
      <c r="A644" s="3521">
        <v>642</v>
      </c>
      <c r="B644" s="3388" t="s">
        <v>7432</v>
      </c>
      <c r="C644" s="3585">
        <v>12</v>
      </c>
      <c r="D644" s="3585">
        <v>-2</v>
      </c>
      <c r="E644" s="3585">
        <v>197</v>
      </c>
      <c r="F644" s="3576">
        <v>41.52</v>
      </c>
      <c r="G644" s="3459" t="s">
        <v>7461</v>
      </c>
      <c r="H644" s="3590">
        <f ca="1">'典型户型修正(先权重后修正)'!$R$30</f>
        <v>14026</v>
      </c>
      <c r="I644" s="3386">
        <f t="shared" ref="I644:I666" ca="1" si="10">ROUND(H644*F644/10000,2)</f>
        <v>58.24</v>
      </c>
    </row>
    <row r="645" spans="1:9">
      <c r="A645" s="3521">
        <v>643</v>
      </c>
      <c r="B645" s="3388" t="s">
        <v>7433</v>
      </c>
      <c r="C645" s="3585">
        <v>12</v>
      </c>
      <c r="D645" s="3585">
        <v>-2</v>
      </c>
      <c r="E645" s="3585">
        <v>215</v>
      </c>
      <c r="F645" s="3576">
        <v>78.040000000000006</v>
      </c>
      <c r="G645" s="3459" t="s">
        <v>7461</v>
      </c>
      <c r="H645" s="3590">
        <f ca="1">'典型户型修正(先权重后修正)'!$R$30</f>
        <v>14026</v>
      </c>
      <c r="I645" s="3386">
        <f t="shared" ca="1" si="10"/>
        <v>109.46</v>
      </c>
    </row>
    <row r="646" spans="1:9">
      <c r="A646" s="3521">
        <v>644</v>
      </c>
      <c r="B646" s="3388" t="s">
        <v>7434</v>
      </c>
      <c r="C646" s="3585">
        <v>12</v>
      </c>
      <c r="D646" s="3585">
        <v>-2</v>
      </c>
      <c r="E646" s="3585">
        <v>270</v>
      </c>
      <c r="F646" s="3576">
        <v>72.52</v>
      </c>
      <c r="G646" s="3459" t="s">
        <v>7461</v>
      </c>
      <c r="H646" s="3590">
        <f ca="1">'典型户型修正(先权重后修正)'!$R$30</f>
        <v>14026</v>
      </c>
      <c r="I646" s="3386">
        <f t="shared" ca="1" si="10"/>
        <v>101.72</v>
      </c>
    </row>
    <row r="647" spans="1:9">
      <c r="A647" s="3521">
        <v>645</v>
      </c>
      <c r="B647" s="3388" t="s">
        <v>7435</v>
      </c>
      <c r="C647" s="3585">
        <v>12</v>
      </c>
      <c r="D647" s="3585">
        <v>-2</v>
      </c>
      <c r="E647" s="3585">
        <v>112</v>
      </c>
      <c r="F647" s="3576">
        <v>75.790000000000006</v>
      </c>
      <c r="G647" s="3459" t="s">
        <v>7461</v>
      </c>
      <c r="H647" s="3590">
        <f ca="1">'典型户型修正(先权重后修正)'!$R$30</f>
        <v>14026</v>
      </c>
      <c r="I647" s="3386">
        <f t="shared" ca="1" si="10"/>
        <v>106.3</v>
      </c>
    </row>
    <row r="648" spans="1:9">
      <c r="A648" s="3521">
        <v>646</v>
      </c>
      <c r="B648" s="3388" t="s">
        <v>7436</v>
      </c>
      <c r="C648" s="3585">
        <v>12</v>
      </c>
      <c r="D648" s="3585">
        <v>-2</v>
      </c>
      <c r="E648" s="3585">
        <v>169</v>
      </c>
      <c r="F648" s="3576">
        <v>67.61</v>
      </c>
      <c r="G648" s="3459" t="s">
        <v>7461</v>
      </c>
      <c r="H648" s="3590">
        <f ca="1">'典型户型修正(先权重后修正)'!$R$30</f>
        <v>14026</v>
      </c>
      <c r="I648" s="3386">
        <f t="shared" ca="1" si="10"/>
        <v>94.83</v>
      </c>
    </row>
    <row r="649" spans="1:9">
      <c r="A649" s="3521">
        <v>647</v>
      </c>
      <c r="B649" s="3388" t="s">
        <v>7437</v>
      </c>
      <c r="C649" s="3585">
        <v>12</v>
      </c>
      <c r="D649" s="3585">
        <v>-2</v>
      </c>
      <c r="E649" s="3585">
        <v>216</v>
      </c>
      <c r="F649" s="3576">
        <v>81.75</v>
      </c>
      <c r="G649" s="3459" t="s">
        <v>7461</v>
      </c>
      <c r="H649" s="3590">
        <f ca="1">'典型户型修正(先权重后修正)'!$R$30</f>
        <v>14026</v>
      </c>
      <c r="I649" s="3386">
        <f t="shared" ca="1" si="10"/>
        <v>114.66</v>
      </c>
    </row>
    <row r="650" spans="1:9">
      <c r="A650" s="3521">
        <v>648</v>
      </c>
      <c r="B650" s="3388" t="s">
        <v>7438</v>
      </c>
      <c r="C650" s="3585">
        <v>12</v>
      </c>
      <c r="D650" s="3585">
        <v>-2</v>
      </c>
      <c r="E650" s="3585">
        <v>230</v>
      </c>
      <c r="F650" s="3576">
        <v>43.16</v>
      </c>
      <c r="G650" s="3459" t="s">
        <v>7461</v>
      </c>
      <c r="H650" s="3590">
        <f ca="1">'典型户型修正(先权重后修正)'!$R$30</f>
        <v>14026</v>
      </c>
      <c r="I650" s="3386">
        <f t="shared" ca="1" si="10"/>
        <v>60.54</v>
      </c>
    </row>
    <row r="651" spans="1:9">
      <c r="A651" s="3521">
        <v>649</v>
      </c>
      <c r="B651" s="3388" t="s">
        <v>7439</v>
      </c>
      <c r="C651" s="3585">
        <v>12</v>
      </c>
      <c r="D651" s="3585">
        <v>-2</v>
      </c>
      <c r="E651" s="3585">
        <v>231</v>
      </c>
      <c r="F651" s="3576">
        <v>43.16</v>
      </c>
      <c r="G651" s="3459" t="s">
        <v>7461</v>
      </c>
      <c r="H651" s="3590">
        <f ca="1">'典型户型修正(先权重后修正)'!$R$30</f>
        <v>14026</v>
      </c>
      <c r="I651" s="3386">
        <f t="shared" ca="1" si="10"/>
        <v>60.54</v>
      </c>
    </row>
    <row r="652" spans="1:9">
      <c r="A652" s="3521">
        <v>650</v>
      </c>
      <c r="B652" s="3388" t="s">
        <v>7440</v>
      </c>
      <c r="C652" s="3585">
        <v>12</v>
      </c>
      <c r="D652" s="3585">
        <v>-2</v>
      </c>
      <c r="E652" s="3585">
        <v>233</v>
      </c>
      <c r="F652" s="3576">
        <v>43.16</v>
      </c>
      <c r="G652" s="3459" t="s">
        <v>7461</v>
      </c>
      <c r="H652" s="3590">
        <f ca="1">'典型户型修正(先权重后修正)'!$R$30</f>
        <v>14026</v>
      </c>
      <c r="I652" s="3386">
        <f t="shared" ca="1" si="10"/>
        <v>60.54</v>
      </c>
    </row>
    <row r="653" spans="1:9">
      <c r="A653" s="3521">
        <v>651</v>
      </c>
      <c r="B653" s="3388" t="s">
        <v>7441</v>
      </c>
      <c r="C653" s="3585">
        <v>12</v>
      </c>
      <c r="D653" s="3585">
        <v>-2</v>
      </c>
      <c r="E653" s="3585">
        <v>238</v>
      </c>
      <c r="F653" s="3576">
        <v>43.16</v>
      </c>
      <c r="G653" s="3459" t="s">
        <v>7461</v>
      </c>
      <c r="H653" s="3590">
        <f ca="1">'典型户型修正(先权重后修正)'!$R$30</f>
        <v>14026</v>
      </c>
      <c r="I653" s="3386">
        <f t="shared" ca="1" si="10"/>
        <v>60.54</v>
      </c>
    </row>
    <row r="654" spans="1:9">
      <c r="A654" s="3521">
        <v>652</v>
      </c>
      <c r="B654" s="3388" t="s">
        <v>7442</v>
      </c>
      <c r="C654" s="3585">
        <v>12</v>
      </c>
      <c r="D654" s="3585">
        <v>-2</v>
      </c>
      <c r="E654" s="3585">
        <v>263</v>
      </c>
      <c r="F654" s="3576">
        <v>75.42</v>
      </c>
      <c r="G654" s="3459" t="s">
        <v>7461</v>
      </c>
      <c r="H654" s="3590">
        <f ca="1">'典型户型修正(先权重后修正)'!$R$30</f>
        <v>14026</v>
      </c>
      <c r="I654" s="3386">
        <f t="shared" ca="1" si="10"/>
        <v>105.78</v>
      </c>
    </row>
    <row r="655" spans="1:9">
      <c r="A655" s="3521">
        <v>653</v>
      </c>
      <c r="B655" s="3388" t="s">
        <v>7443</v>
      </c>
      <c r="C655" s="3585">
        <v>12</v>
      </c>
      <c r="D655" s="3585">
        <v>-2</v>
      </c>
      <c r="E655" s="3585">
        <v>265</v>
      </c>
      <c r="F655" s="3576">
        <v>75.42</v>
      </c>
      <c r="G655" s="3459" t="s">
        <v>7461</v>
      </c>
      <c r="H655" s="3590">
        <f ca="1">'典型户型修正(先权重后修正)'!$R$30</f>
        <v>14026</v>
      </c>
      <c r="I655" s="3386">
        <f t="shared" ca="1" si="10"/>
        <v>105.78</v>
      </c>
    </row>
    <row r="656" spans="1:9">
      <c r="A656" s="3521">
        <v>654</v>
      </c>
      <c r="B656" s="3388" t="s">
        <v>7444</v>
      </c>
      <c r="C656" s="3585">
        <v>12</v>
      </c>
      <c r="D656" s="3585">
        <v>-2</v>
      </c>
      <c r="E656" s="3585">
        <v>118</v>
      </c>
      <c r="F656" s="3576">
        <v>100.91</v>
      </c>
      <c r="G656" s="3459" t="s">
        <v>7461</v>
      </c>
      <c r="H656" s="3590">
        <f ca="1">'典型户型修正(先权重后修正)'!$R$30</f>
        <v>14026</v>
      </c>
      <c r="I656" s="3386">
        <f t="shared" ca="1" si="10"/>
        <v>141.54</v>
      </c>
    </row>
    <row r="657" spans="1:9">
      <c r="A657" s="3521">
        <v>655</v>
      </c>
      <c r="B657" s="3388" t="s">
        <v>7445</v>
      </c>
      <c r="C657" s="3585">
        <v>12</v>
      </c>
      <c r="D657" s="3585">
        <v>-2</v>
      </c>
      <c r="E657" s="3585">
        <v>127</v>
      </c>
      <c r="F657" s="3576">
        <v>85.74</v>
      </c>
      <c r="G657" s="3459" t="s">
        <v>7461</v>
      </c>
      <c r="H657" s="3590">
        <f ca="1">'典型户型修正(先权重后修正)'!$R$30</f>
        <v>14026</v>
      </c>
      <c r="I657" s="3386">
        <f t="shared" ca="1" si="10"/>
        <v>120.26</v>
      </c>
    </row>
    <row r="658" spans="1:9">
      <c r="A658" s="3521">
        <v>656</v>
      </c>
      <c r="B658" s="3388" t="s">
        <v>7446</v>
      </c>
      <c r="C658" s="3585">
        <v>12</v>
      </c>
      <c r="D658" s="3585">
        <v>-2</v>
      </c>
      <c r="E658" s="3585">
        <v>156</v>
      </c>
      <c r="F658" s="3576">
        <v>61.01</v>
      </c>
      <c r="G658" s="3459" t="s">
        <v>7461</v>
      </c>
      <c r="H658" s="3590">
        <f ca="1">'典型户型修正(先权重后修正)'!$R$30</f>
        <v>14026</v>
      </c>
      <c r="I658" s="3386">
        <f t="shared" ca="1" si="10"/>
        <v>85.57</v>
      </c>
    </row>
    <row r="659" spans="1:9">
      <c r="A659" s="3521">
        <v>657</v>
      </c>
      <c r="B659" s="3388" t="s">
        <v>7447</v>
      </c>
      <c r="C659" s="3585">
        <v>12</v>
      </c>
      <c r="D659" s="3585">
        <v>-2</v>
      </c>
      <c r="E659" s="3585">
        <v>157</v>
      </c>
      <c r="F659" s="3576">
        <v>50.2</v>
      </c>
      <c r="G659" s="3459" t="s">
        <v>7461</v>
      </c>
      <c r="H659" s="3590">
        <f ca="1">'典型户型修正(先权重后修正)'!$R$30</f>
        <v>14026</v>
      </c>
      <c r="I659" s="3386">
        <f t="shared" ca="1" si="10"/>
        <v>70.41</v>
      </c>
    </row>
    <row r="660" spans="1:9">
      <c r="A660" s="3521">
        <v>658</v>
      </c>
      <c r="B660" s="3388" t="s">
        <v>7448</v>
      </c>
      <c r="C660" s="3585">
        <v>12</v>
      </c>
      <c r="D660" s="3585">
        <v>-2</v>
      </c>
      <c r="E660" s="3585">
        <v>170</v>
      </c>
      <c r="F660" s="3576">
        <v>77.78</v>
      </c>
      <c r="G660" s="3459" t="s">
        <v>7461</v>
      </c>
      <c r="H660" s="3590">
        <f ca="1">'典型户型修正(先权重后修正)'!$R$30</f>
        <v>14026</v>
      </c>
      <c r="I660" s="3386">
        <f t="shared" ca="1" si="10"/>
        <v>109.09</v>
      </c>
    </row>
    <row r="661" spans="1:9">
      <c r="A661" s="3521">
        <v>659</v>
      </c>
      <c r="B661" s="3388" t="s">
        <v>7449</v>
      </c>
      <c r="C661" s="3585">
        <v>12</v>
      </c>
      <c r="D661" s="3585">
        <v>-2</v>
      </c>
      <c r="E661" s="3585">
        <v>247</v>
      </c>
      <c r="F661" s="3576">
        <v>75.42</v>
      </c>
      <c r="G661" s="3459" t="s">
        <v>7461</v>
      </c>
      <c r="H661" s="3590">
        <f ca="1">'典型户型修正(先权重后修正)'!$R$30</f>
        <v>14026</v>
      </c>
      <c r="I661" s="3386">
        <f t="shared" ca="1" si="10"/>
        <v>105.78</v>
      </c>
    </row>
    <row r="662" spans="1:9">
      <c r="A662" s="3521">
        <v>660</v>
      </c>
      <c r="B662" s="3388" t="s">
        <v>7450</v>
      </c>
      <c r="C662" s="3585">
        <v>12</v>
      </c>
      <c r="D662" s="3585">
        <v>-2</v>
      </c>
      <c r="E662" s="3585">
        <v>255</v>
      </c>
      <c r="F662" s="3576">
        <v>75.42</v>
      </c>
      <c r="G662" s="3459" t="s">
        <v>7461</v>
      </c>
      <c r="H662" s="3590">
        <f ca="1">'典型户型修正(先权重后修正)'!$R$30</f>
        <v>14026</v>
      </c>
      <c r="I662" s="3386">
        <f t="shared" ca="1" si="10"/>
        <v>105.78</v>
      </c>
    </row>
    <row r="663" spans="1:9">
      <c r="A663" s="3521">
        <v>661</v>
      </c>
      <c r="B663" s="3388" t="s">
        <v>7451</v>
      </c>
      <c r="C663" s="3585">
        <v>12</v>
      </c>
      <c r="D663" s="3585">
        <v>-2</v>
      </c>
      <c r="E663" s="3585">
        <v>256</v>
      </c>
      <c r="F663" s="3576">
        <v>75.42</v>
      </c>
      <c r="G663" s="3459" t="s">
        <v>7461</v>
      </c>
      <c r="H663" s="3590">
        <f ca="1">'典型户型修正(先权重后修正)'!$R$30</f>
        <v>14026</v>
      </c>
      <c r="I663" s="3386">
        <f t="shared" ca="1" si="10"/>
        <v>105.78</v>
      </c>
    </row>
    <row r="664" spans="1:9">
      <c r="A664" s="3521">
        <v>662</v>
      </c>
      <c r="B664" s="3388" t="s">
        <v>7452</v>
      </c>
      <c r="C664" s="3585">
        <v>12</v>
      </c>
      <c r="D664" s="3585">
        <v>-2</v>
      </c>
      <c r="E664" s="3585">
        <v>257</v>
      </c>
      <c r="F664" s="3576">
        <v>75.42</v>
      </c>
      <c r="G664" s="3459" t="s">
        <v>7461</v>
      </c>
      <c r="H664" s="3590">
        <f ca="1">'典型户型修正(先权重后修正)'!$R$30</f>
        <v>14026</v>
      </c>
      <c r="I664" s="3386">
        <f t="shared" ca="1" si="10"/>
        <v>105.78</v>
      </c>
    </row>
    <row r="665" spans="1:9">
      <c r="A665" s="3521">
        <v>663</v>
      </c>
      <c r="B665" s="3388" t="s">
        <v>7453</v>
      </c>
      <c r="C665" s="3585">
        <v>12</v>
      </c>
      <c r="D665" s="3585">
        <v>-2</v>
      </c>
      <c r="E665" s="3585">
        <v>258</v>
      </c>
      <c r="F665" s="3576">
        <v>72.81</v>
      </c>
      <c r="G665" s="3459" t="s">
        <v>7461</v>
      </c>
      <c r="H665" s="3590">
        <f ca="1">'典型户型修正(先权重后修正)'!$R$30</f>
        <v>14026</v>
      </c>
      <c r="I665" s="3386">
        <f t="shared" ca="1" si="10"/>
        <v>102.12</v>
      </c>
    </row>
    <row r="666" spans="1:9">
      <c r="A666" s="3521">
        <v>664</v>
      </c>
      <c r="B666" s="3388" t="s">
        <v>7454</v>
      </c>
      <c r="C666" s="3585">
        <v>12</v>
      </c>
      <c r="D666" s="3585">
        <v>-2</v>
      </c>
      <c r="E666" s="3585">
        <v>267</v>
      </c>
      <c r="F666" s="3576">
        <v>93.47</v>
      </c>
      <c r="G666" s="3459" t="s">
        <v>7461</v>
      </c>
      <c r="H666" s="3590">
        <f ca="1">'典型户型修正(先权重后修正)'!$R$30</f>
        <v>14026</v>
      </c>
      <c r="I666" s="3386">
        <f t="shared" ca="1" si="10"/>
        <v>131.1</v>
      </c>
    </row>
    <row r="667" spans="1:9">
      <c r="A667" s="3521">
        <v>665</v>
      </c>
      <c r="B667" s="3388" t="s">
        <v>7455</v>
      </c>
      <c r="C667" s="3585">
        <v>12</v>
      </c>
      <c r="D667" s="3585">
        <v>-2</v>
      </c>
      <c r="E667" s="3585">
        <v>269</v>
      </c>
      <c r="F667" s="3576">
        <v>75.23</v>
      </c>
      <c r="G667" s="3459" t="s">
        <v>7461</v>
      </c>
      <c r="H667" s="3590">
        <f ca="1">I667/F667*10000</f>
        <v>13971.819752758285</v>
      </c>
      <c r="I667" s="3386">
        <f ca="1">'典型户型修正(先权重后修正)'!S30-9451.89</f>
        <v>105.11000000000058</v>
      </c>
    </row>
    <row r="668" spans="1:9" hidden="1">
      <c r="A668" s="3583" t="s">
        <v>7462</v>
      </c>
      <c r="B668" s="3581"/>
      <c r="C668" s="3583"/>
      <c r="D668" s="3583"/>
      <c r="E668" s="3583"/>
      <c r="F668" s="3581">
        <f>SUM(F3:F667)</f>
        <v>44525.129999999976</v>
      </c>
      <c r="G668" s="3581"/>
    </row>
  </sheetData>
  <autoFilter ref="A2:I668">
    <filterColumn colId="3">
      <filters>
        <filter val="-2"/>
      </filters>
    </filterColumn>
  </autoFilter>
  <mergeCells count="1">
    <mergeCell ref="A1:G1"/>
  </mergeCells>
  <phoneticPr fontId="143" type="noConversion"/>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542" customWidth="1"/>
    <col min="3" max="10" width="12.5" style="1542" customWidth="1"/>
    <col min="11" max="16384" width="9" style="1542"/>
  </cols>
  <sheetData>
    <row r="1" spans="1:10" ht="18.75">
      <c r="A1" s="1575" t="s">
        <v>870</v>
      </c>
      <c r="B1" s="1586"/>
      <c r="C1" s="1586"/>
      <c r="D1" s="1586"/>
      <c r="E1" s="1586"/>
      <c r="F1" s="1586"/>
      <c r="G1" s="1586"/>
      <c r="H1" s="1586"/>
      <c r="I1" s="1586"/>
      <c r="J1" s="1586"/>
    </row>
    <row r="2" spans="1:10" ht="18.75">
      <c r="A2" s="1587"/>
      <c r="B2" s="1586"/>
      <c r="C2" s="1586"/>
      <c r="D2" s="1586"/>
      <c r="E2" s="1586"/>
      <c r="F2" s="1586"/>
      <c r="G2" s="1586"/>
      <c r="H2" s="1586"/>
      <c r="I2" s="1586"/>
      <c r="J2" s="1586"/>
    </row>
    <row r="3" spans="1:10">
      <c r="A3" s="1586"/>
      <c r="B3" s="1586"/>
      <c r="C3" s="1586"/>
      <c r="D3" s="1586"/>
      <c r="E3" s="1586"/>
      <c r="F3" s="1586"/>
      <c r="G3" s="1586"/>
      <c r="H3" s="1586"/>
      <c r="I3" s="1586"/>
      <c r="J3" s="1586"/>
    </row>
    <row r="4" spans="1:10">
      <c r="A4" s="1586"/>
      <c r="B4" s="1586"/>
      <c r="C4" s="1586"/>
      <c r="D4" s="1586"/>
      <c r="E4" s="1586"/>
      <c r="F4" s="1586"/>
      <c r="G4" s="1586"/>
      <c r="H4" s="1586"/>
      <c r="I4" s="1586"/>
      <c r="J4" s="1586"/>
    </row>
    <row r="5" spans="1:10">
      <c r="A5" s="1586"/>
      <c r="B5" s="1586"/>
      <c r="C5" s="1586"/>
      <c r="D5" s="1586"/>
      <c r="E5" s="1586"/>
      <c r="F5" s="1586"/>
      <c r="G5" s="1586"/>
      <c r="H5" s="1586"/>
      <c r="I5" s="1586"/>
      <c r="J5" s="1586"/>
    </row>
    <row r="6" spans="1:10">
      <c r="A6" s="1586"/>
      <c r="B6" s="1586"/>
      <c r="C6" s="1586"/>
      <c r="D6" s="1586"/>
      <c r="E6" s="1586"/>
      <c r="F6" s="1586"/>
      <c r="G6" s="1586"/>
      <c r="H6" s="1586"/>
      <c r="I6" s="1586"/>
      <c r="J6" s="1586"/>
    </row>
    <row r="7" spans="1:10">
      <c r="A7" s="1586"/>
      <c r="B7" s="1586"/>
      <c r="C7" s="1586"/>
      <c r="D7" s="1586"/>
      <c r="E7" s="1586"/>
      <c r="F7" s="1586"/>
      <c r="G7" s="1586"/>
      <c r="H7" s="1586"/>
      <c r="I7" s="1586"/>
      <c r="J7" s="1586"/>
    </row>
    <row r="8" spans="1:10">
      <c r="A8" s="1586"/>
      <c r="B8" s="1586"/>
      <c r="C8" s="1586"/>
      <c r="D8" s="1586"/>
      <c r="E8" s="1586"/>
      <c r="F8" s="1586"/>
      <c r="G8" s="1586"/>
      <c r="H8" s="1586"/>
      <c r="I8" s="1586"/>
      <c r="J8" s="1586"/>
    </row>
    <row r="9" spans="1:10">
      <c r="A9" s="1586"/>
      <c r="B9" s="1586"/>
      <c r="C9" s="1586"/>
      <c r="D9" s="1586"/>
      <c r="E9" s="1586"/>
      <c r="F9" s="1586"/>
      <c r="G9" s="1586"/>
      <c r="H9" s="1586"/>
      <c r="I9" s="1586"/>
      <c r="J9" s="1586"/>
    </row>
    <row r="10" spans="1:10">
      <c r="A10" s="1586"/>
      <c r="B10" s="1586"/>
      <c r="C10" s="1586"/>
      <c r="D10" s="1586"/>
      <c r="E10" s="1586"/>
      <c r="F10" s="1586"/>
      <c r="G10" s="1586"/>
      <c r="H10" s="1586"/>
      <c r="I10" s="1586"/>
      <c r="J10" s="1586"/>
    </row>
    <row r="11" spans="1:10">
      <c r="A11" s="1586"/>
      <c r="B11" s="1586"/>
      <c r="C11" s="1586"/>
      <c r="D11" s="1586"/>
      <c r="E11" s="1586"/>
      <c r="F11" s="1586"/>
      <c r="G11" s="1586"/>
      <c r="H11" s="1586"/>
      <c r="I11" s="1586"/>
      <c r="J11" s="1586"/>
    </row>
    <row r="12" spans="1:10">
      <c r="A12" s="1586"/>
      <c r="B12" s="1586"/>
      <c r="C12" s="1586"/>
      <c r="D12" s="1586"/>
      <c r="E12" s="1586"/>
      <c r="F12" s="1586"/>
      <c r="G12" s="1586"/>
      <c r="H12" s="1586"/>
      <c r="I12" s="1586"/>
      <c r="J12" s="1586"/>
    </row>
    <row r="13" spans="1:10">
      <c r="A13" s="1586"/>
      <c r="B13" s="1586"/>
      <c r="C13" s="1586"/>
      <c r="D13" s="1586"/>
      <c r="E13" s="1586"/>
      <c r="F13" s="1586"/>
      <c r="G13" s="1586"/>
      <c r="H13" s="1586"/>
      <c r="I13" s="1586"/>
      <c r="J13" s="1586"/>
    </row>
    <row r="14" spans="1:10">
      <c r="A14" s="1586"/>
      <c r="B14" s="1586"/>
      <c r="C14" s="1586"/>
      <c r="D14" s="1586"/>
      <c r="E14" s="1586"/>
      <c r="F14" s="1586"/>
      <c r="G14" s="1586"/>
      <c r="H14" s="1586"/>
      <c r="I14" s="1586"/>
      <c r="J14" s="1586"/>
    </row>
    <row r="15" spans="1:10">
      <c r="A15" s="1586"/>
      <c r="B15" s="1586"/>
      <c r="C15" s="1586"/>
      <c r="D15" s="1586"/>
      <c r="E15" s="1586"/>
      <c r="F15" s="1586"/>
      <c r="G15" s="1586"/>
      <c r="H15" s="1586"/>
      <c r="I15" s="1586"/>
      <c r="J15" s="1586"/>
    </row>
    <row r="16" spans="1:10">
      <c r="A16" s="1586"/>
      <c r="B16" s="1586"/>
      <c r="C16" s="1586"/>
      <c r="D16" s="1586"/>
      <c r="E16" s="1586"/>
      <c r="F16" s="1586"/>
      <c r="G16" s="1586"/>
      <c r="H16" s="1586"/>
      <c r="I16" s="1586"/>
      <c r="J16" s="1586"/>
    </row>
    <row r="17" spans="1:10">
      <c r="A17" s="1586"/>
      <c r="B17" s="1586"/>
      <c r="C17" s="1586"/>
      <c r="D17" s="1586"/>
      <c r="E17" s="1586"/>
      <c r="F17" s="1586"/>
      <c r="G17" s="1586"/>
      <c r="H17" s="1586"/>
      <c r="I17" s="1586"/>
      <c r="J17" s="1586"/>
    </row>
    <row r="18" spans="1:10">
      <c r="A18" s="1586"/>
      <c r="B18" s="1586"/>
      <c r="C18" s="1586"/>
      <c r="D18" s="1586"/>
      <c r="E18" s="1586"/>
      <c r="F18" s="1586"/>
      <c r="G18" s="1586"/>
      <c r="H18" s="1586"/>
      <c r="I18" s="1586"/>
      <c r="J18" s="1586"/>
    </row>
    <row r="19" spans="1:10">
      <c r="A19" s="1586"/>
      <c r="B19" s="1586"/>
      <c r="C19" s="1586"/>
      <c r="D19" s="1586"/>
      <c r="E19" s="1586"/>
      <c r="F19" s="1586"/>
      <c r="G19" s="1586"/>
      <c r="H19" s="1586"/>
      <c r="I19" s="1586"/>
      <c r="J19" s="1586"/>
    </row>
    <row r="20" spans="1:10">
      <c r="A20" s="1586"/>
      <c r="B20" s="1586"/>
      <c r="C20" s="1586"/>
      <c r="D20" s="1586"/>
      <c r="E20" s="1586"/>
      <c r="F20" s="1586"/>
      <c r="G20" s="1586"/>
      <c r="H20" s="1586"/>
      <c r="I20" s="1586"/>
      <c r="J20" s="1586"/>
    </row>
    <row r="21" spans="1:10">
      <c r="A21" s="1586"/>
      <c r="B21" s="1586"/>
      <c r="C21" s="1586"/>
      <c r="D21" s="1586"/>
      <c r="E21" s="1586"/>
      <c r="F21" s="1586"/>
      <c r="G21" s="1586"/>
      <c r="H21" s="1586"/>
      <c r="I21" s="1586"/>
      <c r="J21" s="1586"/>
    </row>
    <row r="22" spans="1:10">
      <c r="A22" s="1586"/>
      <c r="B22" s="1586"/>
      <c r="C22" s="1586"/>
      <c r="D22" s="1586"/>
      <c r="E22" s="1586"/>
      <c r="F22" s="1586"/>
      <c r="G22" s="1586"/>
      <c r="H22" s="1586"/>
      <c r="I22" s="1586"/>
      <c r="J22" s="1586"/>
    </row>
    <row r="23" spans="1:10">
      <c r="A23" s="1586"/>
      <c r="B23" s="1586"/>
      <c r="C23" s="1586"/>
      <c r="D23" s="1586"/>
      <c r="E23" s="1586"/>
      <c r="F23" s="1586"/>
      <c r="G23" s="1586"/>
      <c r="H23" s="1586"/>
      <c r="I23" s="1586"/>
      <c r="J23" s="1586"/>
    </row>
    <row r="24" spans="1:10">
      <c r="A24" s="1586"/>
      <c r="B24" s="1586"/>
      <c r="C24" s="1586"/>
      <c r="D24" s="1586"/>
      <c r="E24" s="1586"/>
      <c r="F24" s="1586"/>
      <c r="G24" s="1586"/>
      <c r="H24" s="1586"/>
      <c r="I24" s="1586"/>
      <c r="J24" s="1586"/>
    </row>
    <row r="25" spans="1:10">
      <c r="A25" s="1586"/>
      <c r="B25" s="1586"/>
      <c r="C25" s="1586"/>
      <c r="D25" s="1586"/>
      <c r="E25" s="1586"/>
      <c r="F25" s="1586"/>
      <c r="G25" s="1586"/>
      <c r="H25" s="1586"/>
      <c r="I25" s="1586"/>
      <c r="J25" s="1586"/>
    </row>
    <row r="26" spans="1:10">
      <c r="A26" s="1586"/>
      <c r="B26" s="1586"/>
      <c r="C26" s="1586"/>
      <c r="D26" s="1586"/>
      <c r="E26" s="1586"/>
      <c r="F26" s="1586"/>
      <c r="G26" s="1586"/>
      <c r="H26" s="1586"/>
      <c r="I26" s="1586"/>
      <c r="J26" s="1586"/>
    </row>
    <row r="27" spans="1:10">
      <c r="A27" s="1586"/>
      <c r="B27" s="1586"/>
      <c r="C27" s="1586"/>
      <c r="D27" s="1586"/>
      <c r="E27" s="1586"/>
      <c r="F27" s="1586"/>
      <c r="G27" s="1586"/>
      <c r="H27" s="1586"/>
      <c r="I27" s="1586"/>
      <c r="J27" s="1586"/>
    </row>
    <row r="28" spans="1:10">
      <c r="A28" s="1586"/>
      <c r="B28" s="1586"/>
      <c r="C28" s="1586"/>
      <c r="D28" s="1586"/>
      <c r="E28" s="1586"/>
      <c r="F28" s="1586"/>
      <c r="G28" s="1586"/>
      <c r="H28" s="1586"/>
      <c r="I28" s="1586"/>
      <c r="J28" s="1586"/>
    </row>
    <row r="29" spans="1:10">
      <c r="A29" s="1586"/>
      <c r="B29" s="1586"/>
      <c r="C29" s="1586"/>
      <c r="D29" s="1586"/>
      <c r="E29" s="1586"/>
      <c r="F29" s="1586"/>
      <c r="G29" s="1586"/>
      <c r="H29" s="1586"/>
      <c r="I29" s="1586"/>
      <c r="J29" s="1586"/>
    </row>
    <row r="30" spans="1:10">
      <c r="A30" s="1586"/>
      <c r="B30" s="1586"/>
      <c r="C30" s="1586"/>
      <c r="D30" s="1586"/>
      <c r="E30" s="1586"/>
      <c r="F30" s="1586"/>
      <c r="G30" s="1586"/>
      <c r="H30" s="1586"/>
      <c r="I30" s="1586"/>
      <c r="J30" s="1586"/>
    </row>
    <row r="31" spans="1:10">
      <c r="A31" s="1586"/>
      <c r="B31" s="1586"/>
      <c r="C31" s="1586"/>
      <c r="D31" s="1586"/>
      <c r="E31" s="1586"/>
      <c r="F31" s="1586"/>
      <c r="G31" s="1586"/>
      <c r="H31" s="1586"/>
      <c r="I31" s="1586"/>
      <c r="J31" s="1586"/>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49" sqref="B49"/>
      <selection pane="bottomLeft" activeCell="B49" sqref="B49"/>
    </sheetView>
  </sheetViews>
  <sheetFormatPr defaultColWidth="14.5" defaultRowHeight="14.25"/>
  <cols>
    <col min="1" max="1" width="14.5" style="1592" customWidth="1"/>
    <col min="2" max="16384" width="14.5" style="1574"/>
  </cols>
  <sheetData>
    <row r="1" spans="1:7" s="1589" customFormat="1" ht="18.75">
      <c r="A1" s="1588" t="s">
        <v>1665</v>
      </c>
    </row>
    <row r="3" spans="1:7">
      <c r="A3" s="1590" t="s">
        <v>82</v>
      </c>
      <c r="B3" s="1574" t="s">
        <v>1666</v>
      </c>
      <c r="G3" s="1591"/>
    </row>
    <row r="4" spans="1:7">
      <c r="G4" s="1591"/>
    </row>
    <row r="5" spans="1:7">
      <c r="A5" s="1593" t="s">
        <v>73</v>
      </c>
      <c r="B5" s="1574" t="s">
        <v>1667</v>
      </c>
      <c r="G5" s="1591"/>
    </row>
    <row r="6" spans="1:7">
      <c r="G6" s="1591"/>
    </row>
    <row r="7" spans="1:7">
      <c r="A7" s="1594" t="s">
        <v>135</v>
      </c>
      <c r="B7" s="1574" t="s">
        <v>1668</v>
      </c>
      <c r="G7" s="1591"/>
    </row>
    <row r="8" spans="1:7">
      <c r="G8" s="1591"/>
    </row>
    <row r="9" spans="1:7">
      <c r="A9" s="1595" t="s">
        <v>74</v>
      </c>
      <c r="B9" s="1574" t="s">
        <v>1669</v>
      </c>
    </row>
    <row r="11" spans="1:7">
      <c r="A11" s="1596" t="s">
        <v>75</v>
      </c>
      <c r="B11" s="1597" t="s">
        <v>72</v>
      </c>
    </row>
    <row r="13" spans="1:7">
      <c r="A13" s="1598" t="s">
        <v>1670</v>
      </c>
    </row>
    <row r="15" spans="1:7" ht="13.5">
      <c r="A15" s="3676" t="s">
        <v>1671</v>
      </c>
      <c r="B15" s="3671" t="s">
        <v>136</v>
      </c>
      <c r="C15" s="3672"/>
    </row>
    <row r="16" spans="1:7" ht="13.5">
      <c r="A16" s="3677"/>
      <c r="B16" s="3671" t="s">
        <v>69</v>
      </c>
      <c r="C16" s="3672"/>
    </row>
    <row r="17" spans="1:3" ht="13.5">
      <c r="A17" s="3677"/>
      <c r="B17" s="3674" t="s">
        <v>1672</v>
      </c>
      <c r="C17" s="1599" t="s">
        <v>1671</v>
      </c>
    </row>
    <row r="18" spans="1:3" ht="13.5">
      <c r="A18" s="3677"/>
      <c r="B18" s="3674"/>
      <c r="C18" s="1599" t="s">
        <v>1673</v>
      </c>
    </row>
    <row r="19" spans="1:3" ht="13.5">
      <c r="A19" s="3677"/>
      <c r="B19" s="3674"/>
      <c r="C19" s="1599" t="s">
        <v>1674</v>
      </c>
    </row>
    <row r="20" spans="1:3" ht="13.5">
      <c r="A20" s="3678"/>
      <c r="B20" s="3673" t="s">
        <v>1675</v>
      </c>
      <c r="C20" s="3672"/>
    </row>
    <row r="21" spans="1:3" ht="13.5">
      <c r="A21" s="1600" t="s">
        <v>1676</v>
      </c>
      <c r="B21" s="1601"/>
      <c r="C21" s="1602"/>
    </row>
    <row r="22" spans="1:3" ht="13.5">
      <c r="A22" s="3675" t="s">
        <v>1677</v>
      </c>
      <c r="B22" s="3673" t="s">
        <v>1678</v>
      </c>
      <c r="C22" s="3672"/>
    </row>
    <row r="23" spans="1:3" ht="13.5">
      <c r="A23" s="3675"/>
      <c r="B23" s="3673" t="s">
        <v>1679</v>
      </c>
      <c r="C23" s="3672"/>
    </row>
    <row r="24" spans="1:3" ht="13.5">
      <c r="A24" s="3675"/>
      <c r="B24" s="3673" t="s">
        <v>1680</v>
      </c>
      <c r="C24" s="3672"/>
    </row>
    <row r="25" spans="1:3" ht="13.5">
      <c r="A25" s="3675"/>
      <c r="B25" s="3674" t="s">
        <v>1681</v>
      </c>
      <c r="C25" s="1599" t="s">
        <v>1682</v>
      </c>
    </row>
    <row r="26" spans="1:3" ht="13.5">
      <c r="A26" s="3675"/>
      <c r="B26" s="3674"/>
      <c r="C26" s="1599" t="s">
        <v>1683</v>
      </c>
    </row>
    <row r="27" spans="1:3" ht="13.5">
      <c r="A27" s="3675"/>
      <c r="B27" s="3674"/>
      <c r="C27" s="1599" t="s">
        <v>1684</v>
      </c>
    </row>
    <row r="28" spans="1:3" ht="13.5">
      <c r="A28" s="3675"/>
      <c r="B28" s="3674"/>
      <c r="C28" s="1599" t="s">
        <v>1685</v>
      </c>
    </row>
    <row r="29" spans="1:3" ht="13.5">
      <c r="A29" s="3675"/>
      <c r="B29" s="3674"/>
      <c r="C29" s="1599" t="s">
        <v>1686</v>
      </c>
    </row>
    <row r="30" spans="1:3" ht="13.5">
      <c r="A30" s="3675"/>
      <c r="B30" s="3674"/>
      <c r="C30" s="1599" t="s">
        <v>1687</v>
      </c>
    </row>
    <row r="31" spans="1:3" ht="13.5">
      <c r="A31" s="3675"/>
      <c r="B31" s="3674"/>
      <c r="C31" s="1599" t="s">
        <v>1688</v>
      </c>
    </row>
    <row r="32" spans="1:3" ht="13.5">
      <c r="A32" s="3675"/>
      <c r="B32" s="3674"/>
      <c r="C32" s="1599" t="s">
        <v>1689</v>
      </c>
    </row>
    <row r="33" spans="1:3" ht="13.5">
      <c r="A33" s="3675"/>
      <c r="B33" s="3674"/>
      <c r="C33" s="1599" t="s">
        <v>1690</v>
      </c>
    </row>
    <row r="34" spans="1:3">
      <c r="A34" s="1603" t="s">
        <v>76</v>
      </c>
    </row>
    <row r="37" spans="1:3">
      <c r="A37" s="1603" t="s">
        <v>1691</v>
      </c>
    </row>
    <row r="38" spans="1:3" ht="13.5">
      <c r="A38" s="1604" t="s">
        <v>77</v>
      </c>
    </row>
    <row r="39" spans="1:3" ht="13.5">
      <c r="A39" s="1604" t="s">
        <v>78</v>
      </c>
    </row>
    <row r="40" spans="1:3" ht="13.5">
      <c r="A40" s="1604" t="s">
        <v>79</v>
      </c>
    </row>
    <row r="41" spans="1:3" ht="13.5">
      <c r="A41" s="1605" t="s">
        <v>80</v>
      </c>
    </row>
    <row r="42" spans="1:3" ht="13.5">
      <c r="A42" s="160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B49" sqref="B49"/>
    </sheetView>
  </sheetViews>
  <sheetFormatPr defaultColWidth="22.625" defaultRowHeight="24" customHeight="1"/>
  <cols>
    <col min="1" max="2" width="22.625" style="780"/>
    <col min="3" max="3" width="23.625" style="780" bestFit="1" customWidth="1"/>
    <col min="4" max="5" width="22.625" style="780"/>
    <col min="6" max="6" width="25.625" style="780" customWidth="1"/>
    <col min="7" max="16384" width="22.625" style="780"/>
  </cols>
  <sheetData>
    <row r="2" spans="1:6" ht="24" customHeight="1">
      <c r="A2" s="782" t="s">
        <v>825</v>
      </c>
      <c r="B2" s="783">
        <f ca="1">TODAY()</f>
        <v>43076</v>
      </c>
      <c r="C2" s="784" t="s">
        <v>826</v>
      </c>
      <c r="D2" s="784"/>
    </row>
    <row r="3" spans="1:6" ht="24" customHeight="1">
      <c r="A3" s="785" t="s">
        <v>827</v>
      </c>
      <c r="B3" s="786" t="s">
        <v>828</v>
      </c>
      <c r="C3" s="1698" t="s">
        <v>829</v>
      </c>
      <c r="D3" s="1701" t="s">
        <v>830</v>
      </c>
      <c r="E3" s="787" t="s">
        <v>831</v>
      </c>
      <c r="F3" s="786" t="s">
        <v>829</v>
      </c>
    </row>
    <row r="4" spans="1:6" ht="24" customHeight="1">
      <c r="A4" s="1365" t="s">
        <v>832</v>
      </c>
      <c r="B4" s="787">
        <f ca="1">IF(C4&lt;B2,"已过期",1119970066)</f>
        <v>1119970066</v>
      </c>
      <c r="C4" s="1699">
        <v>43849</v>
      </c>
      <c r="D4" s="1702" t="s">
        <v>832</v>
      </c>
      <c r="E4" s="787">
        <f ca="1">IF(F4&lt;B2,"已过期",96010014)</f>
        <v>96010014</v>
      </c>
      <c r="F4" s="795">
        <v>47118</v>
      </c>
    </row>
    <row r="5" spans="1:6" ht="24" customHeight="1">
      <c r="A5" s="1365" t="s">
        <v>833</v>
      </c>
      <c r="B5" s="787">
        <f ca="1">IF(C5&lt;B2,"已过期",1119970074)</f>
        <v>1119970074</v>
      </c>
      <c r="C5" s="1699">
        <v>43849</v>
      </c>
      <c r="D5" s="1702" t="s">
        <v>833</v>
      </c>
      <c r="E5" s="787">
        <f ca="1">IF(F5&lt;B2,"已过期",2002110027)</f>
        <v>2002110027</v>
      </c>
      <c r="F5" s="795">
        <v>46752</v>
      </c>
    </row>
    <row r="6" spans="1:6" ht="24" customHeight="1">
      <c r="A6" s="1365" t="s">
        <v>834</v>
      </c>
      <c r="B6" s="787">
        <f ca="1">IF(C6&lt;B2,"已过期",1119970111)</f>
        <v>1119970111</v>
      </c>
      <c r="C6" s="1699">
        <v>43849</v>
      </c>
      <c r="D6" s="1702" t="s">
        <v>834</v>
      </c>
      <c r="E6" s="787">
        <f ca="1">IF(F6&lt;B2,"已过期",94010078)</f>
        <v>94010078</v>
      </c>
      <c r="F6" s="795">
        <v>46387</v>
      </c>
    </row>
    <row r="7" spans="1:6" ht="24" customHeight="1">
      <c r="A7" s="1365" t="s">
        <v>835</v>
      </c>
      <c r="B7" s="787">
        <f ca="1">IF(C7&lt;B2,"已过期",1120050019)</f>
        <v>1120050019</v>
      </c>
      <c r="C7" s="1699">
        <v>43359</v>
      </c>
      <c r="D7" s="1702" t="s">
        <v>835</v>
      </c>
      <c r="E7" s="787">
        <f ca="1">IF(F7&lt;B2,"已过期",2002110030)</f>
        <v>2002110030</v>
      </c>
      <c r="F7" s="795">
        <v>46387</v>
      </c>
    </row>
    <row r="8" spans="1:6" ht="24" customHeight="1">
      <c r="A8" s="1365" t="s">
        <v>836</v>
      </c>
      <c r="B8" s="787">
        <f ca="1">IF(C8&lt;B2,"已过期",1120000080)</f>
        <v>1120000080</v>
      </c>
      <c r="C8" s="1699">
        <v>43849</v>
      </c>
      <c r="D8" s="1702" t="s">
        <v>836</v>
      </c>
      <c r="E8" s="787">
        <f ca="1">IF(F8&lt;B2,"已过期",2000110082)</f>
        <v>2000110082</v>
      </c>
      <c r="F8" s="795">
        <v>46387</v>
      </c>
    </row>
    <row r="9" spans="1:6" ht="24" customHeight="1">
      <c r="A9" s="1365" t="s">
        <v>837</v>
      </c>
      <c r="B9" s="787">
        <f ca="1">IF(C9&lt;B2,"已过期",1419970001)</f>
        <v>1419970001</v>
      </c>
      <c r="C9" s="1699">
        <v>43867</v>
      </c>
      <c r="D9" s="1702" t="s">
        <v>837</v>
      </c>
      <c r="E9" s="787">
        <f ca="1">IF(F9&lt;B2,"已过期",2002110125)</f>
        <v>2002110125</v>
      </c>
      <c r="F9" s="795">
        <v>47118</v>
      </c>
    </row>
    <row r="10" spans="1:6" ht="24" customHeight="1">
      <c r="A10" s="1365" t="s">
        <v>838</v>
      </c>
      <c r="B10" s="787">
        <f ca="1">IF(C10&lt;B2,"已过期",1120060040)</f>
        <v>1120060040</v>
      </c>
      <c r="C10" s="1699">
        <v>43483</v>
      </c>
      <c r="D10" s="1702" t="s">
        <v>838</v>
      </c>
      <c r="E10" s="787">
        <f ca="1">IF(F10&lt;B2,"已过期",2004110096)</f>
        <v>2004110096</v>
      </c>
      <c r="F10" s="795">
        <v>47118</v>
      </c>
    </row>
    <row r="11" spans="1:6" ht="24" customHeight="1">
      <c r="A11" s="1365" t="s">
        <v>839</v>
      </c>
      <c r="B11" s="787">
        <f ca="1">IF(C11&lt;B2,"已过期",1120100036)</f>
        <v>1120100036</v>
      </c>
      <c r="C11" s="1699">
        <v>43622</v>
      </c>
      <c r="D11" s="1702" t="s">
        <v>839</v>
      </c>
      <c r="E11" s="787">
        <f ca="1">IF(F11&lt;B2,"已过期",2010110070)</f>
        <v>2010110070</v>
      </c>
      <c r="F11" s="795">
        <v>47907</v>
      </c>
    </row>
    <row r="12" spans="1:6" ht="24" customHeight="1">
      <c r="A12" s="1365"/>
      <c r="B12" s="787"/>
      <c r="C12" s="1699"/>
      <c r="D12" s="1702"/>
      <c r="E12" s="787"/>
      <c r="F12" s="787"/>
    </row>
    <row r="13" spans="1:6" ht="24" customHeight="1">
      <c r="A13" s="1365" t="s">
        <v>840</v>
      </c>
      <c r="B13" s="787">
        <f ca="1">IF(C13&lt;B2,"已过期",1120070131)</f>
        <v>1120070131</v>
      </c>
      <c r="C13" s="1699">
        <v>43814</v>
      </c>
      <c r="D13" s="1702" t="s">
        <v>840</v>
      </c>
      <c r="E13" s="787">
        <v>2014110011</v>
      </c>
      <c r="F13" s="795">
        <v>49302</v>
      </c>
    </row>
    <row r="14" spans="1:6" ht="24" customHeight="1">
      <c r="A14" s="1365" t="s">
        <v>841</v>
      </c>
      <c r="B14" s="787">
        <f ca="1">IF(C14&lt;B2,"已过期",1120130020)</f>
        <v>1120130020</v>
      </c>
      <c r="C14" s="1699">
        <v>43622</v>
      </c>
      <c r="D14" s="1702"/>
      <c r="E14" s="787"/>
      <c r="F14" s="787"/>
    </row>
    <row r="15" spans="1:6" ht="24" customHeight="1">
      <c r="A15" s="1366" t="s">
        <v>1149</v>
      </c>
      <c r="B15" s="787">
        <v>1120070085</v>
      </c>
      <c r="C15" s="1699">
        <v>43814</v>
      </c>
      <c r="D15" s="1703" t="s">
        <v>1149</v>
      </c>
      <c r="E15" s="787">
        <v>2004110128</v>
      </c>
      <c r="F15" s="788">
        <v>47118</v>
      </c>
    </row>
    <row r="16" spans="1:6" ht="24" customHeight="1">
      <c r="A16" s="1365" t="s">
        <v>842</v>
      </c>
      <c r="B16" s="787">
        <f ca="1">IF(C16&lt;B2,"已过期",1120140022)</f>
        <v>1120140022</v>
      </c>
      <c r="C16" s="1699">
        <v>44029</v>
      </c>
      <c r="D16" s="1702" t="s">
        <v>842</v>
      </c>
      <c r="E16" s="787">
        <f ca="1">IF(F16&lt;B2,"已过期",2008110059)</f>
        <v>2008110059</v>
      </c>
      <c r="F16" s="795">
        <v>47177</v>
      </c>
    </row>
    <row r="17" spans="1:7" ht="24" customHeight="1">
      <c r="A17" s="1365"/>
      <c r="B17" s="787"/>
      <c r="C17" s="1699"/>
      <c r="D17" s="1702"/>
      <c r="E17" s="787"/>
      <c r="F17" s="795"/>
    </row>
    <row r="18" spans="1:7" ht="24" customHeight="1">
      <c r="A18" s="1365"/>
      <c r="B18" s="787"/>
      <c r="C18" s="1699"/>
      <c r="D18" s="1702"/>
      <c r="E18" s="787"/>
      <c r="F18" s="795"/>
    </row>
    <row r="19" spans="1:7" ht="24" customHeight="1">
      <c r="A19" s="1365"/>
      <c r="B19" s="787"/>
      <c r="C19" s="1699"/>
      <c r="D19" s="1702"/>
      <c r="E19" s="787"/>
      <c r="F19" s="787"/>
    </row>
    <row r="20" spans="1:7" ht="24" customHeight="1">
      <c r="A20" s="1365"/>
      <c r="B20" s="787"/>
      <c r="C20" s="1699"/>
      <c r="D20" s="1702"/>
      <c r="E20" s="787"/>
      <c r="F20" s="787"/>
    </row>
    <row r="21" spans="1:7" ht="24" customHeight="1">
      <c r="A21" s="1365"/>
      <c r="B21" s="787"/>
      <c r="C21" s="1699"/>
      <c r="D21" s="1702" t="s">
        <v>843</v>
      </c>
      <c r="E21" s="787">
        <f ca="1">IF(F21&lt;B2,"已过期",2011110090)</f>
        <v>2011110090</v>
      </c>
      <c r="F21" s="795">
        <v>48302</v>
      </c>
    </row>
    <row r="22" spans="1:7" ht="24" customHeight="1">
      <c r="A22" s="1365" t="s">
        <v>844</v>
      </c>
      <c r="B22" s="787">
        <f ca="1">IF(C22&lt;B2,"已过期",1120020033)</f>
        <v>1120020033</v>
      </c>
      <c r="C22" s="1699">
        <v>43304</v>
      </c>
      <c r="D22" s="1702" t="s">
        <v>844</v>
      </c>
      <c r="E22" s="787">
        <f ca="1">IF(F22&lt;B2,"已过期",2000110137)</f>
        <v>2000110137</v>
      </c>
      <c r="F22" s="795">
        <v>46387</v>
      </c>
    </row>
    <row r="23" spans="1:7" ht="24" customHeight="1">
      <c r="A23" s="1365" t="s">
        <v>845</v>
      </c>
      <c r="B23" s="787">
        <f ca="1">IF(C23&lt;B2,"已过期",1120130048)</f>
        <v>1120130048</v>
      </c>
      <c r="C23" s="1699">
        <v>43686</v>
      </c>
      <c r="D23" s="1702"/>
      <c r="E23" s="787"/>
      <c r="F23" s="787"/>
    </row>
    <row r="24" spans="1:7" s="789" customFormat="1" ht="24" customHeight="1">
      <c r="A24" s="1366" t="s">
        <v>1334</v>
      </c>
      <c r="B24" s="1366" t="s">
        <v>1334</v>
      </c>
      <c r="C24" s="1700" t="s">
        <v>1334</v>
      </c>
      <c r="D24" s="1703" t="s">
        <v>1334</v>
      </c>
      <c r="E24" s="1366" t="s">
        <v>1334</v>
      </c>
      <c r="F24" s="1366" t="s">
        <v>1334</v>
      </c>
    </row>
    <row r="25" spans="1:7" ht="24" customHeight="1">
      <c r="A25" s="3679" t="s">
        <v>846</v>
      </c>
      <c r="B25" s="3679"/>
      <c r="C25" s="3679"/>
      <c r="D25" s="3679"/>
      <c r="E25" s="3679"/>
      <c r="F25" s="3679"/>
      <c r="G25" s="3679"/>
    </row>
    <row r="26" spans="1:7" s="790" customFormat="1" ht="24" customHeight="1">
      <c r="A26" s="3680" t="s">
        <v>847</v>
      </c>
      <c r="B26" s="3680"/>
      <c r="C26" s="3681"/>
      <c r="D26" s="3682" t="s">
        <v>848</v>
      </c>
      <c r="E26" s="3680"/>
      <c r="F26" s="3680"/>
    </row>
    <row r="27" spans="1:7" s="792" customFormat="1" ht="24" customHeight="1">
      <c r="A27" s="791" t="s">
        <v>849</v>
      </c>
      <c r="B27" s="786" t="s">
        <v>850</v>
      </c>
      <c r="C27" s="1698" t="s">
        <v>851</v>
      </c>
      <c r="D27" s="1706" t="s">
        <v>849</v>
      </c>
      <c r="E27" s="786" t="s">
        <v>850</v>
      </c>
      <c r="F27" s="786" t="s">
        <v>851</v>
      </c>
    </row>
    <row r="28" spans="1:7" s="792" customFormat="1" ht="24" customHeight="1">
      <c r="A28" s="793" t="s">
        <v>852</v>
      </c>
      <c r="B28" s="794" t="s">
        <v>853</v>
      </c>
      <c r="C28" s="1704">
        <v>43725</v>
      </c>
      <c r="D28" s="1707" t="s">
        <v>854</v>
      </c>
      <c r="E28" s="793" t="s">
        <v>855</v>
      </c>
      <c r="F28" s="811">
        <v>44377</v>
      </c>
    </row>
    <row r="29" spans="1:7" s="792" customFormat="1" ht="24" customHeight="1">
      <c r="A29" s="793"/>
      <c r="B29" s="793"/>
      <c r="C29" s="1705"/>
      <c r="D29" s="1707" t="s">
        <v>856</v>
      </c>
      <c r="E29" s="947" t="s">
        <v>1385</v>
      </c>
      <c r="F29" s="948">
        <v>43281</v>
      </c>
    </row>
    <row r="30" spans="1:7" ht="24" customHeight="1">
      <c r="C30" s="796"/>
      <c r="D30" s="796"/>
    </row>
  </sheetData>
  <sheetProtection sheet="1" objects="1" scenarios="1"/>
  <mergeCells count="3">
    <mergeCell ref="A25:G25"/>
    <mergeCell ref="A26:C26"/>
    <mergeCell ref="D26:F26"/>
  </mergeCells>
  <phoneticPr fontId="86" type="noConversion"/>
  <conditionalFormatting sqref="C28">
    <cfRule type="expression" dxfId="216" priority="55">
      <formula>AND($C28-TODAY()&lt;30,TODAY()&lt;$C28)</formula>
    </cfRule>
  </conditionalFormatting>
  <conditionalFormatting sqref="C28 F4">
    <cfRule type="cellIs" dxfId="215" priority="57" stopIfTrue="1" operator="lessThan">
      <formula>$B$2</formula>
    </cfRule>
  </conditionalFormatting>
  <conditionalFormatting sqref="C5">
    <cfRule type="expression" dxfId="214" priority="52">
      <formula>AND($C5-TODAY()&lt;30,TODAY()&lt;$C5)</formula>
    </cfRule>
  </conditionalFormatting>
  <conditionalFormatting sqref="C5 F5">
    <cfRule type="cellIs" dxfId="213" priority="53" stopIfTrue="1" operator="lessThan">
      <formula>$B$2</formula>
    </cfRule>
  </conditionalFormatting>
  <conditionalFormatting sqref="F6 F8 F10">
    <cfRule type="cellIs" dxfId="212" priority="51" stopIfTrue="1" operator="lessThan">
      <formula>$B$2</formula>
    </cfRule>
  </conditionalFormatting>
  <conditionalFormatting sqref="C4:C23">
    <cfRule type="expression" dxfId="211" priority="49">
      <formula>AND($C4-TODAY()&lt;30,TODAY()&lt;$C4)</formula>
    </cfRule>
  </conditionalFormatting>
  <conditionalFormatting sqref="F7 F9 F11 C4:C23">
    <cfRule type="cellIs" dxfId="210" priority="50" stopIfTrue="1" operator="lessThan">
      <formula>$B$2</formula>
    </cfRule>
  </conditionalFormatting>
  <conditionalFormatting sqref="C12">
    <cfRule type="expression" dxfId="209" priority="47">
      <formula>AND($C12-TODAY()&lt;30,TODAY()&lt;$C12)</formula>
    </cfRule>
  </conditionalFormatting>
  <conditionalFormatting sqref="C12">
    <cfRule type="cellIs" dxfId="208" priority="48" stopIfTrue="1" operator="lessThan">
      <formula>$B$2</formula>
    </cfRule>
  </conditionalFormatting>
  <conditionalFormatting sqref="C14">
    <cfRule type="expression" dxfId="207" priority="43">
      <formula>AND($C14-TODAY()&lt;30,TODAY()&lt;$C14)</formula>
    </cfRule>
  </conditionalFormatting>
  <conditionalFormatting sqref="C14">
    <cfRule type="cellIs" dxfId="206" priority="44" stopIfTrue="1" operator="lessThan">
      <formula>$B$2</formula>
    </cfRule>
  </conditionalFormatting>
  <conditionalFormatting sqref="C16">
    <cfRule type="expression" dxfId="205" priority="41">
      <formula>AND($C16-TODAY()&lt;30,TODAY()&lt;$C16)</formula>
    </cfRule>
  </conditionalFormatting>
  <conditionalFormatting sqref="C16">
    <cfRule type="cellIs" dxfId="204" priority="42" stopIfTrue="1" operator="lessThan">
      <formula>$B$2</formula>
    </cfRule>
  </conditionalFormatting>
  <conditionalFormatting sqref="C18">
    <cfRule type="expression" dxfId="203" priority="39">
      <formula>AND($C18-TODAY()&lt;30,TODAY()&lt;$C18)</formula>
    </cfRule>
  </conditionalFormatting>
  <conditionalFormatting sqref="C18">
    <cfRule type="cellIs" dxfId="202" priority="40" stopIfTrue="1" operator="lessThan">
      <formula>$B$2</formula>
    </cfRule>
  </conditionalFormatting>
  <conditionalFormatting sqref="C20">
    <cfRule type="expression" dxfId="201" priority="37">
      <formula>AND($C20-TODAY()&lt;30,TODAY()&lt;$C20)</formula>
    </cfRule>
  </conditionalFormatting>
  <conditionalFormatting sqref="C20">
    <cfRule type="cellIs" dxfId="200" priority="38" stopIfTrue="1" operator="lessThan">
      <formula>$B$2</formula>
    </cfRule>
  </conditionalFormatting>
  <conditionalFormatting sqref="C22">
    <cfRule type="expression" dxfId="199" priority="35">
      <formula>AND($C22-TODAY()&lt;30,TODAY()&lt;$C22)</formula>
    </cfRule>
  </conditionalFormatting>
  <conditionalFormatting sqref="C22">
    <cfRule type="cellIs" dxfId="198" priority="36" stopIfTrue="1" operator="lessThan">
      <formula>$B$2</formula>
    </cfRule>
  </conditionalFormatting>
  <conditionalFormatting sqref="C15">
    <cfRule type="expression" dxfId="197" priority="33">
      <formula>AND($C15-TODAY()&lt;30,TODAY()&lt;$C15)</formula>
    </cfRule>
  </conditionalFormatting>
  <conditionalFormatting sqref="C15">
    <cfRule type="cellIs" dxfId="196" priority="34" stopIfTrue="1" operator="lessThan">
      <formula>$B$2</formula>
    </cfRule>
  </conditionalFormatting>
  <conditionalFormatting sqref="C17">
    <cfRule type="expression" dxfId="195" priority="31">
      <formula>AND($C17-TODAY()&lt;30,TODAY()&lt;$C17)</formula>
    </cfRule>
  </conditionalFormatting>
  <conditionalFormatting sqref="C17">
    <cfRule type="cellIs" dxfId="194" priority="32" stopIfTrue="1" operator="lessThan">
      <formula>$B$2</formula>
    </cfRule>
  </conditionalFormatting>
  <conditionalFormatting sqref="C19">
    <cfRule type="expression" dxfId="193" priority="29">
      <formula>AND($C19-TODAY()&lt;30,TODAY()&lt;$C19)</formula>
    </cfRule>
  </conditionalFormatting>
  <conditionalFormatting sqref="C19">
    <cfRule type="cellIs" dxfId="192" priority="30" stopIfTrue="1" operator="lessThan">
      <formula>$B$2</formula>
    </cfRule>
  </conditionalFormatting>
  <conditionalFormatting sqref="C21">
    <cfRule type="expression" dxfId="191" priority="27">
      <formula>AND($C21-TODAY()&lt;30,TODAY()&lt;$C21)</formula>
    </cfRule>
  </conditionalFormatting>
  <conditionalFormatting sqref="C21">
    <cfRule type="cellIs" dxfId="190" priority="28" stopIfTrue="1" operator="lessThan">
      <formula>$B$2</formula>
    </cfRule>
  </conditionalFormatting>
  <conditionalFormatting sqref="C23">
    <cfRule type="expression" dxfId="189" priority="25">
      <formula>AND($C23-TODAY()&lt;30,TODAY()&lt;$C23)</formula>
    </cfRule>
  </conditionalFormatting>
  <conditionalFormatting sqref="C23">
    <cfRule type="cellIs" dxfId="188" priority="26" stopIfTrue="1" operator="lessThan">
      <formula>$B$2</formula>
    </cfRule>
  </conditionalFormatting>
  <conditionalFormatting sqref="F16">
    <cfRule type="cellIs" dxfId="187" priority="23" stopIfTrue="1" operator="lessThan">
      <formula>$B$2</formula>
    </cfRule>
  </conditionalFormatting>
  <conditionalFormatting sqref="F18">
    <cfRule type="cellIs" dxfId="186" priority="22" stopIfTrue="1" operator="lessThan">
      <formula>$B$2</formula>
    </cfRule>
  </conditionalFormatting>
  <conditionalFormatting sqref="F22">
    <cfRule type="cellIs" dxfId="185" priority="21" stopIfTrue="1" operator="lessThan">
      <formula>$B$2</formula>
    </cfRule>
  </conditionalFormatting>
  <conditionalFormatting sqref="F21">
    <cfRule type="cellIs" dxfId="184" priority="20" stopIfTrue="1" operator="lessThan">
      <formula>$B$2</formula>
    </cfRule>
  </conditionalFormatting>
  <conditionalFormatting sqref="F17">
    <cfRule type="cellIs" dxfId="183" priority="19" stopIfTrue="1" operator="lessThan">
      <formula>$B$2</formula>
    </cfRule>
  </conditionalFormatting>
  <conditionalFormatting sqref="B4:B14 E4:E14 B16:B23 E16:E23">
    <cfRule type="cellIs" dxfId="182" priority="18" stopIfTrue="1" operator="equal">
      <formula>"已过期"</formula>
    </cfRule>
  </conditionalFormatting>
  <conditionalFormatting sqref="A24:F24">
    <cfRule type="cellIs" dxfId="181" priority="14" stopIfTrue="1" operator="equal">
      <formula>"已过期"</formula>
    </cfRule>
  </conditionalFormatting>
  <conditionalFormatting sqref="F28">
    <cfRule type="expression" dxfId="180" priority="12">
      <formula>AND($E28-TODAY()&lt;30,TODAY()&lt;$E28)</formula>
    </cfRule>
  </conditionalFormatting>
  <conditionalFormatting sqref="F28">
    <cfRule type="cellIs" dxfId="179" priority="13" stopIfTrue="1" operator="lessThan">
      <formula>$B$2</formula>
    </cfRule>
  </conditionalFormatting>
  <conditionalFormatting sqref="F29">
    <cfRule type="expression" dxfId="178" priority="8" stopIfTrue="1">
      <formula>AND($E29-TODAY()&lt;30,TODAY()&lt;$E29)</formula>
    </cfRule>
  </conditionalFormatting>
  <conditionalFormatting sqref="F29">
    <cfRule type="cellIs" dxfId="177" priority="9" stopIfTrue="1" operator="lessThan">
      <formula>$B$2</formula>
    </cfRule>
  </conditionalFormatting>
  <conditionalFormatting sqref="B15">
    <cfRule type="cellIs" dxfId="176" priority="6" stopIfTrue="1" operator="equal">
      <formula>"已过期"</formula>
    </cfRule>
  </conditionalFormatting>
  <conditionalFormatting sqref="A15">
    <cfRule type="cellIs" dxfId="175" priority="5" stopIfTrue="1" operator="equal">
      <formula>"已过期"</formula>
    </cfRule>
  </conditionalFormatting>
  <conditionalFormatting sqref="C15">
    <cfRule type="expression" dxfId="174" priority="4">
      <formula>AND($C15-TODAY()&lt;30,TODAY()&lt;$C15)</formula>
    </cfRule>
  </conditionalFormatting>
  <conditionalFormatting sqref="E15">
    <cfRule type="cellIs" dxfId="173" priority="3" stopIfTrue="1" operator="equal">
      <formula>"已过期"</formula>
    </cfRule>
  </conditionalFormatting>
  <conditionalFormatting sqref="D15">
    <cfRule type="cellIs" dxfId="172" priority="2" stopIfTrue="1" operator="equal">
      <formula>"已过期"</formula>
    </cfRule>
  </conditionalFormatting>
  <conditionalFormatting sqref="F13">
    <cfRule type="cellIs" dxfId="171"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63</vt:i4>
      </vt:variant>
      <vt:variant>
        <vt:lpstr>命名范围</vt:lpstr>
      </vt:variant>
      <vt:variant>
        <vt:i4>148</vt:i4>
      </vt:variant>
    </vt:vector>
  </HeadingPairs>
  <TitlesOfParts>
    <vt:vector size="21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 (元)</vt:lpstr>
      <vt:lpstr>比较法-商业</vt:lpstr>
      <vt:lpstr>典型户型修正</vt:lpstr>
      <vt:lpstr>典型户型修正(先权重后修正)</vt:lpstr>
      <vt:lpstr>单套价值</vt:lpstr>
      <vt:lpstr>收益法（汇总）</vt:lpstr>
      <vt:lpstr>酒店收入计算</vt:lpstr>
      <vt:lpstr>比较法-住宅</vt:lpstr>
      <vt:lpstr>收益法1层</vt:lpstr>
      <vt:lpstr>收益法2层</vt:lpstr>
      <vt:lpstr>收益法3层</vt:lpstr>
      <vt:lpstr>收益法4.5层</vt:lpstr>
      <vt:lpstr>收益法-1层</vt:lpstr>
      <vt:lpstr>收益法-2层</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成本法（废）</vt:lpstr>
      <vt:lpstr>区片价</vt:lpstr>
      <vt:lpstr>因素修正幅度</vt:lpstr>
      <vt:lpstr>存贷款利率</vt:lpstr>
      <vt:lpstr>区片价（范围）</vt:lpstr>
      <vt:lpstr>Sheet1</vt:lpstr>
      <vt:lpstr>Sheet2</vt:lpstr>
      <vt:lpstr>抵押物清单</vt:lpstr>
      <vt:lpstr>面积表</vt:lpstr>
      <vt:lpstr>销售清单</vt:lpstr>
      <vt:lpstr>1层销售状态</vt:lpstr>
      <vt:lpstr>2层销售状态</vt:lpstr>
      <vt:lpstr>3层销售状态</vt:lpstr>
      <vt:lpstr>4.5层销售状态</vt:lpstr>
      <vt:lpstr>-1层销售状态</vt:lpstr>
      <vt:lpstr>-2c层销售状态</vt:lpstr>
      <vt:lpstr>Sheet4</vt:lpstr>
      <vt:lpstr>'比较法-商业'!Print_Area</vt:lpstr>
      <vt:lpstr>'典型户型修正(先权重后修正)'!Print_Area</vt:lpstr>
      <vt:lpstr>估价师及机构信息!Print_Area</vt:lpstr>
      <vt:lpstr>'收益法 (元)'!Print_Area</vt:lpstr>
      <vt:lpstr>收益法1层!Print_Area</vt:lpstr>
      <vt:lpstr>'收益法-1层'!Print_Area</vt:lpstr>
      <vt:lpstr>收益法2层!Print_Area</vt:lpstr>
      <vt:lpstr>'收益法-2层'!Print_Area</vt:lpstr>
      <vt:lpstr>收益法3层!Print_Area</vt:lpstr>
      <vt:lpstr>收益法4.5层!Print_Area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'典型户型修正(先权重后修正)'!一修多修正项2</vt:lpstr>
      <vt:lpstr>一修多修正项2</vt:lpstr>
      <vt:lpstr>'典型户型修正(先权重后修正)'!一修多修正项3</vt:lpstr>
      <vt:lpstr>一修多修正项3</vt:lpstr>
      <vt:lpstr>'典型户型修正(先权重后修正)'!一修多修正项4</vt:lpstr>
      <vt:lpstr>一修多修正项4</vt:lpstr>
      <vt:lpstr>'典型户型修正(先权重后修正)'!一修多修正项5</vt:lpstr>
      <vt:lpstr>一修多修正项5</vt:lpstr>
      <vt:lpstr>'典型户型修正(先权重后修正)'!一修多修正项6</vt:lpstr>
      <vt:lpstr>一修多修正项6</vt:lpstr>
      <vt:lpstr>'典型户型修正(先权重后修正)'!一修多修正项7</vt:lpstr>
      <vt:lpstr>一修多修正项7</vt:lpstr>
      <vt:lpstr>'典型户型修正(先权重后修正)'!一修多修正项8</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2017-12-02T07:48:42Z</cp:lastPrinted>
  <dcterms:created xsi:type="dcterms:W3CDTF">2015-07-13T07:17:23Z</dcterms:created>
  <dcterms:modified xsi:type="dcterms:W3CDTF">2017-12-07T02:12:16Z</dcterms:modified>
</cp:coreProperties>
</file>